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style1.xml" ContentType="application/vnd.ms-office.chartstyle+xml"/>
  <Override PartName="/xl/charts/colors1.xml" ContentType="application/vnd.ms-office.chartcolorstyle+xml"/>
  <Override PartName="/xl/charts/chart12.xml" ContentType="application/vnd.openxmlformats-officedocument.drawingml.chart+xml"/>
  <Override PartName="/xl/charts/style2.xml" ContentType="application/vnd.ms-office.chartstyle+xml"/>
  <Override PartName="/xl/charts/colors2.xml" ContentType="application/vnd.ms-office.chartcolorstyle+xml"/>
  <Override PartName="/xl/charts/chart1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24226"/>
  <mc:AlternateContent xmlns:mc="http://schemas.openxmlformats.org/markup-compatibility/2006">
    <mc:Choice Requires="x15">
      <x15ac:absPath xmlns:x15ac="http://schemas.microsoft.com/office/spreadsheetml/2010/11/ac" url="https://alpencustomersupport-my.sharepoint.com/personal/kbiega_thinkalpen_com/Documents/Documents/Winsert/energy modeling/Solarc Files/"/>
    </mc:Choice>
  </mc:AlternateContent>
  <xr:revisionPtr revIDLastSave="99" documentId="8_{6C49CD36-161A-428F-B2C1-DD344738A102}" xr6:coauthVersionLast="47" xr6:coauthVersionMax="47" xr10:uidLastSave="{E20DEE2F-04B3-4695-BF86-9819E1F37631}"/>
  <bookViews>
    <workbookView xWindow="28680" yWindow="-120" windowWidth="29040" windowHeight="15720" tabRatio="871" firstSheet="5" activeTab="15" xr2:uid="{00000000-000D-0000-FFFF-FFFF00000000}"/>
  </bookViews>
  <sheets>
    <sheet name="User Documentation" sheetId="47" r:id="rId1"/>
    <sheet name="Office" sheetId="1" r:id="rId2"/>
    <sheet name="Hotel" sheetId="61" r:id="rId3"/>
    <sheet name="School" sheetId="74" r:id="rId4"/>
    <sheet name="Hospital" sheetId="75" r:id="rId5"/>
    <sheet name="Multi-family" sheetId="78" r:id="rId6"/>
    <sheet name="Savings Lookup" sheetId="6" r:id="rId7"/>
    <sheet name="Regresson List_Office" sheetId="80" r:id="rId8"/>
    <sheet name="Regresson List_SH" sheetId="49" r:id="rId9"/>
    <sheet name="Regresson List_LH" sheetId="71" r:id="rId10"/>
    <sheet name="Regresson List_PS" sheetId="72" r:id="rId11"/>
    <sheet name="Regresson List_SS" sheetId="81" r:id="rId12"/>
    <sheet name="Regresson List_Hosp" sheetId="76" r:id="rId13"/>
    <sheet name="Regresson List_MF" sheetId="79" r:id="rId14"/>
    <sheet name="Lists" sheetId="3" r:id="rId15"/>
    <sheet name="Weather Information" sheetId="77" r:id="rId16"/>
  </sheets>
  <definedNames>
    <definedName name="_xlnm._FilterDatabase" localSheetId="4" hidden="1">Hospital!$A$31:$B$31</definedName>
    <definedName name="_xlnm._FilterDatabase" localSheetId="2" hidden="1">Hotel!$A$31:$B$31</definedName>
    <definedName name="_xlnm._FilterDatabase" localSheetId="5" hidden="1">'Multi-family'!$E$16:$F$24</definedName>
    <definedName name="_xlnm._FilterDatabase" localSheetId="1" hidden="1">Office!$A$16:$F$27</definedName>
    <definedName name="_xlnm._FilterDatabase" localSheetId="3" hidden="1">School!$A$31:$B$31</definedName>
    <definedName name="Alabama">Lists!$C$2:$C$70</definedName>
    <definedName name="Alaska">Lists!$D$2:$D$47</definedName>
    <definedName name="Arizona">Lists!$E$2:$E$70</definedName>
    <definedName name="Arkansas">Lists!$F$2:$F$70</definedName>
    <definedName name="California">Lists!$G$2:$G$70</definedName>
    <definedName name="Colorado">Lists!$H$2:$H$70</definedName>
    <definedName name="Connecticut">Lists!$I$2:$I$70</definedName>
    <definedName name="Delaware">Lists!$J$2:$J$70</definedName>
    <definedName name="Dist._Of_Columbia">Lists!$BA$2:$BA$70</definedName>
    <definedName name="Florida">Lists!$K$2:$K$70</definedName>
    <definedName name="Georgia">Lists!$L$2:$L$70</definedName>
    <definedName name="Hawaii">Lists!$M$2:$M$70</definedName>
    <definedName name="Idaho">Lists!$N$2:$N$70</definedName>
    <definedName name="Illinois">Lists!$O$2:$O$70</definedName>
    <definedName name="Indiana">Lists!$P$2:$P$70</definedName>
    <definedName name="Iowa">Lists!$Q$2:$Q$70</definedName>
    <definedName name="Kansas">Lists!$R$2:$R$70</definedName>
    <definedName name="Kentucky">Lists!$S$2:$S$70</definedName>
    <definedName name="Louisiana">Lists!$T$2:$T$70</definedName>
    <definedName name="Maine">Lists!$U$2:$U$70</definedName>
    <definedName name="Maryland">Lists!$V$2:$V$70</definedName>
    <definedName name="Massachusetts">Lists!$W$2:$W$70</definedName>
    <definedName name="Michigan">Lists!$X$2:$X$70</definedName>
    <definedName name="Minnesota">Lists!$Y$2:$Y$70</definedName>
    <definedName name="Mississippi">Lists!$Z$2:$Z$70</definedName>
    <definedName name="Missouri">Lists!$AA$2:$AA$70</definedName>
    <definedName name="Montana">Lists!$AB$2:$AB$70</definedName>
    <definedName name="Nebraska">Lists!$AC$2:$AC$70</definedName>
    <definedName name="Nevada">Lists!$AD$2:$AD$70</definedName>
    <definedName name="New_Hampshire">Lists!$AE$2:$AE$70</definedName>
    <definedName name="New_Jersey">Lists!$AF$2:$AF$70</definedName>
    <definedName name="New_Mexico">Lists!$AG$2:$AG$70</definedName>
    <definedName name="New_York">Lists!$AH$2:$AH$70</definedName>
    <definedName name="North_Carolina">Lists!$AI$2:$AI$70</definedName>
    <definedName name="North_Dakota">Lists!$AJ$2:$AJ$70</definedName>
    <definedName name="Ohio">Lists!$AK$2:$AK$70</definedName>
    <definedName name="Oklahoma">Lists!$AL$2:$AL$70</definedName>
    <definedName name="Oregon">Lists!$AM$2:$AM$68</definedName>
    <definedName name="Pennsylvania">Lists!$AN$2:$AN$70</definedName>
    <definedName name="_xlnm.Print_Area" localSheetId="4">Hospital!$B$1:$F$72</definedName>
    <definedName name="_xlnm.Print_Area" localSheetId="2">Hotel!$B$1:$F$72</definedName>
    <definedName name="_xlnm.Print_Area" localSheetId="5">'Multi-family'!$B$1:$F$73</definedName>
    <definedName name="_xlnm.Print_Area" localSheetId="1">Office!$B$1:$F$72</definedName>
    <definedName name="_xlnm.Print_Area" localSheetId="3">School!$B$1:$F$72</definedName>
    <definedName name="_xlnm.Print_Area" localSheetId="0">'User Documentation'!$B$12:$K$32</definedName>
    <definedName name="Rhode_Island">Lists!$AO$2:$AO$70</definedName>
    <definedName name="South_Carolina">Lists!$AP$2:$AP$70</definedName>
    <definedName name="South_Dakota">Lists!$AQ$2:$AQ$70</definedName>
    <definedName name="Tennessee">Lists!$AR$2:$AR$70</definedName>
    <definedName name="Texas">Lists!$AS$2:$AS$70</definedName>
    <definedName name="Utah">Lists!$AT$2:$AT$70</definedName>
    <definedName name="Vermont">Lists!$AU$2:$AU$70</definedName>
    <definedName name="Virginia">Lists!$AV$2:$AV$70</definedName>
    <definedName name="Washington">Lists!$AW$2:$AW$70</definedName>
    <definedName name="West_Virginia">Lists!$AX$2:$AX$70</definedName>
    <definedName name="Wisconsin">Lists!$AY$2:$AY$70</definedName>
    <definedName name="Wyoming">Lists!$AZ$2:$AZ$70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H18" i="75"/>
  <c r="H18" i="74"/>
  <c r="H18" i="61"/>
  <c r="H18" i="78"/>
  <c r="H21" i="61"/>
  <c r="I55" i="6" l="1"/>
  <c r="I56" i="6"/>
  <c r="I57" i="6"/>
  <c r="I58" i="6"/>
  <c r="I51" i="6"/>
  <c r="I52" i="6"/>
  <c r="I53" i="6"/>
  <c r="I54" i="6"/>
  <c r="I49" i="6"/>
  <c r="I50" i="6"/>
  <c r="I48" i="6"/>
  <c r="I47" i="6"/>
  <c r="H20" i="75" l="1"/>
  <c r="H26" i="75"/>
  <c r="H23" i="75"/>
  <c r="H20" i="74"/>
  <c r="H23" i="74"/>
  <c r="Q25" i="61"/>
  <c r="Q24" i="61"/>
  <c r="H26" i="61"/>
  <c r="H23" i="61"/>
  <c r="H24" i="61"/>
  <c r="H22" i="61"/>
  <c r="F17" i="61"/>
  <c r="F1" i="61" s="1"/>
  <c r="Q25" i="78"/>
  <c r="H23" i="78"/>
  <c r="H27" i="78"/>
  <c r="H22" i="1"/>
  <c r="H24" i="1"/>
  <c r="H22" i="78"/>
  <c r="H24" i="78"/>
  <c r="H23" i="1"/>
  <c r="H21" i="1"/>
  <c r="F17" i="1"/>
  <c r="H26" i="1"/>
  <c r="V24" i="74" l="1"/>
  <c r="I71" i="6" l="1"/>
  <c r="I72" i="6"/>
  <c r="I73" i="6"/>
  <c r="I74" i="6"/>
  <c r="I75" i="6"/>
  <c r="I76" i="6"/>
  <c r="I77" i="6"/>
  <c r="I78" i="6"/>
  <c r="I79" i="6"/>
  <c r="I80" i="6"/>
  <c r="I81" i="6"/>
  <c r="I82" i="6"/>
  <c r="I83" i="6"/>
  <c r="I84" i="6"/>
  <c r="I85" i="6"/>
  <c r="I86" i="6"/>
  <c r="I87" i="6"/>
  <c r="I88" i="6"/>
  <c r="I89" i="6"/>
  <c r="I90" i="6"/>
  <c r="I91" i="6"/>
  <c r="I92" i="6"/>
  <c r="I93" i="6"/>
  <c r="I94" i="6"/>
  <c r="B54" i="79" l="1"/>
  <c r="C54" i="79"/>
  <c r="D54" i="79"/>
  <c r="E54" i="79"/>
  <c r="F54" i="79"/>
  <c r="B55" i="79"/>
  <c r="C55" i="79"/>
  <c r="D55" i="79"/>
  <c r="E55" i="79"/>
  <c r="F55" i="79"/>
  <c r="B56" i="79"/>
  <c r="C56" i="79"/>
  <c r="D56" i="79"/>
  <c r="E56" i="79"/>
  <c r="F56" i="79"/>
  <c r="B57" i="79"/>
  <c r="C57" i="79"/>
  <c r="D57" i="79"/>
  <c r="E57" i="79"/>
  <c r="F57" i="79"/>
  <c r="B58" i="79"/>
  <c r="C58" i="79"/>
  <c r="D58" i="79"/>
  <c r="E58" i="79"/>
  <c r="F58" i="79"/>
  <c r="C53" i="79"/>
  <c r="D53" i="79"/>
  <c r="E53" i="79"/>
  <c r="F53" i="79"/>
  <c r="B53" i="79"/>
  <c r="A54" i="79"/>
  <c r="A55" i="79"/>
  <c r="A56" i="79"/>
  <c r="A57" i="79"/>
  <c r="A58" i="79"/>
  <c r="A53" i="79"/>
  <c r="I22" i="6" l="1"/>
  <c r="O24" i="75" l="1"/>
  <c r="O24" i="74"/>
  <c r="H26" i="74" l="1"/>
  <c r="G24" i="81"/>
  <c r="H24" i="81"/>
  <c r="I24" i="81"/>
  <c r="J24" i="81"/>
  <c r="K24" i="81"/>
  <c r="L24" i="81"/>
  <c r="G25" i="81"/>
  <c r="H25" i="81"/>
  <c r="I25" i="81"/>
  <c r="J25" i="81"/>
  <c r="K25" i="81"/>
  <c r="L25" i="81"/>
  <c r="H23" i="81"/>
  <c r="I23" i="81"/>
  <c r="J23" i="81"/>
  <c r="K23" i="81"/>
  <c r="L23" i="81"/>
  <c r="G23" i="81"/>
  <c r="G24" i="72" l="1"/>
  <c r="H24" i="72"/>
  <c r="I24" i="72"/>
  <c r="J24" i="72"/>
  <c r="K24" i="72"/>
  <c r="L24" i="72"/>
  <c r="G25" i="72"/>
  <c r="H25" i="72"/>
  <c r="I25" i="72"/>
  <c r="J25" i="72"/>
  <c r="K25" i="72"/>
  <c r="L25" i="72"/>
  <c r="H23" i="72"/>
  <c r="I23" i="72"/>
  <c r="J23" i="72"/>
  <c r="K23" i="72"/>
  <c r="L23" i="72"/>
  <c r="G23" i="72"/>
  <c r="I59" i="6" l="1"/>
  <c r="I60" i="6"/>
  <c r="I61" i="6"/>
  <c r="I62" i="6"/>
  <c r="I63" i="6"/>
  <c r="I64" i="6"/>
  <c r="I65" i="6"/>
  <c r="I66" i="6"/>
  <c r="I67" i="6"/>
  <c r="I68" i="6"/>
  <c r="I69" i="6"/>
  <c r="I70" i="6"/>
  <c r="L25" i="61"/>
  <c r="L24" i="61"/>
  <c r="I42" i="6"/>
  <c r="I43" i="6"/>
  <c r="I44" i="6"/>
  <c r="I45" i="6"/>
  <c r="I46" i="6"/>
  <c r="I41" i="6"/>
  <c r="L24" i="75" l="1"/>
  <c r="K24" i="75"/>
  <c r="I95" i="6"/>
  <c r="I96" i="6"/>
  <c r="I97" i="6"/>
  <c r="I98" i="6"/>
  <c r="I99" i="6"/>
  <c r="I100" i="6"/>
  <c r="K24" i="74"/>
  <c r="L24" i="74"/>
  <c r="P35" i="80" l="1"/>
  <c r="Q35" i="80"/>
  <c r="P36" i="80"/>
  <c r="Q36" i="80"/>
  <c r="P37" i="80"/>
  <c r="Q37" i="80"/>
  <c r="P38" i="80"/>
  <c r="Q38" i="80"/>
  <c r="R38" i="80" s="1"/>
  <c r="P39" i="80"/>
  <c r="Q39" i="80"/>
  <c r="P40" i="80"/>
  <c r="Q40" i="80"/>
  <c r="P41" i="80"/>
  <c r="Q41" i="80"/>
  <c r="P42" i="80"/>
  <c r="Q42" i="80"/>
  <c r="P43" i="80"/>
  <c r="Q43" i="80"/>
  <c r="P44" i="80"/>
  <c r="Q44" i="80"/>
  <c r="P45" i="80"/>
  <c r="Q45" i="80"/>
  <c r="R45" i="80" s="1"/>
  <c r="P46" i="80"/>
  <c r="Q46" i="80"/>
  <c r="Q34" i="80"/>
  <c r="P34" i="80"/>
  <c r="P20" i="80"/>
  <c r="Q20" i="80"/>
  <c r="P21" i="80"/>
  <c r="Q21" i="80"/>
  <c r="P22" i="80"/>
  <c r="Q22" i="80"/>
  <c r="R22" i="80" s="1"/>
  <c r="P23" i="80"/>
  <c r="Q23" i="80"/>
  <c r="P24" i="80"/>
  <c r="Q24" i="80"/>
  <c r="P25" i="80"/>
  <c r="Q25" i="80"/>
  <c r="P26" i="80"/>
  <c r="Q26" i="80"/>
  <c r="P27" i="80"/>
  <c r="Q27" i="80"/>
  <c r="P28" i="80"/>
  <c r="Q28" i="80"/>
  <c r="P29" i="80"/>
  <c r="Q29" i="80"/>
  <c r="P30" i="80"/>
  <c r="Q30" i="80"/>
  <c r="P31" i="80"/>
  <c r="Q31" i="80"/>
  <c r="Q19" i="80"/>
  <c r="P19" i="80"/>
  <c r="P5" i="80"/>
  <c r="Q5" i="80"/>
  <c r="P6" i="80"/>
  <c r="Q6" i="80"/>
  <c r="P7" i="80"/>
  <c r="Q7" i="80"/>
  <c r="P8" i="80"/>
  <c r="Q8" i="80"/>
  <c r="P9" i="80"/>
  <c r="Q9" i="80"/>
  <c r="P10" i="80"/>
  <c r="Q10" i="80"/>
  <c r="P11" i="80"/>
  <c r="Q11" i="80"/>
  <c r="P12" i="80"/>
  <c r="Q12" i="80"/>
  <c r="P13" i="80"/>
  <c r="Q13" i="80"/>
  <c r="P14" i="80"/>
  <c r="Q14" i="80"/>
  <c r="P15" i="80"/>
  <c r="Q15" i="80"/>
  <c r="P16" i="80"/>
  <c r="Q16" i="80"/>
  <c r="Q4" i="80"/>
  <c r="P4" i="80"/>
  <c r="R40" i="80" l="1"/>
  <c r="R14" i="80"/>
  <c r="R10" i="80"/>
  <c r="R13" i="80"/>
  <c r="R9" i="80"/>
  <c r="R15" i="80"/>
  <c r="R23" i="80"/>
  <c r="R4" i="80"/>
  <c r="R5" i="80"/>
  <c r="R16" i="80"/>
  <c r="R12" i="80"/>
  <c r="R8" i="80"/>
  <c r="R11" i="80"/>
  <c r="R7" i="80"/>
  <c r="R6" i="80"/>
  <c r="R26" i="80"/>
  <c r="R29" i="80"/>
  <c r="R25" i="80"/>
  <c r="R21" i="80"/>
  <c r="R20" i="80"/>
  <c r="R30" i="80"/>
  <c r="R24" i="80"/>
  <c r="R28" i="80"/>
  <c r="R31" i="80"/>
  <c r="R27" i="80"/>
  <c r="R43" i="80"/>
  <c r="R41" i="80"/>
  <c r="R35" i="80"/>
  <c r="R36" i="80"/>
  <c r="R46" i="80"/>
  <c r="R42" i="80"/>
  <c r="R44" i="80"/>
  <c r="R39" i="80"/>
  <c r="R37" i="80"/>
  <c r="R34" i="80"/>
  <c r="R19" i="80"/>
  <c r="I24" i="6" l="1"/>
  <c r="I25" i="6"/>
  <c r="I26" i="6"/>
  <c r="I27" i="6"/>
  <c r="I28" i="6"/>
  <c r="I29" i="6"/>
  <c r="I30" i="6"/>
  <c r="I31" i="6"/>
  <c r="I32" i="6"/>
  <c r="I33" i="6"/>
  <c r="I34" i="6"/>
  <c r="I35" i="6"/>
  <c r="I36" i="6"/>
  <c r="I37" i="6"/>
  <c r="I38" i="6"/>
  <c r="I39" i="6"/>
  <c r="I40" i="6"/>
  <c r="I23" i="6"/>
  <c r="D67" i="80"/>
  <c r="D68" i="80" s="1"/>
  <c r="D69" i="80" s="1"/>
  <c r="D70" i="80" s="1"/>
  <c r="D71" i="80" s="1"/>
  <c r="D72" i="80" s="1"/>
  <c r="D73" i="80" s="1"/>
  <c r="D74" i="80" s="1"/>
  <c r="D75" i="80" s="1"/>
  <c r="D76" i="80" s="1"/>
  <c r="D77" i="80" s="1"/>
  <c r="P24" i="1"/>
  <c r="Q24" i="1"/>
  <c r="Q25" i="1" s="1"/>
  <c r="I6" i="6" l="1"/>
  <c r="I7" i="6"/>
  <c r="I8" i="6"/>
  <c r="I9" i="6"/>
  <c r="I10" i="6"/>
  <c r="I11" i="6"/>
  <c r="I12" i="6"/>
  <c r="I13" i="6"/>
  <c r="I14" i="6"/>
  <c r="I15" i="6"/>
  <c r="I16" i="6"/>
  <c r="I17" i="6"/>
  <c r="I18" i="6"/>
  <c r="I19" i="6"/>
  <c r="I20" i="6"/>
  <c r="I21" i="6"/>
  <c r="I5" i="6"/>
  <c r="K24" i="1"/>
  <c r="K25" i="1" s="1"/>
  <c r="F17" i="78" l="1"/>
  <c r="P103" i="6"/>
  <c r="N25" i="78" l="1"/>
  <c r="H63" i="78" l="1"/>
  <c r="C24" i="1" l="1"/>
  <c r="C23" i="1"/>
  <c r="C24" i="61"/>
  <c r="C23" i="61"/>
  <c r="C24" i="74"/>
  <c r="C23" i="74"/>
  <c r="C24" i="75"/>
  <c r="AG100" i="6" s="1"/>
  <c r="AG99" i="6" s="1"/>
  <c r="AG98" i="6" s="1"/>
  <c r="AG97" i="6" s="1"/>
  <c r="AG96" i="6" s="1"/>
  <c r="AG95" i="6" s="1"/>
  <c r="C23" i="75"/>
  <c r="M25" i="78"/>
  <c r="L25" i="78"/>
  <c r="P25" i="78"/>
  <c r="I109" i="6"/>
  <c r="I108" i="6"/>
  <c r="I107" i="6"/>
  <c r="I106" i="6"/>
  <c r="I105" i="6"/>
  <c r="I104" i="6"/>
  <c r="I102" i="6"/>
  <c r="I103" i="6"/>
  <c r="I101" i="6"/>
  <c r="P82" i="6" l="1"/>
  <c r="P80" i="6"/>
  <c r="P81" i="6" s="1"/>
  <c r="P79" i="6"/>
  <c r="P45" i="6"/>
  <c r="J53" i="6"/>
  <c r="J52" i="6"/>
  <c r="J56" i="6"/>
  <c r="P46" i="6"/>
  <c r="J58" i="6"/>
  <c r="J51" i="6"/>
  <c r="P57" i="6"/>
  <c r="P58" i="6" s="1"/>
  <c r="J57" i="6"/>
  <c r="P55" i="6"/>
  <c r="P56" i="6" s="1"/>
  <c r="P49" i="6"/>
  <c r="P53" i="6" s="1"/>
  <c r="P54" i="6" s="1"/>
  <c r="P42" i="6"/>
  <c r="P44" i="6" s="1"/>
  <c r="J54" i="6"/>
  <c r="P47" i="6"/>
  <c r="J55" i="6"/>
  <c r="P41" i="6"/>
  <c r="P43" i="6" s="1"/>
  <c r="K57" i="6"/>
  <c r="K49" i="6"/>
  <c r="M41" i="6"/>
  <c r="M42" i="6" s="1"/>
  <c r="M43" i="6" s="1"/>
  <c r="M44" i="6" s="1"/>
  <c r="M45" i="6" s="1"/>
  <c r="M46" i="6" s="1"/>
  <c r="M47" i="6" s="1"/>
  <c r="M48" i="6" s="1"/>
  <c r="M49" i="6" s="1"/>
  <c r="M50" i="6" s="1"/>
  <c r="M51" i="6" s="1"/>
  <c r="M52" i="6" s="1"/>
  <c r="M53" i="6" s="1"/>
  <c r="M54" i="6" s="1"/>
  <c r="M55" i="6" s="1"/>
  <c r="M56" i="6" s="1"/>
  <c r="M57" i="6" s="1"/>
  <c r="M58" i="6" s="1"/>
  <c r="K53" i="6"/>
  <c r="J50" i="6"/>
  <c r="J49" i="6"/>
  <c r="J48" i="6"/>
  <c r="J47" i="6"/>
  <c r="AG70" i="6"/>
  <c r="AG69" i="6" s="1"/>
  <c r="AG68" i="6" s="1"/>
  <c r="AG67" i="6" s="1"/>
  <c r="AG66" i="6" s="1"/>
  <c r="AG65" i="6" s="1"/>
  <c r="AG64" i="6" s="1"/>
  <c r="AG63" i="6" s="1"/>
  <c r="AG62" i="6" s="1"/>
  <c r="AG61" i="6" s="1"/>
  <c r="AG60" i="6" s="1"/>
  <c r="AG59" i="6" s="1"/>
  <c r="AG58" i="6"/>
  <c r="AG56" i="6" s="1"/>
  <c r="AG55" i="6" s="1"/>
  <c r="AG54" i="6" s="1"/>
  <c r="AG52" i="6" s="1"/>
  <c r="AG51" i="6" s="1"/>
  <c r="AG50" i="6" s="1"/>
  <c r="AG48" i="6" s="1"/>
  <c r="AG47" i="6" s="1"/>
  <c r="AG46" i="6" s="1"/>
  <c r="AG45" i="6" s="1"/>
  <c r="AG44" i="6" s="1"/>
  <c r="AG43" i="6" s="1"/>
  <c r="AG42" i="6" s="1"/>
  <c r="AG41" i="6" s="1"/>
  <c r="AG94" i="6"/>
  <c r="AG85" i="6"/>
  <c r="AG22" i="6"/>
  <c r="AG21" i="6" s="1"/>
  <c r="AG20" i="6" s="1"/>
  <c r="AG19" i="6" s="1"/>
  <c r="AG18" i="6" s="1"/>
  <c r="AG17" i="6" s="1"/>
  <c r="AG16" i="6" s="1"/>
  <c r="AG15" i="6" s="1"/>
  <c r="AG14" i="6" s="1"/>
  <c r="AG13" i="6" s="1"/>
  <c r="AG12" i="6" s="1"/>
  <c r="AG11" i="6" s="1"/>
  <c r="AG10" i="6" s="1"/>
  <c r="AG9" i="6" s="1"/>
  <c r="AG8" i="6" s="1"/>
  <c r="AG7" i="6" s="1"/>
  <c r="AG6" i="6" s="1"/>
  <c r="AG5" i="6" s="1"/>
  <c r="AG40" i="6"/>
  <c r="AG39" i="6" s="1"/>
  <c r="AG38" i="6" s="1"/>
  <c r="AG37" i="6" s="1"/>
  <c r="AG36" i="6" s="1"/>
  <c r="AG35" i="6" s="1"/>
  <c r="AG34" i="6" s="1"/>
  <c r="AG33" i="6" s="1"/>
  <c r="AG32" i="6" s="1"/>
  <c r="AG31" i="6" s="1"/>
  <c r="AG30" i="6" s="1"/>
  <c r="AG29" i="6" s="1"/>
  <c r="AG28" i="6" s="1"/>
  <c r="AG27" i="6" s="1"/>
  <c r="AG26" i="6" s="1"/>
  <c r="AG25" i="6" s="1"/>
  <c r="AG24" i="6" s="1"/>
  <c r="AG23" i="6" s="1"/>
  <c r="P94" i="6"/>
  <c r="P89" i="6"/>
  <c r="L94" i="6"/>
  <c r="P85" i="6"/>
  <c r="L89" i="6"/>
  <c r="L93" i="6"/>
  <c r="P92" i="6"/>
  <c r="P88" i="6"/>
  <c r="P83" i="6"/>
  <c r="L90" i="6"/>
  <c r="P86" i="6"/>
  <c r="L91" i="6"/>
  <c r="P91" i="6"/>
  <c r="L92" i="6"/>
  <c r="V84" i="6"/>
  <c r="Z84" i="6" s="1"/>
  <c r="V85" i="6"/>
  <c r="Z85" i="6" s="1"/>
  <c r="V83" i="6"/>
  <c r="Z83" i="6" s="1"/>
  <c r="U83" i="6"/>
  <c r="X83" i="6" s="1"/>
  <c r="U84" i="6"/>
  <c r="X84" i="6" s="1"/>
  <c r="U85" i="6"/>
  <c r="X85" i="6" s="1"/>
  <c r="J88" i="6"/>
  <c r="J84" i="6"/>
  <c r="J85" i="6"/>
  <c r="J83" i="6"/>
  <c r="J87" i="6"/>
  <c r="J86" i="6"/>
  <c r="P71" i="6"/>
  <c r="P72" i="6" s="1"/>
  <c r="P76" i="6"/>
  <c r="L78" i="6"/>
  <c r="L80" i="6"/>
  <c r="P77" i="6"/>
  <c r="L79" i="6"/>
  <c r="L81" i="6"/>
  <c r="P73" i="6"/>
  <c r="P74" i="6"/>
  <c r="L82" i="6"/>
  <c r="L77" i="6"/>
  <c r="K84" i="6"/>
  <c r="K90" i="6" s="1"/>
  <c r="K85" i="6"/>
  <c r="K91" i="6" s="1"/>
  <c r="K86" i="6"/>
  <c r="K92" i="6" s="1"/>
  <c r="K88" i="6"/>
  <c r="K94" i="6" s="1"/>
  <c r="K87" i="6"/>
  <c r="K93" i="6" s="1"/>
  <c r="K83" i="6"/>
  <c r="K89" i="6" s="1"/>
  <c r="K75" i="6"/>
  <c r="K81" i="6" s="1"/>
  <c r="K76" i="6"/>
  <c r="K82" i="6" s="1"/>
  <c r="V73" i="6"/>
  <c r="Z73" i="6" s="1"/>
  <c r="V72" i="6"/>
  <c r="Z72" i="6" s="1"/>
  <c r="K71" i="6"/>
  <c r="K77" i="6" s="1"/>
  <c r="V71" i="6"/>
  <c r="Z71" i="6" s="1"/>
  <c r="K73" i="6"/>
  <c r="K79" i="6" s="1"/>
  <c r="U71" i="6"/>
  <c r="X71" i="6" s="1"/>
  <c r="U73" i="6"/>
  <c r="X73" i="6" s="1"/>
  <c r="K72" i="6"/>
  <c r="K78" i="6" s="1"/>
  <c r="U72" i="6"/>
  <c r="X72" i="6" s="1"/>
  <c r="K74" i="6"/>
  <c r="K80" i="6" s="1"/>
  <c r="J72" i="6"/>
  <c r="J73" i="6"/>
  <c r="J74" i="6"/>
  <c r="J75" i="6"/>
  <c r="J76" i="6"/>
  <c r="J71" i="6"/>
  <c r="V100" i="6"/>
  <c r="Z100" i="6" s="1"/>
  <c r="AA100" i="6" s="1"/>
  <c r="V96" i="6"/>
  <c r="Z96" i="6" s="1"/>
  <c r="AA96" i="6" s="1"/>
  <c r="K98" i="6"/>
  <c r="K100" i="6"/>
  <c r="U100" i="6"/>
  <c r="X100" i="6" s="1"/>
  <c r="Y100" i="6" s="1"/>
  <c r="U96" i="6"/>
  <c r="X96" i="6" s="1"/>
  <c r="Y96" i="6" s="1"/>
  <c r="V99" i="6"/>
  <c r="Z99" i="6" s="1"/>
  <c r="AA99" i="6" s="1"/>
  <c r="V95" i="6"/>
  <c r="Z95" i="6" s="1"/>
  <c r="AA95" i="6" s="1"/>
  <c r="U99" i="6"/>
  <c r="X99" i="6" s="1"/>
  <c r="Y99" i="6" s="1"/>
  <c r="U95" i="6"/>
  <c r="X95" i="6" s="1"/>
  <c r="Y95" i="6" s="1"/>
  <c r="U98" i="6"/>
  <c r="X98" i="6" s="1"/>
  <c r="Y98" i="6" s="1"/>
  <c r="V98" i="6"/>
  <c r="Z98" i="6" s="1"/>
  <c r="AA98" i="6" s="1"/>
  <c r="V97" i="6"/>
  <c r="Z97" i="6" s="1"/>
  <c r="AA97" i="6" s="1"/>
  <c r="K99" i="6"/>
  <c r="U97" i="6"/>
  <c r="X97" i="6" s="1"/>
  <c r="Y97" i="6" s="1"/>
  <c r="V63" i="6"/>
  <c r="V64" i="6" s="1"/>
  <c r="V61" i="6"/>
  <c r="V62" i="6" s="1"/>
  <c r="U63" i="6"/>
  <c r="U64" i="6" s="1"/>
  <c r="U61" i="6"/>
  <c r="U62" i="6" s="1"/>
  <c r="U59" i="6"/>
  <c r="U60" i="6" s="1"/>
  <c r="V59" i="6"/>
  <c r="V60" i="6" s="1"/>
  <c r="P65" i="6"/>
  <c r="P61" i="6"/>
  <c r="J61" i="6"/>
  <c r="L66" i="6"/>
  <c r="L69" i="6"/>
  <c r="P62" i="6"/>
  <c r="P66" i="6"/>
  <c r="P60" i="6"/>
  <c r="J64" i="6"/>
  <c r="P68" i="6"/>
  <c r="P63" i="6"/>
  <c r="P59" i="6"/>
  <c r="L67" i="6"/>
  <c r="J59" i="6"/>
  <c r="P69" i="6"/>
  <c r="J62" i="6"/>
  <c r="J60" i="6"/>
  <c r="P67" i="6"/>
  <c r="P64" i="6"/>
  <c r="L70" i="6"/>
  <c r="L68" i="6"/>
  <c r="P70" i="6"/>
  <c r="J63" i="6"/>
  <c r="L65" i="6"/>
  <c r="K66" i="6"/>
  <c r="K69" i="6"/>
  <c r="U45" i="6"/>
  <c r="U46" i="6" s="1"/>
  <c r="K61" i="6"/>
  <c r="K67" i="6"/>
  <c r="K63" i="6"/>
  <c r="K64" i="6"/>
  <c r="K70" i="6"/>
  <c r="K62" i="6"/>
  <c r="K60" i="6"/>
  <c r="V45" i="6"/>
  <c r="V46" i="6" s="1"/>
  <c r="K68" i="6"/>
  <c r="K65" i="6"/>
  <c r="K59" i="6"/>
  <c r="V41" i="6"/>
  <c r="V42" i="6" s="1"/>
  <c r="V43" i="6"/>
  <c r="V44" i="6" s="1"/>
  <c r="U41" i="6"/>
  <c r="U42" i="6" s="1"/>
  <c r="U43" i="6"/>
  <c r="P50" i="6"/>
  <c r="J44" i="6"/>
  <c r="J45" i="6"/>
  <c r="J43" i="6"/>
  <c r="J46" i="6"/>
  <c r="J41" i="6"/>
  <c r="J42" i="6"/>
  <c r="K54" i="6"/>
  <c r="K44" i="6"/>
  <c r="K55" i="6"/>
  <c r="K56" i="6" s="1"/>
  <c r="K45" i="6"/>
  <c r="K47" i="6"/>
  <c r="K48" i="6" s="1"/>
  <c r="K58" i="6"/>
  <c r="K46" i="6"/>
  <c r="K43" i="6"/>
  <c r="K41" i="6"/>
  <c r="K51" i="6"/>
  <c r="K52" i="6" s="1"/>
  <c r="K50" i="6"/>
  <c r="K42" i="6"/>
  <c r="L98" i="6"/>
  <c r="L99" i="6"/>
  <c r="L100" i="6"/>
  <c r="P22" i="6"/>
  <c r="P14" i="6"/>
  <c r="L18" i="6"/>
  <c r="L22" i="6"/>
  <c r="L20" i="6"/>
  <c r="P21" i="6"/>
  <c r="L14" i="6"/>
  <c r="P18" i="6"/>
  <c r="L17" i="6"/>
  <c r="P20" i="6"/>
  <c r="L15" i="6"/>
  <c r="L19" i="6"/>
  <c r="P19" i="6"/>
  <c r="L16" i="6"/>
  <c r="P17" i="6"/>
  <c r="L21" i="6"/>
  <c r="P16" i="6"/>
  <c r="P15" i="6"/>
  <c r="V17" i="6"/>
  <c r="K15" i="6"/>
  <c r="K19" i="6"/>
  <c r="K17" i="6"/>
  <c r="U20" i="6"/>
  <c r="K14" i="6"/>
  <c r="V20" i="6"/>
  <c r="K16" i="6"/>
  <c r="K20" i="6"/>
  <c r="K21" i="6"/>
  <c r="V14" i="6"/>
  <c r="U14" i="6"/>
  <c r="K18" i="6"/>
  <c r="K22" i="6"/>
  <c r="V38" i="6"/>
  <c r="K37" i="6"/>
  <c r="U29" i="6"/>
  <c r="K29" i="6"/>
  <c r="V35" i="6"/>
  <c r="K38" i="6"/>
  <c r="U23" i="6"/>
  <c r="K27" i="6"/>
  <c r="K31" i="6"/>
  <c r="K34" i="6"/>
  <c r="K25" i="6"/>
  <c r="V32" i="6"/>
  <c r="K39" i="6"/>
  <c r="V29" i="6"/>
  <c r="K23" i="6"/>
  <c r="U38" i="6"/>
  <c r="K40" i="6"/>
  <c r="V26" i="6"/>
  <c r="K24" i="6"/>
  <c r="K28" i="6"/>
  <c r="K26" i="6"/>
  <c r="U32" i="6"/>
  <c r="K33" i="6"/>
  <c r="K32" i="6"/>
  <c r="V23" i="6"/>
  <c r="K30" i="6"/>
  <c r="K35" i="6"/>
  <c r="K36" i="6"/>
  <c r="P39" i="6"/>
  <c r="P26" i="6"/>
  <c r="L36" i="6"/>
  <c r="J27" i="6"/>
  <c r="J31" i="6"/>
  <c r="P29" i="6"/>
  <c r="P40" i="6"/>
  <c r="P33" i="6"/>
  <c r="L37" i="6"/>
  <c r="L35" i="6"/>
  <c r="P35" i="6"/>
  <c r="P34" i="6"/>
  <c r="L38" i="6"/>
  <c r="J24" i="6"/>
  <c r="J28" i="6"/>
  <c r="L32" i="6"/>
  <c r="P27" i="6"/>
  <c r="P32" i="6"/>
  <c r="L39" i="6"/>
  <c r="J23" i="6"/>
  <c r="L33" i="6"/>
  <c r="P28" i="6"/>
  <c r="L40" i="6"/>
  <c r="J25" i="6"/>
  <c r="J29" i="6"/>
  <c r="P36" i="6"/>
  <c r="P24" i="6"/>
  <c r="P37" i="6"/>
  <c r="P30" i="6"/>
  <c r="L34" i="6"/>
  <c r="P25" i="6"/>
  <c r="J26" i="6"/>
  <c r="J30" i="6"/>
  <c r="P38" i="6"/>
  <c r="P31" i="6"/>
  <c r="P23" i="6"/>
  <c r="J11" i="6"/>
  <c r="J7" i="6"/>
  <c r="J10" i="6"/>
  <c r="J6" i="6"/>
  <c r="J13" i="6"/>
  <c r="J9" i="6"/>
  <c r="J5" i="6"/>
  <c r="J12" i="6"/>
  <c r="J8" i="6"/>
  <c r="P7" i="6"/>
  <c r="P13" i="6"/>
  <c r="P6" i="6"/>
  <c r="P12" i="6"/>
  <c r="P5" i="6"/>
  <c r="P11" i="6"/>
  <c r="P10" i="6"/>
  <c r="P8" i="6"/>
  <c r="P9" i="6"/>
  <c r="V5" i="6"/>
  <c r="Z5" i="6" s="1"/>
  <c r="K7" i="6"/>
  <c r="K11" i="6"/>
  <c r="V8" i="6"/>
  <c r="U5" i="6"/>
  <c r="K10" i="6"/>
  <c r="K6" i="6"/>
  <c r="K5" i="6"/>
  <c r="K13" i="6"/>
  <c r="K9" i="6"/>
  <c r="U11" i="6"/>
  <c r="K12" i="6"/>
  <c r="K8" i="6"/>
  <c r="V11" i="6"/>
  <c r="R25" i="78"/>
  <c r="P51" i="6" l="1"/>
  <c r="P48" i="6"/>
  <c r="P52" i="6" s="1"/>
  <c r="U52" i="6"/>
  <c r="U44" i="6"/>
  <c r="U50" i="6" s="1"/>
  <c r="X50" i="6" s="1"/>
  <c r="Y50" i="6" s="1"/>
  <c r="U49" i="6"/>
  <c r="X49" i="6" s="1"/>
  <c r="Y49" i="6" s="1"/>
  <c r="AB96" i="6"/>
  <c r="AG73" i="6"/>
  <c r="AG79" i="6"/>
  <c r="AG78" i="6" s="1"/>
  <c r="AG77" i="6" s="1"/>
  <c r="AG84" i="6"/>
  <c r="AG91" i="6"/>
  <c r="AG90" i="6" s="1"/>
  <c r="AG89" i="6" s="1"/>
  <c r="AG93" i="6"/>
  <c r="AG92" i="6" s="1"/>
  <c r="AG88" i="6" s="1"/>
  <c r="AG87" i="6" s="1"/>
  <c r="AG86" i="6" s="1"/>
  <c r="AG76" i="6"/>
  <c r="AG75" i="6" s="1"/>
  <c r="AG74" i="6" s="1"/>
  <c r="AG82" i="6"/>
  <c r="AG81" i="6" s="1"/>
  <c r="AG80" i="6" s="1"/>
  <c r="V87" i="6"/>
  <c r="Z87" i="6" s="1"/>
  <c r="AA84" i="6"/>
  <c r="P93" i="6"/>
  <c r="U88" i="6"/>
  <c r="X88" i="6" s="1"/>
  <c r="Y85" i="6"/>
  <c r="U87" i="6"/>
  <c r="X87" i="6" s="1"/>
  <c r="Y84" i="6"/>
  <c r="P87" i="6"/>
  <c r="U86" i="6"/>
  <c r="X86" i="6" s="1"/>
  <c r="Y83" i="6"/>
  <c r="P90" i="6"/>
  <c r="V88" i="6"/>
  <c r="Z88" i="6" s="1"/>
  <c r="AA85" i="6"/>
  <c r="V86" i="6"/>
  <c r="Z86" i="6" s="1"/>
  <c r="AA83" i="6"/>
  <c r="P84" i="6"/>
  <c r="Y71" i="6"/>
  <c r="U74" i="6"/>
  <c r="X74" i="6" s="1"/>
  <c r="P75" i="6"/>
  <c r="AA72" i="6"/>
  <c r="V75" i="6"/>
  <c r="Z75" i="6" s="1"/>
  <c r="P78" i="6"/>
  <c r="Y72" i="6"/>
  <c r="U75" i="6"/>
  <c r="X75" i="6" s="1"/>
  <c r="AA73" i="6"/>
  <c r="V76" i="6"/>
  <c r="Z76" i="6" s="1"/>
  <c r="AA71" i="6"/>
  <c r="V74" i="6"/>
  <c r="Z74" i="6" s="1"/>
  <c r="Y73" i="6"/>
  <c r="U76" i="6"/>
  <c r="X76" i="6" s="1"/>
  <c r="AB95" i="6"/>
  <c r="AB97" i="6"/>
  <c r="AB100" i="6"/>
  <c r="AB98" i="6"/>
  <c r="AB99" i="6"/>
  <c r="V65" i="6"/>
  <c r="Z65" i="6" s="1"/>
  <c r="AA65" i="6" s="1"/>
  <c r="Z59" i="6"/>
  <c r="AA59" i="6" s="1"/>
  <c r="X59" i="6"/>
  <c r="Y59" i="6" s="1"/>
  <c r="U65" i="6"/>
  <c r="X65" i="6" s="1"/>
  <c r="Y65" i="6" s="1"/>
  <c r="U67" i="6"/>
  <c r="X67" i="6" s="1"/>
  <c r="Y67" i="6" s="1"/>
  <c r="X61" i="6"/>
  <c r="Y61" i="6" s="1"/>
  <c r="Z61" i="6"/>
  <c r="AA61" i="6" s="1"/>
  <c r="V67" i="6"/>
  <c r="Z67" i="6" s="1"/>
  <c r="AA67" i="6" s="1"/>
  <c r="U69" i="6"/>
  <c r="X69" i="6" s="1"/>
  <c r="Y69" i="6" s="1"/>
  <c r="X63" i="6"/>
  <c r="Y63" i="6" s="1"/>
  <c r="V69" i="6"/>
  <c r="Z69" i="6" s="1"/>
  <c r="AA69" i="6" s="1"/>
  <c r="Z63" i="6"/>
  <c r="AA63" i="6" s="1"/>
  <c r="X45" i="6"/>
  <c r="Y45" i="6" s="1"/>
  <c r="U55" i="6"/>
  <c r="X43" i="6"/>
  <c r="Y43" i="6" s="1"/>
  <c r="U51" i="6"/>
  <c r="X51" i="6" s="1"/>
  <c r="Y51" i="6" s="1"/>
  <c r="V55" i="6"/>
  <c r="Z45" i="6"/>
  <c r="AA45" i="6" s="1"/>
  <c r="U47" i="6"/>
  <c r="X41" i="6"/>
  <c r="Y41" i="6" s="1"/>
  <c r="Z43" i="6"/>
  <c r="AA43" i="6" s="1"/>
  <c r="V51" i="6"/>
  <c r="V47" i="6"/>
  <c r="Z41" i="6"/>
  <c r="AA41" i="6" s="1"/>
  <c r="U21" i="6"/>
  <c r="X20" i="6"/>
  <c r="Y20" i="6" s="1"/>
  <c r="U15" i="6"/>
  <c r="X14" i="6"/>
  <c r="Y14" i="6" s="1"/>
  <c r="V15" i="6"/>
  <c r="Z14" i="6"/>
  <c r="AA14" i="6" s="1"/>
  <c r="V18" i="6"/>
  <c r="Z17" i="6"/>
  <c r="AA17" i="6" s="1"/>
  <c r="Z20" i="6"/>
  <c r="AA20" i="6" s="1"/>
  <c r="V21" i="6"/>
  <c r="X23" i="6"/>
  <c r="Y23" i="6" s="1"/>
  <c r="U24" i="6"/>
  <c r="X32" i="6"/>
  <c r="Y32" i="6" s="1"/>
  <c r="U33" i="6"/>
  <c r="Z29" i="6"/>
  <c r="AA29" i="6" s="1"/>
  <c r="V30" i="6"/>
  <c r="U39" i="6"/>
  <c r="X38" i="6"/>
  <c r="Y38" i="6" s="1"/>
  <c r="Z35" i="6"/>
  <c r="AA35" i="6" s="1"/>
  <c r="V36" i="6"/>
  <c r="Z32" i="6"/>
  <c r="AA32" i="6" s="1"/>
  <c r="V33" i="6"/>
  <c r="U30" i="6"/>
  <c r="X29" i="6"/>
  <c r="Y29" i="6" s="1"/>
  <c r="V27" i="6"/>
  <c r="Z26" i="6"/>
  <c r="AA26" i="6" s="1"/>
  <c r="V24" i="6"/>
  <c r="Z23" i="6"/>
  <c r="AA23" i="6" s="1"/>
  <c r="V39" i="6"/>
  <c r="Z38" i="6"/>
  <c r="AA38" i="6" s="1"/>
  <c r="U12" i="6"/>
  <c r="X11" i="6"/>
  <c r="Y11" i="6" s="1"/>
  <c r="Z11" i="6"/>
  <c r="AA11" i="6" s="1"/>
  <c r="V12" i="6"/>
  <c r="X5" i="6"/>
  <c r="Y5" i="6" s="1"/>
  <c r="U6" i="6"/>
  <c r="AA5" i="6"/>
  <c r="V6" i="6"/>
  <c r="Z8" i="6"/>
  <c r="AA8" i="6" s="1"/>
  <c r="V9" i="6"/>
  <c r="C24" i="78"/>
  <c r="C23" i="78"/>
  <c r="F29" i="78"/>
  <c r="H28" i="78" s="1"/>
  <c r="R16" i="78"/>
  <c r="AB84" i="6" l="1"/>
  <c r="V52" i="6"/>
  <c r="Z51" i="6"/>
  <c r="AA51" i="6" s="1"/>
  <c r="AB51" i="6" s="1"/>
  <c r="U56" i="6"/>
  <c r="X55" i="6"/>
  <c r="Y55" i="6" s="1"/>
  <c r="Z47" i="6"/>
  <c r="AA47" i="6" s="1"/>
  <c r="V48" i="6"/>
  <c r="V49" i="6" s="1"/>
  <c r="Z49" i="6" s="1"/>
  <c r="AA49" i="6" s="1"/>
  <c r="AB49" i="6" s="1"/>
  <c r="X47" i="6"/>
  <c r="Y47" i="6" s="1"/>
  <c r="U48" i="6"/>
  <c r="X48" i="6" s="1"/>
  <c r="Y48" i="6" s="1"/>
  <c r="Z55" i="6"/>
  <c r="AA55" i="6" s="1"/>
  <c r="V56" i="6"/>
  <c r="AB67" i="6"/>
  <c r="X52" i="6"/>
  <c r="Y52" i="6" s="1"/>
  <c r="U53" i="6"/>
  <c r="X53" i="6" s="1"/>
  <c r="Y53" i="6" s="1"/>
  <c r="AB63" i="6"/>
  <c r="AB41" i="6"/>
  <c r="AB69" i="6"/>
  <c r="AB65" i="6"/>
  <c r="AB45" i="6"/>
  <c r="AB59" i="6"/>
  <c r="AB43" i="6"/>
  <c r="AB61" i="6"/>
  <c r="AB11" i="6"/>
  <c r="AB29" i="6"/>
  <c r="AB32" i="6"/>
  <c r="AB14" i="6"/>
  <c r="AB23" i="6"/>
  <c r="AB5" i="6"/>
  <c r="AB38" i="6"/>
  <c r="AB20" i="6"/>
  <c r="AG72" i="6"/>
  <c r="AG83" i="6"/>
  <c r="AG71" i="6" s="1"/>
  <c r="AB72" i="6"/>
  <c r="AB85" i="6"/>
  <c r="AB83" i="6"/>
  <c r="AB73" i="6"/>
  <c r="AG109" i="6"/>
  <c r="AG108" i="6" s="1"/>
  <c r="AG107" i="6" s="1"/>
  <c r="AG106" i="6" s="1"/>
  <c r="AG105" i="6" s="1"/>
  <c r="AG104" i="6" s="1"/>
  <c r="Y25" i="78" s="1"/>
  <c r="AG103" i="6"/>
  <c r="AG102" i="6" s="1"/>
  <c r="AG101" i="6" s="1"/>
  <c r="AF106" i="6"/>
  <c r="AF104" i="6"/>
  <c r="AF107" i="6"/>
  <c r="AF108" i="6"/>
  <c r="AF109" i="6"/>
  <c r="AF105" i="6"/>
  <c r="AF103" i="6"/>
  <c r="AF102" i="6"/>
  <c r="AF101" i="6"/>
  <c r="X25" i="78" s="1"/>
  <c r="AE104" i="6"/>
  <c r="AE109" i="6"/>
  <c r="AE107" i="6"/>
  <c r="AE106" i="6"/>
  <c r="AE108" i="6"/>
  <c r="AE105" i="6"/>
  <c r="AE102" i="6"/>
  <c r="AE103" i="6"/>
  <c r="AE101" i="6"/>
  <c r="W25" i="78" s="1"/>
  <c r="U91" i="6"/>
  <c r="X91" i="6" s="1"/>
  <c r="Y88" i="6"/>
  <c r="U89" i="6"/>
  <c r="X89" i="6" s="1"/>
  <c r="Y86" i="6"/>
  <c r="V91" i="6"/>
  <c r="Z91" i="6" s="1"/>
  <c r="AA88" i="6"/>
  <c r="U90" i="6"/>
  <c r="X90" i="6" s="1"/>
  <c r="Y87" i="6"/>
  <c r="V89" i="6"/>
  <c r="Z89" i="6" s="1"/>
  <c r="AA86" i="6"/>
  <c r="V90" i="6"/>
  <c r="Z90" i="6" s="1"/>
  <c r="AA87" i="6"/>
  <c r="Y76" i="6"/>
  <c r="U79" i="6"/>
  <c r="X79" i="6" s="1"/>
  <c r="AA75" i="6"/>
  <c r="V78" i="6"/>
  <c r="Z78" i="6" s="1"/>
  <c r="AA76" i="6"/>
  <c r="V79" i="6"/>
  <c r="Z79" i="6" s="1"/>
  <c r="AA74" i="6"/>
  <c r="V77" i="6"/>
  <c r="Z77" i="6" s="1"/>
  <c r="Y75" i="6"/>
  <c r="U78" i="6"/>
  <c r="X78" i="6" s="1"/>
  <c r="Y74" i="6"/>
  <c r="U77" i="6"/>
  <c r="X77" i="6" s="1"/>
  <c r="AB71" i="6"/>
  <c r="V109" i="6"/>
  <c r="Z109" i="6" s="1"/>
  <c r="AA109" i="6" s="1"/>
  <c r="U109" i="6"/>
  <c r="X109" i="6" s="1"/>
  <c r="Y109" i="6" s="1"/>
  <c r="U103" i="6"/>
  <c r="X103" i="6" s="1"/>
  <c r="Y103" i="6" s="1"/>
  <c r="U101" i="6"/>
  <c r="X101" i="6" s="1"/>
  <c r="Y101" i="6" s="1"/>
  <c r="V108" i="6"/>
  <c r="Z108" i="6" s="1"/>
  <c r="AA108" i="6" s="1"/>
  <c r="U108" i="6"/>
  <c r="X108" i="6" s="1"/>
  <c r="Y108" i="6" s="1"/>
  <c r="V107" i="6"/>
  <c r="Z107" i="6" s="1"/>
  <c r="AA107" i="6" s="1"/>
  <c r="U106" i="6"/>
  <c r="X106" i="6" s="1"/>
  <c r="Y106" i="6" s="1"/>
  <c r="U104" i="6"/>
  <c r="X104" i="6" s="1"/>
  <c r="Y104" i="6" s="1"/>
  <c r="U102" i="6"/>
  <c r="X102" i="6" s="1"/>
  <c r="Y102" i="6" s="1"/>
  <c r="U107" i="6"/>
  <c r="X107" i="6" s="1"/>
  <c r="Y107" i="6" s="1"/>
  <c r="U105" i="6"/>
  <c r="X105" i="6" s="1"/>
  <c r="Y105" i="6" s="1"/>
  <c r="Z18" i="6"/>
  <c r="AA18" i="6" s="1"/>
  <c r="V19" i="6"/>
  <c r="Z19" i="6" s="1"/>
  <c r="AA19" i="6" s="1"/>
  <c r="U16" i="6"/>
  <c r="X15" i="6"/>
  <c r="Y15" i="6" s="1"/>
  <c r="U22" i="6"/>
  <c r="X22" i="6" s="1"/>
  <c r="Y22" i="6" s="1"/>
  <c r="X21" i="6"/>
  <c r="Y21" i="6" s="1"/>
  <c r="Z15" i="6"/>
  <c r="AA15" i="6" s="1"/>
  <c r="V16" i="6"/>
  <c r="Z16" i="6" s="1"/>
  <c r="AA16" i="6" s="1"/>
  <c r="Z21" i="6"/>
  <c r="AA21" i="6" s="1"/>
  <c r="V22" i="6"/>
  <c r="Z22" i="6" s="1"/>
  <c r="AA22" i="6" s="1"/>
  <c r="Z30" i="6"/>
  <c r="AA30" i="6" s="1"/>
  <c r="V31" i="6"/>
  <c r="Z31" i="6" s="1"/>
  <c r="AA31" i="6" s="1"/>
  <c r="X39" i="6"/>
  <c r="Y39" i="6" s="1"/>
  <c r="U40" i="6"/>
  <c r="X40" i="6" s="1"/>
  <c r="Y40" i="6" s="1"/>
  <c r="X30" i="6"/>
  <c r="Y30" i="6" s="1"/>
  <c r="U31" i="6"/>
  <c r="X31" i="6" s="1"/>
  <c r="Y31" i="6" s="1"/>
  <c r="V34" i="6"/>
  <c r="Z34" i="6" s="1"/>
  <c r="AA34" i="6" s="1"/>
  <c r="Z33" i="6"/>
  <c r="AA33" i="6" s="1"/>
  <c r="U34" i="6"/>
  <c r="X33" i="6"/>
  <c r="Y33" i="6" s="1"/>
  <c r="Z39" i="6"/>
  <c r="AA39" i="6" s="1"/>
  <c r="V40" i="6"/>
  <c r="Z40" i="6" s="1"/>
  <c r="AA40" i="6" s="1"/>
  <c r="V28" i="6"/>
  <c r="Z28" i="6" s="1"/>
  <c r="AA28" i="6" s="1"/>
  <c r="Z27" i="6"/>
  <c r="AA27" i="6" s="1"/>
  <c r="Z36" i="6"/>
  <c r="AA36" i="6" s="1"/>
  <c r="V37" i="6"/>
  <c r="Z37" i="6" s="1"/>
  <c r="AA37" i="6" s="1"/>
  <c r="U25" i="6"/>
  <c r="X24" i="6"/>
  <c r="Y24" i="6" s="1"/>
  <c r="Z24" i="6"/>
  <c r="AA24" i="6" s="1"/>
  <c r="V25" i="6"/>
  <c r="Z25" i="6" s="1"/>
  <c r="AA25" i="6" s="1"/>
  <c r="Z6" i="6"/>
  <c r="AA6" i="6" s="1"/>
  <c r="V7" i="6"/>
  <c r="Z7" i="6" s="1"/>
  <c r="AA7" i="6" s="1"/>
  <c r="X6" i="6"/>
  <c r="Y6" i="6" s="1"/>
  <c r="U7" i="6"/>
  <c r="Z12" i="6"/>
  <c r="AA12" i="6" s="1"/>
  <c r="V13" i="6"/>
  <c r="Z13" i="6" s="1"/>
  <c r="AA13" i="6" s="1"/>
  <c r="Z9" i="6"/>
  <c r="AA9" i="6" s="1"/>
  <c r="V10" i="6"/>
  <c r="Z10" i="6" s="1"/>
  <c r="AA10" i="6" s="1"/>
  <c r="U13" i="6"/>
  <c r="X13" i="6" s="1"/>
  <c r="Y13" i="6" s="1"/>
  <c r="X12" i="6"/>
  <c r="Y12" i="6" s="1"/>
  <c r="J104" i="6"/>
  <c r="J102" i="6"/>
  <c r="P106" i="6"/>
  <c r="J106" i="6"/>
  <c r="P105" i="6"/>
  <c r="L108" i="6"/>
  <c r="P108" i="6"/>
  <c r="J103" i="6"/>
  <c r="P104" i="6"/>
  <c r="J105" i="6"/>
  <c r="L107" i="6"/>
  <c r="P109" i="6"/>
  <c r="L109" i="6"/>
  <c r="P107" i="6"/>
  <c r="K104" i="6"/>
  <c r="V103" i="6"/>
  <c r="K107" i="6"/>
  <c r="V105" i="6"/>
  <c r="K102" i="6"/>
  <c r="V102" i="6"/>
  <c r="V101" i="6"/>
  <c r="Z101" i="6" s="1"/>
  <c r="AA101" i="6" s="1"/>
  <c r="K103" i="6"/>
  <c r="K109" i="6"/>
  <c r="K108" i="6"/>
  <c r="P102" i="6"/>
  <c r="V106" i="6"/>
  <c r="K105" i="6"/>
  <c r="V104" i="6"/>
  <c r="K106" i="6"/>
  <c r="K101" i="6"/>
  <c r="P101" i="6"/>
  <c r="J101" i="6"/>
  <c r="F1" i="78"/>
  <c r="F1" i="74"/>
  <c r="S25" i="78" l="1"/>
  <c r="C32" i="78" s="1"/>
  <c r="AB47" i="6"/>
  <c r="Z48" i="6"/>
  <c r="AA48" i="6" s="1"/>
  <c r="AB48" i="6" s="1"/>
  <c r="Z56" i="6"/>
  <c r="AA56" i="6" s="1"/>
  <c r="V57" i="6"/>
  <c r="Z57" i="6" s="1"/>
  <c r="AA57" i="6" s="1"/>
  <c r="AB55" i="6"/>
  <c r="U57" i="6"/>
  <c r="X57" i="6" s="1"/>
  <c r="Y57" i="6" s="1"/>
  <c r="X56" i="6"/>
  <c r="Y56" i="6" s="1"/>
  <c r="V53" i="6"/>
  <c r="Z53" i="6" s="1"/>
  <c r="AA53" i="6" s="1"/>
  <c r="AB53" i="6" s="1"/>
  <c r="Z52" i="6"/>
  <c r="AA52" i="6" s="1"/>
  <c r="AB52" i="6" s="1"/>
  <c r="AB109" i="6"/>
  <c r="AB107" i="6"/>
  <c r="AB15" i="6"/>
  <c r="AB108" i="6"/>
  <c r="AB33" i="6"/>
  <c r="AB6" i="6"/>
  <c r="AB22" i="6"/>
  <c r="AB39" i="6"/>
  <c r="AB12" i="6"/>
  <c r="AB31" i="6"/>
  <c r="AB13" i="6"/>
  <c r="AB30" i="6"/>
  <c r="AB24" i="6"/>
  <c r="AB40" i="6"/>
  <c r="AB21" i="6"/>
  <c r="AB87" i="6"/>
  <c r="AB75" i="6"/>
  <c r="AB88" i="6"/>
  <c r="AB74" i="6"/>
  <c r="AB76" i="6"/>
  <c r="AB86" i="6"/>
  <c r="V94" i="6"/>
  <c r="AA91" i="6"/>
  <c r="U93" i="6"/>
  <c r="Y90" i="6"/>
  <c r="V93" i="6"/>
  <c r="AA90" i="6"/>
  <c r="U92" i="6"/>
  <c r="Y89" i="6"/>
  <c r="V92" i="6"/>
  <c r="AA89" i="6"/>
  <c r="U94" i="6"/>
  <c r="Y91" i="6"/>
  <c r="AA77" i="6"/>
  <c r="V80" i="6"/>
  <c r="Y77" i="6"/>
  <c r="U80" i="6"/>
  <c r="AA78" i="6"/>
  <c r="V81" i="6"/>
  <c r="Y78" i="6"/>
  <c r="U81" i="6"/>
  <c r="U82" i="6"/>
  <c r="Y79" i="6"/>
  <c r="AA79" i="6"/>
  <c r="V82" i="6"/>
  <c r="AB101" i="6"/>
  <c r="X60" i="6"/>
  <c r="Y60" i="6" s="1"/>
  <c r="U66" i="6"/>
  <c r="X66" i="6" s="1"/>
  <c r="Y66" i="6" s="1"/>
  <c r="Z60" i="6"/>
  <c r="AA60" i="6" s="1"/>
  <c r="V66" i="6"/>
  <c r="Z66" i="6" s="1"/>
  <c r="AA66" i="6" s="1"/>
  <c r="Z62" i="6"/>
  <c r="AA62" i="6" s="1"/>
  <c r="V68" i="6"/>
  <c r="Z68" i="6" s="1"/>
  <c r="AA68" i="6" s="1"/>
  <c r="U68" i="6"/>
  <c r="X68" i="6" s="1"/>
  <c r="Y68" i="6" s="1"/>
  <c r="X62" i="6"/>
  <c r="Y62" i="6" s="1"/>
  <c r="V70" i="6"/>
  <c r="Z70" i="6" s="1"/>
  <c r="AA70" i="6" s="1"/>
  <c r="Z64" i="6"/>
  <c r="AA64" i="6" s="1"/>
  <c r="X64" i="6"/>
  <c r="Y64" i="6" s="1"/>
  <c r="U70" i="6"/>
  <c r="X70" i="6" s="1"/>
  <c r="Y70" i="6" s="1"/>
  <c r="V58" i="6"/>
  <c r="Z58" i="6" s="1"/>
  <c r="AA58" i="6" s="1"/>
  <c r="Z46" i="6"/>
  <c r="AA46" i="6" s="1"/>
  <c r="V50" i="6"/>
  <c r="Z50" i="6" s="1"/>
  <c r="AA50" i="6" s="1"/>
  <c r="AB50" i="6" s="1"/>
  <c r="Z42" i="6"/>
  <c r="AA42" i="6" s="1"/>
  <c r="U54" i="6"/>
  <c r="X54" i="6" s="1"/>
  <c r="Y54" i="6" s="1"/>
  <c r="X44" i="6"/>
  <c r="Y44" i="6" s="1"/>
  <c r="V54" i="6"/>
  <c r="Z54" i="6" s="1"/>
  <c r="AA54" i="6" s="1"/>
  <c r="Z44" i="6"/>
  <c r="AA44" i="6" s="1"/>
  <c r="X42" i="6"/>
  <c r="Y42" i="6" s="1"/>
  <c r="X46" i="6"/>
  <c r="Y46" i="6" s="1"/>
  <c r="U58" i="6"/>
  <c r="X58" i="6" s="1"/>
  <c r="Y58" i="6" s="1"/>
  <c r="Z103" i="6"/>
  <c r="AA103" i="6" s="1"/>
  <c r="AB103" i="6" s="1"/>
  <c r="Z102" i="6"/>
  <c r="AA102" i="6" s="1"/>
  <c r="AB102" i="6" s="1"/>
  <c r="Z104" i="6"/>
  <c r="AA104" i="6" s="1"/>
  <c r="AB104" i="6" s="1"/>
  <c r="Z105" i="6"/>
  <c r="AA105" i="6" s="1"/>
  <c r="AB105" i="6" s="1"/>
  <c r="Z106" i="6"/>
  <c r="AA106" i="6" s="1"/>
  <c r="AB106" i="6" s="1"/>
  <c r="X16" i="6"/>
  <c r="Y16" i="6" s="1"/>
  <c r="AB16" i="6" s="1"/>
  <c r="U17" i="6"/>
  <c r="X25" i="6"/>
  <c r="Y25" i="6" s="1"/>
  <c r="AB25" i="6" s="1"/>
  <c r="U26" i="6"/>
  <c r="U35" i="6"/>
  <c r="X34" i="6"/>
  <c r="Y34" i="6" s="1"/>
  <c r="AB34" i="6" s="1"/>
  <c r="X7" i="6"/>
  <c r="Y7" i="6" s="1"/>
  <c r="AB7" i="6" s="1"/>
  <c r="U8" i="6"/>
  <c r="N24" i="75"/>
  <c r="P25" i="1"/>
  <c r="AB54" i="6" l="1"/>
  <c r="AB56" i="6"/>
  <c r="AB57" i="6"/>
  <c r="AB64" i="6"/>
  <c r="AB60" i="6"/>
  <c r="AB42" i="6"/>
  <c r="AB70" i="6"/>
  <c r="AB44" i="6"/>
  <c r="AB66" i="6"/>
  <c r="AB62" i="6"/>
  <c r="AB58" i="6"/>
  <c r="AB46" i="6"/>
  <c r="AB68" i="6"/>
  <c r="Z82" i="6"/>
  <c r="AA82" i="6" s="1"/>
  <c r="X80" i="6"/>
  <c r="Y80" i="6" s="1"/>
  <c r="Z81" i="6"/>
  <c r="AA81" i="6" s="1"/>
  <c r="Z94" i="6"/>
  <c r="AA94" i="6" s="1"/>
  <c r="X92" i="6"/>
  <c r="Y92" i="6" s="1"/>
  <c r="Z80" i="6"/>
  <c r="AA80" i="6" s="1"/>
  <c r="Z93" i="6"/>
  <c r="AA93" i="6" s="1"/>
  <c r="X82" i="6"/>
  <c r="Y82" i="6" s="1"/>
  <c r="X81" i="6"/>
  <c r="Y81" i="6" s="1"/>
  <c r="Z92" i="6"/>
  <c r="AA92" i="6" s="1"/>
  <c r="AB78" i="6"/>
  <c r="X94" i="6"/>
  <c r="Y94" i="6" s="1"/>
  <c r="X93" i="6"/>
  <c r="Y93" i="6" s="1"/>
  <c r="AB77" i="6"/>
  <c r="AB91" i="6"/>
  <c r="AB90" i="6"/>
  <c r="AB89" i="6"/>
  <c r="AB79" i="6"/>
  <c r="U18" i="6"/>
  <c r="X17" i="6"/>
  <c r="Y17" i="6" s="1"/>
  <c r="AB17" i="6" s="1"/>
  <c r="U36" i="6"/>
  <c r="X35" i="6"/>
  <c r="Y35" i="6" s="1"/>
  <c r="AB35" i="6" s="1"/>
  <c r="X26" i="6"/>
  <c r="Y26" i="6" s="1"/>
  <c r="AB26" i="6" s="1"/>
  <c r="U27" i="6"/>
  <c r="U9" i="6"/>
  <c r="X8" i="6"/>
  <c r="Y8" i="6" s="1"/>
  <c r="AB8" i="6" s="1"/>
  <c r="AB94" i="6" l="1"/>
  <c r="AB82" i="6"/>
  <c r="AB92" i="6"/>
  <c r="AB80" i="6"/>
  <c r="AB81" i="6"/>
  <c r="AB93" i="6"/>
  <c r="U19" i="6"/>
  <c r="X19" i="6" s="1"/>
  <c r="Y19" i="6" s="1"/>
  <c r="AB19" i="6" s="1"/>
  <c r="X18" i="6"/>
  <c r="Y18" i="6" s="1"/>
  <c r="AB18" i="6" s="1"/>
  <c r="X27" i="6"/>
  <c r="Y27" i="6" s="1"/>
  <c r="AB27" i="6" s="1"/>
  <c r="U28" i="6"/>
  <c r="X28" i="6" s="1"/>
  <c r="Y28" i="6" s="1"/>
  <c r="AB28" i="6" s="1"/>
  <c r="X36" i="6"/>
  <c r="Y36" i="6" s="1"/>
  <c r="AB36" i="6" s="1"/>
  <c r="U37" i="6"/>
  <c r="X37" i="6" s="1"/>
  <c r="Y37" i="6" s="1"/>
  <c r="AB37" i="6" s="1"/>
  <c r="X9" i="6"/>
  <c r="Y9" i="6" s="1"/>
  <c r="AB9" i="6" s="1"/>
  <c r="U10" i="6"/>
  <c r="X10" i="6" s="1"/>
  <c r="Y10" i="6" s="1"/>
  <c r="AB10" i="6" s="1"/>
  <c r="N25" i="61" l="1"/>
  <c r="M25" i="61"/>
  <c r="F17" i="75" l="1"/>
  <c r="F1" i="75" s="1"/>
  <c r="F28" i="75"/>
  <c r="Q24" i="75"/>
  <c r="R24" i="75"/>
  <c r="K17" i="75"/>
  <c r="V24" i="75" l="1"/>
  <c r="U24" i="75"/>
  <c r="C33" i="75" s="1"/>
  <c r="T24" i="75"/>
  <c r="S24" i="75"/>
  <c r="C31" i="75" s="1"/>
  <c r="H27" i="75"/>
  <c r="J97" i="6"/>
  <c r="J96" i="6"/>
  <c r="J95" i="6"/>
  <c r="K96" i="6"/>
  <c r="K97" i="6"/>
  <c r="K95" i="6"/>
  <c r="P98" i="6"/>
  <c r="P100" i="6"/>
  <c r="P99" i="6"/>
  <c r="P95" i="6"/>
  <c r="P96" i="6"/>
  <c r="P97" i="6"/>
  <c r="Q24" i="74"/>
  <c r="K17" i="74"/>
  <c r="M24" i="74"/>
  <c r="F28" i="74"/>
  <c r="H27" i="74" s="1"/>
  <c r="N24" i="74"/>
  <c r="R16" i="74"/>
  <c r="C32" i="75" l="1"/>
  <c r="R24" i="74"/>
  <c r="U24" i="74" l="1"/>
  <c r="C33" i="74" s="1"/>
  <c r="F33" i="74" s="1"/>
  <c r="T24" i="74"/>
  <c r="C32" i="74" s="1"/>
  <c r="S24" i="74"/>
  <c r="C31" i="74" s="1"/>
  <c r="W24" i="74"/>
  <c r="F13" i="74" s="1"/>
  <c r="AC26" i="78"/>
  <c r="AC25" i="78"/>
  <c r="Y25" i="75"/>
  <c r="Y24" i="75"/>
  <c r="Y24" i="74"/>
  <c r="Y25" i="74"/>
  <c r="T25" i="78"/>
  <c r="C33" i="78" s="1"/>
  <c r="F13" i="78"/>
  <c r="U25" i="78"/>
  <c r="C34" i="78" s="1"/>
  <c r="V25" i="78"/>
  <c r="AA25" i="78"/>
  <c r="W24" i="75"/>
  <c r="F13" i="75" s="1"/>
  <c r="F33" i="75"/>
  <c r="Z25" i="75" l="1"/>
  <c r="Z26" i="75" s="1"/>
  <c r="F72" i="75" s="1"/>
  <c r="Z25" i="74"/>
  <c r="Z26" i="74" s="1"/>
  <c r="F72" i="74" s="1"/>
  <c r="F31" i="75"/>
  <c r="C35" i="75" s="1"/>
  <c r="F31" i="74"/>
  <c r="F35" i="74" s="1"/>
  <c r="F11" i="74"/>
  <c r="C36" i="74"/>
  <c r="C36" i="75"/>
  <c r="F11" i="75"/>
  <c r="Q73" i="6" l="1"/>
  <c r="R73" i="6" s="1"/>
  <c r="Q74" i="6"/>
  <c r="R74" i="6" s="1"/>
  <c r="Q82" i="6"/>
  <c r="R82" i="6" s="1"/>
  <c r="Q90" i="6"/>
  <c r="R90" i="6" s="1"/>
  <c r="Q80" i="6"/>
  <c r="R80" i="6" s="1"/>
  <c r="Q75" i="6"/>
  <c r="R75" i="6" s="1"/>
  <c r="Q83" i="6"/>
  <c r="R83" i="6" s="1"/>
  <c r="Q91" i="6"/>
  <c r="R91" i="6" s="1"/>
  <c r="Q87" i="6"/>
  <c r="R87" i="6" s="1"/>
  <c r="Q89" i="6"/>
  <c r="R89" i="6" s="1"/>
  <c r="Q76" i="6"/>
  <c r="R76" i="6" s="1"/>
  <c r="Q84" i="6"/>
  <c r="R84" i="6" s="1"/>
  <c r="Q92" i="6"/>
  <c r="R92" i="6" s="1"/>
  <c r="Q94" i="6"/>
  <c r="R94" i="6" s="1"/>
  <c r="Q81" i="6"/>
  <c r="R81" i="6" s="1"/>
  <c r="Q77" i="6"/>
  <c r="R77" i="6" s="1"/>
  <c r="Q85" i="6"/>
  <c r="R85" i="6" s="1"/>
  <c r="Q93" i="6"/>
  <c r="R93" i="6" s="1"/>
  <c r="Q86" i="6"/>
  <c r="R86" i="6" s="1"/>
  <c r="Q88" i="6"/>
  <c r="R88" i="6" s="1"/>
  <c r="Q78" i="6"/>
  <c r="R78" i="6" s="1"/>
  <c r="Q79" i="6"/>
  <c r="R79" i="6" s="1"/>
  <c r="Q71" i="6"/>
  <c r="R71" i="6" s="1"/>
  <c r="Q72" i="6"/>
  <c r="R72" i="6" s="1"/>
  <c r="W25" i="74"/>
  <c r="X25" i="74" s="1"/>
  <c r="X26" i="74" s="1"/>
  <c r="F54" i="74" s="1"/>
  <c r="E14" i="74" s="1"/>
  <c r="F14" i="74"/>
  <c r="F10" i="75"/>
  <c r="F35" i="75"/>
  <c r="F14" i="75" s="1"/>
  <c r="F10" i="74"/>
  <c r="C35" i="74"/>
  <c r="F36" i="74" s="1"/>
  <c r="F12" i="74" s="1"/>
  <c r="F36" i="75"/>
  <c r="W25" i="75" l="1"/>
  <c r="X25" i="75" s="1"/>
  <c r="X26" i="75" s="1"/>
  <c r="F54" i="75" s="1"/>
  <c r="E14" i="75" s="1"/>
  <c r="Q98" i="6"/>
  <c r="R98" i="6" s="1"/>
  <c r="Q99" i="6"/>
  <c r="R99" i="6" s="1"/>
  <c r="Q100" i="6"/>
  <c r="R100" i="6" s="1"/>
  <c r="F12" i="75"/>
  <c r="Q97" i="6"/>
  <c r="R97" i="6" s="1"/>
  <c r="Q96" i="6"/>
  <c r="R96" i="6" s="1"/>
  <c r="Q95" i="6"/>
  <c r="R95" i="6" s="1"/>
  <c r="F28" i="61" l="1"/>
  <c r="BD25" i="3"/>
  <c r="BD24" i="3"/>
  <c r="N24" i="61"/>
  <c r="M24" i="1"/>
  <c r="F28" i="1"/>
  <c r="H27" i="1" s="1"/>
  <c r="M24" i="61"/>
  <c r="T16" i="61"/>
  <c r="O24" i="1" l="1"/>
  <c r="O25" i="1" s="1"/>
  <c r="F1" i="1"/>
  <c r="M25" i="1"/>
  <c r="P25" i="61"/>
  <c r="P24" i="61"/>
  <c r="H27" i="61"/>
  <c r="R25" i="61" l="1"/>
  <c r="T25" i="61" s="1"/>
  <c r="R24" i="61"/>
  <c r="T24" i="61" s="1"/>
  <c r="W24" i="61" s="1"/>
  <c r="F34" i="78"/>
  <c r="Y24" i="61" l="1"/>
  <c r="V25" i="61" s="1"/>
  <c r="U25" i="61"/>
  <c r="W25" i="61"/>
  <c r="U24" i="61"/>
  <c r="AC24" i="61"/>
  <c r="X25" i="61"/>
  <c r="AD26" i="78"/>
  <c r="AD27" i="78" s="1"/>
  <c r="F73" i="78" s="1"/>
  <c r="F32" i="78"/>
  <c r="F36" i="78" s="1"/>
  <c r="F11" i="78"/>
  <c r="C37" i="78"/>
  <c r="X24" i="61"/>
  <c r="C31" i="61" l="1"/>
  <c r="V24" i="61"/>
  <c r="C32" i="61" s="1"/>
  <c r="C33" i="61"/>
  <c r="F33" i="61" s="1"/>
  <c r="C36" i="61" s="1"/>
  <c r="F13" i="61"/>
  <c r="AA24" i="61" s="1"/>
  <c r="Q101" i="6"/>
  <c r="R101" i="6" s="1"/>
  <c r="Q102" i="6"/>
  <c r="R102" i="6" s="1"/>
  <c r="Q103" i="6"/>
  <c r="R103" i="6" s="1"/>
  <c r="Q106" i="6"/>
  <c r="R106" i="6" s="1"/>
  <c r="Q107" i="6"/>
  <c r="R107" i="6" s="1"/>
  <c r="Q108" i="6"/>
  <c r="R108" i="6" s="1"/>
  <c r="Q109" i="6"/>
  <c r="R109" i="6" s="1"/>
  <c r="Q104" i="6"/>
  <c r="R104" i="6" s="1"/>
  <c r="Q105" i="6"/>
  <c r="R105" i="6" s="1"/>
  <c r="F14" i="78"/>
  <c r="C36" i="78"/>
  <c r="F37" i="78" s="1"/>
  <c r="F12" i="78" s="1"/>
  <c r="F10" i="78"/>
  <c r="AA26" i="78"/>
  <c r="AB26" i="78" s="1"/>
  <c r="AB27" i="78" s="1"/>
  <c r="F55" i="78" s="1"/>
  <c r="E14" i="78" s="1"/>
  <c r="F11" i="61" l="1"/>
  <c r="E23" i="1"/>
  <c r="N24" i="1"/>
  <c r="N25" i="1" s="1"/>
  <c r="N120" i="6"/>
  <c r="N121" i="6"/>
  <c r="N122" i="6"/>
  <c r="N139" i="6"/>
  <c r="N140" i="6"/>
  <c r="N141" i="6"/>
  <c r="N146" i="6"/>
  <c r="N147" i="6"/>
  <c r="N148" i="6"/>
  <c r="N149" i="6"/>
  <c r="N150" i="6"/>
  <c r="N151" i="6"/>
  <c r="N152" i="6"/>
  <c r="N153" i="6"/>
  <c r="N154" i="6"/>
  <c r="N155" i="6"/>
  <c r="N156" i="6"/>
  <c r="N157" i="6"/>
  <c r="N158" i="6"/>
  <c r="N161" i="6" l="1"/>
  <c r="N162" i="6"/>
  <c r="L24" i="1" l="1"/>
  <c r="L25" i="1" l="1"/>
  <c r="R25" i="1" s="1"/>
  <c r="T25" i="1" s="1"/>
  <c r="R24" i="1"/>
  <c r="W24" i="1" s="1"/>
  <c r="AC25" i="61"/>
  <c r="AD25" i="61" s="1"/>
  <c r="AD26" i="61" s="1"/>
  <c r="F72" i="61" s="1"/>
  <c r="T24" i="1" l="1"/>
  <c r="U24" i="1"/>
  <c r="U25" i="1"/>
  <c r="AA25" i="1"/>
  <c r="AA24" i="1"/>
  <c r="S24" i="1"/>
  <c r="V24" i="1"/>
  <c r="S25" i="1"/>
  <c r="V25" i="1"/>
  <c r="F31" i="61"/>
  <c r="F35" i="61" s="1"/>
  <c r="R16" i="1"/>
  <c r="Q49" i="6" l="1"/>
  <c r="R49" i="6" s="1"/>
  <c r="Q57" i="6"/>
  <c r="R57" i="6" s="1"/>
  <c r="Q50" i="6"/>
  <c r="R50" i="6" s="1"/>
  <c r="Q51" i="6"/>
  <c r="R51" i="6" s="1"/>
  <c r="Q52" i="6"/>
  <c r="Q53" i="6"/>
  <c r="R53" i="6" s="1"/>
  <c r="Q54" i="6"/>
  <c r="R54" i="6" s="1"/>
  <c r="Q55" i="6"/>
  <c r="R55" i="6" s="1"/>
  <c r="Q56" i="6"/>
  <c r="R56" i="6" s="1"/>
  <c r="C31" i="1"/>
  <c r="C32" i="1"/>
  <c r="C33" i="1"/>
  <c r="F13" i="1"/>
  <c r="AB25" i="1"/>
  <c r="AB26" i="1" s="1"/>
  <c r="F72" i="1" s="1"/>
  <c r="F14" i="61"/>
  <c r="AA25" i="61"/>
  <c r="Q65" i="6"/>
  <c r="R65" i="6" s="1"/>
  <c r="Q63" i="6"/>
  <c r="R63" i="6" s="1"/>
  <c r="Q66" i="6"/>
  <c r="R66" i="6" s="1"/>
  <c r="Q67" i="6"/>
  <c r="R67" i="6" s="1"/>
  <c r="Q68" i="6"/>
  <c r="R68" i="6" s="1"/>
  <c r="Q59" i="6"/>
  <c r="R59" i="6" s="1"/>
  <c r="Q64" i="6"/>
  <c r="R64" i="6" s="1"/>
  <c r="Q60" i="6"/>
  <c r="R60" i="6" s="1"/>
  <c r="Q69" i="6"/>
  <c r="R69" i="6" s="1"/>
  <c r="Q61" i="6"/>
  <c r="R61" i="6" s="1"/>
  <c r="Q70" i="6"/>
  <c r="R70" i="6" s="1"/>
  <c r="Q62" i="6"/>
  <c r="R62" i="6" s="1"/>
  <c r="Q48" i="6"/>
  <c r="R48" i="6" s="1"/>
  <c r="Q44" i="6"/>
  <c r="R44" i="6" s="1"/>
  <c r="Q42" i="6"/>
  <c r="R42" i="6" s="1"/>
  <c r="Q45" i="6"/>
  <c r="R45" i="6" s="1"/>
  <c r="Q58" i="6"/>
  <c r="R58" i="6" s="1"/>
  <c r="Q43" i="6"/>
  <c r="R43" i="6" s="1"/>
  <c r="Q46" i="6"/>
  <c r="R46" i="6" s="1"/>
  <c r="C35" i="61"/>
  <c r="F36" i="61" s="1"/>
  <c r="F12" i="61" s="1"/>
  <c r="F10" i="61"/>
  <c r="Q47" i="6"/>
  <c r="Q41" i="6"/>
  <c r="Y24" i="1" l="1"/>
  <c r="R52" i="6"/>
  <c r="F33" i="1" l="1"/>
  <c r="F31" i="1" l="1"/>
  <c r="C36" i="1"/>
  <c r="F11" i="1"/>
  <c r="F35" i="1" l="1"/>
  <c r="R41" i="6"/>
  <c r="R47" i="6"/>
  <c r="F10" i="1"/>
  <c r="C35" i="1"/>
  <c r="F36" i="1" s="1"/>
  <c r="F12" i="1" s="1"/>
  <c r="Q15" i="6" l="1"/>
  <c r="R15" i="6" s="1"/>
  <c r="Q21" i="6"/>
  <c r="R21" i="6" s="1"/>
  <c r="Q16" i="6"/>
  <c r="R16" i="6" s="1"/>
  <c r="Q17" i="6"/>
  <c r="R17" i="6" s="1"/>
  <c r="Q20" i="6"/>
  <c r="R20" i="6" s="1"/>
  <c r="Q22" i="6"/>
  <c r="R22" i="6" s="1"/>
  <c r="Q14" i="6"/>
  <c r="R14" i="6" s="1"/>
  <c r="Q39" i="6"/>
  <c r="R39" i="6" s="1"/>
  <c r="Q37" i="6"/>
  <c r="R37" i="6" s="1"/>
  <c r="Q36" i="6"/>
  <c r="R36" i="6" s="1"/>
  <c r="Q34" i="6"/>
  <c r="R34" i="6" s="1"/>
  <c r="Q33" i="6"/>
  <c r="R33" i="6" s="1"/>
  <c r="Q38" i="6"/>
  <c r="R38" i="6" s="1"/>
  <c r="Q32" i="6"/>
  <c r="R32" i="6" s="1"/>
  <c r="Q35" i="6"/>
  <c r="R35" i="6" s="1"/>
  <c r="Q40" i="6"/>
  <c r="R40" i="6" s="1"/>
  <c r="Q23" i="6"/>
  <c r="R23" i="6" s="1"/>
  <c r="Q31" i="6"/>
  <c r="R31" i="6" s="1"/>
  <c r="F14" i="1"/>
  <c r="Y25" i="1" s="1"/>
  <c r="Z25" i="1" s="1"/>
  <c r="Z26" i="1" s="1"/>
  <c r="F54" i="1" s="1"/>
  <c r="E14" i="1" s="1"/>
  <c r="Q11" i="6"/>
  <c r="R11" i="6" s="1"/>
  <c r="Q12" i="6"/>
  <c r="R12" i="6" s="1"/>
  <c r="Q13" i="6"/>
  <c r="R13" i="6" s="1"/>
  <c r="Q28" i="6"/>
  <c r="R28" i="6" s="1"/>
  <c r="Q8" i="6"/>
  <c r="R8" i="6" s="1"/>
  <c r="Q29" i="6"/>
  <c r="R29" i="6" s="1"/>
  <c r="Q10" i="6"/>
  <c r="R10" i="6" s="1"/>
  <c r="Q27" i="6"/>
  <c r="R27" i="6" s="1"/>
  <c r="Q30" i="6"/>
  <c r="R30" i="6" s="1"/>
  <c r="Q7" i="6"/>
  <c r="R7" i="6" s="1"/>
  <c r="Q26" i="6"/>
  <c r="R26" i="6" s="1"/>
  <c r="Q6" i="6"/>
  <c r="R6" i="6" s="1"/>
  <c r="Q24" i="6"/>
  <c r="R24" i="6" s="1"/>
  <c r="Q25" i="6"/>
  <c r="R25" i="6" s="1"/>
  <c r="Q18" i="6"/>
  <c r="R18" i="6" s="1"/>
  <c r="Q19" i="6"/>
  <c r="R19" i="6" s="1"/>
  <c r="Q9" i="6"/>
  <c r="R9" i="6" s="1"/>
  <c r="Q5" i="6"/>
  <c r="R5" i="6" s="1"/>
  <c r="AB25" i="61" l="1"/>
  <c r="AB26" i="61" s="1"/>
  <c r="F54" i="61" s="1"/>
  <c r="E14" i="6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200-000001000000}">
      <text>
        <r>
          <rPr>
            <b/>
            <sz val="9"/>
            <color indexed="81"/>
            <rFont val="Tahoma"/>
            <family val="2"/>
          </rPr>
          <t>Identify individual project name and/or calculation run.</t>
        </r>
      </text>
    </comment>
    <comment ref="C18" authorId="1" shapeId="0" xr:uid="{00000000-0006-0000-02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2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2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200-000005000000}">
      <text>
        <r>
          <rPr>
            <b/>
            <sz val="9"/>
            <color indexed="81"/>
            <rFont val="Tahoma"/>
            <family val="2"/>
          </rPr>
          <t xml:space="preserve">Enter number of floors contributing to building area entry including basement floors.
</t>
        </r>
        <r>
          <rPr>
            <sz val="9"/>
            <color indexed="81"/>
            <rFont val="Tahoma"/>
            <family val="2"/>
          </rPr>
          <t xml:space="preserve">
</t>
        </r>
      </text>
    </comment>
    <comment ref="C20" authorId="1" shapeId="0" xr:uid="{00000000-0006-0000-02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2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16D0A6C1-D67D-47DE-A19C-5C7EE9150792}">
      <text>
        <r>
          <rPr>
            <b/>
            <sz val="9"/>
            <color indexed="81"/>
            <rFont val="Tahoma"/>
            <family val="2"/>
          </rPr>
          <t>Enter name of servicing electric utility.</t>
        </r>
        <r>
          <rPr>
            <sz val="9"/>
            <color indexed="81"/>
            <rFont val="Tahoma"/>
            <family val="2"/>
          </rPr>
          <t xml:space="preserve">
</t>
        </r>
      </text>
    </comment>
    <comment ref="F21" authorId="1" shapeId="0" xr:uid="{00000000-0006-0000-02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2" authorId="0" shapeId="0" xr:uid="{2322FFFA-FAEE-417B-BECB-8D741AC06D6C}">
      <text>
        <r>
          <rPr>
            <sz val="9"/>
            <color indexed="81"/>
            <rFont val="Tahoma"/>
            <family val="2"/>
          </rPr>
          <t xml:space="preserve">Select "No" if there is no cooling system installed.
</t>
        </r>
      </text>
    </comment>
    <comment ref="F23" authorId="1" shapeId="0" xr:uid="{00000000-0006-0000-0200-00000A000000}">
      <text>
        <r>
          <rPr>
            <b/>
            <sz val="9"/>
            <color indexed="81"/>
            <rFont val="Tahoma"/>
            <family val="2"/>
          </rPr>
          <t xml:space="preserve">Enter average annual operating hours for HVAC system.  Include hours that system operates at night or in other unoccupied periods.
</t>
        </r>
      </text>
    </comment>
    <comment ref="F24" authorId="0" shapeId="0" xr:uid="{514BC3D3-80F1-46B8-9F49-E106769042A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2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2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2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2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300-000001000000}">
      <text>
        <r>
          <rPr>
            <b/>
            <sz val="9"/>
            <color indexed="81"/>
            <rFont val="Tahoma"/>
            <family val="2"/>
          </rPr>
          <t>Identify individual project name and/or calculation run.</t>
        </r>
      </text>
    </comment>
    <comment ref="C18" authorId="1" shapeId="0" xr:uid="{00000000-0006-0000-0300-000002000000}">
      <text>
        <r>
          <rPr>
            <b/>
            <sz val="9"/>
            <color indexed="81"/>
            <rFont val="Tahoma"/>
            <family val="2"/>
          </rPr>
          <t>Select appropriate state from list of U.S states.</t>
        </r>
        <r>
          <rPr>
            <sz val="9"/>
            <color indexed="81"/>
            <rFont val="Tahoma"/>
            <family val="2"/>
          </rPr>
          <t xml:space="preserve">
</t>
        </r>
      </text>
    </comment>
    <comment ref="F18" authorId="0" shapeId="0" xr:uid="{00000000-0006-0000-03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3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3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3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3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3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300-000009000000}">
      <text>
        <r>
          <rPr>
            <b/>
            <sz val="9"/>
            <color indexed="81"/>
            <rFont val="Tahoma"/>
            <family val="2"/>
          </rPr>
          <t xml:space="preserve">Insert predominant heating fuel.  For electric resistance or heat pump systems, select "electric."
</t>
        </r>
        <r>
          <rPr>
            <sz val="9"/>
            <color indexed="81"/>
            <rFont val="Tahoma"/>
            <family val="2"/>
          </rPr>
          <t xml:space="preserve">
</t>
        </r>
      </text>
    </comment>
    <comment ref="F22" authorId="0" shapeId="0" xr:uid="{BCA12041-C082-4848-83BD-674D4C3BC625}">
      <text>
        <r>
          <rPr>
            <b/>
            <sz val="9"/>
            <color indexed="81"/>
            <rFont val="Tahoma"/>
            <family val="2"/>
          </rPr>
          <t>For electric resistance heating only systems, select "No."</t>
        </r>
        <r>
          <rPr>
            <sz val="9"/>
            <color indexed="81"/>
            <rFont val="Tahoma"/>
            <family val="2"/>
          </rPr>
          <t xml:space="preserve">
</t>
        </r>
      </text>
    </comment>
    <comment ref="F23" authorId="0" shapeId="0" xr:uid="{00000000-0006-0000-0300-00000A000000}">
      <text>
        <r>
          <rPr>
            <b/>
            <sz val="9"/>
            <color indexed="81"/>
            <rFont val="Tahoma"/>
            <family val="2"/>
          </rPr>
          <t xml:space="preserve">Enter average annual occupancy rate.  
</t>
        </r>
        <r>
          <rPr>
            <sz val="9"/>
            <color indexed="81"/>
            <rFont val="Tahoma"/>
            <family val="2"/>
          </rPr>
          <t xml:space="preserve">
</t>
        </r>
      </text>
    </comment>
    <comment ref="F24" authorId="0" shapeId="0" xr:uid="{4FF56C6E-E5D9-49B8-B2CC-C4F1BAD1085E}">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3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3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3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3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400-000001000000}">
      <text>
        <r>
          <rPr>
            <b/>
            <sz val="9"/>
            <color indexed="81"/>
            <rFont val="Tahoma"/>
            <family val="2"/>
          </rPr>
          <t>Identify individual project name and/or calculation run.</t>
        </r>
      </text>
    </comment>
    <comment ref="F17" authorId="0" shapeId="0" xr:uid="{00000000-0006-0000-0400-000002000000}">
      <text>
        <r>
          <rPr>
            <b/>
            <sz val="9"/>
            <color indexed="81"/>
            <rFont val="Tahoma"/>
            <family val="2"/>
          </rPr>
          <t>Select school type.</t>
        </r>
        <r>
          <rPr>
            <sz val="9"/>
            <color indexed="81"/>
            <rFont val="Tahoma"/>
            <family val="2"/>
          </rPr>
          <t xml:space="preserve">
</t>
        </r>
      </text>
    </comment>
    <comment ref="C18" authorId="1" shapeId="0" xr:uid="{00000000-0006-0000-0400-000003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400-000004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400-000005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400-000006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400-000007000000}">
      <text>
        <r>
          <rPr>
            <b/>
            <sz val="9"/>
            <color indexed="81"/>
            <rFont val="Tahoma"/>
            <family val="2"/>
          </rPr>
          <t>Enter name of servicing electric utility.</t>
        </r>
        <r>
          <rPr>
            <sz val="9"/>
            <color indexed="81"/>
            <rFont val="Tahoma"/>
            <family val="2"/>
          </rPr>
          <t xml:space="preserve">
</t>
        </r>
      </text>
    </comment>
    <comment ref="F20" authorId="1" shapeId="0" xr:uid="{00000000-0006-0000-0400-000008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400-000009000000}">
      <text>
        <r>
          <rPr>
            <b/>
            <sz val="9"/>
            <color indexed="81"/>
            <rFont val="Tahoma"/>
            <family val="2"/>
          </rPr>
          <t>Enter name of servicing gas utility, if any.</t>
        </r>
        <r>
          <rPr>
            <sz val="9"/>
            <color indexed="81"/>
            <rFont val="Tahoma"/>
            <family val="2"/>
          </rPr>
          <t xml:space="preserve">
</t>
        </r>
      </text>
    </comment>
    <comment ref="F21" authorId="1" shapeId="0" xr:uid="{00000000-0006-0000-0400-00000A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FEF10951-F59A-4588-ACD9-6A1D5D1A554A}">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400-00000B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400-00000C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400-00000D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400-00000E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00000000-0006-0000-0500-000001000000}">
      <text>
        <r>
          <rPr>
            <b/>
            <sz val="9"/>
            <color indexed="81"/>
            <rFont val="Tahoma"/>
            <family val="2"/>
          </rPr>
          <t>Identify individual project name and/or calculation run.</t>
        </r>
      </text>
    </comment>
    <comment ref="C18" authorId="1" shapeId="0" xr:uid="{00000000-0006-0000-0500-000002000000}">
      <text>
        <r>
          <rPr>
            <b/>
            <sz val="9"/>
            <color indexed="81"/>
            <rFont val="Tahoma"/>
            <family val="2"/>
          </rPr>
          <t>Select appropriate state from list of Pacific Northwest states.</t>
        </r>
        <r>
          <rPr>
            <sz val="9"/>
            <color indexed="81"/>
            <rFont val="Tahoma"/>
            <family val="2"/>
          </rPr>
          <t xml:space="preserve">
</t>
        </r>
      </text>
    </comment>
    <comment ref="F18" authorId="0" shapeId="0" xr:uid="{00000000-0006-0000-0500-000003000000}">
      <text>
        <r>
          <rPr>
            <b/>
            <sz val="9"/>
            <color indexed="81"/>
            <rFont val="Tahoma"/>
            <family val="2"/>
          </rPr>
          <t>Enter the area of the building that is heated or cooled.</t>
        </r>
        <r>
          <rPr>
            <sz val="9"/>
            <color indexed="81"/>
            <rFont val="Tahoma"/>
            <family val="2"/>
          </rPr>
          <t xml:space="preserve">
</t>
        </r>
      </text>
    </comment>
    <comment ref="C19" authorId="1" shapeId="0" xr:uid="{00000000-0006-0000-0500-000004000000}">
      <text>
        <r>
          <rPr>
            <b/>
            <sz val="9"/>
            <color indexed="81"/>
            <rFont val="Tahoma"/>
            <family val="2"/>
          </rPr>
          <t>Select city that is closest (geographically) to project location.</t>
        </r>
        <r>
          <rPr>
            <sz val="9"/>
            <color indexed="81"/>
            <rFont val="Tahoma"/>
            <family val="2"/>
          </rPr>
          <t xml:space="preserve">
</t>
        </r>
      </text>
    </comment>
    <comment ref="F19" authorId="1" shapeId="0" xr:uid="{00000000-0006-0000-0500-00000500000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00000000-0006-0000-0500-000006000000}">
      <text>
        <r>
          <rPr>
            <b/>
            <sz val="9"/>
            <color indexed="81"/>
            <rFont val="Tahoma"/>
            <family val="2"/>
          </rPr>
          <t>Enter name of servicing electric utility.</t>
        </r>
        <r>
          <rPr>
            <sz val="9"/>
            <color indexed="81"/>
            <rFont val="Tahoma"/>
            <family val="2"/>
          </rPr>
          <t xml:space="preserve">
</t>
        </r>
      </text>
    </comment>
    <comment ref="F20" authorId="1" shapeId="0" xr:uid="{00000000-0006-0000-0500-000007000000}">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00000000-0006-0000-0500-000008000000}">
      <text>
        <r>
          <rPr>
            <b/>
            <sz val="9"/>
            <color indexed="81"/>
            <rFont val="Tahoma"/>
            <family val="2"/>
          </rPr>
          <t>Enter name of servicing gas utility, if any.</t>
        </r>
        <r>
          <rPr>
            <sz val="9"/>
            <color indexed="81"/>
            <rFont val="Tahoma"/>
            <family val="2"/>
          </rPr>
          <t xml:space="preserve">
</t>
        </r>
      </text>
    </comment>
    <comment ref="F21" authorId="1" shapeId="0" xr:uid="{00000000-0006-0000-0500-000009000000}">
      <text>
        <r>
          <rPr>
            <b/>
            <sz val="9"/>
            <color indexed="81"/>
            <rFont val="Tahoma"/>
            <family val="2"/>
          </rPr>
          <t xml:space="preserve">Insert predominant heating fuel.  For electric resistance reheat systems, select "electric."
</t>
        </r>
        <r>
          <rPr>
            <sz val="9"/>
            <color indexed="81"/>
            <rFont val="Tahoma"/>
            <family val="2"/>
          </rPr>
          <t xml:space="preserve">
</t>
        </r>
      </text>
    </comment>
    <comment ref="F23" authorId="0" shapeId="0" xr:uid="{3AA12456-00E9-4F49-962D-BCC1802FE824}">
      <text>
        <r>
          <rPr>
            <b/>
            <sz val="9"/>
            <color indexed="81"/>
            <rFont val="Tahoma"/>
            <family val="2"/>
          </rPr>
          <t xml:space="preserve">Enter dominant type of existnig window 
</t>
        </r>
        <r>
          <rPr>
            <sz val="9"/>
            <color indexed="81"/>
            <rFont val="Tahoma"/>
            <family val="2"/>
          </rPr>
          <t xml:space="preserve">
</t>
        </r>
      </text>
    </comment>
    <comment ref="F26" authorId="1" shapeId="0" xr:uid="{00000000-0006-0000-0500-00000A000000}">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7" authorId="1" shapeId="0" xr:uid="{00000000-0006-0000-0500-00000B00000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7" authorId="1" shapeId="0" xr:uid="{00000000-0006-0000-0500-00000C000000}">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8" authorId="1" shapeId="0" xr:uid="{00000000-0006-0000-0500-00000D000000}">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 Hatten</author>
    <author>mikeh</author>
  </authors>
  <commentList>
    <comment ref="C4" authorId="0" shapeId="0" xr:uid="{22338A58-327E-4786-8388-CC5BE2F3088C}">
      <text>
        <r>
          <rPr>
            <b/>
            <sz val="9"/>
            <color indexed="81"/>
            <rFont val="Tahoma"/>
            <family val="2"/>
          </rPr>
          <t>Identify individual project name and/or calculation run.</t>
        </r>
      </text>
    </comment>
    <comment ref="C18" authorId="1" shapeId="0" xr:uid="{EA39D001-B991-4CB8-84CA-0B0985F58ADA}">
      <text>
        <r>
          <rPr>
            <b/>
            <sz val="9"/>
            <color indexed="81"/>
            <rFont val="Tahoma"/>
            <family val="2"/>
          </rPr>
          <t>Select appropriate state from list of U.S. states.</t>
        </r>
        <r>
          <rPr>
            <sz val="9"/>
            <color indexed="81"/>
            <rFont val="Tahoma"/>
            <family val="2"/>
          </rPr>
          <t xml:space="preserve">
</t>
        </r>
      </text>
    </comment>
    <comment ref="F18" authorId="0" shapeId="0" xr:uid="{5CE3D7E1-B15F-4BFC-983F-F34A8CF39A59}">
      <text>
        <r>
          <rPr>
            <b/>
            <sz val="9"/>
            <color indexed="81"/>
            <rFont val="Tahoma"/>
            <family val="2"/>
          </rPr>
          <t>Enter the area of the building that is heated or cooled.</t>
        </r>
        <r>
          <rPr>
            <sz val="9"/>
            <color indexed="81"/>
            <rFont val="Tahoma"/>
            <family val="2"/>
          </rPr>
          <t xml:space="preserve">
</t>
        </r>
      </text>
    </comment>
    <comment ref="C19" authorId="1" shapeId="0" xr:uid="{20C645B0-BBA8-4FCC-A672-6DCDA29453A9}">
      <text>
        <r>
          <rPr>
            <b/>
            <sz val="9"/>
            <color indexed="81"/>
            <rFont val="Tahoma"/>
            <family val="2"/>
          </rPr>
          <t>Select city that is closest (geographically) to project location.</t>
        </r>
        <r>
          <rPr>
            <sz val="9"/>
            <color indexed="81"/>
            <rFont val="Tahoma"/>
            <family val="2"/>
          </rPr>
          <t xml:space="preserve">
</t>
        </r>
      </text>
    </comment>
    <comment ref="F19" authorId="1" shapeId="0" xr:uid="{F4DEF910-A586-481E-ADC8-1B33105D6E80}">
      <text>
        <r>
          <rPr>
            <b/>
            <sz val="9"/>
            <color indexed="81"/>
            <rFont val="Tahoma"/>
            <family val="2"/>
          </rPr>
          <t xml:space="preserve">Enter number of floors contributing to building area entry excluding basement floors.
</t>
        </r>
        <r>
          <rPr>
            <sz val="9"/>
            <color indexed="81"/>
            <rFont val="Tahoma"/>
            <family val="2"/>
          </rPr>
          <t xml:space="preserve">
</t>
        </r>
      </text>
    </comment>
    <comment ref="C20" authorId="1" shapeId="0" xr:uid="{B4A9CE15-8312-4671-BA88-A18B23B1424E}">
      <text>
        <r>
          <rPr>
            <b/>
            <sz val="9"/>
            <color indexed="81"/>
            <rFont val="Tahoma"/>
            <family val="2"/>
          </rPr>
          <t>Enter name of servicing electric utility.</t>
        </r>
        <r>
          <rPr>
            <sz val="9"/>
            <color indexed="81"/>
            <rFont val="Tahoma"/>
            <family val="2"/>
          </rPr>
          <t xml:space="preserve">
</t>
        </r>
      </text>
    </comment>
    <comment ref="F20" authorId="1" shapeId="0" xr:uid="{5F521AF4-5681-4B5D-A7BD-EF6658573881}">
      <text>
        <r>
          <rPr>
            <b/>
            <sz val="9"/>
            <color indexed="81"/>
            <rFont val="Tahoma"/>
            <family val="2"/>
          </rPr>
          <t xml:space="preserve">Select the HVAC system type that best matches predominant system type.
</t>
        </r>
        <r>
          <rPr>
            <sz val="9"/>
            <color indexed="81"/>
            <rFont val="Tahoma"/>
            <family val="2"/>
          </rPr>
          <t xml:space="preserve">
</t>
        </r>
      </text>
    </comment>
    <comment ref="C21" authorId="1" shapeId="0" xr:uid="{D448BA36-1B92-4CF8-91B8-C8895B13BD9E}">
      <text>
        <r>
          <rPr>
            <b/>
            <sz val="9"/>
            <color indexed="81"/>
            <rFont val="Tahoma"/>
            <family val="2"/>
          </rPr>
          <t>Enter name of servicing gas utility, if any.</t>
        </r>
        <r>
          <rPr>
            <sz val="9"/>
            <color indexed="81"/>
            <rFont val="Tahoma"/>
            <family val="2"/>
          </rPr>
          <t xml:space="preserve">
</t>
        </r>
      </text>
    </comment>
    <comment ref="F21" authorId="1" shapeId="0" xr:uid="{959650A6-7407-4030-B5A1-B30BA54876EA}">
      <text>
        <r>
          <rPr>
            <b/>
            <sz val="9"/>
            <color indexed="81"/>
            <rFont val="Tahoma"/>
            <family val="2"/>
          </rPr>
          <t xml:space="preserve">Insert predominant heating fuel.  For electric resistance heat including PTAC systems, select "electric."
</t>
        </r>
        <r>
          <rPr>
            <sz val="9"/>
            <color indexed="81"/>
            <rFont val="Tahoma"/>
            <family val="2"/>
          </rPr>
          <t xml:space="preserve">
</t>
        </r>
      </text>
    </comment>
    <comment ref="F23" authorId="0" shapeId="0" xr:uid="{145C5879-1913-4830-8B20-7C2EE6564698}">
      <text>
        <r>
          <rPr>
            <b/>
            <sz val="9"/>
            <color indexed="81"/>
            <rFont val="Tahoma"/>
            <family val="2"/>
          </rPr>
          <t xml:space="preserve">Enter the dominent type of existing window.
</t>
        </r>
        <r>
          <rPr>
            <sz val="9"/>
            <color indexed="81"/>
            <rFont val="Tahoma"/>
            <family val="2"/>
          </rPr>
          <t xml:space="preserve">
</t>
        </r>
      </text>
    </comment>
    <comment ref="F24" authorId="0" shapeId="0" xr:uid="{8A49DA9B-3659-4963-BFBF-ADD8722B307D}">
      <text>
        <r>
          <rPr>
            <b/>
            <sz val="9"/>
            <color indexed="81"/>
            <rFont val="Tahoma"/>
            <family val="2"/>
          </rPr>
          <t>Indicate whether savings due to reduced infiltration is to be included.</t>
        </r>
        <r>
          <rPr>
            <sz val="9"/>
            <color indexed="81"/>
            <rFont val="Tahoma"/>
            <family val="2"/>
          </rPr>
          <t xml:space="preserve">
</t>
        </r>
      </text>
    </comment>
    <comment ref="F27" authorId="1" shapeId="0" xr:uid="{CD88EC17-2385-41EC-BC64-5DD38E963836}">
      <text>
        <r>
          <rPr>
            <b/>
            <sz val="9"/>
            <color indexed="81"/>
            <rFont val="Tahoma"/>
            <family val="2"/>
          </rPr>
          <t>Select type of CSW system proposed for installation.  Single=single pane CSW.  Double=double pane CSW.</t>
        </r>
        <r>
          <rPr>
            <sz val="9"/>
            <color indexed="81"/>
            <rFont val="Tahoma"/>
            <family val="2"/>
          </rPr>
          <t xml:space="preserve">
</t>
        </r>
      </text>
    </comment>
    <comment ref="C28" authorId="1" shapeId="0" xr:uid="{539CE03B-D126-4715-AF5D-71D7F3969D80}">
      <text>
        <r>
          <rPr>
            <b/>
            <sz val="9"/>
            <color indexed="81"/>
            <rFont val="Tahoma"/>
            <family val="2"/>
          </rPr>
          <t xml:space="preserve">Input melded rate, $/kWh that includes both energy (kWh) charge and demand (kW) charge.
</t>
        </r>
        <r>
          <rPr>
            <sz val="9"/>
            <color indexed="81"/>
            <rFont val="Tahoma"/>
            <family val="2"/>
          </rPr>
          <t xml:space="preserve">
</t>
        </r>
      </text>
    </comment>
    <comment ref="F28" authorId="1" shapeId="0" xr:uid="{79144119-E891-4028-BB73-31007C1349C7}">
      <text>
        <r>
          <rPr>
            <b/>
            <sz val="9"/>
            <color indexed="81"/>
            <rFont val="Tahoma"/>
            <family val="2"/>
          </rPr>
          <t>Enter the sq.ft. of CSW units proposed to be installed in the building.  Include all units in a total figure.</t>
        </r>
        <r>
          <rPr>
            <sz val="9"/>
            <color indexed="81"/>
            <rFont val="Tahoma"/>
            <family val="2"/>
          </rPr>
          <t xml:space="preserve">
</t>
        </r>
      </text>
    </comment>
    <comment ref="C29" authorId="1" shapeId="0" xr:uid="{4C52EC89-CE5D-4EF3-B500-A95AB3C7C44A}">
      <text>
        <r>
          <rPr>
            <b/>
            <sz val="9"/>
            <color indexed="81"/>
            <rFont val="Tahoma"/>
            <family val="2"/>
          </rPr>
          <t>Enter average annual gas rate, in $/therm.  If the building does not heat with gas, enter zero.</t>
        </r>
        <r>
          <rPr>
            <sz val="9"/>
            <color indexed="81"/>
            <rFont val="Tahoma"/>
            <family val="2"/>
          </rPr>
          <t xml:space="preserve">
</t>
        </r>
      </text>
    </comment>
  </commentList>
</comments>
</file>

<file path=xl/sharedStrings.xml><?xml version="1.0" encoding="utf-8"?>
<sst xmlns="http://schemas.openxmlformats.org/spreadsheetml/2006/main" count="6781" uniqueCount="1278">
  <si>
    <t>Type of Glass</t>
  </si>
  <si>
    <t>Single pane</t>
  </si>
  <si>
    <t>New double pane (U&lt;0.35)</t>
  </si>
  <si>
    <t xml:space="preserve"> </t>
  </si>
  <si>
    <t>HDD</t>
  </si>
  <si>
    <t>SGS Type</t>
  </si>
  <si>
    <t>Fuel</t>
  </si>
  <si>
    <t>Natural Gas</t>
  </si>
  <si>
    <t xml:space="preserve">Built-up VAV with hydronic reheat </t>
  </si>
  <si>
    <t>EUI</t>
  </si>
  <si>
    <t>CDD</t>
  </si>
  <si>
    <t>Project Location (City)</t>
  </si>
  <si>
    <t>Double</t>
  </si>
  <si>
    <t>Building Type</t>
  </si>
  <si>
    <t>Mid</t>
  </si>
  <si>
    <t>HVAC System Type</t>
  </si>
  <si>
    <t>PVAV_Elec</t>
  </si>
  <si>
    <t>Single</t>
  </si>
  <si>
    <t>Savings Look-up Tables (using Regression Equations with HDD/CDD as independent variables)</t>
  </si>
  <si>
    <t>Heat</t>
  </si>
  <si>
    <t>Electric Savings, kWh/SF</t>
  </si>
  <si>
    <t>Gas Savings, therms/SF</t>
  </si>
  <si>
    <t>Information About Your Building</t>
  </si>
  <si>
    <t>Savings Output</t>
  </si>
  <si>
    <t>Electric Utility</t>
  </si>
  <si>
    <t>Natural Gas Utility</t>
  </si>
  <si>
    <t>Electric Rate, $/kWh</t>
  </si>
  <si>
    <t>Natural Gas Rate, $/therm</t>
  </si>
  <si>
    <t>Lookup Key</t>
  </si>
  <si>
    <t>Electric</t>
  </si>
  <si>
    <t>LU Conc</t>
  </si>
  <si>
    <t>Electric Savings, kWh/yr</t>
  </si>
  <si>
    <t>Gas Savings, therms/yr</t>
  </si>
  <si>
    <t>Dominant Heating Fuel</t>
  </si>
  <si>
    <t>Electric Cost Savings, $/yr</t>
  </si>
  <si>
    <t>Gas Cost Savings, $/yr</t>
  </si>
  <si>
    <t>Total Savings, kBtu/SF-yr</t>
  </si>
  <si>
    <t>Total Savings, $/yr</t>
  </si>
  <si>
    <t>General:</t>
  </si>
  <si>
    <t>Instruction for use:</t>
  </si>
  <si>
    <t>Version Note:</t>
  </si>
  <si>
    <t>version</t>
  </si>
  <si>
    <t>author</t>
  </si>
  <si>
    <t>Solarc Energy Group</t>
  </si>
  <si>
    <t>Y</t>
  </si>
  <si>
    <t>Location HDD (Base 65)</t>
  </si>
  <si>
    <t xml:space="preserve">Annual Electric Energy Savings, kWh/yr </t>
  </si>
  <si>
    <t xml:space="preserve">Annual Natural Gas Energy Savings, therms/yr </t>
  </si>
  <si>
    <t>Information About Your Building Location</t>
  </si>
  <si>
    <t>Location CDD (Base 65)</t>
  </si>
  <si>
    <t xml:space="preserve">Information About Your Building </t>
  </si>
  <si>
    <t>Building Area, Sq.Ft.</t>
  </si>
  <si>
    <t>Other</t>
  </si>
  <si>
    <t>Packaged VAV with electric reheat</t>
  </si>
  <si>
    <t xml:space="preserve">Packaged VAV with hydronic reheat </t>
  </si>
  <si>
    <t>PVAV_Gas</t>
  </si>
  <si>
    <t>Large</t>
  </si>
  <si>
    <t>Baseline</t>
  </si>
  <si>
    <t>Medford</t>
  </si>
  <si>
    <t xml:space="preserve">Annual Percentage Total Energy Savings </t>
  </si>
  <si>
    <t>Location</t>
  </si>
  <si>
    <t>Astoria</t>
  </si>
  <si>
    <t xml:space="preserve">Savings </t>
  </si>
  <si>
    <t xml:space="preserve">EUI </t>
  </si>
  <si>
    <t>Loads</t>
  </si>
  <si>
    <t>Clg Load Reduced</t>
  </si>
  <si>
    <t>Htg Load Reduced</t>
  </si>
  <si>
    <t>Base Clg Load</t>
  </si>
  <si>
    <t>Percentage HVAC Downsize</t>
  </si>
  <si>
    <t>State</t>
  </si>
  <si>
    <t>Oregon</t>
  </si>
  <si>
    <t>Washington</t>
  </si>
  <si>
    <t>Idaho</t>
  </si>
  <si>
    <t>Montana</t>
  </si>
  <si>
    <t>Project Location (State)</t>
  </si>
  <si>
    <t>Salem</t>
  </si>
  <si>
    <t>Eugene</t>
  </si>
  <si>
    <t>Roseburg</t>
  </si>
  <si>
    <t>The Dalles</t>
  </si>
  <si>
    <t>Burns</t>
  </si>
  <si>
    <t>Baker City</t>
  </si>
  <si>
    <t>Port Angeles</t>
  </si>
  <si>
    <t>Olympia</t>
  </si>
  <si>
    <t>Seattle</t>
  </si>
  <si>
    <t>Bellingham</t>
  </si>
  <si>
    <t>Wenatchee</t>
  </si>
  <si>
    <t>Yakima</t>
  </si>
  <si>
    <t>Walla Walla</t>
  </si>
  <si>
    <t>Pasco</t>
  </si>
  <si>
    <t>Spokane</t>
  </si>
  <si>
    <t>Coeur d'Alene</t>
  </si>
  <si>
    <t>Lewiston</t>
  </si>
  <si>
    <t>Boise</t>
  </si>
  <si>
    <t>Twin Falls</t>
  </si>
  <si>
    <t>Idaho Falls</t>
  </si>
  <si>
    <t>Pocatello</t>
  </si>
  <si>
    <t>Salmon</t>
  </si>
  <si>
    <t>Kalispell</t>
  </si>
  <si>
    <t>Missoula</t>
  </si>
  <si>
    <t>Helena</t>
  </si>
  <si>
    <t>Butte</t>
  </si>
  <si>
    <t>Bozeman</t>
  </si>
  <si>
    <t>Billings</t>
  </si>
  <si>
    <t>Great Falls</t>
  </si>
  <si>
    <t>Cities</t>
  </si>
  <si>
    <t>Klamath Falls</t>
  </si>
  <si>
    <t>Kelso</t>
  </si>
  <si>
    <t>Hailey</t>
  </si>
  <si>
    <t>No. of Floors</t>
  </si>
  <si>
    <t>PTHP</t>
  </si>
  <si>
    <t>Hotel</t>
  </si>
  <si>
    <t>Hospital</t>
  </si>
  <si>
    <t>Size</t>
  </si>
  <si>
    <t>HVAC Type, Office</t>
  </si>
  <si>
    <t>HVAC Type, Hotel</t>
  </si>
  <si>
    <t>Office</t>
  </si>
  <si>
    <t>a</t>
  </si>
  <si>
    <t>Small</t>
  </si>
  <si>
    <t>Hotel Size</t>
  </si>
  <si>
    <t>PTAC_Elec</t>
  </si>
  <si>
    <t>Regression Form (a+bx+cx^2)</t>
  </si>
  <si>
    <t>Heating Coefficients</t>
  </si>
  <si>
    <t>b</t>
  </si>
  <si>
    <t>c</t>
  </si>
  <si>
    <t>Cooling Coefficients</t>
  </si>
  <si>
    <t>Energy Savings Regressions</t>
  </si>
  <si>
    <t>Peak Load Reduction Regressions</t>
  </si>
  <si>
    <t>N/A</t>
  </si>
  <si>
    <t>Baseline EUI Regressions</t>
  </si>
  <si>
    <t>No.</t>
  </si>
  <si>
    <t>HVAC/Fuel Type</t>
  </si>
  <si>
    <t>Coefficients</t>
  </si>
  <si>
    <t>PTAC</t>
  </si>
  <si>
    <t>PVAV</t>
  </si>
  <si>
    <t>VAV</t>
  </si>
  <si>
    <t>Fuel Type</t>
  </si>
  <si>
    <t>Notes/Assumptions</t>
  </si>
  <si>
    <t>NWN</t>
  </si>
  <si>
    <t>Est. Window Wall Ratio</t>
  </si>
  <si>
    <t>Fan Coil Unit</t>
  </si>
  <si>
    <t>FCU</t>
  </si>
  <si>
    <t>Elec</t>
  </si>
  <si>
    <t>Gas</t>
  </si>
  <si>
    <t>Occ</t>
  </si>
  <si>
    <t>Ave. Occupancy Rate</t>
  </si>
  <si>
    <t>Notes/Assumptions (change from red to black when coefficients are dialed in)</t>
  </si>
  <si>
    <t>HVAC Type</t>
  </si>
  <si>
    <t>Primary School</t>
  </si>
  <si>
    <t>Secondary School</t>
  </si>
  <si>
    <t>HVAC Type, School</t>
  </si>
  <si>
    <t>Central Ducted VAV</t>
  </si>
  <si>
    <t>Hosp</t>
  </si>
  <si>
    <t>COMMERCIAL SECONDARY WINDOWS  SAVINGS CALCULATOR</t>
  </si>
  <si>
    <t>Annual Energy Cost Savings, $/year</t>
  </si>
  <si>
    <t>High</t>
  </si>
  <si>
    <t>Low</t>
  </si>
  <si>
    <t>Lookup Key &amp; Interpolation Factors</t>
  </si>
  <si>
    <t>Savings Factors</t>
  </si>
  <si>
    <t>C, kWh</t>
  </si>
  <si>
    <t>H, kWh</t>
  </si>
  <si>
    <t>H, therms</t>
  </si>
  <si>
    <t>Graphics Drivers</t>
  </si>
  <si>
    <t>Peak Clg Ld</t>
  </si>
  <si>
    <t>%</t>
  </si>
  <si>
    <t>Several user inputs act as pointers to the proper subset of data.  Adjustments to the data sub-set are made via regression equations to</t>
  </si>
  <si>
    <t>2)  Mid-sized offices:  Packaged VAV with hydronic reheat from gas-fired boilers</t>
  </si>
  <si>
    <t>3)  Large offices:  Built-up single duct VAV with hydronic reheat from electric resistance boilers.</t>
  </si>
  <si>
    <t>4)  Large offices:  Built-up single duct VAV with hydronic reheat from gas-fired boilers.</t>
  </si>
  <si>
    <t>5) Small hotels:  Packaged terminal air conditioning (PTAC) units with electric heat</t>
  </si>
  <si>
    <t>6) Small hotels:  Packaged terminal heat pumps (PTHPs)</t>
  </si>
  <si>
    <t>7) Large hotels:  Distributed 4-pipe fan coil units with electric chiller and electric boiler</t>
  </si>
  <si>
    <t>8) Large hotels:  Distributed 4-pipe fan coil units with electric chiller and gas-fired boiler</t>
  </si>
  <si>
    <t>9) Primary Schools:  Single duct VAV with gas-fired hydronic reheat</t>
  </si>
  <si>
    <t>10) Primary Schools:  Single duct VAV with electric reheat</t>
  </si>
  <si>
    <t>11) Primary Schools:  Distributed 4-pipe fan coil units with electric chiller and electric boiler</t>
  </si>
  <si>
    <t>12) Primary Schools:  Distributed 4-pipe fan coil units with electric chiller and gas-fired boiler.</t>
  </si>
  <si>
    <t>13) Secondary Schools:  Single duct VAV with gas-fired hydronic reheat</t>
  </si>
  <si>
    <t>14) Secondary Schools:  Single duct VAV with electric reheat</t>
  </si>
  <si>
    <t>15) Secondary Schools:  Distributed 4-pipe fan coil units with electric chiller and electric boiler</t>
  </si>
  <si>
    <t>16) Secondary Schools:  Distributed 4-pipe fan coil units with electric chiller and gas-fired boiler.</t>
  </si>
  <si>
    <t>17) Small Hospital:  Single duct VAV with hydronic reheat from electric resistance boiler.</t>
  </si>
  <si>
    <t>18) Small Hospital:  Single duct VAV with hydronic reheat from gas-fired boiler.</t>
  </si>
  <si>
    <t>1)  Mid-sized offices:  Packaged VAV with electric reheat terminal units</t>
  </si>
  <si>
    <t>HVAC Type, Hospital</t>
  </si>
  <si>
    <t>Special Input Cells:</t>
  </si>
  <si>
    <r>
      <rPr>
        <b/>
        <sz val="11"/>
        <rFont val="Calibri"/>
        <family val="2"/>
        <scheme val="minor"/>
      </rPr>
      <t>For schools only:</t>
    </r>
    <r>
      <rPr>
        <sz val="11"/>
        <rFont val="Calibri"/>
        <family val="2"/>
        <scheme val="minor"/>
      </rPr>
      <t xml:space="preserve">  </t>
    </r>
    <r>
      <rPr>
        <u/>
        <sz val="11"/>
        <rFont val="Calibri"/>
        <family val="2"/>
        <scheme val="minor"/>
      </rPr>
      <t>Building Type</t>
    </r>
    <r>
      <rPr>
        <sz val="11"/>
        <rFont val="Calibri"/>
        <family val="2"/>
        <scheme val="minor"/>
      </rPr>
      <t>:  This is a pull-down menu selection that allows user to select Primary or Secondary School type.</t>
    </r>
  </si>
  <si>
    <t>Type of CSW Analyzed</t>
  </si>
  <si>
    <t>Sq.ft. of CSW Installed</t>
  </si>
  <si>
    <t>Information About Your Proposed CSW Project</t>
  </si>
  <si>
    <t>CSW</t>
  </si>
  <si>
    <t>CSW Type</t>
  </si>
  <si>
    <t>Information About Your ProposedCSW Project</t>
  </si>
  <si>
    <t>Heating Degree Days (HDD)</t>
  </si>
  <si>
    <t>Cooling Degree Days (CDD)</t>
  </si>
  <si>
    <t>This savings calculator generates separate savings for heating, HVAC auxiliaries and cooling based on a data set developed from parametric Energy Plus runs using prototype models</t>
  </si>
  <si>
    <t>This calculator is intended for use in building applications with existing single pane windows in the following building and representative electric and gas system types:</t>
  </si>
  <si>
    <t>Limitations:</t>
  </si>
  <si>
    <t>Input Cell Descriptions:</t>
  </si>
  <si>
    <t>3.  All savings output cells are calculated and highlighted in yellow.</t>
  </si>
  <si>
    <r>
      <rPr>
        <b/>
        <sz val="11"/>
        <rFont val="Calibri"/>
        <family val="2"/>
        <scheme val="minor"/>
      </rPr>
      <t>For offices only:</t>
    </r>
    <r>
      <rPr>
        <sz val="11"/>
        <rFont val="Calibri"/>
        <family val="2"/>
        <scheme val="minor"/>
      </rPr>
      <t xml:space="preserve">  </t>
    </r>
    <r>
      <rPr>
        <u/>
        <sz val="11"/>
        <rFont val="Calibri"/>
        <family val="2"/>
        <scheme val="minor"/>
      </rPr>
      <t>Annual Operating Hours</t>
    </r>
    <r>
      <rPr>
        <sz val="11"/>
        <rFont val="Calibri"/>
        <family val="2"/>
        <scheme val="minor"/>
      </rPr>
      <t>:  This is a numerical whole number entry with limits defined.  Minimum entry is 1986 hours per year.  Maximum entry is 8760 hours per year, representing continuous operation.  Entry is the number of HVAC operating hours per year, averaged for the entire building.</t>
    </r>
  </si>
  <si>
    <t>User Notes / Guidelines / Warnings</t>
  </si>
  <si>
    <t>Baseline Energy Use Intensity, kBtu/SF-year</t>
  </si>
  <si>
    <t>Savings, % and kBtu/SF-year:</t>
  </si>
  <si>
    <t>Savings,  % and kBtu/SF-year</t>
  </si>
  <si>
    <t>Savings, % and kBtu/SF-year</t>
  </si>
  <si>
    <t>For heat pumps, adjustment of electrical heating savings is warranted.  See user documentation.</t>
  </si>
  <si>
    <t>Information About Your Project</t>
  </si>
  <si>
    <t>Project Name</t>
  </si>
  <si>
    <t>Project Address</t>
  </si>
  <si>
    <t>Street</t>
  </si>
  <si>
    <t>City, State</t>
  </si>
  <si>
    <t>Zip Code</t>
  </si>
  <si>
    <t>Name</t>
  </si>
  <si>
    <t>Phone</t>
  </si>
  <si>
    <t>Email</t>
  </si>
  <si>
    <t>1.  Information About Your Project:  Input project name, address, and contact information in locations as noted.</t>
  </si>
  <si>
    <t>3.  Project Location (City):  This is a pull-down menu input.  User must select from the list of cities that are generated by the State selection.  The list of cities corresponds to the cities for which typical meteorological climate data exist.  User should select the city from the list that represents the nearest city to the project location.  Selection of city populates the heating and cooling degree-day entries for the project.</t>
  </si>
  <si>
    <t xml:space="preserve">4.  	Electric Utility: This is a text entry, and is not used in the savings calculation.  User should enter the name of the servicing electric utility.  This information is intended to support the development of an accurate estimate of electric rate._x000D_
_x000D_
</t>
  </si>
  <si>
    <t xml:space="preserve">6.  	Electric Rate, $/kWh:This is a numerical entry and is used to determine electric cost savings, in dollars.  The user should enter the cost of electrical energy in $ per kWh.  Ideally, this should not include demand charges, utility surcharges, or other charges such as meter charges.  It can include taxes or local charges that are assessed on the basis of monthly energy (kWh) use.  In simple terms, this entry is intended to be derived by dividing a typical total monthly billing charge for energy only, in $, by the monthly electric energy use in that bill, in kWh.  Note that electric rate schedules and billings can be complicated.  Commercial accounts can include charges for peak monthly demand (kW), capacity charges, power factor penalties, meter charges, and other categories of charges.  In addition, some rate schedules incorporate different rates depending upon time-of-use or magnitude of use (tiered rates).   Most time-of use rates charge more for energy used during the utility peak times.  Most tiered rates charge less for the highest tier of use.  To make the most accurate estimate of energy cost savings, it is important to account for the cost of the electrical energy that will be most affected by the installation of CSW units.  This cost is often referred to as the marginal electric rates. A simple way to estimate the marginal rate would be to divide the difference in two monthly billing charges by the difference in those two months energy use. For example, (Jan $ - Dec $) / (Jan kWh – Dec kWh).  
_x000D_
</t>
  </si>
  <si>
    <t>7.  Natural Gas Rate, $/therm:  This is a numerical entry and is used to determine natural gas cost savings, in dollars.  The user should enter the average annual cost of natural gas in $ per therm.  This should not include utility surcharges, or other charges such as meter charges. In simple terms, this entry is intended to be derived by dividing a typical total monthly billing charge, in $, by the monthly natural gas energy use in that bill, in therms.  If gas energy units are not therms, user should convert gas rate to the equivalent cost per therm.  For example, gas rate at $6.00 per MMBtu (or deca-therm) would translate to an equivalent rate of $0.60 per therm.  Similar to electric rates, some natural gas rate schedules incorporate different rates depending upon time-of-use or magnitude of use (tiered rates).   Most time-of use rates charge more for energy used during the winter heating season.  Most tiered rates charge slightly less for the highest tier of use.  To make the most accurate estimate of energy cost savings, it is important to account for the cost of the natural gas energy that will be most affected by the installation of CSW units.  This cost is often referred to as the marginal rate. A simple way to estimate the most applicable marginal rate would be to divide the difference in two wintertime monthly billing charges by the difference in those two months energy use. For example, (Jan $ - Dec $) / (Jan therms – Dec therms).</t>
  </si>
  <si>
    <t>8.  	Building Area, Sq.Ft.:This is a numerical entry and is used to determine overall energy savings percentage, reported as Energy Use Intensities (in kBtu/sq.ft.-year.)   It is also used to estimate overall peak cooling load reduction at an overall building level, in tons of refrigeration.  It is also used in combination with the Number of floors input value, to estimate the window to wall ratio and alert the user when the CSW  sq.ft. input may require verification.  Building area should represent the conditioned area of all floors above grade.  It is recommended to exclude basement area.</t>
  </si>
  <si>
    <t>Contact Information</t>
  </si>
  <si>
    <t>Example, 250,000 SF, 10-story Office</t>
  </si>
  <si>
    <t>Alabama</t>
  </si>
  <si>
    <t>Alaska</t>
  </si>
  <si>
    <t>Arizona</t>
  </si>
  <si>
    <t>Arkansas</t>
  </si>
  <si>
    <t>California</t>
  </si>
  <si>
    <t>Colorado</t>
  </si>
  <si>
    <t>Connecticut</t>
  </si>
  <si>
    <t>Delaware</t>
  </si>
  <si>
    <t>Florida</t>
  </si>
  <si>
    <t>Georgia</t>
  </si>
  <si>
    <t>Hawaii</t>
  </si>
  <si>
    <t>Illinois</t>
  </si>
  <si>
    <t>Indiana</t>
  </si>
  <si>
    <t>Iowa</t>
  </si>
  <si>
    <t>Kansas</t>
  </si>
  <si>
    <t>Kentucky</t>
  </si>
  <si>
    <t>Louisiana</t>
  </si>
  <si>
    <t>Maine</t>
  </si>
  <si>
    <t>Maryland</t>
  </si>
  <si>
    <t>Massachusetts</t>
  </si>
  <si>
    <t>Michigan</t>
  </si>
  <si>
    <t>Mississippi</t>
  </si>
  <si>
    <t>Missouri</t>
  </si>
  <si>
    <t>Nebraska</t>
  </si>
  <si>
    <t>Nevada</t>
  </si>
  <si>
    <t>New Hampshire</t>
  </si>
  <si>
    <t>New Jersey</t>
  </si>
  <si>
    <t>New Mexico</t>
  </si>
  <si>
    <t>New York</t>
  </si>
  <si>
    <t>North Carolina</t>
  </si>
  <si>
    <t>North Dakota</t>
  </si>
  <si>
    <t>Ohio</t>
  </si>
  <si>
    <t>Oklahoma</t>
  </si>
  <si>
    <t>Pennsylvania</t>
  </si>
  <si>
    <t>Rhode Island</t>
  </si>
  <si>
    <t>South Carolina</t>
  </si>
  <si>
    <t>South Dakota</t>
  </si>
  <si>
    <t>Tennessee</t>
  </si>
  <si>
    <t>Texas</t>
  </si>
  <si>
    <t>Utah</t>
  </si>
  <si>
    <t>Vermont</t>
  </si>
  <si>
    <t>Virginia</t>
  </si>
  <si>
    <t>West Virginia</t>
  </si>
  <si>
    <t>Wisconsin</t>
  </si>
  <si>
    <t>Wyoming</t>
  </si>
  <si>
    <t>Minnesota</t>
  </si>
  <si>
    <t>Adak</t>
  </si>
  <si>
    <t>Anchorage</t>
  </si>
  <si>
    <t>Aniak</t>
  </si>
  <si>
    <t>Annette Island</t>
  </si>
  <si>
    <t>Anvik</t>
  </si>
  <si>
    <t>Utqiagvik</t>
  </si>
  <si>
    <t>Birchwood</t>
  </si>
  <si>
    <t>Chulitna</t>
  </si>
  <si>
    <t>Cold Bay</t>
  </si>
  <si>
    <t>Cordova</t>
  </si>
  <si>
    <t>Dillingham</t>
  </si>
  <si>
    <t>Dutch Harbor</t>
  </si>
  <si>
    <t>Emmonak</t>
  </si>
  <si>
    <t>Fairbanks</t>
  </si>
  <si>
    <t>Gustavus</t>
  </si>
  <si>
    <t>Healy</t>
  </si>
  <si>
    <t>Homer</t>
  </si>
  <si>
    <t>Hoonah</t>
  </si>
  <si>
    <t>Hooper Bay</t>
  </si>
  <si>
    <t>Huslia</t>
  </si>
  <si>
    <t>Iliamna</t>
  </si>
  <si>
    <t>Juneau</t>
  </si>
  <si>
    <t>Kake</t>
  </si>
  <si>
    <t>Kenai</t>
  </si>
  <si>
    <t>Ketchikan</t>
  </si>
  <si>
    <t>King Salmon</t>
  </si>
  <si>
    <t>Kodiak</t>
  </si>
  <si>
    <t>Mekoryuk</t>
  </si>
  <si>
    <t>Middleton Island</t>
  </si>
  <si>
    <t>Palmer</t>
  </si>
  <si>
    <t>Point Heiden</t>
  </si>
  <si>
    <t>Saint Mary's</t>
  </si>
  <si>
    <t>Sand Point</t>
  </si>
  <si>
    <t>Seward</t>
  </si>
  <si>
    <t>Sitka Japonski</t>
  </si>
  <si>
    <t>Skagway</t>
  </si>
  <si>
    <t>Soldotna</t>
  </si>
  <si>
    <t>Talkeetna</t>
  </si>
  <si>
    <t xml:space="preserve">Valdez </t>
  </si>
  <si>
    <t>Whittier</t>
  </si>
  <si>
    <t>Wrangell</t>
  </si>
  <si>
    <t xml:space="preserve">Yakutat </t>
  </si>
  <si>
    <t>Anniston</t>
  </si>
  <si>
    <t>Birmingham</t>
  </si>
  <si>
    <t>Dothan</t>
  </si>
  <si>
    <t>Gadsen</t>
  </si>
  <si>
    <t>Huntsville</t>
  </si>
  <si>
    <t>Montgomery</t>
  </si>
  <si>
    <t>Mobile</t>
  </si>
  <si>
    <t>Muscle Shoals</t>
  </si>
  <si>
    <t>Troy</t>
  </si>
  <si>
    <t>Tuscaloosa</t>
  </si>
  <si>
    <t>Batesville</t>
  </si>
  <si>
    <t>Bentonville</t>
  </si>
  <si>
    <t>El Dorado</t>
  </si>
  <si>
    <t>Flippin</t>
  </si>
  <si>
    <t>Fort Smith</t>
  </si>
  <si>
    <t>Harrison</t>
  </si>
  <si>
    <t>Jonesboro</t>
  </si>
  <si>
    <t>Little Rock</t>
  </si>
  <si>
    <t>Pine Bluff</t>
  </si>
  <si>
    <t>Rogers</t>
  </si>
  <si>
    <t>Siloam Spring</t>
  </si>
  <si>
    <t>Springdale</t>
  </si>
  <si>
    <t>Stuttgart</t>
  </si>
  <si>
    <t>Texarkana</t>
  </si>
  <si>
    <t>Walnut Ridge</t>
  </si>
  <si>
    <t>Casa Granda</t>
  </si>
  <si>
    <t>Douglas</t>
  </si>
  <si>
    <t>Flagstaff</t>
  </si>
  <si>
    <t>Grand Canyon</t>
  </si>
  <si>
    <t>Kingman</t>
  </si>
  <si>
    <t>Luke</t>
  </si>
  <si>
    <t>Page</t>
  </si>
  <si>
    <t>Phoenix</t>
  </si>
  <si>
    <t>Prescott</t>
  </si>
  <si>
    <t>Safford</t>
  </si>
  <si>
    <t>Scottsdale</t>
  </si>
  <si>
    <t>Show Low</t>
  </si>
  <si>
    <t>Tucson</t>
  </si>
  <si>
    <t>Winslow</t>
  </si>
  <si>
    <t>Yuma</t>
  </si>
  <si>
    <t>Alturas</t>
  </si>
  <si>
    <t>McKinleyville</t>
  </si>
  <si>
    <t>Bakersfield</t>
  </si>
  <si>
    <t>Bishop</t>
  </si>
  <si>
    <t>Blue Canyon</t>
  </si>
  <si>
    <t>Blythe</t>
  </si>
  <si>
    <t>Burbank</t>
  </si>
  <si>
    <t>Camarillo</t>
  </si>
  <si>
    <t>Camp Pendleton</t>
  </si>
  <si>
    <t>Chino</t>
  </si>
  <si>
    <t>Chula Vista</t>
  </si>
  <si>
    <t>Crescent City</t>
  </si>
  <si>
    <t>Daggett</t>
  </si>
  <si>
    <t>Fresno</t>
  </si>
  <si>
    <t>Fullerton</t>
  </si>
  <si>
    <t>Hayward</t>
  </si>
  <si>
    <t>Hawthorne</t>
  </si>
  <si>
    <t>Lemoore</t>
  </si>
  <si>
    <t>Livermore</t>
  </si>
  <si>
    <t>Lompoc</t>
  </si>
  <si>
    <t>Long Beach</t>
  </si>
  <si>
    <t>Los Angeles</t>
  </si>
  <si>
    <t>Merced</t>
  </si>
  <si>
    <t>Modesto</t>
  </si>
  <si>
    <t>Montague</t>
  </si>
  <si>
    <t>Monterey</t>
  </si>
  <si>
    <t>Napa</t>
  </si>
  <si>
    <t>Needles</t>
  </si>
  <si>
    <t>Oakland</t>
  </si>
  <si>
    <t>Oxnard</t>
  </si>
  <si>
    <t>Palm Springs</t>
  </si>
  <si>
    <t>Palmdale</t>
  </si>
  <si>
    <t>Paso Robles</t>
  </si>
  <si>
    <t>Porterville</t>
  </si>
  <si>
    <t>Red Bluff</t>
  </si>
  <si>
    <t>Redding</t>
  </si>
  <si>
    <t>Riverside</t>
  </si>
  <si>
    <t>Sacremento</t>
  </si>
  <si>
    <t>Salinas</t>
  </si>
  <si>
    <t>San Diego</t>
  </si>
  <si>
    <t>San Francisco</t>
  </si>
  <si>
    <t>San Jose</t>
  </si>
  <si>
    <t>San Luis Obispo</t>
  </si>
  <si>
    <t>Sandberg</t>
  </si>
  <si>
    <t>Santa Anna</t>
  </si>
  <si>
    <t>Santa Barbara</t>
  </si>
  <si>
    <t>Santa Maria</t>
  </si>
  <si>
    <t>Santa Monica</t>
  </si>
  <si>
    <t>Santa Rose</t>
  </si>
  <si>
    <t>South Lake Tahoe</t>
  </si>
  <si>
    <t>Stockton</t>
  </si>
  <si>
    <t>Truckee</t>
  </si>
  <si>
    <t>Twentynine Palms</t>
  </si>
  <si>
    <t>Ukiah</t>
  </si>
  <si>
    <t>Van Nuys</t>
  </si>
  <si>
    <t>Visalia</t>
  </si>
  <si>
    <t>Alamosa</t>
  </si>
  <si>
    <t>Aspen</t>
  </si>
  <si>
    <t>Broomfield</t>
  </si>
  <si>
    <t>Colorado Springs</t>
  </si>
  <si>
    <t>Cortez</t>
  </si>
  <si>
    <t>Craig</t>
  </si>
  <si>
    <t>Denver</t>
  </si>
  <si>
    <t>Durango</t>
  </si>
  <si>
    <t>Gypsum</t>
  </si>
  <si>
    <t>Fort Collins</t>
  </si>
  <si>
    <t>Grand Junction</t>
  </si>
  <si>
    <t>Greeley</t>
  </si>
  <si>
    <t>Gunnison</t>
  </si>
  <si>
    <t>Hayden</t>
  </si>
  <si>
    <t>La Junta</t>
  </si>
  <si>
    <t>Lamar</t>
  </si>
  <si>
    <t>Leadville</t>
  </si>
  <si>
    <t>Limon</t>
  </si>
  <si>
    <t>Montrose</t>
  </si>
  <si>
    <t>Pueblo</t>
  </si>
  <si>
    <t>Rifle</t>
  </si>
  <si>
    <t>Trinidad</t>
  </si>
  <si>
    <t>Stratford</t>
  </si>
  <si>
    <t>Danbury</t>
  </si>
  <si>
    <t>Groton</t>
  </si>
  <si>
    <t>Hartford Brainard</t>
  </si>
  <si>
    <t>New Haven</t>
  </si>
  <si>
    <t>Oxford</t>
  </si>
  <si>
    <t>Dover</t>
  </si>
  <si>
    <t>Crestview</t>
  </si>
  <si>
    <t>Daytona</t>
  </si>
  <si>
    <t>Fort Lauderdale</t>
  </si>
  <si>
    <t>Fort Myers</t>
  </si>
  <si>
    <t>Gainesville</t>
  </si>
  <si>
    <t>Homestead</t>
  </si>
  <si>
    <t>Key West</t>
  </si>
  <si>
    <t>Lakeland</t>
  </si>
  <si>
    <t>Marathon</t>
  </si>
  <si>
    <t>Mayport</t>
  </si>
  <si>
    <t>Melbourne</t>
  </si>
  <si>
    <t>Miami</t>
  </si>
  <si>
    <t>Naples</t>
  </si>
  <si>
    <t>Ocala</t>
  </si>
  <si>
    <t>Orlando</t>
  </si>
  <si>
    <t>Panama City</t>
  </si>
  <si>
    <t>Pensacola</t>
  </si>
  <si>
    <t>Sarasota</t>
  </si>
  <si>
    <t>Fort Pierce</t>
  </si>
  <si>
    <t>St. Petersburg</t>
  </si>
  <si>
    <t>Tallahasse</t>
  </si>
  <si>
    <t>Tampa</t>
  </si>
  <si>
    <t>Vero Beach</t>
  </si>
  <si>
    <t>West Palm Beach</t>
  </si>
  <si>
    <t>Milton</t>
  </si>
  <si>
    <t>Alma</t>
  </si>
  <si>
    <t>Athens</t>
  </si>
  <si>
    <t>Atlanta</t>
  </si>
  <si>
    <t>Savannah</t>
  </si>
  <si>
    <t>Macon</t>
  </si>
  <si>
    <t>Marietta</t>
  </si>
  <si>
    <t>Valdosta</t>
  </si>
  <si>
    <t>Rome</t>
  </si>
  <si>
    <t>Warner Robins</t>
  </si>
  <si>
    <t>Daleville</t>
  </si>
  <si>
    <t>St. Paul</t>
  </si>
  <si>
    <t>Togiac</t>
  </si>
  <si>
    <t>Ridgecrest</t>
  </si>
  <si>
    <t>Kapolei</t>
  </si>
  <si>
    <t>Hilo</t>
  </si>
  <si>
    <t>Honolulu</t>
  </si>
  <si>
    <t>Kahului</t>
  </si>
  <si>
    <t>Kaneohe</t>
  </si>
  <si>
    <t>Kapalua</t>
  </si>
  <si>
    <t>Lanai</t>
  </si>
  <si>
    <t>Lihue</t>
  </si>
  <si>
    <t>Molokai</t>
  </si>
  <si>
    <t>Carroll</t>
  </si>
  <si>
    <t>Cedar Rapids</t>
  </si>
  <si>
    <t>Chariton</t>
  </si>
  <si>
    <t>Charles City</t>
  </si>
  <si>
    <t>Clarinda</t>
  </si>
  <si>
    <t>Council Bluffs</t>
  </si>
  <si>
    <t>Creston</t>
  </si>
  <si>
    <t>Decorah</t>
  </si>
  <si>
    <t>Denison</t>
  </si>
  <si>
    <t>Des Moines</t>
  </si>
  <si>
    <t>Dubuque</t>
  </si>
  <si>
    <t>Estherville</t>
  </si>
  <si>
    <t>Fort Dodge</t>
  </si>
  <si>
    <t>Fort Madison</t>
  </si>
  <si>
    <t>Keokuk</t>
  </si>
  <si>
    <t>Le Mars</t>
  </si>
  <si>
    <t>Mason City</t>
  </si>
  <si>
    <t>Muscatine</t>
  </si>
  <si>
    <t>Oelwen</t>
  </si>
  <si>
    <t>Orange City</t>
  </si>
  <si>
    <t>Ottumwa</t>
  </si>
  <si>
    <t>Red Oak</t>
  </si>
  <si>
    <t>Sheldon</t>
  </si>
  <si>
    <t>Shenandoah</t>
  </si>
  <si>
    <t>Sioux City</t>
  </si>
  <si>
    <t>Spencer</t>
  </si>
  <si>
    <t>Storm Lake</t>
  </si>
  <si>
    <t>Waterloo</t>
  </si>
  <si>
    <t>Webster City</t>
  </si>
  <si>
    <t>Burley</t>
  </si>
  <si>
    <t>Caldwell</t>
  </si>
  <si>
    <t>Malad City</t>
  </si>
  <si>
    <t>Grand View</t>
  </si>
  <si>
    <t>Soda Springs</t>
  </si>
  <si>
    <t>Belleville</t>
  </si>
  <si>
    <t>Chicago</t>
  </si>
  <si>
    <t>Decatur</t>
  </si>
  <si>
    <t>Moline</t>
  </si>
  <si>
    <t>Mount Vernon</t>
  </si>
  <si>
    <t>Peoria</t>
  </si>
  <si>
    <t>Quincy</t>
  </si>
  <si>
    <t>Rockford</t>
  </si>
  <si>
    <t>Murphysboro</t>
  </si>
  <si>
    <t>Rock Falls</t>
  </si>
  <si>
    <t>Muncie</t>
  </si>
  <si>
    <t>Evansville</t>
  </si>
  <si>
    <t>Fort Wayne</t>
  </si>
  <si>
    <t>Kokomo</t>
  </si>
  <si>
    <t>Huntingburg</t>
  </si>
  <si>
    <t>Indianapolis</t>
  </si>
  <si>
    <t>South Bend</t>
  </si>
  <si>
    <t>Terre Haute</t>
  </si>
  <si>
    <t>Concordia</t>
  </si>
  <si>
    <t>Dodge City</t>
  </si>
  <si>
    <t>Emporia</t>
  </si>
  <si>
    <t>Junction City</t>
  </si>
  <si>
    <t>Garden City</t>
  </si>
  <si>
    <t>Goodland</t>
  </si>
  <si>
    <t>Great Bend</t>
  </si>
  <si>
    <t>Hays</t>
  </si>
  <si>
    <t>Hill City</t>
  </si>
  <si>
    <t>Hutchinson</t>
  </si>
  <si>
    <t>Liberal</t>
  </si>
  <si>
    <t>Manhattan</t>
  </si>
  <si>
    <t>Wichita</t>
  </si>
  <si>
    <t>Olathe</t>
  </si>
  <si>
    <t>Russell</t>
  </si>
  <si>
    <t>Salina</t>
  </si>
  <si>
    <t>Bowling Green</t>
  </si>
  <si>
    <t>Hebron</t>
  </si>
  <si>
    <t>Hopkinsville</t>
  </si>
  <si>
    <t>Henderson City</t>
  </si>
  <si>
    <t>London</t>
  </si>
  <si>
    <t>Louisville</t>
  </si>
  <si>
    <t>West Paducah</t>
  </si>
  <si>
    <t>Somerset</t>
  </si>
  <si>
    <t>Pineville</t>
  </si>
  <si>
    <t>Bossier City</t>
  </si>
  <si>
    <t>Baton Rouge</t>
  </si>
  <si>
    <t>Leesville</t>
  </si>
  <si>
    <t>Houma</t>
  </si>
  <si>
    <t>Lake Charles</t>
  </si>
  <si>
    <t>Monroe</t>
  </si>
  <si>
    <t>New Iberia</t>
  </si>
  <si>
    <t>New Orleans</t>
  </si>
  <si>
    <t>Patterson</t>
  </si>
  <si>
    <t>Shreveport</t>
  </si>
  <si>
    <t>Hyannis</t>
  </si>
  <si>
    <t>Beverly</t>
  </si>
  <si>
    <t>Boston</t>
  </si>
  <si>
    <t>Chicopee Falls</t>
  </si>
  <si>
    <t>Lawrence</t>
  </si>
  <si>
    <t>Marthas Vineyard</t>
  </si>
  <si>
    <t>Nantucket</t>
  </si>
  <si>
    <t>New Bedford</t>
  </si>
  <si>
    <t>North Adams</t>
  </si>
  <si>
    <t>Norwood</t>
  </si>
  <si>
    <t>Mashpee</t>
  </si>
  <si>
    <t>Plymouth</t>
  </si>
  <si>
    <t>Westfield</t>
  </si>
  <si>
    <t>Worchester</t>
  </si>
  <si>
    <t>Camp Springs</t>
  </si>
  <si>
    <t>Baltimore</t>
  </si>
  <si>
    <t>Hagerstown</t>
  </si>
  <si>
    <t>Salisbury</t>
  </si>
  <si>
    <t>Bangor</t>
  </si>
  <si>
    <t>Bar Harbor</t>
  </si>
  <si>
    <t>Caribou</t>
  </si>
  <si>
    <t>Houlton</t>
  </si>
  <si>
    <t>Millinocket</t>
  </si>
  <si>
    <t>Frenchville</t>
  </si>
  <si>
    <t>Presque Isle</t>
  </si>
  <si>
    <t>Rockland</t>
  </si>
  <si>
    <t>Sanford</t>
  </si>
  <si>
    <t>Waterville</t>
  </si>
  <si>
    <t>Wiscasset</t>
  </si>
  <si>
    <t>Alpena</t>
  </si>
  <si>
    <t>Ann Arbor</t>
  </si>
  <si>
    <t>Battle Creek</t>
  </si>
  <si>
    <t>Benton Harbor</t>
  </si>
  <si>
    <t>Cadillac</t>
  </si>
  <si>
    <t>Kincheloe</t>
  </si>
  <si>
    <t>Detroit</t>
  </si>
  <si>
    <t>Escanaba</t>
  </si>
  <si>
    <t>Flint</t>
  </si>
  <si>
    <t>Calumet</t>
  </si>
  <si>
    <t>Houghton Lake</t>
  </si>
  <si>
    <t>Howell</t>
  </si>
  <si>
    <t>Kingsford</t>
  </si>
  <si>
    <t>Ironwood</t>
  </si>
  <si>
    <t>Kalamazoo</t>
  </si>
  <si>
    <t>Lansing</t>
  </si>
  <si>
    <t>Manistee</t>
  </si>
  <si>
    <t>Menominee</t>
  </si>
  <si>
    <t>Mount Clemens</t>
  </si>
  <si>
    <t>Muskegon</t>
  </si>
  <si>
    <t>Waterford Township</t>
  </si>
  <si>
    <t>Oscoda</t>
  </si>
  <si>
    <t>Pellston</t>
  </si>
  <si>
    <t>Freeland</t>
  </si>
  <si>
    <t>Marie</t>
  </si>
  <si>
    <t>Port Huron</t>
  </si>
  <si>
    <t>Traverse City</t>
  </si>
  <si>
    <t>Aitkin</t>
  </si>
  <si>
    <t>Albert Lea</t>
  </si>
  <si>
    <t xml:space="preserve">Baudette </t>
  </si>
  <si>
    <t>Bemidji</t>
  </si>
  <si>
    <t>Benson</t>
  </si>
  <si>
    <t>Brainerd</t>
  </si>
  <si>
    <t>Cambridge</t>
  </si>
  <si>
    <t>Cloquet</t>
  </si>
  <si>
    <t>Crane Lake</t>
  </si>
  <si>
    <t>Crookston</t>
  </si>
  <si>
    <t>Detroit Lakes</t>
  </si>
  <si>
    <t>Duluth</t>
  </si>
  <si>
    <t>Ely</t>
  </si>
  <si>
    <t>Eveleth</t>
  </si>
  <si>
    <t>Fairmont</t>
  </si>
  <si>
    <t>Faribault</t>
  </si>
  <si>
    <t>Fergus Falls</t>
  </si>
  <si>
    <t>Flying Cloud</t>
  </si>
  <si>
    <t>Fosston</t>
  </si>
  <si>
    <t>Glenwood</t>
  </si>
  <si>
    <t>Hallock</t>
  </si>
  <si>
    <t>Hibbing</t>
  </si>
  <si>
    <t>International Falls</t>
  </si>
  <si>
    <t>Litchfield</t>
  </si>
  <si>
    <t>Little Falls</t>
  </si>
  <si>
    <t>Mankato</t>
  </si>
  <si>
    <t>Marshall</t>
  </si>
  <si>
    <t>Minneapolis</t>
  </si>
  <si>
    <t>Mora</t>
  </si>
  <si>
    <t>Morris</t>
  </si>
  <si>
    <t>New Ulm</t>
  </si>
  <si>
    <t>Orr</t>
  </si>
  <si>
    <t>Owatonna</t>
  </si>
  <si>
    <t>Park Rapids</t>
  </si>
  <si>
    <t>Pipestone</t>
  </si>
  <si>
    <t>Red Wing</t>
  </si>
  <si>
    <t>Redwood Falls</t>
  </si>
  <si>
    <t>Rochester</t>
  </si>
  <si>
    <t>Roseau</t>
  </si>
  <si>
    <t>Silver Bay</t>
  </si>
  <si>
    <t>St Cloud</t>
  </si>
  <si>
    <t>St Paul</t>
  </si>
  <si>
    <t>Thief River Falls</t>
  </si>
  <si>
    <t>Two Harbors</t>
  </si>
  <si>
    <t>Wheaton</t>
  </si>
  <si>
    <t>Willmar</t>
  </si>
  <si>
    <t>Winona</t>
  </si>
  <si>
    <t>Worthington</t>
  </si>
  <si>
    <t>Cape Girardeau</t>
  </si>
  <si>
    <t>Jefferson City</t>
  </si>
  <si>
    <t>Joplin</t>
  </si>
  <si>
    <t>Kaiser</t>
  </si>
  <si>
    <t>Kansas City</t>
  </si>
  <si>
    <t>Kirksville</t>
  </si>
  <si>
    <t>Poplar Bluff</t>
  </si>
  <si>
    <t>St. Joseph</t>
  </si>
  <si>
    <t>St. Louis</t>
  </si>
  <si>
    <t>Warrensburg</t>
  </si>
  <si>
    <t>Starkville</t>
  </si>
  <si>
    <t>Greenwood</t>
  </si>
  <si>
    <t>Gulfport</t>
  </si>
  <si>
    <t>Hattiesburg</t>
  </si>
  <si>
    <t>Biloxi</t>
  </si>
  <si>
    <t>McComb</t>
  </si>
  <si>
    <t>Meridian</t>
  </si>
  <si>
    <t>Natchez</t>
  </si>
  <si>
    <t>Tupelo</t>
  </si>
  <si>
    <t>Cut Bank</t>
  </si>
  <si>
    <t>Glasgow</t>
  </si>
  <si>
    <t>Glendive</t>
  </si>
  <si>
    <t>Havre</t>
  </si>
  <si>
    <t>Lewistown</t>
  </si>
  <si>
    <t>Livingston</t>
  </si>
  <si>
    <t>Miles City</t>
  </si>
  <si>
    <t>Wolf Point</t>
  </si>
  <si>
    <t>Asheville</t>
  </si>
  <si>
    <t>Cape Hatteras</t>
  </si>
  <si>
    <t>Charlotte</t>
  </si>
  <si>
    <t>Havelock</t>
  </si>
  <si>
    <t>Manteo</t>
  </si>
  <si>
    <t>Elizabeth City</t>
  </si>
  <si>
    <t>Goldsboro</t>
  </si>
  <si>
    <t>Greensboro</t>
  </si>
  <si>
    <t>Hickory</t>
  </si>
  <si>
    <t>Kinston</t>
  </si>
  <si>
    <t>New Bern</t>
  </si>
  <si>
    <t>Raleigh</t>
  </si>
  <si>
    <t>Rocky Mount</t>
  </si>
  <si>
    <t>Southern Pines</t>
  </si>
  <si>
    <t>Winston-Salem</t>
  </si>
  <si>
    <t>Bismarck</t>
  </si>
  <si>
    <t>Devils Lake</t>
  </si>
  <si>
    <t>Dickinson</t>
  </si>
  <si>
    <t>Fargo</t>
  </si>
  <si>
    <t>Grand Forks</t>
  </si>
  <si>
    <t>Minot</t>
  </si>
  <si>
    <t>Williston</t>
  </si>
  <si>
    <t>Ainsworth</t>
  </si>
  <si>
    <t>Alliance</t>
  </si>
  <si>
    <t>Beatrice</t>
  </si>
  <si>
    <t>Bellevue</t>
  </si>
  <si>
    <t>Holdrege</t>
  </si>
  <si>
    <t>Broken Bow</t>
  </si>
  <si>
    <t>Chadron</t>
  </si>
  <si>
    <t>Falls City</t>
  </si>
  <si>
    <t>Fremont</t>
  </si>
  <si>
    <t>Grand Island</t>
  </si>
  <si>
    <t>Hastings</t>
  </si>
  <si>
    <t>Kearney</t>
  </si>
  <si>
    <t>Lincoln</t>
  </si>
  <si>
    <t>McCook</t>
  </si>
  <si>
    <t>North Platte</t>
  </si>
  <si>
    <t>O'Neill</t>
  </si>
  <si>
    <t>Omaha</t>
  </si>
  <si>
    <t>Ord</t>
  </si>
  <si>
    <t>Scottsbluff</t>
  </si>
  <si>
    <t>Tekamah</t>
  </si>
  <si>
    <t>Valentine</t>
  </si>
  <si>
    <t>Berlin</t>
  </si>
  <si>
    <t>Keene</t>
  </si>
  <si>
    <t>Laconia</t>
  </si>
  <si>
    <t>Lebanon</t>
  </si>
  <si>
    <t>Manchester</t>
  </si>
  <si>
    <t>Mount Washington</t>
  </si>
  <si>
    <t>Portsmouth</t>
  </si>
  <si>
    <t>Atlantic City</t>
  </si>
  <si>
    <t>Belmar</t>
  </si>
  <si>
    <t>Rio Grande</t>
  </si>
  <si>
    <t>Millville</t>
  </si>
  <si>
    <t>Newark</t>
  </si>
  <si>
    <t>Teterboro</t>
  </si>
  <si>
    <t>Trenton</t>
  </si>
  <si>
    <t>Albuquerque</t>
  </si>
  <si>
    <t>Clayton</t>
  </si>
  <si>
    <t>Clovis</t>
  </si>
  <si>
    <t>Deming</t>
  </si>
  <si>
    <t>Gallup</t>
  </si>
  <si>
    <t>Alamogordo</t>
  </si>
  <si>
    <t>Las Cruces</t>
  </si>
  <si>
    <t>Roswell</t>
  </si>
  <si>
    <t>Santa Fe</t>
  </si>
  <si>
    <t>Taos</t>
  </si>
  <si>
    <t>Truth or Consequences</t>
  </si>
  <si>
    <t>Tucumcari</t>
  </si>
  <si>
    <t>Elko</t>
  </si>
  <si>
    <t>Fallon</t>
  </si>
  <si>
    <t>Lovelock</t>
  </si>
  <si>
    <t>Mercury</t>
  </si>
  <si>
    <t>Reno</t>
  </si>
  <si>
    <t>Tonopah</t>
  </si>
  <si>
    <t>Winnemucca</t>
  </si>
  <si>
    <t>Saranac Lake</t>
  </si>
  <si>
    <t>Binghamton</t>
  </si>
  <si>
    <t>Buffalo</t>
  </si>
  <si>
    <t>Elmira</t>
  </si>
  <si>
    <t>Glen Falls</t>
  </si>
  <si>
    <t>Ronkonkoma</t>
  </si>
  <si>
    <t>Massena</t>
  </si>
  <si>
    <t>Nigara Falls</t>
  </si>
  <si>
    <t>Wappingers Falls</t>
  </si>
  <si>
    <t>Republic</t>
  </si>
  <si>
    <t>Rockester</t>
  </si>
  <si>
    <t>New Windsor</t>
  </si>
  <si>
    <t>Syracuse</t>
  </si>
  <si>
    <t>Utica</t>
  </si>
  <si>
    <t>Westhampton Beach</t>
  </si>
  <si>
    <t>White Plains</t>
  </si>
  <si>
    <t>Lakewood</t>
  </si>
  <si>
    <t>Cincinnati</t>
  </si>
  <si>
    <t>Cleveland</t>
  </si>
  <si>
    <t>Dayton</t>
  </si>
  <si>
    <t>Findlay</t>
  </si>
  <si>
    <t>Mansfield</t>
  </si>
  <si>
    <t>Youngstown</t>
  </si>
  <si>
    <t>Zanesville</t>
  </si>
  <si>
    <t>Altus</t>
  </si>
  <si>
    <t>Bartlesville</t>
  </si>
  <si>
    <t>Fort Sill</t>
  </si>
  <si>
    <t>Gage</t>
  </si>
  <si>
    <t>Hobart</t>
  </si>
  <si>
    <t>Lawton</t>
  </si>
  <si>
    <t>McAlester</t>
  </si>
  <si>
    <t>Oklahoma City</t>
  </si>
  <si>
    <t>Ponca City</t>
  </si>
  <si>
    <t>Stillwater</t>
  </si>
  <si>
    <t>Tulsa</t>
  </si>
  <si>
    <t>Enid</t>
  </si>
  <si>
    <t>Corvallus</t>
  </si>
  <si>
    <t>La Grande</t>
  </si>
  <si>
    <t>Lakeview</t>
  </si>
  <si>
    <t>North Bend</t>
  </si>
  <si>
    <t>Pendleton</t>
  </si>
  <si>
    <t>Redmond</t>
  </si>
  <si>
    <t>Sexton Summit</t>
  </si>
  <si>
    <t>Allentown</t>
  </si>
  <si>
    <t>Martinsburg</t>
  </si>
  <si>
    <t>Bradford</t>
  </si>
  <si>
    <t>Butler</t>
  </si>
  <si>
    <t>DuBois</t>
  </si>
  <si>
    <t>Erie</t>
  </si>
  <si>
    <t>Johnstown</t>
  </si>
  <si>
    <t>Middletown</t>
  </si>
  <si>
    <t>Philadelphia</t>
  </si>
  <si>
    <t>Pittsburgh</t>
  </si>
  <si>
    <t>Reading</t>
  </si>
  <si>
    <t>University Park</t>
  </si>
  <si>
    <t>Scranton</t>
  </si>
  <si>
    <t>Williamsport</t>
  </si>
  <si>
    <t>New Shoreham</t>
  </si>
  <si>
    <t>Pawtucket</t>
  </si>
  <si>
    <t>Providence</t>
  </si>
  <si>
    <t>Anderson</t>
  </si>
  <si>
    <t>Beaufort</t>
  </si>
  <si>
    <t>Florence</t>
  </si>
  <si>
    <t>Myrtle Beach</t>
  </si>
  <si>
    <t>Sumter</t>
  </si>
  <si>
    <t>Brookings</t>
  </si>
  <si>
    <t>Yankton</t>
  </si>
  <si>
    <t>Huron</t>
  </si>
  <si>
    <t>Mitchell</t>
  </si>
  <si>
    <t>Mobridge</t>
  </si>
  <si>
    <t>Pierre</t>
  </si>
  <si>
    <t>Rapid City</t>
  </si>
  <si>
    <t>Sioux Falls</t>
  </si>
  <si>
    <t>Blountville</t>
  </si>
  <si>
    <t>Chattanooga</t>
  </si>
  <si>
    <t>Crossville</t>
  </si>
  <si>
    <t>Dyersburg</t>
  </si>
  <si>
    <t>Memphis</t>
  </si>
  <si>
    <t>Nashville</t>
  </si>
  <si>
    <t>Blanding</t>
  </si>
  <si>
    <t>Bryce Canyon City</t>
  </si>
  <si>
    <t>Abilene</t>
  </si>
  <si>
    <t>Alice</t>
  </si>
  <si>
    <t>Amarillo</t>
  </si>
  <si>
    <t>Brownsville</t>
  </si>
  <si>
    <t>Childress</t>
  </si>
  <si>
    <t>College Station</t>
  </si>
  <si>
    <t>Corpus Christi</t>
  </si>
  <si>
    <t>Cotulla</t>
  </si>
  <si>
    <t>Paris</t>
  </si>
  <si>
    <t>Dalhart</t>
  </si>
  <si>
    <t>Dallas</t>
  </si>
  <si>
    <t>Del Rio</t>
  </si>
  <si>
    <t>Temple</t>
  </si>
  <si>
    <t>El Paso</t>
  </si>
  <si>
    <t>Killeen</t>
  </si>
  <si>
    <t>Galveston</t>
  </si>
  <si>
    <t>Georgetown</t>
  </si>
  <si>
    <t>Harlingen</t>
  </si>
  <si>
    <t>Hondo</t>
  </si>
  <si>
    <t>Houston</t>
  </si>
  <si>
    <t>Kingsville</t>
  </si>
  <si>
    <t>Laredo</t>
  </si>
  <si>
    <t>Longview</t>
  </si>
  <si>
    <t>Lubbock</t>
  </si>
  <si>
    <t>Lufkin</t>
  </si>
  <si>
    <t>Marfa</t>
  </si>
  <si>
    <t>McGregor</t>
  </si>
  <si>
    <t>McAllen</t>
  </si>
  <si>
    <t>Midland</t>
  </si>
  <si>
    <t>Mineral wells</t>
  </si>
  <si>
    <t>Nacogdockes</t>
  </si>
  <si>
    <t>Palacios</t>
  </si>
  <si>
    <t>Port Arthur</t>
  </si>
  <si>
    <t>Rockport</t>
  </si>
  <si>
    <t>San Angelo</t>
  </si>
  <si>
    <t>San Antonio</t>
  </si>
  <si>
    <t>Tyler</t>
  </si>
  <si>
    <t>Victoria</t>
  </si>
  <si>
    <t>Waco</t>
  </si>
  <si>
    <t>Wichita Falls</t>
  </si>
  <si>
    <t>Wink</t>
  </si>
  <si>
    <t>Cedar City</t>
  </si>
  <si>
    <t>Delta</t>
  </si>
  <si>
    <t>Hanksville</t>
  </si>
  <si>
    <t>Moab</t>
  </si>
  <si>
    <t>Ogden</t>
  </si>
  <si>
    <t>Provo</t>
  </si>
  <si>
    <t>Saint George</t>
  </si>
  <si>
    <t>Salt Lake City</t>
  </si>
  <si>
    <t>Vernal</t>
  </si>
  <si>
    <t>Wendover</t>
  </si>
  <si>
    <t>Montpelier</t>
  </si>
  <si>
    <t>Rutland</t>
  </si>
  <si>
    <t>Wise</t>
  </si>
  <si>
    <t>Abingdon</t>
  </si>
  <si>
    <t>Charlottesville</t>
  </si>
  <si>
    <t>Danville</t>
  </si>
  <si>
    <t>Farmville</t>
  </si>
  <si>
    <t>Hillsville</t>
  </si>
  <si>
    <t>Hampton</t>
  </si>
  <si>
    <t>Leesburg</t>
  </si>
  <si>
    <t>Lynchburg</t>
  </si>
  <si>
    <t>Manassas</t>
  </si>
  <si>
    <t>Martinsville</t>
  </si>
  <si>
    <t>Melfa</t>
  </si>
  <si>
    <t>Newport News</t>
  </si>
  <si>
    <t>Virginia Beach</t>
  </si>
  <si>
    <t>Pulaski</t>
  </si>
  <si>
    <t>Quantico</t>
  </si>
  <si>
    <t>Richmond</t>
  </si>
  <si>
    <t>Roanoke</t>
  </si>
  <si>
    <t>Fredericksburg</t>
  </si>
  <si>
    <t>Blacksburg</t>
  </si>
  <si>
    <t>Washington DC</t>
  </si>
  <si>
    <t>Winchester</t>
  </si>
  <si>
    <t>Bremerton</t>
  </si>
  <si>
    <t>Ephrata</t>
  </si>
  <si>
    <t>Hanford</t>
  </si>
  <si>
    <t>Hoquiam</t>
  </si>
  <si>
    <t>Moses Lake</t>
  </si>
  <si>
    <t>Pullman</t>
  </si>
  <si>
    <t>Forks</t>
  </si>
  <si>
    <t>Renton</t>
  </si>
  <si>
    <t>Everett</t>
  </si>
  <si>
    <t>Stampede Pass</t>
  </si>
  <si>
    <t>Antigo</t>
  </si>
  <si>
    <t>Appleton</t>
  </si>
  <si>
    <t>Eau Claire</t>
  </si>
  <si>
    <t>Green Bay</t>
  </si>
  <si>
    <t>Janesville</t>
  </si>
  <si>
    <t>La Cross</t>
  </si>
  <si>
    <t>Lone Rock</t>
  </si>
  <si>
    <t>Madison</t>
  </si>
  <si>
    <t>Manitowac</t>
  </si>
  <si>
    <t>Marshfield</t>
  </si>
  <si>
    <t>Milwaukee</t>
  </si>
  <si>
    <t>Minocqua</t>
  </si>
  <si>
    <t>Mosinee</t>
  </si>
  <si>
    <t>Phillips</t>
  </si>
  <si>
    <t>Rhinelander</t>
  </si>
  <si>
    <t>Rice Lake</t>
  </si>
  <si>
    <t>Sturgeon Bay</t>
  </si>
  <si>
    <t>Wausau</t>
  </si>
  <si>
    <t>Oshkosh</t>
  </si>
  <si>
    <t>Beckley</t>
  </si>
  <si>
    <t>Bluefield</t>
  </si>
  <si>
    <t>Elkins</t>
  </si>
  <si>
    <t>Bridgeport</t>
  </si>
  <si>
    <t>Huntington</t>
  </si>
  <si>
    <t>Lewisburg</t>
  </si>
  <si>
    <t>Morgantown</t>
  </si>
  <si>
    <t>parkersburg</t>
  </si>
  <si>
    <t>Wheeling</t>
  </si>
  <si>
    <t>Casper</t>
  </si>
  <si>
    <t>Cheyenne</t>
  </si>
  <si>
    <t>Cody</t>
  </si>
  <si>
    <t>Evanston</t>
  </si>
  <si>
    <t>Gillette</t>
  </si>
  <si>
    <t>Jackson Hole</t>
  </si>
  <si>
    <t>Lander</t>
  </si>
  <si>
    <t>Laramie</t>
  </si>
  <si>
    <t>Rawlins</t>
  </si>
  <si>
    <t>Riverton</t>
  </si>
  <si>
    <t>Rock Springs</t>
  </si>
  <si>
    <t>Sheridan</t>
  </si>
  <si>
    <t>Workland</t>
  </si>
  <si>
    <t>Aklaska</t>
  </si>
  <si>
    <t>Big River Lakes</t>
  </si>
  <si>
    <t>Port Heiden</t>
  </si>
  <si>
    <t>Yuba City</t>
  </si>
  <si>
    <t>Valparaiso</t>
  </si>
  <si>
    <t>Kalaoa</t>
  </si>
  <si>
    <t>Algona</t>
  </si>
  <si>
    <t>Atlantic</t>
  </si>
  <si>
    <t>Boone</t>
  </si>
  <si>
    <t>Bondville</t>
  </si>
  <si>
    <t>West Chicago</t>
  </si>
  <si>
    <t>Chanute</t>
  </si>
  <si>
    <t>Topeka</t>
  </si>
  <si>
    <t>Fort Knox</t>
  </si>
  <si>
    <t>Lexington</t>
  </si>
  <si>
    <t>Provincetown</t>
  </si>
  <si>
    <t>Lexington Park</t>
  </si>
  <si>
    <t xml:space="preserve">Ft. Leonard Wood </t>
  </si>
  <si>
    <t>Vichy</t>
  </si>
  <si>
    <t>Ruidoso</t>
  </si>
  <si>
    <t xml:space="preserve">Pennsylvania </t>
  </si>
  <si>
    <t>Altoona</t>
  </si>
  <si>
    <t>Harrisburg</t>
  </si>
  <si>
    <t>Greer</t>
  </si>
  <si>
    <t>North Myrtle Beach</t>
  </si>
  <si>
    <t xml:space="preserve">Tennessee </t>
  </si>
  <si>
    <t>Weyers Cave</t>
  </si>
  <si>
    <t>Tacoma</t>
  </si>
  <si>
    <t xml:space="preserve">Whidbey Island </t>
  </si>
  <si>
    <t>La Crosse</t>
  </si>
  <si>
    <t>Parkersburg</t>
  </si>
  <si>
    <t>Worland</t>
  </si>
  <si>
    <t>Multi-family</t>
  </si>
  <si>
    <t>Akron CO</t>
  </si>
  <si>
    <t>Dist._of_Columbia</t>
  </si>
  <si>
    <t>New_Hampshire</t>
  </si>
  <si>
    <t>New_Jersey</t>
  </si>
  <si>
    <t>New_Mexico</t>
  </si>
  <si>
    <t>New_York</t>
  </si>
  <si>
    <t>North_Carolina</t>
  </si>
  <si>
    <t>North_Dakota</t>
  </si>
  <si>
    <t>West_Virginia</t>
  </si>
  <si>
    <t>South_Carolina</t>
  </si>
  <si>
    <t>South_Dakota</t>
  </si>
  <si>
    <t>Rhode_Island</t>
  </si>
  <si>
    <t>MF Type</t>
  </si>
  <si>
    <t>Base</t>
  </si>
  <si>
    <t>FCU_Elec</t>
  </si>
  <si>
    <t>FCU_Gas</t>
  </si>
  <si>
    <t>MF</t>
  </si>
  <si>
    <t>Type of Existing Window</t>
  </si>
  <si>
    <t>Double pane</t>
  </si>
  <si>
    <t>Infiltration Savings</t>
  </si>
  <si>
    <t>Infil</t>
  </si>
  <si>
    <t>Included</t>
  </si>
  <si>
    <t>Excluded</t>
  </si>
  <si>
    <t>Factor</t>
  </si>
  <si>
    <t>Lancaster PA</t>
  </si>
  <si>
    <t>Aberdeen SD</t>
  </si>
  <si>
    <t>Aberdeen WA</t>
  </si>
  <si>
    <t>Akron OH</t>
  </si>
  <si>
    <t>Albany GA</t>
  </si>
  <si>
    <t>Albany NY</t>
  </si>
  <si>
    <t>Alexandria LA</t>
  </si>
  <si>
    <t>Alexandria MN</t>
  </si>
  <si>
    <t>Auburn ME</t>
  </si>
  <si>
    <t>Augusta ME</t>
  </si>
  <si>
    <t>Augusta GA</t>
  </si>
  <si>
    <t>Aurora CO</t>
  </si>
  <si>
    <t>Aurora IL</t>
  </si>
  <si>
    <t>Aurora OR</t>
  </si>
  <si>
    <t>Austin MN</t>
  </si>
  <si>
    <t>Austin TX</t>
  </si>
  <si>
    <t>Petersburg AK</t>
  </si>
  <si>
    <t>Auburn AL</t>
  </si>
  <si>
    <t>Fayetteville AR</t>
  </si>
  <si>
    <t>Hot Springs AR</t>
  </si>
  <si>
    <t>Carlsbad CA</t>
  </si>
  <si>
    <t>Concord CA</t>
  </si>
  <si>
    <t>Fairfield CA</t>
  </si>
  <si>
    <t>Imperial CA</t>
  </si>
  <si>
    <t>Lancaster CA</t>
  </si>
  <si>
    <t>Wilmington DE</t>
  </si>
  <si>
    <t>Jacksonville FL</t>
  </si>
  <si>
    <t>Brunswick GA</t>
  </si>
  <si>
    <t>Columbus GA</t>
  </si>
  <si>
    <t>Burlington IA</t>
  </si>
  <si>
    <t>Clinton IA</t>
  </si>
  <si>
    <t>Fairfield IA</t>
  </si>
  <si>
    <t>Knoxville IA</t>
  </si>
  <si>
    <t>Monticello IA</t>
  </si>
  <si>
    <t>Newton IA</t>
  </si>
  <si>
    <t>Washington IA</t>
  </si>
  <si>
    <t>Bloomington IL</t>
  </si>
  <si>
    <t>Marion IL</t>
  </si>
  <si>
    <t>Springfield IL</t>
  </si>
  <si>
    <t>Bloomington IN</t>
  </si>
  <si>
    <t>Lafayette IN</t>
  </si>
  <si>
    <t>Hutchinson KS</t>
  </si>
  <si>
    <t>Newton KS</t>
  </si>
  <si>
    <t>Jackson KY</t>
  </si>
  <si>
    <t>Lafayette LA</t>
  </si>
  <si>
    <t>Brunswick ME</t>
  </si>
  <si>
    <t>Portland ME</t>
  </si>
  <si>
    <t>Grand Rapids MI</t>
  </si>
  <si>
    <t>Jackson MI</t>
  </si>
  <si>
    <t>Grand Rapids MN</t>
  </si>
  <si>
    <t>Columbia MO</t>
  </si>
  <si>
    <t>Farmington MO</t>
  </si>
  <si>
    <t>Springfield MO</t>
  </si>
  <si>
    <t>Columbus MS</t>
  </si>
  <si>
    <t>Greenville MS</t>
  </si>
  <si>
    <t>Jackson MS</t>
  </si>
  <si>
    <t>Sidney MT</t>
  </si>
  <si>
    <t>Fayetteville NC</t>
  </si>
  <si>
    <t>Greenville NC</t>
  </si>
  <si>
    <t>Jacksonville NC</t>
  </si>
  <si>
    <t>Wilmington NC</t>
  </si>
  <si>
    <t>Jamestown ND</t>
  </si>
  <si>
    <t>Columbus NE</t>
  </si>
  <si>
    <t>Sidney NE</t>
  </si>
  <si>
    <t>Norfolk NE</t>
  </si>
  <si>
    <t>Imperial  NE</t>
  </si>
  <si>
    <t>Concord NH</t>
  </si>
  <si>
    <t>Fairfield NJ</t>
  </si>
  <si>
    <t>Carlsbad NM</t>
  </si>
  <si>
    <t>Farmington NM</t>
  </si>
  <si>
    <t>Las Vegas NM</t>
  </si>
  <si>
    <t>Las Vegas NV</t>
  </si>
  <si>
    <t>Jamestown NY</t>
  </si>
  <si>
    <t>Monticello NY</t>
  </si>
  <si>
    <t>Watertown NY</t>
  </si>
  <si>
    <t>Columbus OH</t>
  </si>
  <si>
    <t>Toledo OH</t>
  </si>
  <si>
    <t>Clinton OK</t>
  </si>
  <si>
    <t>Portland OR</t>
  </si>
  <si>
    <t>Franklin PA</t>
  </si>
  <si>
    <t>Washington PA</t>
  </si>
  <si>
    <t>Charleston SC</t>
  </si>
  <si>
    <t>Columbia SC</t>
  </si>
  <si>
    <t>Greenville SC</t>
  </si>
  <si>
    <t>Watertown SD</t>
  </si>
  <si>
    <t>Knoxville TN</t>
  </si>
  <si>
    <t>Jackson TN</t>
  </si>
  <si>
    <t>Greenville TX</t>
  </si>
  <si>
    <t>Franklin VA</t>
  </si>
  <si>
    <t>Marion VA</t>
  </si>
  <si>
    <t>Hot Springs VA</t>
  </si>
  <si>
    <t>Norfolk VA</t>
  </si>
  <si>
    <t>Petersburg VA</t>
  </si>
  <si>
    <t>Burlington VT</t>
  </si>
  <si>
    <t>Springfield VT</t>
  </si>
  <si>
    <t>Toledo WA</t>
  </si>
  <si>
    <t>Watertown WI</t>
  </si>
  <si>
    <t>Charleston WV</t>
  </si>
  <si>
    <t>Hutchinson MN</t>
  </si>
  <si>
    <t>Imperial NE</t>
  </si>
  <si>
    <t>Columbus NC</t>
  </si>
  <si>
    <t>???</t>
  </si>
  <si>
    <t>HVAC Type, Low-rise Multi-family</t>
  </si>
  <si>
    <t>HVAC Type, Mid-rise Multi-family</t>
  </si>
  <si>
    <t>19) Mid-rise Multifamily:  Single zone fan coil units with electric hot water boiler and air-cooled chiller</t>
  </si>
  <si>
    <t>20) Mid-rise Multifamily:  Single zone fan coil units with gas-fired hot water boiler and air-cooled chiller</t>
  </si>
  <si>
    <t>developed for and by BPA.  Models address mid-sized offices, large offices, small hotels, large hotels, primary schools, secondary schools, small hospitals., mid-rise multifamily, and low-rise multifamily.</t>
  </si>
  <si>
    <t>4.  The user selects the closest geograhical location from a lists designating "State" and then "Cities", that then populates the degree-day cells.</t>
  </si>
  <si>
    <t>This Beta version is populated with savings curves derived with Eplus model data for the building and system types listed above.</t>
  </si>
  <si>
    <t xml:space="preserve">2.  	Project Location (State):  This is a pull-down menu inpt.  User must select one of 50 states and the District of Columbia. </t>
  </si>
  <si>
    <t>account for differences in geography, climate, and HVAC operating hours (for offices), and average occupancy rate (for hotels).  The dataset is representative of climate variations throughout United States climate zones.</t>
  </si>
  <si>
    <t>21) Low-rise Multifamily:  Packaged terminal air conditioning units with electric heat</t>
  </si>
  <si>
    <t xml:space="preserve">5.  Natural Gas Utility:  This is a text entry, and is not used in the savings calculation.  User should enter the name of the servicing natural gas utility.  If there is no natural gas utility, then enter “N/A.”  This information is intended to support the development of an accurate estimate of natural gas rate. </t>
  </si>
  <si>
    <t xml:space="preserve">9. N	o. of floors:This is a numerical whole number entry representing the total number of floors that are included in the Building Area entry.  It is used in the logic to to estimate the window to wall ratio and alert the user when the CSW sq.ft. input may require verification.  This entry does not directly affect energy savings.  For Multifamily buildings, it is used to determine whether the project is Mid-rise (greater than 3 floors) or Low-rise (3 floors or less).
</t>
  </si>
  <si>
    <t>10.  HVAC System Type:  This is a pull-down menu input variable.  The list of choices in the pull-down menu varies with the building type.  User must select one of the entries from the pull-down menu (listed and briefly described below).  The system type selection is used in the logic to determine the appropriate set of regression curves to reference for savings estimates.</t>
  </si>
  <si>
    <t>1.  All user input and savings output iresides in one of five building type tabs:  Office, Hotel, School, Hospital, or Multifamily.</t>
  </si>
  <si>
    <t>2.  All user input cells contain a comment that provides guidance for the user.  Depending on the building type there are (13) or (14) input cells.</t>
  </si>
  <si>
    <t>City</t>
  </si>
  <si>
    <t>Hours</t>
  </si>
  <si>
    <t>Hi</t>
  </si>
  <si>
    <t>Lo</t>
  </si>
  <si>
    <t>Office Size</t>
  </si>
  <si>
    <t>Baseline Cooling Load Coefficients</t>
  </si>
  <si>
    <t>Baseline Peak Cooling</t>
  </si>
  <si>
    <t>CSW Ld Red</t>
  </si>
  <si>
    <t>SingleSingleMidOfficePVAV_ElecElectricLo</t>
  </si>
  <si>
    <t>None</t>
  </si>
  <si>
    <t>Heating Fuel</t>
  </si>
  <si>
    <t>CWS Clg Load</t>
  </si>
  <si>
    <t>CSW Savings Calculator</t>
  </si>
  <si>
    <r>
      <t xml:space="preserve">a.  </t>
    </r>
    <r>
      <rPr>
        <u/>
        <sz val="11"/>
        <rFont val="Calibri"/>
        <family val="2"/>
        <scheme val="minor"/>
      </rPr>
      <t>Packaged VAV with electric reheat</t>
    </r>
    <r>
      <rPr>
        <sz val="11"/>
        <rFont val="Calibri"/>
        <family val="2"/>
        <scheme val="minor"/>
      </rPr>
      <t xml:space="preserve">:  This represents packaged rooftop variable air volume systems with electric resistance reheat coils in terminal units within ductwork.  This is a typical HVAC system type for mid-rise office buildings.  This system type can be selected for offices only  of any size. </t>
    </r>
  </si>
  <si>
    <r>
      <t xml:space="preserve">b.  </t>
    </r>
    <r>
      <rPr>
        <u/>
        <sz val="11"/>
        <rFont val="Calibri"/>
        <family val="2"/>
        <scheme val="minor"/>
      </rPr>
      <t>Packaged VAV with hydronic reheat</t>
    </r>
    <r>
      <rPr>
        <sz val="11"/>
        <rFont val="Calibri"/>
        <family val="2"/>
        <scheme val="minor"/>
      </rPr>
      <t>:  This represented packaged rooftop variable air volume systems with hydronic (hot water) reheat coils in terminal units within ductwork.  This is a variation of typical HVAC systems for mid-rise office buildings where a gas-fired hot water boiler is installed in the building to meet system reheat needs.  This system type can be selected for offices only of any size.</t>
    </r>
  </si>
  <si>
    <r>
      <t xml:space="preserve">c.  </t>
    </r>
    <r>
      <rPr>
        <u/>
        <sz val="11"/>
        <rFont val="Calibri"/>
        <family val="2"/>
        <scheme val="minor"/>
      </rPr>
      <t>Built-up VAV with hydronic reheat from gas-fired boilers</t>
    </r>
    <r>
      <rPr>
        <sz val="11"/>
        <rFont val="Calibri"/>
        <family val="2"/>
        <scheme val="minor"/>
      </rPr>
      <t>:  This represents built-up variable air volume systems where air handling units and reheat coils are served by central chillers and boilers.  Reheat coils in terminal units are hydronic (hot water).  This is a typical HVAC system for large office buildings.  This system type can be selected for offices only of any size.</t>
    </r>
  </si>
  <si>
    <r>
      <t xml:space="preserve">d.  </t>
    </r>
    <r>
      <rPr>
        <u/>
        <sz val="11"/>
        <rFont val="Calibri"/>
        <family val="2"/>
        <scheme val="minor"/>
      </rPr>
      <t>Built-up VAV with hydronic reheat from electric resistance boilers</t>
    </r>
    <r>
      <rPr>
        <sz val="11"/>
        <rFont val="Calibri"/>
        <family val="2"/>
        <scheme val="minor"/>
      </rPr>
      <t xml:space="preserve">:  This represents built-up variable air volume systems where air handling units and reheat coils are served by electric-drive chillers and gas-fired boilers.  Reheat coils in terminal units are hydronic (hot water).  This is a typical HVAC system for large office buildings.  This system type can be selected for offices of any size. </t>
    </r>
  </si>
  <si>
    <t xml:space="preserve">11.  	Dominant Heating Fuel:This is a pull-down menu input variable.  User must select one of the three entries from the pull-down menu – electric, natural gas, or none.  This entry will be used in the logic that determines the set of regression equations to be used to estimate heating savings.  For hotels and lowrise multifamily, this entry is overridden to electric if the system type chosen is PTAC or PTHP.  For offices, this entry is overridden to electric if the system type chosen is Packaged VAV with Electric Reheat.  If "none" is selected, savings for heating will be zero.
</t>
  </si>
  <si>
    <t>Base Peak Load Coefficient</t>
  </si>
  <si>
    <t>Cooling Reduction Coefficients</t>
  </si>
  <si>
    <t>Cooling Installed?</t>
  </si>
  <si>
    <t>Cooling</t>
  </si>
  <si>
    <t>Yes</t>
  </si>
  <si>
    <t>No</t>
  </si>
  <si>
    <t>Heating Savings Curve Comparisons</t>
  </si>
  <si>
    <t>1 v 10</t>
  </si>
  <si>
    <t>% delta</t>
  </si>
  <si>
    <t>2 v 11</t>
  </si>
  <si>
    <t>3 v 12</t>
  </si>
  <si>
    <t>Regression Form (a+bx+cx^2) except PTHP which is Exponential Curve</t>
  </si>
  <si>
    <t>Occupancy</t>
  </si>
  <si>
    <t>EUI Regressions</t>
  </si>
  <si>
    <t>Clg</t>
  </si>
  <si>
    <t>Electric Only</t>
  </si>
  <si>
    <t>Cooling / Aux Split Regression</t>
  </si>
  <si>
    <t>d</t>
  </si>
  <si>
    <t>Savings Adjustment Factor Regressions</t>
  </si>
  <si>
    <t>Cool</t>
  </si>
  <si>
    <t>Savings Adjustment Factor Regressions (Cool)</t>
  </si>
  <si>
    <t>Infil Savings Reduction Factors</t>
  </si>
  <si>
    <t>HVAC</t>
  </si>
  <si>
    <r>
      <t xml:space="preserve">e. </t>
    </r>
    <r>
      <rPr>
        <u/>
        <sz val="11"/>
        <rFont val="Calibri"/>
        <family val="2"/>
        <scheme val="minor"/>
      </rPr>
      <t>Packaged Terminal Air Conditioner (PTAC)</t>
    </r>
    <r>
      <rPr>
        <sz val="11"/>
        <rFont val="Calibri"/>
        <family val="2"/>
        <scheme val="minor"/>
      </rPr>
      <t xml:space="preserve">:  This system is common for small hotels and assumes electric resistance heat.  It can be selected for hotels only of any size, or low-rise multifamily. </t>
    </r>
  </si>
  <si>
    <r>
      <t xml:space="preserve">f. </t>
    </r>
    <r>
      <rPr>
        <u/>
        <sz val="11"/>
        <rFont val="Calibri"/>
        <family val="2"/>
        <scheme val="minor"/>
      </rPr>
      <t>Packaged Terminal Heat Pump (PTHP)</t>
    </r>
    <r>
      <rPr>
        <sz val="11"/>
        <rFont val="Calibri"/>
        <family val="2"/>
        <scheme val="minor"/>
      </rPr>
      <t xml:space="preserve">:  This system is common for small hotels, or motels.  Heating fuel is electricity via electric-drive heat pumps.  It can be selected for hotels only of any size. </t>
    </r>
  </si>
  <si>
    <r>
      <t xml:space="preserve">g.  </t>
    </r>
    <r>
      <rPr>
        <u/>
        <sz val="11"/>
        <rFont val="Calibri"/>
        <family val="2"/>
        <scheme val="minor"/>
      </rPr>
      <t>Distributed 4-pipe fan coil units (FCUs) with electric chiller and electric boiler</t>
    </r>
    <r>
      <rPr>
        <sz val="11"/>
        <rFont val="Calibri"/>
        <family val="2"/>
        <scheme val="minor"/>
      </rPr>
      <t xml:space="preserve">:  This system type assumes a 4-pipe hydronic distribution system serving distributed fan coil units </t>
    </r>
    <r>
      <rPr>
        <sz val="11"/>
        <color rgb="FFFF0000"/>
        <rFont val="Calibri"/>
        <family val="2"/>
        <scheme val="minor"/>
      </rPr>
      <t xml:space="preserve">from a </t>
    </r>
    <r>
      <rPr>
        <sz val="11"/>
        <rFont val="Calibri"/>
        <family val="2"/>
        <scheme val="minor"/>
      </rPr>
      <t>central plant with</t>
    </r>
    <r>
      <rPr>
        <sz val="11"/>
        <color rgb="FFFF0000"/>
        <rFont val="Calibri"/>
        <family val="2"/>
        <scheme val="minor"/>
      </rPr>
      <t xml:space="preserve"> </t>
    </r>
    <r>
      <rPr>
        <sz val="11"/>
        <rFont val="Calibri"/>
        <family val="2"/>
        <scheme val="minor"/>
      </rPr>
      <t>electric-drive chiller and electric resistance boiler.  It can be selected for hotels, schools of any size, or mid-rise multifamily.</t>
    </r>
  </si>
  <si>
    <r>
      <t xml:space="preserve">h.  </t>
    </r>
    <r>
      <rPr>
        <u/>
        <sz val="11"/>
        <rFont val="Calibri"/>
        <family val="2"/>
        <scheme val="minor"/>
      </rPr>
      <t>Distributed 4-pipe fan coil units (FCUs) with electric chiller and gas-fired boiler</t>
    </r>
    <r>
      <rPr>
        <sz val="11"/>
        <rFont val="Calibri"/>
        <family val="2"/>
        <scheme val="minor"/>
      </rPr>
      <t>:  This system type assumes a 4-pipe hydronic distribution system serving distributed fan coil units from a central plant with electric-drive chiller and gas-fired boiler.  It can be selected for hotels, schools of any size, or mid-rise multifamily.</t>
    </r>
  </si>
  <si>
    <r>
      <t xml:space="preserve">i.  </t>
    </r>
    <r>
      <rPr>
        <u/>
        <sz val="11"/>
        <rFont val="Calibri"/>
        <family val="2"/>
        <scheme val="minor"/>
      </rPr>
      <t>Central Ducted VAV with gas-fired reheat</t>
    </r>
    <r>
      <rPr>
        <sz val="11"/>
        <rFont val="Calibri"/>
        <family val="2"/>
        <scheme val="minor"/>
      </rPr>
      <t>:  This system represented a centralized, built-up VAV system served by a 4-pipe hydronic systems for heating and cooling. A central plant with electric-drive chiller and gas-fired boiler provides the hydronic cooling and heat.  It can be selected for schools or hospitals of any size.</t>
    </r>
  </si>
  <si>
    <r>
      <t xml:space="preserve">j.  </t>
    </r>
    <r>
      <rPr>
        <u/>
        <sz val="11"/>
        <rFont val="Calibri"/>
        <family val="2"/>
        <scheme val="minor"/>
      </rPr>
      <t>Central Ducted VAV with electric resistance reheat</t>
    </r>
    <r>
      <rPr>
        <sz val="11"/>
        <rFont val="Calibri"/>
        <family val="2"/>
        <scheme val="minor"/>
      </rPr>
      <t>:  This system represented a centralized, built-up VAV system served by a 4-pipe hydronic systems for heating and cooling. A central plant with electric-drive chiller and anelectric resistance boiler boiler provides the hydronic cooling and heat.  It can be selected for schools or hospitals of any size.</t>
    </r>
  </si>
  <si>
    <r>
      <t xml:space="preserve">k.  </t>
    </r>
    <r>
      <rPr>
        <u/>
        <sz val="11"/>
        <rFont val="Calibri"/>
        <family val="2"/>
        <scheme val="minor"/>
      </rPr>
      <t>Other</t>
    </r>
    <r>
      <rPr>
        <sz val="11"/>
        <rFont val="Calibri"/>
        <family val="2"/>
        <scheme val="minor"/>
      </rPr>
      <t>:  This selection should be made for any HVAC system types that does not fit into one of the categories listed above.  Note that even if this selection is made, savings will be based on simulations that assume one of the system types listed above.</t>
    </r>
  </si>
  <si>
    <t xml:space="preserve">13.  	Tpe of Existing Window:  This is a pull-down menu inpt.  User must select one of the two entries from the pull-down menu - single or double.  Single represents windows wth single pane clear glass (U-value of 1.04 Btu/hr-SF-F and solar heat gain coefficient (SHGC) of 0.73).   Double represents windows with double pane clear glass (U-value of 0.57 Btu/hr-SF-F and SHGC of 0.63).
</t>
  </si>
  <si>
    <t xml:space="preserve">14.  Type of CSW Analyzed:  This is a pull-down menu input that is dependent upon the type of existing window selected. User must select one of the two entries from the pull-down menu - single or double.  Note that for double pane existing windows, the only selection in single.  Single represents single pane CSW product lines, and is the most common type of CSW product in the current market.  Savings reported in this calculator for single pane CSW (in combination with single pane primary window) assume that improved window U-value of 0.47 Btu/hr-SF-F and improved window solar heat gain coeefiecient (SHGC) of 0.57.  Savings reported in this calculator for single pane CSW (in combination with double pane primary window) assume that improved window U-value of 0.40 Btu/hr-SF-F and improved window solar heat gain coefiecient (SHGC) of 0.47. Double represents double pane CSW product lines.  Savings reported in this calculator for double pane CSW (in combination with a single pane primary window) assume that improved window U-value of 0.37 Btu/hr-SF-F and improved window solar heat gain coeefiecient (SHGC) of 0.32.  This entry will be used in the logic that determines the set of regression equations to be used to estimate savings.
</t>
  </si>
  <si>
    <t xml:space="preserve">15.  Sq.Ft. of CSW Installed:  This is a numerical entry representing the total area, in sq.ft. of CSW units being considered for installation.  The input is not limited to a minimum or a maximum value.  However, if a value less than zero is input, negative savings will be reported.  This is not a relevant answer, therefore a negative number should not be input.  If an excessively large number is input that results in an estimated window to wall ratio greater than 50%, a user alert will be generated, “Warning:  Sq.Ft of CSW Installed Appears Larger than Practical for this Building Size.”  </t>
  </si>
  <si>
    <t xml:space="preserve">12.  	Cooling Installed?: This is a pull-down menu input variable.  User must select either "yes" or "no."  If "no" is selected, cooling savings for will be adjusted to reflect HVAC auxiliary savings only.
</t>
  </si>
  <si>
    <r>
      <rPr>
        <b/>
        <sz val="11"/>
        <rFont val="Calibri"/>
        <family val="2"/>
        <scheme val="minor"/>
      </rPr>
      <t>For hotels only:</t>
    </r>
    <r>
      <rPr>
        <sz val="11"/>
        <rFont val="Calibri"/>
        <family val="2"/>
        <scheme val="minor"/>
      </rPr>
      <t xml:space="preserve">  </t>
    </r>
    <r>
      <rPr>
        <u/>
        <sz val="11"/>
        <rFont val="Calibri"/>
        <family val="2"/>
        <scheme val="minor"/>
      </rPr>
      <t>Ave. Occupancy Rate</t>
    </r>
    <r>
      <rPr>
        <sz val="11"/>
        <rFont val="Calibri"/>
        <family val="2"/>
        <scheme val="minor"/>
      </rPr>
      <t>:  This is a percentage entry that represents that average annual occupancy rate of the hotel.  It has implicit limits.  Any entry less than 33% will use 33% in the savings logic.  Entries above 100% will use 100% in the savings logic.  Entries between 33% and 100% will interpolate between minimum and maixmum savings factors.</t>
    </r>
  </si>
  <si>
    <r>
      <rPr>
        <b/>
        <sz val="11"/>
        <rFont val="Calibri"/>
        <family val="2"/>
        <scheme val="minor"/>
      </rPr>
      <t>For multifamily only:</t>
    </r>
    <r>
      <rPr>
        <sz val="11"/>
        <rFont val="Calibri"/>
        <family val="2"/>
        <scheme val="minor"/>
      </rPr>
      <t xml:space="preserve">  </t>
    </r>
    <r>
      <rPr>
        <u/>
        <sz val="11"/>
        <rFont val="Calibri"/>
        <family val="2"/>
        <scheme val="minor"/>
      </rPr>
      <t>Infiltration Savings</t>
    </r>
    <r>
      <rPr>
        <sz val="11"/>
        <rFont val="Calibri"/>
        <family val="2"/>
        <scheme val="minor"/>
      </rPr>
      <t>:  This is a pull-down menu selection that allows user to select "Included" or "Excluded".  If infiltraton savings is included, then estimated savings includes a benefit associated with reduced perimeter zone infiltration.  If excluded, reported savings will be adjusted to reflect savings based only on improved window U-value and SHGC.</t>
    </r>
  </si>
  <si>
    <t>PS</t>
  </si>
  <si>
    <t>SS</t>
  </si>
  <si>
    <t>Cooling Adjustment Regressoins Regressions</t>
  </si>
  <si>
    <t>Mid-size Office</t>
  </si>
  <si>
    <t>Large Office</t>
  </si>
  <si>
    <t>Cool Adjust</t>
  </si>
  <si>
    <t>Mid-size</t>
  </si>
  <si>
    <t>Low-rise</t>
  </si>
  <si>
    <t>User input notes are indicated by red triangles in select cells.  Hover to read on-line help.  Detailed input guidelines are provided in the User Documentaiton tab and in the dynamic cells below.</t>
  </si>
  <si>
    <r>
      <t>Heating, kWh/SF</t>
    </r>
    <r>
      <rPr>
        <b/>
        <vertAlign val="subscript"/>
        <sz val="11"/>
        <color theme="1"/>
        <rFont val="Calibri"/>
        <family val="2"/>
        <scheme val="minor"/>
      </rPr>
      <t>CSW</t>
    </r>
  </si>
  <si>
    <r>
      <t>Cooling &amp; Fans, kWh/SF</t>
    </r>
    <r>
      <rPr>
        <b/>
        <vertAlign val="subscript"/>
        <sz val="11"/>
        <color theme="1"/>
        <rFont val="Calibri"/>
        <family val="2"/>
        <scheme val="minor"/>
      </rPr>
      <t>CSW</t>
    </r>
  </si>
  <si>
    <r>
      <t>Heating, therms/SF</t>
    </r>
    <r>
      <rPr>
        <b/>
        <vertAlign val="subscript"/>
        <sz val="11"/>
        <color theme="1"/>
        <rFont val="Calibri"/>
        <family val="2"/>
        <scheme val="minor"/>
      </rPr>
      <t>cSW</t>
    </r>
  </si>
  <si>
    <t>Mid-size offices are typically 3 floors or less in height.</t>
  </si>
  <si>
    <r>
      <t>Heating, therms/SF</t>
    </r>
    <r>
      <rPr>
        <b/>
        <vertAlign val="subscript"/>
        <sz val="11"/>
        <color theme="1"/>
        <rFont val="Calibri"/>
        <family val="2"/>
        <scheme val="minor"/>
      </rPr>
      <t>CSW</t>
    </r>
  </si>
  <si>
    <t>Mid-size multi-family buildings are designated for all buildings 4 floors and above.</t>
  </si>
  <si>
    <t>Savings estimated for Low-rise assume Packaged terminal air conditioner (PTAC) system.  Savings for Mid-rise assume Fan coil unit (FCU) system.")</t>
  </si>
  <si>
    <t>PTAC or  PTHP choice will default to Small Hotel regardless of building area input.  Fan Coil Unit or Other choice will default to large hotel regardless of building area input.</t>
  </si>
  <si>
    <t>Select school type - primary (elementary) or secondary (middle or high school).</t>
  </si>
  <si>
    <t>Heating Coefficients (Part 2)</t>
  </si>
  <si>
    <t xml:space="preserve">Regression Form (a+bx+cx^2) </t>
  </si>
  <si>
    <t>PTHP HDD</t>
  </si>
  <si>
    <t>New York, NY</t>
  </si>
  <si>
    <t>Con Edison</t>
  </si>
  <si>
    <t>Royal Hawaiian Example</t>
  </si>
  <si>
    <t>Honolulu HI</t>
  </si>
  <si>
    <t>300000 SF High School Example</t>
  </si>
  <si>
    <t>Salt Lake City UT</t>
  </si>
  <si>
    <t>Hawaiian Electric</t>
  </si>
  <si>
    <t>Rocky Mountain Power</t>
  </si>
  <si>
    <t>Enbridge Gas</t>
  </si>
  <si>
    <t>Small Hospital Example</t>
  </si>
  <si>
    <t>Walla Walla WA</t>
  </si>
  <si>
    <t>Pacific Power</t>
  </si>
  <si>
    <t>Raliegh NC</t>
  </si>
  <si>
    <t>Duke Energy</t>
  </si>
  <si>
    <t>Low Rise Apartment Example</t>
  </si>
  <si>
    <t>date of last revision</t>
  </si>
  <si>
    <t>2.0.0</t>
  </si>
  <si>
    <t>Ver. 2.0.0</t>
  </si>
  <si>
    <t>CSW_Type</t>
  </si>
  <si>
    <t>Building_Size</t>
  </si>
  <si>
    <t>Building_Type</t>
  </si>
  <si>
    <t>HVAC_System_Type</t>
  </si>
  <si>
    <t>Fuel_Type</t>
  </si>
  <si>
    <t>Look-up_Conc</t>
  </si>
  <si>
    <t>electric_savings_Cooling_and_Aux_kWhperSF</t>
  </si>
  <si>
    <t>Electric_savings_Heat_kWhperSF</t>
  </si>
  <si>
    <t>Regression_Done</t>
  </si>
  <si>
    <t>Base_EUI</t>
  </si>
  <si>
    <t>CSW_EUI</t>
  </si>
  <si>
    <t>Percent</t>
  </si>
  <si>
    <t>baseline_peak_cooling_BtuhperSF</t>
  </si>
  <si>
    <t>Clg_Load_reduced_BtuhperSF</t>
  </si>
  <si>
    <t>htg_load_reduced_BtuhperSF</t>
  </si>
  <si>
    <t>baseline_peak_cooling_Btuh</t>
  </si>
  <si>
    <t>base_cooling_load_Tons</t>
  </si>
  <si>
    <t>CSW_ld_red_Btuh</t>
  </si>
  <si>
    <t>csw_ld_red_Tons</t>
  </si>
  <si>
    <t>CWS_Clg_load_Tons</t>
  </si>
  <si>
    <t>Regression_done</t>
  </si>
  <si>
    <t>infiltration_savings_reduction_factors_Heat</t>
  </si>
  <si>
    <t>infiltration_reduction_factors_Cool</t>
  </si>
  <si>
    <t>Cool_adjust</t>
  </si>
  <si>
    <t>Base_EUI_kBtuperSFperyr</t>
  </si>
  <si>
    <t>CSW_EUI_kBtuperSFperyr</t>
  </si>
  <si>
    <t>Gas_savings_Heat_thermsperSF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</si>
</sst>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000000000"/>
    <numFmt numFmtId="167" formatCode="0.0%"/>
    <numFmt numFmtId="168" formatCode="_(* #,##0.0_);_(* \(#,##0.0\);_(* &quot;-&quot;??_);_(@_)"/>
    <numFmt numFmtId="169" formatCode="0.00000000000"/>
    <numFmt numFmtId="170" formatCode="0.0000000"/>
    <numFmt numFmtId="171" formatCode="0.0000000000000"/>
    <numFmt numFmtId="172" formatCode="0.000000000000"/>
    <numFmt numFmtId="173" formatCode="_(&quot;$&quot;* #,##0.000_);_(&quot;$&quot;* \(#,##0.000\);_(&quot;$&quot;* &quot;-&quot;??_);_(@_)"/>
  </numFmts>
  <fonts count="3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4"/>
      <color theme="1"/>
      <name val="Calibri"/>
      <family val="2"/>
      <scheme val="minor"/>
    </font>
    <font>
      <b/>
      <sz val="11"/>
      <name val="Calibri"/>
      <family val="2"/>
      <scheme val="minor"/>
    </font>
    <font>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b/>
      <sz val="11"/>
      <color rgb="FFFF0000"/>
      <name val="Calibri"/>
      <family val="2"/>
      <scheme val="minor"/>
    </font>
    <font>
      <b/>
      <sz val="12"/>
      <color theme="1"/>
      <name val="Calibri"/>
      <family val="2"/>
      <scheme val="minor"/>
    </font>
    <font>
      <sz val="11"/>
      <color theme="1"/>
      <name val="Arial"/>
      <family val="2"/>
    </font>
    <font>
      <sz val="12"/>
      <color theme="1"/>
      <name val="Arial"/>
      <family val="2"/>
    </font>
    <font>
      <b/>
      <sz val="11"/>
      <color theme="1"/>
      <name val="Arial"/>
      <family val="2"/>
    </font>
    <font>
      <i/>
      <sz val="11"/>
      <color theme="1"/>
      <name val="Calibri"/>
      <family val="2"/>
      <scheme val="minor"/>
    </font>
    <font>
      <b/>
      <vertAlign val="subscript"/>
      <sz val="11"/>
      <color theme="1"/>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style="medium">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bottom style="medium">
        <color indexed="64"/>
      </bottom>
      <diagonal/>
    </border>
  </borders>
  <cellStyleXfs count="4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37" applyNumberFormat="0" applyFill="0" applyAlignment="0" applyProtection="0"/>
    <xf numFmtId="0" fontId="12" fillId="0" borderId="38" applyNumberFormat="0" applyFill="0" applyAlignment="0" applyProtection="0"/>
    <xf numFmtId="0" fontId="13" fillId="0" borderId="39" applyNumberFormat="0" applyFill="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40" applyNumberFormat="0" applyAlignment="0" applyProtection="0"/>
    <xf numFmtId="0" fontId="18" fillId="9" borderId="41" applyNumberFormat="0" applyAlignment="0" applyProtection="0"/>
    <xf numFmtId="0" fontId="19" fillId="9" borderId="40" applyNumberFormat="0" applyAlignment="0" applyProtection="0"/>
    <xf numFmtId="0" fontId="20" fillId="0" borderId="42" applyNumberFormat="0" applyFill="0" applyAlignment="0" applyProtection="0"/>
    <xf numFmtId="0" fontId="21" fillId="10" borderId="43" applyNumberFormat="0" applyAlignment="0" applyProtection="0"/>
    <xf numFmtId="0" fontId="2" fillId="0" borderId="0" applyNumberFormat="0" applyFill="0" applyBorder="0" applyAlignment="0" applyProtection="0"/>
    <xf numFmtId="0" fontId="1" fillId="11" borderId="44" applyNumberFormat="0" applyFont="0" applyAlignment="0" applyProtection="0"/>
    <xf numFmtId="0" fontId="22" fillId="0" borderId="0" applyNumberFormat="0" applyFill="0" applyBorder="0" applyAlignment="0" applyProtection="0"/>
    <xf numFmtId="0" fontId="3" fillId="0" borderId="45" applyNumberFormat="0" applyFill="0" applyAlignment="0" applyProtection="0"/>
    <xf numFmtId="0" fontId="2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3"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278">
    <xf numFmtId="0" fontId="0" fillId="0" borderId="0" xfId="0"/>
    <xf numFmtId="0" fontId="3" fillId="0" borderId="0" xfId="0" applyFont="1"/>
    <xf numFmtId="0" fontId="0" fillId="0" borderId="1" xfId="0" applyBorder="1"/>
    <xf numFmtId="0" fontId="3" fillId="0" borderId="1" xfId="0" applyFont="1" applyBorder="1"/>
    <xf numFmtId="165" fontId="0" fillId="0" borderId="0" xfId="0" applyNumberFormat="1"/>
    <xf numFmtId="0" fontId="0" fillId="0" borderId="1" xfId="0" applyBorder="1" applyAlignment="1">
      <alignment horizontal="center"/>
    </xf>
    <xf numFmtId="2" fontId="0" fillId="0" borderId="1" xfId="0" applyNumberFormat="1" applyBorder="1"/>
    <xf numFmtId="0" fontId="0" fillId="0" borderId="0" xfId="0" applyAlignment="1">
      <alignment horizontal="center" vertical="center"/>
    </xf>
    <xf numFmtId="0" fontId="2" fillId="0" borderId="0" xfId="0" applyFont="1"/>
    <xf numFmtId="0" fontId="0" fillId="0" borderId="10" xfId="0" applyBorder="1" applyAlignment="1">
      <alignment horizontal="center"/>
    </xf>
    <xf numFmtId="0" fontId="0" fillId="2" borderId="1" xfId="0" applyFill="1" applyBorder="1"/>
    <xf numFmtId="0" fontId="0" fillId="0" borderId="0" xfId="0" applyAlignment="1">
      <alignment horizontal="center"/>
    </xf>
    <xf numFmtId="0" fontId="3" fillId="3" borderId="1" xfId="0" applyFont="1" applyFill="1" applyBorder="1"/>
    <xf numFmtId="43" fontId="0" fillId="3" borderId="1" xfId="1" applyFont="1" applyFill="1" applyBorder="1" applyAlignment="1">
      <alignment horizontal="right"/>
    </xf>
    <xf numFmtId="164" fontId="0" fillId="3" borderId="1" xfId="2" applyNumberFormat="1" applyFont="1" applyFill="1" applyBorder="1" applyAlignment="1">
      <alignment horizontal="right"/>
    </xf>
    <xf numFmtId="14" fontId="0" fillId="0" borderId="0" xfId="0" applyNumberFormat="1"/>
    <xf numFmtId="0" fontId="0" fillId="0" borderId="0" xfId="0" applyAlignment="1">
      <alignment horizontal="right"/>
    </xf>
    <xf numFmtId="0" fontId="0" fillId="0" borderId="0" xfId="0" applyAlignment="1">
      <alignment wrapText="1"/>
    </xf>
    <xf numFmtId="0" fontId="0" fillId="0" borderId="1" xfId="0" applyBorder="1" applyAlignment="1">
      <alignment horizontal="center" wrapText="1"/>
    </xf>
    <xf numFmtId="2" fontId="6" fillId="0" borderId="1" xfId="0" applyNumberFormat="1" applyFont="1" applyBorder="1"/>
    <xf numFmtId="0" fontId="0" fillId="2" borderId="0" xfId="0" applyFill="1"/>
    <xf numFmtId="0" fontId="0" fillId="2" borderId="11" xfId="0" applyFill="1" applyBorder="1"/>
    <xf numFmtId="0" fontId="0" fillId="3" borderId="16" xfId="0" applyFill="1" applyBorder="1"/>
    <xf numFmtId="0" fontId="3" fillId="0" borderId="15" xfId="0" applyFont="1" applyBorder="1" applyAlignment="1">
      <alignment horizontal="left"/>
    </xf>
    <xf numFmtId="0" fontId="3" fillId="0" borderId="7" xfId="0" applyFont="1" applyBorder="1"/>
    <xf numFmtId="0" fontId="0" fillId="0" borderId="20" xfId="0" applyBorder="1"/>
    <xf numFmtId="0" fontId="3" fillId="0" borderId="23" xfId="0" applyFont="1" applyBorder="1"/>
    <xf numFmtId="0" fontId="3" fillId="3" borderId="15" xfId="0" applyFont="1" applyFill="1" applyBorder="1"/>
    <xf numFmtId="43" fontId="0" fillId="3" borderId="15" xfId="1" applyFont="1" applyFill="1" applyBorder="1" applyAlignment="1">
      <alignment horizontal="right"/>
    </xf>
    <xf numFmtId="0" fontId="3" fillId="2" borderId="16" xfId="0" applyFont="1" applyFill="1" applyBorder="1" applyAlignment="1">
      <alignment horizontal="center" wrapText="1"/>
    </xf>
    <xf numFmtId="0" fontId="3" fillId="3" borderId="23" xfId="0" applyFont="1" applyFill="1" applyBorder="1"/>
    <xf numFmtId="165" fontId="3" fillId="3" borderId="24" xfId="1" applyNumberFormat="1" applyFont="1" applyFill="1" applyBorder="1"/>
    <xf numFmtId="0" fontId="3" fillId="3" borderId="7" xfId="0" applyFont="1" applyFill="1" applyBorder="1"/>
    <xf numFmtId="43" fontId="0" fillId="3" borderId="8" xfId="0" applyNumberFormat="1" applyFill="1" applyBorder="1"/>
    <xf numFmtId="0" fontId="0" fillId="2" borderId="7" xfId="0" applyFill="1" applyBorder="1"/>
    <xf numFmtId="43" fontId="0" fillId="3" borderId="8" xfId="1" applyFont="1" applyFill="1" applyBorder="1" applyAlignment="1">
      <alignment horizontal="right"/>
    </xf>
    <xf numFmtId="0" fontId="0" fillId="0" borderId="22" xfId="0" applyBorder="1"/>
    <xf numFmtId="0" fontId="3" fillId="2" borderId="0" xfId="0" applyFont="1" applyFill="1"/>
    <xf numFmtId="43" fontId="0" fillId="2" borderId="20" xfId="1" applyFont="1" applyFill="1" applyBorder="1" applyAlignment="1">
      <alignment horizontal="right"/>
    </xf>
    <xf numFmtId="0" fontId="0" fillId="2" borderId="12" xfId="0" applyFill="1" applyBorder="1"/>
    <xf numFmtId="0" fontId="3" fillId="2" borderId="22" xfId="0" applyFont="1" applyFill="1" applyBorder="1"/>
    <xf numFmtId="0" fontId="6" fillId="2" borderId="0" xfId="0" applyFont="1" applyFill="1" applyAlignment="1">
      <alignment horizontal="right"/>
    </xf>
    <xf numFmtId="43" fontId="0" fillId="0" borderId="0" xfId="0" applyNumberFormat="1"/>
    <xf numFmtId="0" fontId="7" fillId="3" borderId="4" xfId="0" applyFont="1" applyFill="1" applyBorder="1" applyAlignment="1">
      <alignment horizontal="left" vertical="center"/>
    </xf>
    <xf numFmtId="0" fontId="7" fillId="3" borderId="5" xfId="0" applyFont="1" applyFill="1" applyBorder="1" applyAlignment="1">
      <alignment horizontal="center" vertical="center"/>
    </xf>
    <xf numFmtId="0" fontId="0" fillId="2" borderId="25" xfId="0" applyFill="1" applyBorder="1"/>
    <xf numFmtId="0" fontId="0" fillId="2" borderId="21" xfId="0" applyFill="1" applyBorder="1"/>
    <xf numFmtId="44" fontId="0" fillId="0" borderId="0" xfId="0" applyNumberFormat="1"/>
    <xf numFmtId="165" fontId="3" fillId="3" borderId="8" xfId="0" applyNumberFormat="1" applyFont="1" applyFill="1" applyBorder="1"/>
    <xf numFmtId="0" fontId="0" fillId="3" borderId="27" xfId="0" applyFill="1" applyBorder="1"/>
    <xf numFmtId="10" fontId="7" fillId="3" borderId="9" xfId="3" applyNumberFormat="1" applyFont="1" applyFill="1" applyBorder="1" applyAlignment="1">
      <alignment horizontal="right" vertical="center"/>
    </xf>
    <xf numFmtId="0" fontId="0" fillId="3" borderId="0" xfId="0" applyFill="1"/>
    <xf numFmtId="0" fontId="6" fillId="0" borderId="1" xfId="0" applyFont="1" applyBorder="1"/>
    <xf numFmtId="0" fontId="6" fillId="0" borderId="0" xfId="0" applyFont="1"/>
    <xf numFmtId="10" fontId="0" fillId="0" borderId="0" xfId="3" applyNumberFormat="1" applyFont="1" applyFill="1" applyBorder="1" applyAlignment="1">
      <alignment horizontal="right"/>
    </xf>
    <xf numFmtId="0" fontId="0" fillId="0" borderId="15" xfId="0" applyBorder="1" applyAlignment="1">
      <alignment wrapText="1"/>
    </xf>
    <xf numFmtId="43" fontId="0" fillId="0" borderId="1" xfId="0" applyNumberFormat="1" applyBorder="1"/>
    <xf numFmtId="0" fontId="0" fillId="0" borderId="1" xfId="0" applyBorder="1" applyAlignment="1">
      <alignment wrapText="1"/>
    </xf>
    <xf numFmtId="0" fontId="6" fillId="0" borderId="1" xfId="0" applyFont="1" applyBorder="1" applyAlignment="1">
      <alignment horizontal="center"/>
    </xf>
    <xf numFmtId="9" fontId="0" fillId="0" borderId="1" xfId="3" applyFont="1" applyBorder="1"/>
    <xf numFmtId="43" fontId="0" fillId="0" borderId="0" xfId="1" applyFont="1"/>
    <xf numFmtId="0" fontId="0" fillId="0" borderId="13" xfId="0" applyBorder="1"/>
    <xf numFmtId="0" fontId="0" fillId="0" borderId="12" xfId="0" applyBorder="1"/>
    <xf numFmtId="0" fontId="0" fillId="0" borderId="14" xfId="0" applyBorder="1"/>
    <xf numFmtId="165" fontId="0" fillId="0" borderId="1" xfId="0" applyNumberFormat="1" applyBorder="1"/>
    <xf numFmtId="2" fontId="0" fillId="0" borderId="0" xfId="0" applyNumberFormat="1"/>
    <xf numFmtId="2" fontId="0" fillId="0" borderId="2" xfId="0" applyNumberFormat="1" applyBorder="1"/>
    <xf numFmtId="0" fontId="0" fillId="0" borderId="0" xfId="0" applyAlignment="1">
      <alignment horizontal="left"/>
    </xf>
    <xf numFmtId="0" fontId="3" fillId="3" borderId="30" xfId="0" applyFont="1" applyFill="1" applyBorder="1"/>
    <xf numFmtId="164" fontId="0" fillId="3" borderId="31" xfId="2" applyNumberFormat="1" applyFont="1" applyFill="1" applyBorder="1" applyAlignment="1">
      <alignment horizontal="right"/>
    </xf>
    <xf numFmtId="0" fontId="3" fillId="3" borderId="31" xfId="0" applyFont="1" applyFill="1" applyBorder="1"/>
    <xf numFmtId="164" fontId="0" fillId="3" borderId="33" xfId="2" applyNumberFormat="1" applyFont="1" applyFill="1" applyBorder="1" applyAlignment="1">
      <alignment horizontal="right"/>
    </xf>
    <xf numFmtId="0" fontId="3" fillId="2" borderId="23" xfId="0" applyFont="1" applyFill="1" applyBorder="1" applyAlignment="1">
      <alignment horizontal="center"/>
    </xf>
    <xf numFmtId="0" fontId="3" fillId="2" borderId="15" xfId="0" applyFont="1" applyFill="1" applyBorder="1" applyAlignment="1">
      <alignment horizontal="center"/>
    </xf>
    <xf numFmtId="0" fontId="0" fillId="0" borderId="2" xfId="0" applyBorder="1" applyAlignment="1">
      <alignment horizontal="center"/>
    </xf>
    <xf numFmtId="9" fontId="0" fillId="0" borderId="0" xfId="0" applyNumberFormat="1"/>
    <xf numFmtId="2" fontId="0" fillId="4" borderId="1" xfId="0" applyNumberFormat="1" applyFill="1" applyBorder="1"/>
    <xf numFmtId="166" fontId="0" fillId="0" borderId="0" xfId="0" applyNumberFormat="1"/>
    <xf numFmtId="0" fontId="0" fillId="4" borderId="1" xfId="0" applyFill="1" applyBorder="1"/>
    <xf numFmtId="2" fontId="6" fillId="0" borderId="0" xfId="0" applyNumberFormat="1" applyFont="1"/>
    <xf numFmtId="9" fontId="0" fillId="0" borderId="0" xfId="3" applyFont="1" applyBorder="1"/>
    <xf numFmtId="2" fontId="2" fillId="0" borderId="1" xfId="0" applyNumberFormat="1" applyFont="1" applyBorder="1"/>
    <xf numFmtId="166" fontId="6" fillId="0" borderId="1" xfId="0" applyNumberFormat="1" applyFont="1" applyBorder="1"/>
    <xf numFmtId="1" fontId="6" fillId="0" borderId="0" xfId="0" applyNumberFormat="1" applyFont="1"/>
    <xf numFmtId="0" fontId="3" fillId="2" borderId="8" xfId="0" applyFont="1" applyFill="1" applyBorder="1" applyAlignment="1">
      <alignment horizontal="right" wrapText="1"/>
    </xf>
    <xf numFmtId="43" fontId="0" fillId="0" borderId="1" xfId="1" applyFont="1" applyFill="1" applyBorder="1" applyAlignment="1">
      <alignment horizontal="right"/>
    </xf>
    <xf numFmtId="0" fontId="3" fillId="0" borderId="1" xfId="0" applyFont="1" applyBorder="1" applyAlignment="1">
      <alignment wrapText="1"/>
    </xf>
    <xf numFmtId="1" fontId="0" fillId="0" borderId="2" xfId="0" applyNumberFormat="1" applyBorder="1" applyAlignment="1">
      <alignment horizontal="center"/>
    </xf>
    <xf numFmtId="1" fontId="0" fillId="0" borderId="1" xfId="0" applyNumberFormat="1" applyBorder="1" applyAlignment="1">
      <alignment horizontal="center"/>
    </xf>
    <xf numFmtId="0" fontId="0" fillId="0" borderId="34" xfId="0" applyBorder="1" applyAlignment="1">
      <alignment horizontal="center"/>
    </xf>
    <xf numFmtId="1" fontId="0" fillId="0" borderId="1" xfId="0" applyNumberFormat="1" applyBorder="1"/>
    <xf numFmtId="2" fontId="6" fillId="4" borderId="1" xfId="0" applyNumberFormat="1" applyFont="1" applyFill="1" applyBorder="1"/>
    <xf numFmtId="0" fontId="6" fillId="4" borderId="1" xfId="0" applyFont="1" applyFill="1" applyBorder="1"/>
    <xf numFmtId="2" fontId="6" fillId="2" borderId="1" xfId="0" applyNumberFormat="1" applyFont="1" applyFill="1" applyBorder="1"/>
    <xf numFmtId="165" fontId="0" fillId="3" borderId="15" xfId="1" applyNumberFormat="1" applyFont="1" applyFill="1" applyBorder="1" applyAlignment="1" applyProtection="1">
      <alignment horizontal="right"/>
    </xf>
    <xf numFmtId="0" fontId="7" fillId="3" borderId="5" xfId="0" applyFont="1" applyFill="1" applyBorder="1" applyAlignment="1">
      <alignment vertical="center"/>
    </xf>
    <xf numFmtId="0" fontId="7" fillId="3" borderId="0" xfId="0" applyFont="1" applyFill="1" applyAlignment="1">
      <alignment horizontal="left" vertical="center"/>
    </xf>
    <xf numFmtId="165" fontId="7" fillId="3" borderId="1" xfId="1" applyNumberFormat="1" applyFont="1" applyFill="1" applyBorder="1" applyAlignment="1">
      <alignment horizontal="right" vertical="center"/>
    </xf>
    <xf numFmtId="168" fontId="7" fillId="3" borderId="1" xfId="1" applyNumberFormat="1" applyFont="1" applyFill="1" applyBorder="1" applyAlignment="1">
      <alignment horizontal="right" vertical="center"/>
    </xf>
    <xf numFmtId="167" fontId="7" fillId="3" borderId="1" xfId="3" applyNumberFormat="1" applyFont="1" applyFill="1" applyBorder="1" applyAlignment="1">
      <alignment horizontal="right" vertical="center"/>
    </xf>
    <xf numFmtId="0" fontId="7" fillId="3" borderId="32" xfId="0" applyFont="1" applyFill="1" applyBorder="1" applyAlignment="1">
      <alignment horizontal="left" vertical="center"/>
    </xf>
    <xf numFmtId="164" fontId="7" fillId="3" borderId="1" xfId="2" applyNumberFormat="1" applyFont="1" applyFill="1" applyBorder="1" applyAlignment="1">
      <alignment horizontal="right" vertical="center"/>
    </xf>
    <xf numFmtId="0" fontId="0" fillId="3" borderId="11" xfId="0" applyFill="1" applyBorder="1"/>
    <xf numFmtId="0" fontId="0" fillId="3" borderId="3" xfId="0" applyFill="1" applyBorder="1"/>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3" xfId="0" applyFont="1" applyFill="1" applyBorder="1" applyAlignment="1">
      <alignment horizontal="left" vertical="center"/>
    </xf>
    <xf numFmtId="0" fontId="0" fillId="0" borderId="29" xfId="0" applyBorder="1"/>
    <xf numFmtId="0" fontId="0" fillId="0" borderId="15" xfId="0" applyBorder="1" applyAlignment="1">
      <alignment horizontal="center"/>
    </xf>
    <xf numFmtId="0" fontId="0" fillId="0" borderId="31" xfId="0" applyBorder="1"/>
    <xf numFmtId="0" fontId="3" fillId="0" borderId="8" xfId="0" applyFont="1" applyBorder="1" applyAlignment="1">
      <alignment horizontal="right" wrapText="1"/>
    </xf>
    <xf numFmtId="0" fontId="0" fillId="0" borderId="0" xfId="0" applyAlignment="1">
      <alignment vertical="top"/>
    </xf>
    <xf numFmtId="0" fontId="7" fillId="3" borderId="6" xfId="0" applyFont="1" applyFill="1" applyBorder="1" applyAlignment="1">
      <alignment horizontal="right" vertical="center"/>
    </xf>
    <xf numFmtId="0" fontId="0" fillId="2" borderId="1" xfId="0" applyFill="1" applyBorder="1" applyAlignment="1">
      <alignment wrapText="1"/>
    </xf>
    <xf numFmtId="2" fontId="2" fillId="2" borderId="1" xfId="0" applyNumberFormat="1" applyFont="1" applyFill="1" applyBorder="1"/>
    <xf numFmtId="2" fontId="0" fillId="2" borderId="1" xfId="0" applyNumberFormat="1" applyFill="1" applyBorder="1"/>
    <xf numFmtId="0" fontId="7" fillId="2" borderId="1" xfId="0" applyFont="1" applyFill="1" applyBorder="1" applyAlignment="1">
      <alignment horizontal="center" vertical="center"/>
    </xf>
    <xf numFmtId="3" fontId="0" fillId="0" borderId="0" xfId="0" applyNumberFormat="1"/>
    <xf numFmtId="0" fontId="0" fillId="3" borderId="25" xfId="0" applyFill="1" applyBorder="1"/>
    <xf numFmtId="14" fontId="0" fillId="3" borderId="21" xfId="0" applyNumberFormat="1" applyFill="1" applyBorder="1"/>
    <xf numFmtId="0" fontId="3" fillId="0" borderId="35" xfId="0" applyFont="1" applyBorder="1"/>
    <xf numFmtId="0" fontId="3" fillId="2" borderId="15" xfId="0" applyFont="1" applyFill="1" applyBorder="1" applyAlignment="1">
      <alignment horizontal="left"/>
    </xf>
    <xf numFmtId="0" fontId="3" fillId="2" borderId="1" xfId="0" applyFont="1" applyFill="1" applyBorder="1" applyAlignment="1">
      <alignment horizontal="right" wrapText="1"/>
    </xf>
    <xf numFmtId="0" fontId="3" fillId="0" borderId="1" xfId="0" applyFont="1" applyBorder="1" applyAlignment="1">
      <alignment horizontal="left"/>
    </xf>
    <xf numFmtId="166" fontId="6" fillId="0" borderId="0" xfId="0" applyNumberFormat="1" applyFont="1"/>
    <xf numFmtId="43" fontId="6" fillId="0" borderId="1" xfId="0" applyNumberFormat="1" applyFont="1" applyBorder="1"/>
    <xf numFmtId="9" fontId="6" fillId="0" borderId="1" xfId="3" applyFont="1" applyBorder="1"/>
    <xf numFmtId="0" fontId="2" fillId="0" borderId="0" xfId="0" applyFont="1" applyAlignment="1">
      <alignment wrapText="1"/>
    </xf>
    <xf numFmtId="0" fontId="24" fillId="0" borderId="0" xfId="0" applyFont="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horizontal="left"/>
    </xf>
    <xf numFmtId="0" fontId="3" fillId="0" borderId="32" xfId="0" applyFont="1" applyBorder="1"/>
    <xf numFmtId="0" fontId="0" fillId="0" borderId="32" xfId="0" applyBorder="1"/>
    <xf numFmtId="0" fontId="0" fillId="0" borderId="29" xfId="0" applyBorder="1" applyAlignment="1">
      <alignment horizontal="center"/>
    </xf>
    <xf numFmtId="0" fontId="0" fillId="0" borderId="28" xfId="0" applyBorder="1"/>
    <xf numFmtId="0" fontId="2" fillId="0" borderId="0" xfId="0" applyFont="1" applyAlignment="1">
      <alignment horizontal="center"/>
    </xf>
    <xf numFmtId="0" fontId="6" fillId="0" borderId="0" xfId="0" applyFont="1" applyAlignment="1">
      <alignment horizontal="center"/>
    </xf>
    <xf numFmtId="0" fontId="3" fillId="0" borderId="32" xfId="0" applyFont="1" applyBorder="1" applyAlignment="1">
      <alignment horizontal="center"/>
    </xf>
    <xf numFmtId="0" fontId="0" fillId="0" borderId="32" xfId="0" applyBorder="1" applyAlignment="1">
      <alignment horizontal="center"/>
    </xf>
    <xf numFmtId="0" fontId="0" fillId="0" borderId="28" xfId="0" applyBorder="1" applyAlignment="1">
      <alignment horizontal="center"/>
    </xf>
    <xf numFmtId="0" fontId="0" fillId="36" borderId="0" xfId="0" applyFill="1" applyAlignment="1">
      <alignment horizontal="center"/>
    </xf>
    <xf numFmtId="0" fontId="0" fillId="36" borderId="34" xfId="0" applyFill="1" applyBorder="1" applyAlignment="1">
      <alignment horizontal="center"/>
    </xf>
    <xf numFmtId="0" fontId="0" fillId="3" borderId="16" xfId="0" applyFill="1" applyBorder="1" applyAlignment="1">
      <alignment horizontal="left"/>
    </xf>
    <xf numFmtId="0" fontId="3" fillId="0" borderId="46" xfId="0" applyFont="1" applyBorder="1"/>
    <xf numFmtId="0" fontId="0" fillId="0" borderId="46" xfId="0" applyBorder="1"/>
    <xf numFmtId="0" fontId="26" fillId="4" borderId="1" xfId="0" applyFont="1" applyFill="1" applyBorder="1"/>
    <xf numFmtId="0" fontId="26" fillId="4" borderId="1" xfId="0" applyFont="1" applyFill="1" applyBorder="1" applyAlignment="1">
      <alignment horizontal="center" wrapText="1"/>
    </xf>
    <xf numFmtId="0" fontId="26" fillId="4" borderId="1" xfId="0" applyFont="1" applyFill="1" applyBorder="1" applyAlignment="1">
      <alignment horizontal="center"/>
    </xf>
    <xf numFmtId="0" fontId="26" fillId="4" borderId="1" xfId="0" applyFont="1" applyFill="1" applyBorder="1" applyAlignment="1">
      <alignment horizontal="left"/>
    </xf>
    <xf numFmtId="0" fontId="0" fillId="0" borderId="46" xfId="0" applyBorder="1" applyAlignment="1">
      <alignment horizontal="center"/>
    </xf>
    <xf numFmtId="0" fontId="2" fillId="0" borderId="32" xfId="0" applyFont="1" applyBorder="1" applyAlignment="1">
      <alignment horizontal="center"/>
    </xf>
    <xf numFmtId="1" fontId="0" fillId="0" borderId="2" xfId="0" applyNumberFormat="1" applyBorder="1"/>
    <xf numFmtId="166" fontId="2" fillId="0" borderId="1" xfId="0" applyNumberFormat="1" applyFont="1" applyBorder="1"/>
    <xf numFmtId="0" fontId="3" fillId="2" borderId="7" xfId="0" applyFont="1" applyFill="1" applyBorder="1"/>
    <xf numFmtId="0" fontId="6" fillId="2" borderId="15" xfId="0" applyFont="1" applyFill="1" applyBorder="1" applyAlignment="1">
      <alignment horizontal="right"/>
    </xf>
    <xf numFmtId="43" fontId="6" fillId="3" borderId="8" xfId="1" applyFont="1" applyFill="1" applyBorder="1" applyAlignment="1">
      <alignment horizontal="right"/>
    </xf>
    <xf numFmtId="3" fontId="6" fillId="0" borderId="32" xfId="0" applyNumberFormat="1" applyFont="1" applyBorder="1"/>
    <xf numFmtId="9" fontId="0" fillId="0" borderId="0" xfId="3" applyFont="1"/>
    <xf numFmtId="0" fontId="0" fillId="0" borderId="1" xfId="0" applyBorder="1" applyAlignment="1">
      <alignment horizontal="left"/>
    </xf>
    <xf numFmtId="0" fontId="0" fillId="0" borderId="31" xfId="0" applyBorder="1" applyAlignment="1">
      <alignment horizontal="center"/>
    </xf>
    <xf numFmtId="1" fontId="0" fillId="0" borderId="0" xfId="0" applyNumberFormat="1" applyAlignment="1">
      <alignment horizontal="center"/>
    </xf>
    <xf numFmtId="0" fontId="3" fillId="0" borderId="0" xfId="0" applyFont="1" applyAlignment="1">
      <alignment horizontal="left"/>
    </xf>
    <xf numFmtId="2" fontId="0" fillId="0" borderId="1" xfId="0" applyNumberFormat="1" applyBorder="1" applyAlignment="1">
      <alignment horizontal="left"/>
    </xf>
    <xf numFmtId="166" fontId="6" fillId="0" borderId="1" xfId="0" applyNumberFormat="1" applyFont="1" applyBorder="1" applyAlignment="1">
      <alignment horizontal="center"/>
    </xf>
    <xf numFmtId="166" fontId="0" fillId="0" borderId="1" xfId="0" applyNumberFormat="1" applyBorder="1"/>
    <xf numFmtId="1" fontId="6" fillId="0" borderId="1" xfId="0" applyNumberFormat="1" applyFont="1" applyBorder="1"/>
    <xf numFmtId="166" fontId="2" fillId="0" borderId="0" xfId="0" applyNumberFormat="1" applyFont="1"/>
    <xf numFmtId="2" fontId="3" fillId="0" borderId="0" xfId="0" applyNumberFormat="1" applyFont="1" applyAlignment="1">
      <alignment horizontal="left"/>
    </xf>
    <xf numFmtId="1" fontId="3" fillId="0" borderId="0" xfId="0" applyNumberFormat="1" applyFont="1" applyAlignment="1">
      <alignment horizontal="left"/>
    </xf>
    <xf numFmtId="166" fontId="25" fillId="0" borderId="0" xfId="0" applyNumberFormat="1" applyFont="1" applyAlignment="1">
      <alignment horizontal="left"/>
    </xf>
    <xf numFmtId="166" fontId="0" fillId="0" borderId="1" xfId="0" applyNumberFormat="1" applyBorder="1" applyAlignment="1">
      <alignment horizontal="center"/>
    </xf>
    <xf numFmtId="1" fontId="6" fillId="0" borderId="2" xfId="0" applyNumberFormat="1" applyFont="1" applyBorder="1"/>
    <xf numFmtId="43" fontId="0" fillId="0" borderId="1" xfId="1" applyFont="1" applyBorder="1"/>
    <xf numFmtId="165" fontId="6" fillId="0" borderId="1" xfId="1" applyNumberFormat="1" applyFont="1" applyFill="1" applyBorder="1"/>
    <xf numFmtId="1" fontId="0" fillId="0" borderId="1" xfId="0" applyNumberFormat="1" applyBorder="1" applyAlignment="1">
      <alignment horizontal="left"/>
    </xf>
    <xf numFmtId="0" fontId="28" fillId="0" borderId="1" xfId="0" applyFont="1" applyBorder="1" applyAlignment="1">
      <alignment wrapText="1"/>
    </xf>
    <xf numFmtId="0" fontId="29" fillId="2" borderId="1" xfId="0" applyFont="1" applyFill="1" applyBorder="1" applyAlignment="1">
      <alignment horizontal="left" vertical="top" wrapText="1"/>
    </xf>
    <xf numFmtId="0" fontId="27" fillId="0" borderId="1" xfId="0" applyFont="1" applyBorder="1" applyAlignment="1">
      <alignment horizontal="left" vertical="top" wrapText="1"/>
    </xf>
    <xf numFmtId="0" fontId="6" fillId="0" borderId="15" xfId="0" applyFont="1" applyBorder="1" applyAlignment="1">
      <alignment horizontal="right"/>
    </xf>
    <xf numFmtId="2" fontId="6" fillId="3" borderId="8" xfId="1" applyNumberFormat="1" applyFont="1" applyFill="1" applyBorder="1" applyAlignment="1">
      <alignment horizontal="right"/>
    </xf>
    <xf numFmtId="169" fontId="0" fillId="0" borderId="1" xfId="0" applyNumberFormat="1" applyBorder="1"/>
    <xf numFmtId="0" fontId="3" fillId="0" borderId="1" xfId="0" applyFont="1" applyBorder="1" applyAlignment="1">
      <alignment horizontal="center"/>
    </xf>
    <xf numFmtId="0" fontId="6" fillId="2" borderId="1" xfId="0" applyFont="1" applyFill="1" applyBorder="1"/>
    <xf numFmtId="170" fontId="0" fillId="0" borderId="1" xfId="0" applyNumberFormat="1" applyBorder="1"/>
    <xf numFmtId="0" fontId="30" fillId="0" borderId="1" xfId="0" applyFont="1" applyBorder="1" applyAlignment="1">
      <alignment horizontal="center"/>
    </xf>
    <xf numFmtId="171" fontId="2" fillId="0" borderId="1" xfId="0" applyNumberFormat="1" applyFont="1" applyBorder="1"/>
    <xf numFmtId="171" fontId="6" fillId="0" borderId="1" xfId="0" applyNumberFormat="1" applyFont="1" applyBorder="1"/>
    <xf numFmtId="0" fontId="0" fillId="0" borderId="2" xfId="0" applyBorder="1"/>
    <xf numFmtId="0" fontId="2" fillId="0" borderId="1" xfId="0" applyFont="1" applyBorder="1"/>
    <xf numFmtId="172" fontId="0" fillId="0" borderId="1" xfId="0" applyNumberFormat="1" applyBorder="1"/>
    <xf numFmtId="171" fontId="0" fillId="0" borderId="1" xfId="0" applyNumberFormat="1" applyBorder="1"/>
    <xf numFmtId="0" fontId="2" fillId="4" borderId="1" xfId="0" applyFont="1" applyFill="1" applyBorder="1"/>
    <xf numFmtId="0" fontId="2" fillId="3" borderId="1" xfId="0" applyFont="1" applyFill="1" applyBorder="1" applyAlignment="1">
      <alignment wrapText="1"/>
    </xf>
    <xf numFmtId="0" fontId="27" fillId="0" borderId="1" xfId="0" applyFont="1" applyBorder="1" applyAlignment="1">
      <alignment wrapText="1"/>
    </xf>
    <xf numFmtId="0" fontId="27" fillId="2" borderId="1" xfId="0" applyFont="1" applyFill="1" applyBorder="1" applyAlignment="1">
      <alignment horizontal="left" vertical="top" wrapText="1"/>
    </xf>
    <xf numFmtId="0" fontId="28" fillId="2" borderId="1" xfId="0" applyFont="1" applyFill="1" applyBorder="1" applyAlignment="1">
      <alignment wrapText="1"/>
    </xf>
    <xf numFmtId="0" fontId="27" fillId="2" borderId="1" xfId="0" applyFont="1" applyFill="1" applyBorder="1" applyAlignment="1">
      <alignment wrapText="1"/>
    </xf>
    <xf numFmtId="169" fontId="6" fillId="0" borderId="1" xfId="0" applyNumberFormat="1" applyFont="1" applyBorder="1"/>
    <xf numFmtId="43" fontId="0" fillId="0" borderId="0" xfId="1" applyFont="1" applyFill="1" applyBorder="1" applyAlignment="1">
      <alignment horizontal="right"/>
    </xf>
    <xf numFmtId="4" fontId="0" fillId="0" borderId="0" xfId="0" applyNumberFormat="1"/>
    <xf numFmtId="0" fontId="0" fillId="0" borderId="1" xfId="0" applyBorder="1" applyProtection="1">
      <protection locked="0"/>
    </xf>
    <xf numFmtId="0" fontId="6" fillId="0" borderId="1" xfId="0" applyFont="1" applyBorder="1" applyAlignment="1" applyProtection="1">
      <alignment horizontal="right"/>
      <protection locked="0"/>
    </xf>
    <xf numFmtId="0" fontId="0" fillId="0" borderId="1" xfId="0" applyBorder="1" applyAlignment="1" applyProtection="1">
      <alignment horizontal="right"/>
      <protection locked="0"/>
    </xf>
    <xf numFmtId="0" fontId="0" fillId="0" borderId="1" xfId="0" applyBorder="1" applyAlignment="1" applyProtection="1">
      <alignment horizontal="right" wrapText="1"/>
      <protection locked="0"/>
    </xf>
    <xf numFmtId="0" fontId="0" fillId="0" borderId="8" xfId="0" applyBorder="1" applyAlignment="1" applyProtection="1">
      <alignment horizontal="right"/>
      <protection locked="0"/>
    </xf>
    <xf numFmtId="9" fontId="0" fillId="0" borderId="1" xfId="3" applyFont="1" applyBorder="1" applyAlignment="1" applyProtection="1">
      <alignment horizontal="right"/>
      <protection locked="0"/>
    </xf>
    <xf numFmtId="0" fontId="6" fillId="0" borderId="8" xfId="0" applyFont="1" applyBorder="1" applyAlignment="1" applyProtection="1">
      <alignment horizontal="right"/>
      <protection locked="0"/>
    </xf>
    <xf numFmtId="1" fontId="6" fillId="0" borderId="8" xfId="1" applyNumberFormat="1" applyFont="1" applyBorder="1" applyAlignment="1" applyProtection="1">
      <alignment horizontal="right"/>
      <protection locked="0"/>
    </xf>
    <xf numFmtId="44" fontId="6" fillId="0" borderId="15" xfId="2" applyFont="1" applyBorder="1" applyProtection="1">
      <protection locked="0"/>
    </xf>
    <xf numFmtId="173" fontId="6" fillId="0" borderId="15" xfId="2" applyNumberFormat="1" applyFont="1" applyBorder="1" applyProtection="1">
      <protection locked="0"/>
    </xf>
    <xf numFmtId="37" fontId="6" fillId="0" borderId="8" xfId="1" applyNumberFormat="1" applyFont="1" applyBorder="1" applyAlignment="1" applyProtection="1">
      <alignment horizontal="right"/>
      <protection locked="0"/>
    </xf>
    <xf numFmtId="39" fontId="6" fillId="0" borderId="8" xfId="1" applyNumberFormat="1" applyFont="1" applyBorder="1" applyAlignment="1" applyProtection="1">
      <alignment horizontal="right"/>
      <protection locked="0"/>
    </xf>
    <xf numFmtId="0" fontId="0" fillId="0" borderId="8" xfId="0" applyBorder="1" applyAlignment="1" applyProtection="1">
      <alignment horizontal="right" wrapText="1"/>
      <protection locked="0"/>
    </xf>
    <xf numFmtId="9" fontId="0" fillId="0" borderId="8" xfId="3" applyFont="1" applyBorder="1" applyAlignment="1" applyProtection="1">
      <alignment horizontal="right"/>
      <protection locked="0"/>
    </xf>
    <xf numFmtId="0" fontId="0" fillId="0" borderId="8" xfId="0" applyBorder="1" applyProtection="1">
      <protection locked="0"/>
    </xf>
    <xf numFmtId="0" fontId="0" fillId="37" borderId="13" xfId="0" applyFill="1" applyBorder="1"/>
    <xf numFmtId="0" fontId="0" fillId="37" borderId="12" xfId="0" applyFill="1" applyBorder="1"/>
    <xf numFmtId="0" fontId="0" fillId="37" borderId="14" xfId="0" applyFill="1" applyBorder="1"/>
    <xf numFmtId="0" fontId="0" fillId="37" borderId="22" xfId="0" applyFill="1" applyBorder="1"/>
    <xf numFmtId="0" fontId="0" fillId="37" borderId="20" xfId="0" applyFill="1" applyBorder="1"/>
    <xf numFmtId="0" fontId="0" fillId="37" borderId="0" xfId="0" applyFill="1"/>
    <xf numFmtId="0" fontId="0" fillId="0" borderId="47" xfId="0" applyBorder="1"/>
    <xf numFmtId="0" fontId="0" fillId="0" borderId="3" xfId="0" applyBorder="1"/>
    <xf numFmtId="0" fontId="6" fillId="0" borderId="0" xfId="0" applyFont="1" applyAlignment="1">
      <alignment horizontal="left" wrapText="1"/>
    </xf>
    <xf numFmtId="0" fontId="6" fillId="0" borderId="0" xfId="0" applyFont="1" applyAlignment="1">
      <alignment horizontal="left" vertical="top" wrapText="1"/>
    </xf>
    <xf numFmtId="0" fontId="0" fillId="0" borderId="1" xfId="0" applyBorder="1" applyAlignment="1">
      <alignment horizontal="center"/>
    </xf>
    <xf numFmtId="0" fontId="0" fillId="0" borderId="2" xfId="0" applyBorder="1" applyAlignment="1" applyProtection="1">
      <alignment horizontal="left"/>
      <protection locked="0"/>
    </xf>
    <xf numFmtId="0" fontId="0" fillId="0" borderId="3" xfId="0" applyBorder="1" applyAlignment="1" applyProtection="1">
      <alignment horizontal="left"/>
      <protection locked="0"/>
    </xf>
    <xf numFmtId="0" fontId="3" fillId="0" borderId="30" xfId="0" applyFont="1" applyBorder="1" applyAlignment="1">
      <alignment horizontal="left"/>
    </xf>
    <xf numFmtId="0" fontId="3" fillId="0" borderId="23" xfId="0" applyFont="1" applyBorder="1" applyAlignment="1">
      <alignment horizontal="left"/>
    </xf>
    <xf numFmtId="0" fontId="3" fillId="0" borderId="36" xfId="0" applyFont="1" applyBorder="1" applyAlignment="1">
      <alignment horizontal="left"/>
    </xf>
    <xf numFmtId="0" fontId="3" fillId="0" borderId="35" xfId="0" applyFont="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2" xfId="0" applyFont="1" applyFill="1" applyBorder="1" applyAlignment="1">
      <alignment horizontal="center"/>
    </xf>
    <xf numFmtId="0" fontId="3" fillId="2" borderId="11" xfId="0" applyFont="1" applyFill="1" applyBorder="1" applyAlignment="1">
      <alignment horizontal="center"/>
    </xf>
    <xf numFmtId="0" fontId="3" fillId="2" borderId="21" xfId="0" applyFont="1" applyFill="1" applyBorder="1" applyAlignment="1">
      <alignment horizontal="center"/>
    </xf>
    <xf numFmtId="0" fontId="0" fillId="0" borderId="1" xfId="0" applyBorder="1" applyAlignment="1" applyProtection="1">
      <alignment horizontal="left"/>
      <protection locked="0"/>
    </xf>
    <xf numFmtId="0" fontId="7" fillId="3" borderId="26" xfId="0" applyFont="1" applyFill="1" applyBorder="1" applyAlignment="1">
      <alignment horizontal="left" vertical="center"/>
    </xf>
    <xf numFmtId="0" fontId="7" fillId="3" borderId="27" xfId="0" applyFont="1" applyFill="1" applyBorder="1" applyAlignment="1">
      <alignment horizontal="lef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28" xfId="0" applyFont="1" applyFill="1" applyBorder="1" applyAlignment="1">
      <alignment horizontal="left" vertical="center"/>
    </xf>
    <xf numFmtId="0" fontId="7" fillId="3" borderId="16" xfId="0" applyFont="1" applyFill="1" applyBorder="1" applyAlignment="1">
      <alignment horizontal="left" vertical="center"/>
    </xf>
    <xf numFmtId="0" fontId="3" fillId="2" borderId="7" xfId="0" applyFont="1" applyFill="1" applyBorder="1" applyAlignment="1">
      <alignment horizontal="center"/>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0" borderId="0" xfId="0" applyFont="1" applyAlignment="1">
      <alignment horizontal="center" wrapText="1"/>
    </xf>
    <xf numFmtId="0" fontId="3" fillId="0" borderId="20" xfId="0" applyFont="1" applyBorder="1" applyAlignment="1">
      <alignment horizontal="center" wrapText="1"/>
    </xf>
    <xf numFmtId="0" fontId="3" fillId="2" borderId="0" xfId="0" applyFont="1" applyFill="1" applyAlignment="1">
      <alignment horizontal="center"/>
    </xf>
    <xf numFmtId="0" fontId="3" fillId="2" borderId="20" xfId="0" applyFont="1" applyFill="1" applyBorder="1" applyAlignment="1">
      <alignment horizont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0" xfId="0" applyAlignment="1">
      <alignment horizontal="center" wrapText="1"/>
    </xf>
    <xf numFmtId="0" fontId="0" fillId="0" borderId="32" xfId="0" applyBorder="1" applyAlignment="1">
      <alignment horizontal="center"/>
    </xf>
    <xf numFmtId="0" fontId="0" fillId="0" borderId="0" xfId="0" applyAlignment="1">
      <alignment horizontal="center"/>
    </xf>
    <xf numFmtId="166" fontId="6" fillId="0" borderId="1" xfId="0" applyNumberFormat="1" applyFont="1" applyBorder="1" applyAlignment="1">
      <alignment horizontal="center"/>
    </xf>
    <xf numFmtId="166" fontId="6" fillId="0" borderId="2" xfId="0" applyNumberFormat="1" applyFont="1" applyBorder="1" applyAlignment="1">
      <alignment horizontal="center"/>
    </xf>
    <xf numFmtId="166" fontId="6" fillId="0" borderId="11" xfId="0" applyNumberFormat="1" applyFont="1" applyBorder="1" applyAlignment="1">
      <alignment horizontal="center"/>
    </xf>
    <xf numFmtId="166" fontId="6"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1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left"/>
    </xf>
    <xf numFmtId="0" fontId="0" fillId="0" borderId="16" xfId="0" applyBorder="1" applyAlignment="1">
      <alignment horizontal="center"/>
    </xf>
    <xf numFmtId="0" fontId="0" fillId="0" borderId="15" xfId="0" applyBorder="1" applyAlignment="1">
      <alignment horizontal="center"/>
    </xf>
    <xf numFmtId="0" fontId="8" fillId="0" borderId="1" xfId="0" applyFont="1" applyBorder="1"/>
    <xf numFmtId="0" fontId="0" fillId="3" borderId="1" xfId="0" applyFill="1" applyBorder="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23">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3682666163735522"/>
          <c:h val="0.74139260104667515"/>
        </c:manualLayout>
      </c:layout>
      <c:barChart>
        <c:barDir val="col"/>
        <c:grouping val="stacked"/>
        <c:varyColors val="0"/>
        <c:ser>
          <c:idx val="0"/>
          <c:order val="0"/>
          <c:tx>
            <c:v>EUI</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Office!$Y$24:$Y$25</c:f>
              <c:numCache>
                <c:formatCode>_(* #,##0.00_);_(* \(#,##0.00\);_(* "-"??_);_(@_)</c:formatCode>
                <c:ptCount val="2"/>
                <c:pt idx="0">
                  <c:v>96.902875199767436</c:v>
                </c:pt>
                <c:pt idx="1">
                  <c:v>85.03611748244937</c:v>
                </c:pt>
              </c:numCache>
            </c:numRef>
          </c:val>
          <c:extLst>
            <c:ext xmlns:c16="http://schemas.microsoft.com/office/drawing/2014/chart" uri="{C3380CC4-5D6E-409C-BE32-E72D297353CC}">
              <c16:uniqueId val="{00000000-5E0A-4F88-9114-F3966C0C0FA0}"/>
            </c:ext>
          </c:extLst>
        </c:ser>
        <c:ser>
          <c:idx val="1"/>
          <c:order val="1"/>
          <c:tx>
            <c:v>Savings</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E0A-4F88-9114-F3966C0C0FA0}"/>
                </c:ext>
              </c:extLst>
            </c:dLbl>
            <c:numFmt formatCode="#,##0.0" sourceLinked="0"/>
            <c:spPr>
              <a:noFill/>
              <a:ln>
                <a:noFill/>
              </a:ln>
              <a:effectLst/>
            </c:spPr>
            <c:txPr>
              <a:bodyPr/>
              <a:lstStyle/>
              <a:p>
                <a:pPr>
                  <a:defRPr sz="1200" b="1" i="0"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Office!$Z$24:$Z$25</c:f>
              <c:numCache>
                <c:formatCode>_(* #,##0.00_);_(* \(#,##0.00\);_(* "-"??_);_(@_)</c:formatCode>
                <c:ptCount val="2"/>
                <c:pt idx="0" formatCode="General">
                  <c:v>0</c:v>
                </c:pt>
                <c:pt idx="1">
                  <c:v>11.866757717318066</c:v>
                </c:pt>
              </c:numCache>
            </c:numRef>
          </c:val>
          <c:extLst>
            <c:ext xmlns:c16="http://schemas.microsoft.com/office/drawing/2014/chart" uri="{C3380CC4-5D6E-409C-BE32-E72D297353CC}">
              <c16:uniqueId val="{00000002-5E0A-4F88-9114-F3966C0C0FA0}"/>
            </c:ext>
          </c:extLst>
        </c:ser>
        <c:dLbls>
          <c:showLegendKey val="0"/>
          <c:showVal val="0"/>
          <c:showCatName val="0"/>
          <c:showSerName val="0"/>
          <c:showPercent val="0"/>
          <c:showBubbleSize val="0"/>
        </c:dLbls>
        <c:gapWidth val="150"/>
        <c:overlap val="100"/>
        <c:axId val="208526848"/>
        <c:axId val="208578240"/>
      </c:barChart>
      <c:catAx>
        <c:axId val="208526848"/>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208578240"/>
        <c:crosses val="autoZero"/>
        <c:auto val="1"/>
        <c:lblAlgn val="ctr"/>
        <c:lblOffset val="100"/>
        <c:noMultiLvlLbl val="0"/>
      </c:catAx>
      <c:valAx>
        <c:axId val="20857824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852684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'Multi-family'!$AC$25:$AC$26</c:f>
              <c:numCache>
                <c:formatCode>_(* #,##0.00_);_(* \(#,##0.00\);_(* "-"??_);_(@_)</c:formatCode>
                <c:ptCount val="2"/>
                <c:pt idx="0">
                  <c:v>28.262978939999996</c:v>
                </c:pt>
                <c:pt idx="1">
                  <c:v>15.049782643541665</c:v>
                </c:pt>
              </c:numCache>
            </c:numRef>
          </c:val>
          <c:extLst>
            <c:ext xmlns:c16="http://schemas.microsoft.com/office/drawing/2014/chart" uri="{C3380CC4-5D6E-409C-BE32-E72D297353CC}">
              <c16:uniqueId val="{00000000-EC8E-498F-9352-FB032CA9643D}"/>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C8E-498F-9352-FB032CA9643D}"/>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'Multi-family'!$AD$25:$AD$26</c:f>
              <c:numCache>
                <c:formatCode>_(* #,##0.00_);_(* \(#,##0.00\);_(* "-"??_);_(@_)</c:formatCode>
                <c:ptCount val="2"/>
                <c:pt idx="0" formatCode="General">
                  <c:v>0</c:v>
                </c:pt>
                <c:pt idx="1">
                  <c:v>13.213196296458332</c:v>
                </c:pt>
              </c:numCache>
            </c:numRef>
          </c:val>
          <c:extLst>
            <c:ext xmlns:c16="http://schemas.microsoft.com/office/drawing/2014/chart" uri="{C3380CC4-5D6E-409C-BE32-E72D297353CC}">
              <c16:uniqueId val="{00000002-EC8E-498F-9352-FB032CA9643D}"/>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2080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List_Office'!$P$4:$P$16</c:f>
              <c:numCache>
                <c:formatCode>General</c:formatCode>
                <c:ptCount val="13"/>
                <c:pt idx="0">
                  <c:v>0.87046682559989996</c:v>
                </c:pt>
                <c:pt idx="1">
                  <c:v>2.4882522255999002</c:v>
                </c:pt>
                <c:pt idx="2">
                  <c:v>3.9896376255999</c:v>
                </c:pt>
                <c:pt idx="3">
                  <c:v>5.3746230255999006</c:v>
                </c:pt>
                <c:pt idx="4">
                  <c:v>6.6432084255998998</c:v>
                </c:pt>
                <c:pt idx="5">
                  <c:v>7.7953938255999002</c:v>
                </c:pt>
                <c:pt idx="6">
                  <c:v>8.8311792255999002</c:v>
                </c:pt>
                <c:pt idx="7">
                  <c:v>9.7505646255998997</c:v>
                </c:pt>
                <c:pt idx="8">
                  <c:v>10.5535500255999</c:v>
                </c:pt>
                <c:pt idx="9">
                  <c:v>11.240135425599901</c:v>
                </c:pt>
                <c:pt idx="10">
                  <c:v>11.810320825599902</c:v>
                </c:pt>
                <c:pt idx="11">
                  <c:v>12.264106225599896</c:v>
                </c:pt>
                <c:pt idx="12">
                  <c:v>12.6014916255999</c:v>
                </c:pt>
              </c:numCache>
            </c:numRef>
          </c:yVal>
          <c:smooth val="0"/>
          <c:extLst>
            <c:ext xmlns:c16="http://schemas.microsoft.com/office/drawing/2014/chart" uri="{C3380CC4-5D6E-409C-BE32-E72D297353CC}">
              <c16:uniqueId val="{00000000-2980-4BBF-B4F3-3CE693BEEF2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List_Office'!$O$4:$O$16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List_Office'!$Q$4:$Q$16</c:f>
              <c:numCache>
                <c:formatCode>General</c:formatCode>
                <c:ptCount val="13"/>
                <c:pt idx="0">
                  <c:v>1.0450550325248</c:v>
                </c:pt>
                <c:pt idx="1">
                  <c:v>2.7874767513248</c:v>
                </c:pt>
                <c:pt idx="2">
                  <c:v>4.4055462701248</c:v>
                </c:pt>
                <c:pt idx="3">
                  <c:v>5.8992635889248008</c:v>
                </c:pt>
                <c:pt idx="4">
                  <c:v>7.2686287077248002</c:v>
                </c:pt>
                <c:pt idx="5">
                  <c:v>8.5136416265247998</c:v>
                </c:pt>
                <c:pt idx="6">
                  <c:v>9.6343023453248016</c:v>
                </c:pt>
                <c:pt idx="7">
                  <c:v>10.630610864124801</c:v>
                </c:pt>
                <c:pt idx="8">
                  <c:v>11.5025671829248</c:v>
                </c:pt>
                <c:pt idx="9">
                  <c:v>12.250171301724802</c:v>
                </c:pt>
                <c:pt idx="10">
                  <c:v>12.873423220524799</c:v>
                </c:pt>
                <c:pt idx="11">
                  <c:v>13.3723229393248</c:v>
                </c:pt>
                <c:pt idx="12">
                  <c:v>13.746870458124802</c:v>
                </c:pt>
              </c:numCache>
            </c:numRef>
          </c:yVal>
          <c:smooth val="0"/>
          <c:extLst>
            <c:ext xmlns:c16="http://schemas.microsoft.com/office/drawing/2014/chart" uri="{C3380CC4-5D6E-409C-BE32-E72D297353CC}">
              <c16:uniqueId val="{00000001-2980-4BBF-B4F3-3CE693BEEF26}"/>
            </c:ext>
          </c:extLst>
        </c:ser>
        <c:dLbls>
          <c:showLegendKey val="0"/>
          <c:showVal val="0"/>
          <c:showCatName val="0"/>
          <c:showSerName val="0"/>
          <c:showPercent val="0"/>
          <c:showBubbleSize val="0"/>
        </c:dLbls>
        <c:axId val="88558511"/>
        <c:axId val="88549391"/>
      </c:scatterChart>
      <c:valAx>
        <c:axId val="8855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9391"/>
        <c:crosses val="autoZero"/>
        <c:crossBetween val="midCat"/>
      </c:valAx>
      <c:valAx>
        <c:axId val="88549391"/>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58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a:t>
            </a:r>
            <a:r>
              <a:rPr lang="en-US" baseline="0"/>
              <a:t> 2912 hrs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List_Office'!$P$19:$P$31</c:f>
              <c:numCache>
                <c:formatCode>General</c:formatCode>
                <c:ptCount val="13"/>
                <c:pt idx="0">
                  <c:v>1.6949778209999</c:v>
                </c:pt>
                <c:pt idx="1">
                  <c:v>3.9146528209998999</c:v>
                </c:pt>
                <c:pt idx="2">
                  <c:v>5.9633278209999006</c:v>
                </c:pt>
                <c:pt idx="3">
                  <c:v>7.8410028209998996</c:v>
                </c:pt>
                <c:pt idx="4">
                  <c:v>9.5476778209999011</c:v>
                </c:pt>
                <c:pt idx="5">
                  <c:v>11.083352820999902</c:v>
                </c:pt>
                <c:pt idx="6">
                  <c:v>12.448027820999901</c:v>
                </c:pt>
                <c:pt idx="7">
                  <c:v>13.641702820999898</c:v>
                </c:pt>
                <c:pt idx="8">
                  <c:v>14.664377820999899</c:v>
                </c:pt>
                <c:pt idx="9">
                  <c:v>15.516052820999899</c:v>
                </c:pt>
                <c:pt idx="10">
                  <c:v>16.1967278209999</c:v>
                </c:pt>
                <c:pt idx="11">
                  <c:v>16.706402820999898</c:v>
                </c:pt>
                <c:pt idx="12">
                  <c:v>17.045077820999897</c:v>
                </c:pt>
              </c:numCache>
            </c:numRef>
          </c:yVal>
          <c:smooth val="0"/>
          <c:extLst>
            <c:ext xmlns:c16="http://schemas.microsoft.com/office/drawing/2014/chart" uri="{C3380CC4-5D6E-409C-BE32-E72D297353CC}">
              <c16:uniqueId val="{00000000-5494-4535-94E4-57427E8A6696}"/>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List_Office'!$O$19:$O$31</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List_Office'!$Q$19:$Q$31</c:f>
              <c:numCache>
                <c:formatCode>General</c:formatCode>
                <c:ptCount val="13"/>
                <c:pt idx="0">
                  <c:v>1.9632126070335001</c:v>
                </c:pt>
                <c:pt idx="1">
                  <c:v>4.3589468416335002</c:v>
                </c:pt>
                <c:pt idx="2">
                  <c:v>6.5861670762335001</c:v>
                </c:pt>
                <c:pt idx="3">
                  <c:v>8.6448733108334999</c:v>
                </c:pt>
                <c:pt idx="4">
                  <c:v>10.535065545433499</c:v>
                </c:pt>
                <c:pt idx="5">
                  <c:v>12.256743780033499</c:v>
                </c:pt>
                <c:pt idx="6">
                  <c:v>13.8099080146335</c:v>
                </c:pt>
                <c:pt idx="7">
                  <c:v>15.194558249233502</c:v>
                </c:pt>
                <c:pt idx="8">
                  <c:v>16.410694483833502</c:v>
                </c:pt>
                <c:pt idx="9">
                  <c:v>17.458316718433501</c:v>
                </c:pt>
                <c:pt idx="10">
                  <c:v>18.337424953033501</c:v>
                </c:pt>
                <c:pt idx="11">
                  <c:v>19.0480191876335</c:v>
                </c:pt>
                <c:pt idx="12">
                  <c:v>19.5900994222335</c:v>
                </c:pt>
              </c:numCache>
            </c:numRef>
          </c:yVal>
          <c:smooth val="0"/>
          <c:extLst>
            <c:ext xmlns:c16="http://schemas.microsoft.com/office/drawing/2014/chart" uri="{C3380CC4-5D6E-409C-BE32-E72D297353CC}">
              <c16:uniqueId val="{00000001-5494-4535-94E4-57427E8A6696}"/>
            </c:ext>
          </c:extLst>
        </c:ser>
        <c:dLbls>
          <c:showLegendKey val="0"/>
          <c:showVal val="0"/>
          <c:showCatName val="0"/>
          <c:showSerName val="0"/>
          <c:showPercent val="0"/>
          <c:showBubbleSize val="0"/>
        </c:dLbls>
        <c:axId val="946950432"/>
        <c:axId val="937193840"/>
      </c:scatterChart>
      <c:valAx>
        <c:axId val="946950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193840"/>
        <c:crosses val="autoZero"/>
        <c:crossBetween val="midCat"/>
      </c:valAx>
      <c:valAx>
        <c:axId val="9371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504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 vs Large Office Savings, 8760 hrs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List_Office'!$P$34:$P$46</c:f>
              <c:numCache>
                <c:formatCode>General</c:formatCode>
                <c:ptCount val="13"/>
                <c:pt idx="0">
                  <c:v>16.004060569799801</c:v>
                </c:pt>
                <c:pt idx="1">
                  <c:v>18.508308669799799</c:v>
                </c:pt>
                <c:pt idx="2">
                  <c:v>20.8847567697998</c:v>
                </c:pt>
                <c:pt idx="3">
                  <c:v>23.133404869799804</c:v>
                </c:pt>
                <c:pt idx="4">
                  <c:v>25.254252969799801</c:v>
                </c:pt>
                <c:pt idx="5">
                  <c:v>27.2473010697998</c:v>
                </c:pt>
                <c:pt idx="6">
                  <c:v>29.112549169799802</c:v>
                </c:pt>
                <c:pt idx="7">
                  <c:v>30.849997269799804</c:v>
                </c:pt>
                <c:pt idx="8">
                  <c:v>32.459645369799809</c:v>
                </c:pt>
                <c:pt idx="9">
                  <c:v>33.941493469799809</c:v>
                </c:pt>
                <c:pt idx="10">
                  <c:v>35.295541569799802</c:v>
                </c:pt>
                <c:pt idx="11">
                  <c:v>36.521789669799801</c:v>
                </c:pt>
                <c:pt idx="12">
                  <c:v>37.6202377697998</c:v>
                </c:pt>
              </c:numCache>
            </c:numRef>
          </c:yVal>
          <c:smooth val="0"/>
          <c:extLst>
            <c:ext xmlns:c16="http://schemas.microsoft.com/office/drawing/2014/chart" uri="{C3380CC4-5D6E-409C-BE32-E72D297353CC}">
              <c16:uniqueId val="{00000000-0C20-455C-86D1-8F60802897F0}"/>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'Regresson List_Office'!$O$34:$O$46</c:f>
              <c:numCache>
                <c:formatCode>#,##0</c:formatCode>
                <c:ptCount val="13"/>
                <c:pt idx="0">
                  <c:v>0</c:v>
                </c:pt>
                <c:pt idx="1">
                  <c:v>1000</c:v>
                </c:pt>
                <c:pt idx="2">
                  <c:v>2000</c:v>
                </c:pt>
                <c:pt idx="3">
                  <c:v>3000</c:v>
                </c:pt>
                <c:pt idx="4">
                  <c:v>4000</c:v>
                </c:pt>
                <c:pt idx="5">
                  <c:v>5000</c:v>
                </c:pt>
                <c:pt idx="6">
                  <c:v>6000</c:v>
                </c:pt>
                <c:pt idx="7">
                  <c:v>7000</c:v>
                </c:pt>
                <c:pt idx="8">
                  <c:v>8000</c:v>
                </c:pt>
                <c:pt idx="9">
                  <c:v>9000</c:v>
                </c:pt>
                <c:pt idx="10">
                  <c:v>10000</c:v>
                </c:pt>
                <c:pt idx="11">
                  <c:v>11000</c:v>
                </c:pt>
                <c:pt idx="12">
                  <c:v>12000</c:v>
                </c:pt>
              </c:numCache>
            </c:numRef>
          </c:xVal>
          <c:yVal>
            <c:numRef>
              <c:f>'Regresson List_Office'!$Q$34:$Q$46</c:f>
              <c:numCache>
                <c:formatCode>General</c:formatCode>
                <c:ptCount val="13"/>
                <c:pt idx="0">
                  <c:v>17.881665489718198</c:v>
                </c:pt>
                <c:pt idx="1">
                  <c:v>20.546883107918198</c:v>
                </c:pt>
                <c:pt idx="2">
                  <c:v>23.073087326118198</c:v>
                </c:pt>
                <c:pt idx="3">
                  <c:v>25.460278144318199</c:v>
                </c:pt>
                <c:pt idx="4">
                  <c:v>27.7084555625182</c:v>
                </c:pt>
                <c:pt idx="5">
                  <c:v>29.817619580718201</c:v>
                </c:pt>
                <c:pt idx="6">
                  <c:v>31.787770198918196</c:v>
                </c:pt>
                <c:pt idx="7">
                  <c:v>33.618907417118201</c:v>
                </c:pt>
                <c:pt idx="8">
                  <c:v>35.311031235318197</c:v>
                </c:pt>
                <c:pt idx="9">
                  <c:v>36.864141653518203</c:v>
                </c:pt>
                <c:pt idx="10">
                  <c:v>38.278238671718199</c:v>
                </c:pt>
                <c:pt idx="11">
                  <c:v>39.553322289918199</c:v>
                </c:pt>
                <c:pt idx="12">
                  <c:v>40.689392508118203</c:v>
                </c:pt>
              </c:numCache>
            </c:numRef>
          </c:yVal>
          <c:smooth val="0"/>
          <c:extLst>
            <c:ext xmlns:c16="http://schemas.microsoft.com/office/drawing/2014/chart" uri="{C3380CC4-5D6E-409C-BE32-E72D297353CC}">
              <c16:uniqueId val="{00000001-0C20-455C-86D1-8F60802897F0}"/>
            </c:ext>
          </c:extLst>
        </c:ser>
        <c:dLbls>
          <c:showLegendKey val="0"/>
          <c:showVal val="0"/>
          <c:showCatName val="0"/>
          <c:showSerName val="0"/>
          <c:showPercent val="0"/>
          <c:showBubbleSize val="0"/>
        </c:dLbls>
        <c:axId val="1133706384"/>
        <c:axId val="1133697264"/>
      </c:scatterChart>
      <c:valAx>
        <c:axId val="11337063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97264"/>
        <c:crosses val="autoZero"/>
        <c:crossBetween val="midCat"/>
      </c:valAx>
      <c:valAx>
        <c:axId val="113369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063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74281468558945118"/>
          <c:h val="0.75889806547388294"/>
        </c:manualLayout>
      </c:layout>
      <c:barChart>
        <c:barDir val="col"/>
        <c:grouping val="stacked"/>
        <c:varyColors val="0"/>
        <c:ser>
          <c:idx val="0"/>
          <c:order val="0"/>
          <c:tx>
            <c:v>Peak Load</c:v>
          </c:tx>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Office!$AA$24:$AA$25</c:f>
              <c:numCache>
                <c:formatCode>_(* #,##0.00_);_(* \(#,##0.00\);_(* "-"??_);_(@_)</c:formatCode>
                <c:ptCount val="2"/>
                <c:pt idx="0">
                  <c:v>557.58101970625012</c:v>
                </c:pt>
                <c:pt idx="1">
                  <c:v>510.10564161700012</c:v>
                </c:pt>
              </c:numCache>
            </c:numRef>
          </c:val>
          <c:extLst>
            <c:ext xmlns:c16="http://schemas.microsoft.com/office/drawing/2014/chart" uri="{C3380CC4-5D6E-409C-BE32-E72D297353CC}">
              <c16:uniqueId val="{00000000-50E4-4A55-933F-597ED648FAB8}"/>
            </c:ext>
          </c:extLst>
        </c:ser>
        <c:ser>
          <c:idx val="1"/>
          <c:order val="1"/>
          <c:tx>
            <c:v>Reduction</c:v>
          </c:tx>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50E4-4A55-933F-597ED648FAB8}"/>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Office!$AC$24:$AC$25</c:f>
              <c:strCache>
                <c:ptCount val="2"/>
                <c:pt idx="0">
                  <c:v> Baseline </c:v>
                </c:pt>
                <c:pt idx="1">
                  <c:v> CSW </c:v>
                </c:pt>
              </c:strCache>
            </c:strRef>
          </c:cat>
          <c:val>
            <c:numRef>
              <c:f>Office!$AB$24:$AB$25</c:f>
              <c:numCache>
                <c:formatCode>_(* #,##0.00_);_(* \(#,##0.00\);_(* "-"??_);_(@_)</c:formatCode>
                <c:ptCount val="2"/>
                <c:pt idx="0" formatCode="General">
                  <c:v>0</c:v>
                </c:pt>
                <c:pt idx="1">
                  <c:v>47.47537808925</c:v>
                </c:pt>
              </c:numCache>
            </c:numRef>
          </c:val>
          <c:extLst>
            <c:ext xmlns:c16="http://schemas.microsoft.com/office/drawing/2014/chart" uri="{C3380CC4-5D6E-409C-BE32-E72D297353CC}">
              <c16:uniqueId val="{00000002-50E4-4A55-933F-597ED648FAB8}"/>
            </c:ext>
          </c:extLst>
        </c:ser>
        <c:dLbls>
          <c:showLegendKey val="0"/>
          <c:showVal val="0"/>
          <c:showCatName val="0"/>
          <c:showSerName val="0"/>
          <c:showPercent val="0"/>
          <c:showBubbleSize val="0"/>
        </c:dLbls>
        <c:gapWidth val="150"/>
        <c:overlap val="100"/>
        <c:axId val="208695808"/>
        <c:axId val="208579392"/>
      </c:barChart>
      <c:catAx>
        <c:axId val="20869580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79392"/>
        <c:crosses val="autoZero"/>
        <c:auto val="1"/>
        <c:lblAlgn val="ctr"/>
        <c:lblOffset val="100"/>
        <c:noMultiLvlLbl val="0"/>
      </c:catAx>
      <c:valAx>
        <c:axId val="208579392"/>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8695808"/>
        <c:crosses val="autoZero"/>
        <c:crossBetween val="between"/>
      </c:valAx>
    </c:plotArea>
    <c:legend>
      <c:legendPos val="r"/>
      <c:overlay val="0"/>
      <c:txPr>
        <a:bodyPr/>
        <a:lstStyle/>
        <a:p>
          <a:pPr>
            <a:defRPr sz="1200" b="1" i="0" baseline="0"/>
          </a:pPr>
          <a:endParaRPr lang="en-US"/>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Hotel!$AA$24:$AA$25</c:f>
              <c:numCache>
                <c:formatCode>_(* #,##0.00_);_(* \(#,##0.00\);_(* "-"??_);_(@_)</c:formatCode>
                <c:ptCount val="2"/>
                <c:pt idx="0">
                  <c:v>56.6865005513</c:v>
                </c:pt>
                <c:pt idx="1">
                  <c:v>52.271504496783663</c:v>
                </c:pt>
              </c:numCache>
            </c:numRef>
          </c:val>
          <c:extLst>
            <c:ext xmlns:c16="http://schemas.microsoft.com/office/drawing/2014/chart" uri="{C3380CC4-5D6E-409C-BE32-E72D297353CC}">
              <c16:uniqueId val="{00000000-C8FE-4231-992B-019DDF6D6641}"/>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8FE-4231-992B-019DDF6D6641}"/>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Hotel!$AB$24:$AB$25</c:f>
              <c:numCache>
                <c:formatCode>_(* #,##0.00_);_(* \(#,##0.00\);_(* "-"??_);_(@_)</c:formatCode>
                <c:ptCount val="2"/>
                <c:pt idx="0" formatCode="General">
                  <c:v>0</c:v>
                </c:pt>
                <c:pt idx="1">
                  <c:v>4.4149960545163367</c:v>
                </c:pt>
              </c:numCache>
            </c:numRef>
          </c:val>
          <c:extLst>
            <c:ext xmlns:c16="http://schemas.microsoft.com/office/drawing/2014/chart" uri="{C3380CC4-5D6E-409C-BE32-E72D297353CC}">
              <c16:uniqueId val="{00000002-C8FE-4231-992B-019DDF6D6641}"/>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Hotel!$AC$24:$AC$25</c:f>
              <c:numCache>
                <c:formatCode>_(* #,##0.00_);_(* \(#,##0.00\);_(* "-"??_);_(@_)</c:formatCode>
                <c:ptCount val="2"/>
                <c:pt idx="0">
                  <c:v>378.72971685466666</c:v>
                </c:pt>
                <c:pt idx="1">
                  <c:v>310.35667483716668</c:v>
                </c:pt>
              </c:numCache>
            </c:numRef>
          </c:val>
          <c:extLst>
            <c:ext xmlns:c16="http://schemas.microsoft.com/office/drawing/2014/chart" uri="{C3380CC4-5D6E-409C-BE32-E72D297353CC}">
              <c16:uniqueId val="{00000000-CEC8-48E7-BB21-7FC4B4B90862}"/>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CEC8-48E7-BB21-7FC4B4B90862}"/>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Hotel!$AE$24:$AE$25</c:f>
              <c:strCache>
                <c:ptCount val="2"/>
                <c:pt idx="0">
                  <c:v> Baseline </c:v>
                </c:pt>
                <c:pt idx="1">
                  <c:v> CSW </c:v>
                </c:pt>
              </c:strCache>
            </c:strRef>
          </c:cat>
          <c:val>
            <c:numRef>
              <c:f>Hotel!$AD$24:$AD$25</c:f>
              <c:numCache>
                <c:formatCode>_(* #,##0.00_);_(* \(#,##0.00\);_(* "-"??_);_(@_)</c:formatCode>
                <c:ptCount val="2"/>
                <c:pt idx="0" formatCode="General">
                  <c:v>0</c:v>
                </c:pt>
                <c:pt idx="1">
                  <c:v>68.373042017499984</c:v>
                </c:pt>
              </c:numCache>
            </c:numRef>
          </c:val>
          <c:extLst>
            <c:ext xmlns:c16="http://schemas.microsoft.com/office/drawing/2014/chart" uri="{C3380CC4-5D6E-409C-BE32-E72D297353CC}">
              <c16:uniqueId val="{00000002-CEC8-48E7-BB21-7FC4B4B90862}"/>
            </c:ext>
          </c:extLst>
        </c:ser>
        <c:dLbls>
          <c:showLegendKey val="0"/>
          <c:showVal val="0"/>
          <c:showCatName val="0"/>
          <c:showSerName val="0"/>
          <c:showPercent val="0"/>
          <c:showBubbleSize val="0"/>
        </c:dLbls>
        <c:gapWidth val="150"/>
        <c:overlap val="100"/>
        <c:axId val="209997312"/>
        <c:axId val="208584000"/>
      </c:barChart>
      <c:catAx>
        <c:axId val="209997312"/>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4000"/>
        <c:crosses val="autoZero"/>
        <c:auto val="1"/>
        <c:lblAlgn val="ctr"/>
        <c:lblOffset val="100"/>
        <c:noMultiLvlLbl val="0"/>
      </c:catAx>
      <c:valAx>
        <c:axId val="208584000"/>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09997312"/>
        <c:crosses val="autoZero"/>
        <c:crossBetween val="between"/>
      </c:valAx>
    </c:plotArea>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School!$W$24:$W$25</c:f>
              <c:numCache>
                <c:formatCode>_(* #,##0.00_);_(* \(#,##0.00\);_(* "-"??_);_(@_)</c:formatCode>
                <c:ptCount val="2"/>
                <c:pt idx="0" formatCode="General">
                  <c:v>82.27462925399999</c:v>
                </c:pt>
                <c:pt idx="1">
                  <c:v>78.958215040875729</c:v>
                </c:pt>
              </c:numCache>
            </c:numRef>
          </c:val>
          <c:extLst>
            <c:ext xmlns:c16="http://schemas.microsoft.com/office/drawing/2014/chart" uri="{C3380CC4-5D6E-409C-BE32-E72D297353CC}">
              <c16:uniqueId val="{00000000-0479-435B-B409-C85F3FF18BBF}"/>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0479-435B-B409-C85F3FF18BBF}"/>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School!$X$24:$X$25</c:f>
              <c:numCache>
                <c:formatCode>_(* #,##0.00_);_(* \(#,##0.00\);_(* "-"??_);_(@_)</c:formatCode>
                <c:ptCount val="2"/>
                <c:pt idx="0" formatCode="General">
                  <c:v>0</c:v>
                </c:pt>
                <c:pt idx="1">
                  <c:v>3.3164142131242613</c:v>
                </c:pt>
              </c:numCache>
            </c:numRef>
          </c:val>
          <c:extLst>
            <c:ext xmlns:c16="http://schemas.microsoft.com/office/drawing/2014/chart" uri="{C3380CC4-5D6E-409C-BE32-E72D297353CC}">
              <c16:uniqueId val="{00000002-0479-435B-B409-C85F3FF18BBF}"/>
            </c:ext>
          </c:extLst>
        </c:ser>
        <c:dLbls>
          <c:showLegendKey val="0"/>
          <c:showVal val="0"/>
          <c:showCatName val="0"/>
          <c:showSerName val="0"/>
          <c:showPercent val="0"/>
          <c:showBubbleSize val="0"/>
        </c:dLbls>
        <c:gapWidth val="150"/>
        <c:overlap val="100"/>
        <c:axId val="210599936"/>
        <c:axId val="209808192"/>
      </c:barChart>
      <c:catAx>
        <c:axId val="21059993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8192"/>
        <c:crosses val="autoZero"/>
        <c:auto val="1"/>
        <c:lblAlgn val="ctr"/>
        <c:lblOffset val="100"/>
        <c:noMultiLvlLbl val="0"/>
      </c:catAx>
      <c:valAx>
        <c:axId val="209808192"/>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59993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School!$Y$24:$Y$25</c:f>
              <c:numCache>
                <c:formatCode>_(* #,##0.00_);_(* \(#,##0.00\);_(* "-"??_);_(@_)</c:formatCode>
                <c:ptCount val="2"/>
                <c:pt idx="0">
                  <c:v>431.4394266425</c:v>
                </c:pt>
                <c:pt idx="1">
                  <c:v>411.84391230325002</c:v>
                </c:pt>
              </c:numCache>
            </c:numRef>
          </c:val>
          <c:extLst>
            <c:ext xmlns:c16="http://schemas.microsoft.com/office/drawing/2014/chart" uri="{C3380CC4-5D6E-409C-BE32-E72D297353CC}">
              <c16:uniqueId val="{00000000-8602-4D87-AE3B-23145F76A607}"/>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8602-4D87-AE3B-23145F76A607}"/>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School!$AA$24:$AA$25</c:f>
              <c:strCache>
                <c:ptCount val="2"/>
                <c:pt idx="0">
                  <c:v> Baseline </c:v>
                </c:pt>
                <c:pt idx="1">
                  <c:v> CSW </c:v>
                </c:pt>
              </c:strCache>
            </c:strRef>
          </c:cat>
          <c:val>
            <c:numRef>
              <c:f>School!$Z$24:$Z$25</c:f>
              <c:numCache>
                <c:formatCode>_(* #,##0.00_);_(* \(#,##0.00\);_(* "-"??_);_(@_)</c:formatCode>
                <c:ptCount val="2"/>
                <c:pt idx="0" formatCode="General">
                  <c:v>0</c:v>
                </c:pt>
                <c:pt idx="1">
                  <c:v>19.595514339249974</c:v>
                </c:pt>
              </c:numCache>
            </c:numRef>
          </c:val>
          <c:extLst>
            <c:ext xmlns:c16="http://schemas.microsoft.com/office/drawing/2014/chart" uri="{C3380CC4-5D6E-409C-BE32-E72D297353CC}">
              <c16:uniqueId val="{00000002-8602-4D87-AE3B-23145F76A607}"/>
            </c:ext>
          </c:extLst>
        </c:ser>
        <c:dLbls>
          <c:showLegendKey val="0"/>
          <c:showVal val="0"/>
          <c:showCatName val="0"/>
          <c:showSerName val="0"/>
          <c:showPercent val="0"/>
          <c:showBubbleSize val="0"/>
        </c:dLbls>
        <c:gapWidth val="150"/>
        <c:overlap val="100"/>
        <c:axId val="210600960"/>
        <c:axId val="209809344"/>
      </c:barChart>
      <c:catAx>
        <c:axId val="210600960"/>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09344"/>
        <c:crosses val="autoZero"/>
        <c:auto val="1"/>
        <c:lblAlgn val="ctr"/>
        <c:lblOffset val="100"/>
        <c:noMultiLvlLbl val="0"/>
      </c:catAx>
      <c:valAx>
        <c:axId val="209809344"/>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600960"/>
        <c:crosses val="autoZero"/>
        <c:crossBetween val="between"/>
      </c:valAx>
    </c:plotArea>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Hospital!$W$24:$W$25</c:f>
              <c:numCache>
                <c:formatCode>_(* #,##0.00_);_(* \(#,##0.00\);_(* "-"??_);_(@_)</c:formatCode>
                <c:ptCount val="2"/>
                <c:pt idx="0" formatCode="General">
                  <c:v>230.19917887899999</c:v>
                </c:pt>
                <c:pt idx="1">
                  <c:v>218.54678043954419</c:v>
                </c:pt>
              </c:numCache>
            </c:numRef>
          </c:val>
          <c:extLst>
            <c:ext xmlns:c16="http://schemas.microsoft.com/office/drawing/2014/chart" uri="{C3380CC4-5D6E-409C-BE32-E72D297353CC}">
              <c16:uniqueId val="{00000000-E506-4679-8187-CF26589D369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E506-4679-8187-CF26589D369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Hospital!$X$24:$X$25</c:f>
              <c:numCache>
                <c:formatCode>_(* #,##0.00_);_(* \(#,##0.00\);_(* "-"??_);_(@_)</c:formatCode>
                <c:ptCount val="2"/>
                <c:pt idx="0" formatCode="General">
                  <c:v>0</c:v>
                </c:pt>
                <c:pt idx="1">
                  <c:v>11.652398439455794</c:v>
                </c:pt>
              </c:numCache>
            </c:numRef>
          </c:val>
          <c:extLst>
            <c:ext xmlns:c16="http://schemas.microsoft.com/office/drawing/2014/chart" uri="{C3380CC4-5D6E-409C-BE32-E72D297353CC}">
              <c16:uniqueId val="{00000002-E506-4679-8187-CF26589D3696}"/>
            </c:ext>
          </c:extLst>
        </c:ser>
        <c:dLbls>
          <c:showLegendKey val="0"/>
          <c:showVal val="0"/>
          <c:showCatName val="0"/>
          <c:showSerName val="0"/>
          <c:showPercent val="0"/>
          <c:showBubbleSize val="0"/>
        </c:dLbls>
        <c:gapWidth val="150"/>
        <c:overlap val="100"/>
        <c:axId val="210169856"/>
        <c:axId val="209812800"/>
      </c:barChart>
      <c:catAx>
        <c:axId val="21016985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9812800"/>
        <c:crosses val="autoZero"/>
        <c:auto val="1"/>
        <c:lblAlgn val="ctr"/>
        <c:lblOffset val="100"/>
        <c:noMultiLvlLbl val="0"/>
      </c:catAx>
      <c:valAx>
        <c:axId val="209812800"/>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10169856"/>
        <c:crosses val="autoZero"/>
        <c:crossBetween val="between"/>
      </c:valAx>
    </c:plotArea>
    <c:plotVisOnly val="0"/>
    <c:dispBlanksAs val="gap"/>
    <c:showDLblsOverMax val="0"/>
  </c:chart>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Basis</a:t>
            </a:r>
            <a:r>
              <a:rPr lang="en-US" baseline="0"/>
              <a:t> of HVAC System Sizing, Peak Cooling Load</a:t>
            </a:r>
            <a:endParaRPr lang="en-US"/>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Hospital!$Y$24:$Y$25</c:f>
              <c:numCache>
                <c:formatCode>_(* #,##0.00_);_(* \(#,##0.00\);_(* "-"??_);_(@_)</c:formatCode>
                <c:ptCount val="2"/>
                <c:pt idx="0">
                  <c:v>365.13148133524999</c:v>
                </c:pt>
                <c:pt idx="1">
                  <c:v>340.84226194414998</c:v>
                </c:pt>
              </c:numCache>
            </c:numRef>
          </c:val>
          <c:extLst>
            <c:ext xmlns:c16="http://schemas.microsoft.com/office/drawing/2014/chart" uri="{C3380CC4-5D6E-409C-BE32-E72D297353CC}">
              <c16:uniqueId val="{00000000-F6B9-4511-B666-6AA387652344}"/>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F6B9-4511-B666-6AA387652344}"/>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Hospital!$AA$24:$AA$25</c:f>
              <c:strCache>
                <c:ptCount val="2"/>
                <c:pt idx="0">
                  <c:v> Baseline </c:v>
                </c:pt>
                <c:pt idx="1">
                  <c:v> CSW </c:v>
                </c:pt>
              </c:strCache>
            </c:strRef>
          </c:cat>
          <c:val>
            <c:numRef>
              <c:f>Hospital!$Z$24:$Z$25</c:f>
              <c:numCache>
                <c:formatCode>_(* #,##0.00_);_(* \(#,##0.00\);_(* "-"??_);_(@_)</c:formatCode>
                <c:ptCount val="2"/>
                <c:pt idx="0" formatCode="General">
                  <c:v>0</c:v>
                </c:pt>
                <c:pt idx="1">
                  <c:v>24.289219391100005</c:v>
                </c:pt>
              </c:numCache>
            </c:numRef>
          </c:val>
          <c:extLst>
            <c:ext xmlns:c16="http://schemas.microsoft.com/office/drawing/2014/chart" uri="{C3380CC4-5D6E-409C-BE32-E72D297353CC}">
              <c16:uniqueId val="{00000002-F6B9-4511-B666-6AA387652344}"/>
            </c:ext>
          </c:extLst>
        </c:ser>
        <c:dLbls>
          <c:showLegendKey val="0"/>
          <c:showVal val="0"/>
          <c:showCatName val="0"/>
          <c:showSerName val="0"/>
          <c:showPercent val="0"/>
          <c:showBubbleSize val="0"/>
        </c:dLbls>
        <c:gapWidth val="150"/>
        <c:overlap val="100"/>
        <c:axId val="210170368"/>
        <c:axId val="210534976"/>
      </c:barChart>
      <c:catAx>
        <c:axId val="210170368"/>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10534976"/>
        <c:crosses val="autoZero"/>
        <c:auto val="1"/>
        <c:lblAlgn val="ctr"/>
        <c:lblOffset val="100"/>
        <c:noMultiLvlLbl val="0"/>
      </c:catAx>
      <c:valAx>
        <c:axId val="210534976"/>
        <c:scaling>
          <c:orientation val="minMax"/>
          <c:min val="0"/>
        </c:scaling>
        <c:delete val="0"/>
        <c:axPos val="l"/>
        <c:majorGridlines/>
        <c:title>
          <c:tx>
            <c:rich>
              <a:bodyPr rot="-5400000" vert="horz"/>
              <a:lstStyle/>
              <a:p>
                <a:pPr>
                  <a:defRPr/>
                </a:pPr>
                <a:r>
                  <a:rPr lang="en-US"/>
                  <a:t>Cooling Capacity, tons</a:t>
                </a:r>
              </a:p>
              <a:p>
                <a:pPr>
                  <a:defRPr/>
                </a:pPr>
                <a:endParaRPr lang="en-US"/>
              </a:p>
            </c:rich>
          </c:tx>
          <c:overlay val="0"/>
        </c:title>
        <c:numFmt formatCode="_(* #,##0_);_(* \(#,##0\);_(* &quot;-&quot;_);_(@_)" sourceLinked="0"/>
        <c:majorTickMark val="out"/>
        <c:minorTickMark val="none"/>
        <c:tickLblPos val="nextTo"/>
        <c:txPr>
          <a:bodyPr/>
          <a:lstStyle/>
          <a:p>
            <a:pPr>
              <a:defRPr sz="1200" b="1" i="0" baseline="0"/>
            </a:pPr>
            <a:endParaRPr lang="en-US"/>
          </a:p>
        </c:txPr>
        <c:crossAx val="210170368"/>
        <c:crosses val="autoZero"/>
        <c:crossBetween val="between"/>
      </c:valAx>
    </c:plotArea>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Annual Energy Use Intensity Comparison</a:t>
            </a:r>
          </a:p>
        </c:rich>
      </c:tx>
      <c:layout>
        <c:manualLayout>
          <c:xMode val="edge"/>
          <c:yMode val="edge"/>
          <c:x val="0.17374799182847736"/>
          <c:y val="1.7505464427207764E-2"/>
        </c:manualLayout>
      </c:layout>
      <c:overlay val="1"/>
    </c:title>
    <c:autoTitleDeleted val="0"/>
    <c:plotArea>
      <c:layout>
        <c:manualLayout>
          <c:layoutTarget val="inner"/>
          <c:xMode val="edge"/>
          <c:yMode val="edge"/>
          <c:x val="0.10337549952445679"/>
          <c:y val="0.13708984059344903"/>
          <c:w val="0.88852329478966263"/>
          <c:h val="0.75889806547388294"/>
        </c:manualLayout>
      </c:layout>
      <c:barChart>
        <c:barDir val="col"/>
        <c:grouping val="stacked"/>
        <c:varyColors val="0"/>
        <c:ser>
          <c:idx val="0"/>
          <c:order val="0"/>
          <c:invertIfNegative val="0"/>
          <c:dLbls>
            <c:numFmt formatCode="#,##0.0" sourceLinked="0"/>
            <c:spPr>
              <a:noFill/>
              <a:ln>
                <a:noFill/>
              </a:ln>
              <a:effectLst/>
            </c:spPr>
            <c:txPr>
              <a:bodyPr/>
              <a:lstStyle/>
              <a:p>
                <a:pPr>
                  <a:defRPr sz="1200" b="1"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'Multi-family'!$AA$25:$AA$26</c:f>
              <c:numCache>
                <c:formatCode>_(* #,##0.00_);_(* \(#,##0.00\);_(* "-"??_);_(@_)</c:formatCode>
                <c:ptCount val="2"/>
                <c:pt idx="0" formatCode="General">
                  <c:v>44.472006336900002</c:v>
                </c:pt>
                <c:pt idx="1">
                  <c:v>31.852007931438955</c:v>
                </c:pt>
              </c:numCache>
            </c:numRef>
          </c:val>
          <c:extLst>
            <c:ext xmlns:c16="http://schemas.microsoft.com/office/drawing/2014/chart" uri="{C3380CC4-5D6E-409C-BE32-E72D297353CC}">
              <c16:uniqueId val="{00000000-3985-48BF-90D9-317578FC9956}"/>
            </c:ext>
          </c:extLst>
        </c:ser>
        <c:ser>
          <c:idx val="1"/>
          <c:order val="1"/>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3985-48BF-90D9-317578FC9956}"/>
                </c:ext>
              </c:extLst>
            </c:dLbl>
            <c:numFmt formatCode="#,##0.0" sourceLinked="0"/>
            <c:spPr>
              <a:noFill/>
              <a:ln>
                <a:noFill/>
              </a:ln>
              <a:effectLst/>
            </c:spPr>
            <c:txPr>
              <a:bodyPr/>
              <a:lstStyle/>
              <a:p>
                <a:pPr>
                  <a:defRPr sz="1200" b="1" i="0" baseline="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'Multi-family'!$AE$25:$AE$26</c:f>
              <c:strCache>
                <c:ptCount val="2"/>
                <c:pt idx="0">
                  <c:v> Baseline </c:v>
                </c:pt>
                <c:pt idx="1">
                  <c:v> CSW </c:v>
                </c:pt>
              </c:strCache>
            </c:strRef>
          </c:cat>
          <c:val>
            <c:numRef>
              <c:f>'Multi-family'!$AB$25:$AB$26</c:f>
              <c:numCache>
                <c:formatCode>_(* #,##0.00_);_(* \(#,##0.00\);_(* "-"??_);_(@_)</c:formatCode>
                <c:ptCount val="2"/>
                <c:pt idx="0" formatCode="General">
                  <c:v>0</c:v>
                </c:pt>
                <c:pt idx="1">
                  <c:v>12.619998405461047</c:v>
                </c:pt>
              </c:numCache>
            </c:numRef>
          </c:val>
          <c:extLst>
            <c:ext xmlns:c16="http://schemas.microsoft.com/office/drawing/2014/chart" uri="{C3380CC4-5D6E-409C-BE32-E72D297353CC}">
              <c16:uniqueId val="{00000002-3985-48BF-90D9-317578FC9956}"/>
            </c:ext>
          </c:extLst>
        </c:ser>
        <c:dLbls>
          <c:showLegendKey val="0"/>
          <c:showVal val="0"/>
          <c:showCatName val="0"/>
          <c:showSerName val="0"/>
          <c:showPercent val="0"/>
          <c:showBubbleSize val="0"/>
        </c:dLbls>
        <c:gapWidth val="150"/>
        <c:overlap val="100"/>
        <c:axId val="209995776"/>
        <c:axId val="208582848"/>
      </c:barChart>
      <c:catAx>
        <c:axId val="209995776"/>
        <c:scaling>
          <c:orientation val="minMax"/>
        </c:scaling>
        <c:delete val="0"/>
        <c:axPos val="b"/>
        <c:numFmt formatCode="General" sourceLinked="0"/>
        <c:majorTickMark val="out"/>
        <c:minorTickMark val="none"/>
        <c:tickLblPos val="nextTo"/>
        <c:txPr>
          <a:bodyPr/>
          <a:lstStyle/>
          <a:p>
            <a:pPr>
              <a:defRPr sz="1200" b="1" i="0" baseline="0"/>
            </a:pPr>
            <a:endParaRPr lang="en-US"/>
          </a:p>
        </c:txPr>
        <c:crossAx val="208582848"/>
        <c:crosses val="autoZero"/>
        <c:auto val="1"/>
        <c:lblAlgn val="ctr"/>
        <c:lblOffset val="100"/>
        <c:noMultiLvlLbl val="0"/>
      </c:catAx>
      <c:valAx>
        <c:axId val="208582848"/>
        <c:scaling>
          <c:orientation val="minMax"/>
          <c:min val="0"/>
        </c:scaling>
        <c:delete val="0"/>
        <c:axPos val="l"/>
        <c:majorGridlines/>
        <c:title>
          <c:tx>
            <c:rich>
              <a:bodyPr rot="-5400000" vert="horz"/>
              <a:lstStyle/>
              <a:p>
                <a:pPr>
                  <a:defRPr/>
                </a:pPr>
                <a:r>
                  <a:rPr lang="en-US"/>
                  <a:t>Energy Use Intensity, kBtu/SF-year</a:t>
                </a:r>
              </a:p>
            </c:rich>
          </c:tx>
          <c:overlay val="0"/>
        </c:title>
        <c:numFmt formatCode="_(* #,##0_);_(* \(#,##0\);_(* &quot;-&quot;_);_(@_)" sourceLinked="0"/>
        <c:majorTickMark val="out"/>
        <c:minorTickMark val="none"/>
        <c:tickLblPos val="nextTo"/>
        <c:txPr>
          <a:bodyPr/>
          <a:lstStyle/>
          <a:p>
            <a:pPr>
              <a:defRPr sz="1200" b="1" i="0" baseline="0"/>
            </a:pPr>
            <a:endParaRPr lang="en-US"/>
          </a:p>
        </c:txPr>
        <c:crossAx val="209995776"/>
        <c:crosses val="autoZero"/>
        <c:crossBetween val="between"/>
      </c:valAx>
    </c:plotArea>
    <c:plotVisOnly val="0"/>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200-000002000000}"/>
            </a:ext>
          </a:extLst>
        </xdr:cNvPr>
        <xdr:cNvSpPr/>
      </xdr:nvSpPr>
      <xdr:spPr>
        <a:xfrm>
          <a:off x="3952874" y="609599"/>
          <a:ext cx="152400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200-000003000000}"/>
            </a:ext>
          </a:extLst>
        </xdr:cNvPr>
        <xdr:cNvSpPr/>
      </xdr:nvSpPr>
      <xdr:spPr>
        <a:xfrm>
          <a:off x="3962400" y="981075"/>
          <a:ext cx="151447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200-000005000000}"/>
            </a:ext>
          </a:extLst>
        </xdr:cNvPr>
        <xdr:cNvSpPr/>
      </xdr:nvSpPr>
      <xdr:spPr>
        <a:xfrm>
          <a:off x="3971924" y="8159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41275</xdr:colOff>
      <xdr:row>56</xdr:row>
      <xdr:rowOff>0</xdr:rowOff>
    </xdr:from>
    <xdr:to>
      <xdr:col>5</xdr:col>
      <xdr:colOff>1336675</xdr:colOff>
      <xdr:row>70</xdr:row>
      <xdr:rowOff>231776</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200-000007000000}"/>
            </a:ext>
          </a:extLst>
        </xdr:cNvPr>
        <xdr:cNvSpPr/>
      </xdr:nvSpPr>
      <xdr:spPr>
        <a:xfrm>
          <a:off x="3971924" y="82708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2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28575</xdr:rowOff>
    </xdr:from>
    <xdr:to>
      <xdr:col>4</xdr:col>
      <xdr:colOff>1485900</xdr:colOff>
      <xdr:row>12</xdr:row>
      <xdr:rowOff>209550</xdr:rowOff>
    </xdr:to>
    <xdr:sp macro="" textlink="">
      <xdr:nvSpPr>
        <xdr:cNvPr id="10" name="Right Arrow 9">
          <a:extLst>
            <a:ext uri="{FF2B5EF4-FFF2-40B4-BE49-F238E27FC236}">
              <a16:creationId xmlns:a16="http://schemas.microsoft.com/office/drawing/2014/main" id="{00000000-0008-0000-0200-00000A000000}"/>
            </a:ext>
          </a:extLst>
        </xdr:cNvPr>
        <xdr:cNvSpPr/>
      </xdr:nvSpPr>
      <xdr:spPr>
        <a:xfrm>
          <a:off x="3943350" y="158115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4053204" y="770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00000000-0008-0000-0300-000003000000}"/>
            </a:ext>
          </a:extLst>
        </xdr:cNvPr>
        <xdr:cNvSpPr/>
      </xdr:nvSpPr>
      <xdr:spPr>
        <a:xfrm>
          <a:off x="4062730" y="107061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133349</xdr:rowOff>
    </xdr:from>
    <xdr:to>
      <xdr:col>5</xdr:col>
      <xdr:colOff>1333500</xdr:colOff>
      <xdr:row>52</xdr:row>
      <xdr:rowOff>368300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300-000005000000}"/>
            </a:ext>
          </a:extLst>
        </xdr:cNvPr>
        <xdr:cNvSpPr/>
      </xdr:nvSpPr>
      <xdr:spPr>
        <a:xfrm>
          <a:off x="4063364" y="834961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300-000007000000}"/>
            </a:ext>
          </a:extLst>
        </xdr:cNvPr>
        <xdr:cNvSpPr/>
      </xdr:nvSpPr>
      <xdr:spPr>
        <a:xfrm>
          <a:off x="4063364" y="117481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300-000008000000}"/>
            </a:ext>
          </a:extLst>
        </xdr:cNvPr>
        <xdr:cNvSpPr/>
      </xdr:nvSpPr>
      <xdr:spPr>
        <a:xfrm>
          <a:off x="3114040" y="1356360"/>
          <a:ext cx="239776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10" name="Right Arrow 9">
          <a:extLst>
            <a:ext uri="{FF2B5EF4-FFF2-40B4-BE49-F238E27FC236}">
              <a16:creationId xmlns:a16="http://schemas.microsoft.com/office/drawing/2014/main" id="{00000000-0008-0000-0300-00000A000000}"/>
            </a:ext>
          </a:extLst>
        </xdr:cNvPr>
        <xdr:cNvSpPr/>
      </xdr:nvSpPr>
      <xdr:spPr>
        <a:xfrm>
          <a:off x="3933825" y="1590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63364" y="79819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400-000003000000}"/>
            </a:ext>
          </a:extLst>
        </xdr:cNvPr>
        <xdr:cNvSpPr/>
      </xdr:nvSpPr>
      <xdr:spPr>
        <a:xfrm>
          <a:off x="4072890" y="1169670"/>
          <a:ext cx="145351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130174</xdr:rowOff>
    </xdr:from>
    <xdr:to>
      <xdr:col>5</xdr:col>
      <xdr:colOff>1333500</xdr:colOff>
      <xdr:row>52</xdr:row>
      <xdr:rowOff>365125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400-000005000000}"/>
            </a:ext>
          </a:extLst>
        </xdr:cNvPr>
        <xdr:cNvSpPr/>
      </xdr:nvSpPr>
      <xdr:spPr>
        <a:xfrm>
          <a:off x="4063364" y="816673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56</xdr:row>
      <xdr:rowOff>76200</xdr:rowOff>
    </xdr:from>
    <xdr:to>
      <xdr:col>5</xdr:col>
      <xdr:colOff>1346200</xdr:colOff>
      <xdr:row>70</xdr:row>
      <xdr:rowOff>339726</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400-000007000000}"/>
            </a:ext>
          </a:extLst>
        </xdr:cNvPr>
        <xdr:cNvSpPr/>
      </xdr:nvSpPr>
      <xdr:spPr>
        <a:xfrm>
          <a:off x="4063364" y="11565254"/>
          <a:ext cx="1463041"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4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12</xdr:row>
      <xdr:rowOff>47625</xdr:rowOff>
    </xdr:from>
    <xdr:to>
      <xdr:col>4</xdr:col>
      <xdr:colOff>1485900</xdr:colOff>
      <xdr:row>12</xdr:row>
      <xdr:rowOff>228600</xdr:rowOff>
    </xdr:to>
    <xdr:sp macro="" textlink="">
      <xdr:nvSpPr>
        <xdr:cNvPr id="10" name="Right Arrow 9">
          <a:extLst>
            <a:ext uri="{FF2B5EF4-FFF2-40B4-BE49-F238E27FC236}">
              <a16:creationId xmlns:a16="http://schemas.microsoft.com/office/drawing/2014/main" id="{00000000-0008-0000-0400-00000A000000}"/>
            </a:ext>
          </a:extLst>
        </xdr:cNvPr>
        <xdr:cNvSpPr/>
      </xdr:nvSpPr>
      <xdr:spPr>
        <a:xfrm>
          <a:off x="3943350" y="1600200"/>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85724</xdr:colOff>
      <xdr:row>9</xdr:row>
      <xdr:rowOff>104774</xdr:rowOff>
    </xdr:from>
    <xdr:to>
      <xdr:col>4</xdr:col>
      <xdr:colOff>1609725</xdr:colOff>
      <xdr:row>9</xdr:row>
      <xdr:rowOff>276225</xdr:rowOff>
    </xdr:to>
    <xdr:sp macro="" textlink="">
      <xdr:nvSpPr>
        <xdr:cNvPr id="2" name="Right Arrow 1">
          <a:extLst>
            <a:ext uri="{FF2B5EF4-FFF2-40B4-BE49-F238E27FC236}">
              <a16:creationId xmlns:a16="http://schemas.microsoft.com/office/drawing/2014/main" id="{00000000-0008-0000-0500-000002000000}"/>
            </a:ext>
          </a:extLst>
        </xdr:cNvPr>
        <xdr:cNvSpPr/>
      </xdr:nvSpPr>
      <xdr:spPr>
        <a:xfrm>
          <a:off x="3952874" y="800099"/>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95250</xdr:colOff>
      <xdr:row>10</xdr:row>
      <xdr:rowOff>95250</xdr:rowOff>
    </xdr:from>
    <xdr:to>
      <xdr:col>4</xdr:col>
      <xdr:colOff>1609725</xdr:colOff>
      <xdr:row>10</xdr:row>
      <xdr:rowOff>276225</xdr:rowOff>
    </xdr:to>
    <xdr:sp macro="" textlink="">
      <xdr:nvSpPr>
        <xdr:cNvPr id="3" name="Right Arrow 2">
          <a:extLst>
            <a:ext uri="{FF2B5EF4-FFF2-40B4-BE49-F238E27FC236}">
              <a16:creationId xmlns:a16="http://schemas.microsoft.com/office/drawing/2014/main" id="{00000000-0008-0000-0500-000003000000}"/>
            </a:ext>
          </a:extLst>
        </xdr:cNvPr>
        <xdr:cNvSpPr/>
      </xdr:nvSpPr>
      <xdr:spPr>
        <a:xfrm>
          <a:off x="3962400" y="117157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38</xdr:row>
      <xdr:rowOff>126999</xdr:rowOff>
    </xdr:from>
    <xdr:to>
      <xdr:col>5</xdr:col>
      <xdr:colOff>1333500</xdr:colOff>
      <xdr:row>52</xdr:row>
      <xdr:rowOff>361950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53</xdr:row>
      <xdr:rowOff>104774</xdr:rowOff>
    </xdr:from>
    <xdr:to>
      <xdr:col>4</xdr:col>
      <xdr:colOff>1609725</xdr:colOff>
      <xdr:row>53</xdr:row>
      <xdr:rowOff>276225</xdr:rowOff>
    </xdr:to>
    <xdr:sp macro="" textlink="">
      <xdr:nvSpPr>
        <xdr:cNvPr id="5" name="Right Arrow 4">
          <a:extLst>
            <a:ext uri="{FF2B5EF4-FFF2-40B4-BE49-F238E27FC236}">
              <a16:creationId xmlns:a16="http://schemas.microsoft.com/office/drawing/2014/main" id="{00000000-0008-0000-0500-000005000000}"/>
            </a:ext>
          </a:extLst>
        </xdr:cNvPr>
        <xdr:cNvSpPr/>
      </xdr:nvSpPr>
      <xdr:spPr>
        <a:xfrm>
          <a:off x="3952874" y="83153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54</xdr:row>
      <xdr:rowOff>114300</xdr:rowOff>
    </xdr:from>
    <xdr:to>
      <xdr:col>5</xdr:col>
      <xdr:colOff>1346200</xdr:colOff>
      <xdr:row>69</xdr:row>
      <xdr:rowOff>120651</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71</xdr:row>
      <xdr:rowOff>104774</xdr:rowOff>
    </xdr:from>
    <xdr:to>
      <xdr:col>4</xdr:col>
      <xdr:colOff>1609725</xdr:colOff>
      <xdr:row>71</xdr:row>
      <xdr:rowOff>276225</xdr:rowOff>
    </xdr:to>
    <xdr:sp macro="" textlink="">
      <xdr:nvSpPr>
        <xdr:cNvPr id="7" name="Right Arrow 6">
          <a:extLst>
            <a:ext uri="{FF2B5EF4-FFF2-40B4-BE49-F238E27FC236}">
              <a16:creationId xmlns:a16="http://schemas.microsoft.com/office/drawing/2014/main" id="{00000000-0008-0000-0500-000007000000}"/>
            </a:ext>
          </a:extLst>
        </xdr:cNvPr>
        <xdr:cNvSpPr/>
      </xdr:nvSpPr>
      <xdr:spPr>
        <a:xfrm>
          <a:off x="3952874" y="118395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00000000-0008-0000-0500-000008000000}"/>
            </a:ext>
          </a:extLst>
        </xdr:cNvPr>
        <xdr:cNvSpPr/>
      </xdr:nvSpPr>
      <xdr:spPr>
        <a:xfrm>
          <a:off x="3111500" y="1348740"/>
          <a:ext cx="239522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112395</xdr:colOff>
      <xdr:row>12</xdr:row>
      <xdr:rowOff>47625</xdr:rowOff>
    </xdr:from>
    <xdr:to>
      <xdr:col>4</xdr:col>
      <xdr:colOff>1522095</xdr:colOff>
      <xdr:row>12</xdr:row>
      <xdr:rowOff>228600</xdr:rowOff>
    </xdr:to>
    <xdr:sp macro="" textlink="">
      <xdr:nvSpPr>
        <xdr:cNvPr id="10" name="Right Arrow 9">
          <a:extLst>
            <a:ext uri="{FF2B5EF4-FFF2-40B4-BE49-F238E27FC236}">
              <a16:creationId xmlns:a16="http://schemas.microsoft.com/office/drawing/2014/main" id="{00000000-0008-0000-0500-00000A000000}"/>
            </a:ext>
          </a:extLst>
        </xdr:cNvPr>
        <xdr:cNvSpPr/>
      </xdr:nvSpPr>
      <xdr:spPr>
        <a:xfrm>
          <a:off x="4090035" y="1609725"/>
          <a:ext cx="140970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70484</xdr:colOff>
      <xdr:row>9</xdr:row>
      <xdr:rowOff>74294</xdr:rowOff>
    </xdr:from>
    <xdr:to>
      <xdr:col>4</xdr:col>
      <xdr:colOff>1533525</xdr:colOff>
      <xdr:row>9</xdr:row>
      <xdr:rowOff>245745</xdr:rowOff>
    </xdr:to>
    <xdr:sp macro="" textlink="">
      <xdr:nvSpPr>
        <xdr:cNvPr id="2" name="Right Arrow 1">
          <a:extLst>
            <a:ext uri="{FF2B5EF4-FFF2-40B4-BE49-F238E27FC236}">
              <a16:creationId xmlns:a16="http://schemas.microsoft.com/office/drawing/2014/main" id="{4120DC3A-1D64-4C2D-969B-6FFD5026AEE8}"/>
            </a:ext>
          </a:extLst>
        </xdr:cNvPr>
        <xdr:cNvSpPr/>
      </xdr:nvSpPr>
      <xdr:spPr>
        <a:xfrm>
          <a:off x="3937634" y="1922144"/>
          <a:ext cx="143446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80010</xdr:colOff>
      <xdr:row>10</xdr:row>
      <xdr:rowOff>74930</xdr:rowOff>
    </xdr:from>
    <xdr:to>
      <xdr:col>4</xdr:col>
      <xdr:colOff>1533525</xdr:colOff>
      <xdr:row>10</xdr:row>
      <xdr:rowOff>255905</xdr:rowOff>
    </xdr:to>
    <xdr:sp macro="" textlink="">
      <xdr:nvSpPr>
        <xdr:cNvPr id="3" name="Right Arrow 2">
          <a:extLst>
            <a:ext uri="{FF2B5EF4-FFF2-40B4-BE49-F238E27FC236}">
              <a16:creationId xmlns:a16="http://schemas.microsoft.com/office/drawing/2014/main" id="{88A10996-A826-4683-9E5D-1CA8FC086A30}"/>
            </a:ext>
          </a:extLst>
        </xdr:cNvPr>
        <xdr:cNvSpPr/>
      </xdr:nvSpPr>
      <xdr:spPr>
        <a:xfrm>
          <a:off x="3947160" y="221805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39</xdr:row>
      <xdr:rowOff>142874</xdr:rowOff>
    </xdr:from>
    <xdr:to>
      <xdr:col>5</xdr:col>
      <xdr:colOff>1333500</xdr:colOff>
      <xdr:row>53</xdr:row>
      <xdr:rowOff>377825</xdr:rowOff>
    </xdr:to>
    <xdr:graphicFrame macro="">
      <xdr:nvGraphicFramePr>
        <xdr:cNvPr id="4" name="Chart 3">
          <a:extLst>
            <a:ext uri="{FF2B5EF4-FFF2-40B4-BE49-F238E27FC236}">
              <a16:creationId xmlns:a16="http://schemas.microsoft.com/office/drawing/2014/main" id="{C5FE89AF-AFB8-4396-88A2-50DC07F79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54</xdr:row>
      <xdr:rowOff>104774</xdr:rowOff>
    </xdr:from>
    <xdr:to>
      <xdr:col>4</xdr:col>
      <xdr:colOff>1609725</xdr:colOff>
      <xdr:row>54</xdr:row>
      <xdr:rowOff>276225</xdr:rowOff>
    </xdr:to>
    <xdr:sp macro="" textlink="">
      <xdr:nvSpPr>
        <xdr:cNvPr id="5" name="Right Arrow 4">
          <a:extLst>
            <a:ext uri="{FF2B5EF4-FFF2-40B4-BE49-F238E27FC236}">
              <a16:creationId xmlns:a16="http://schemas.microsoft.com/office/drawing/2014/main" id="{7940C691-3396-4034-9DB9-917CBC086EEE}"/>
            </a:ext>
          </a:extLst>
        </xdr:cNvPr>
        <xdr:cNvSpPr/>
      </xdr:nvSpPr>
      <xdr:spPr>
        <a:xfrm>
          <a:off x="3952874" y="1041082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xdr:colOff>
      <xdr:row>57</xdr:row>
      <xdr:rowOff>57150</xdr:rowOff>
    </xdr:from>
    <xdr:to>
      <xdr:col>5</xdr:col>
      <xdr:colOff>1346200</xdr:colOff>
      <xdr:row>71</xdr:row>
      <xdr:rowOff>320676</xdr:rowOff>
    </xdr:to>
    <xdr:graphicFrame macro="">
      <xdr:nvGraphicFramePr>
        <xdr:cNvPr id="6" name="Chart 5">
          <a:extLst>
            <a:ext uri="{FF2B5EF4-FFF2-40B4-BE49-F238E27FC236}">
              <a16:creationId xmlns:a16="http://schemas.microsoft.com/office/drawing/2014/main" id="{100F2AEE-60AA-4D0B-B86C-103D9953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85724</xdr:colOff>
      <xdr:row>72</xdr:row>
      <xdr:rowOff>104774</xdr:rowOff>
    </xdr:from>
    <xdr:to>
      <xdr:col>4</xdr:col>
      <xdr:colOff>1609725</xdr:colOff>
      <xdr:row>72</xdr:row>
      <xdr:rowOff>276225</xdr:rowOff>
    </xdr:to>
    <xdr:sp macro="" textlink="">
      <xdr:nvSpPr>
        <xdr:cNvPr id="7" name="Right Arrow 6">
          <a:extLst>
            <a:ext uri="{FF2B5EF4-FFF2-40B4-BE49-F238E27FC236}">
              <a16:creationId xmlns:a16="http://schemas.microsoft.com/office/drawing/2014/main" id="{6E573523-FA64-4923-9AFB-B2649E3978A5}"/>
            </a:ext>
          </a:extLst>
        </xdr:cNvPr>
        <xdr:cNvSpPr/>
      </xdr:nvSpPr>
      <xdr:spPr>
        <a:xfrm>
          <a:off x="3952874" y="13935074"/>
          <a:ext cx="1419226" cy="171451"/>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1092200</xdr:colOff>
      <xdr:row>11</xdr:row>
      <xdr:rowOff>76200</xdr:rowOff>
    </xdr:from>
    <xdr:to>
      <xdr:col>4</xdr:col>
      <xdr:colOff>1529080</xdr:colOff>
      <xdr:row>11</xdr:row>
      <xdr:rowOff>257175</xdr:rowOff>
    </xdr:to>
    <xdr:sp macro="" textlink="">
      <xdr:nvSpPr>
        <xdr:cNvPr id="8" name="Right Arrow 7">
          <a:extLst>
            <a:ext uri="{FF2B5EF4-FFF2-40B4-BE49-F238E27FC236}">
              <a16:creationId xmlns:a16="http://schemas.microsoft.com/office/drawing/2014/main" id="{DCCED3FA-E135-4A92-B794-26838CD42F53}"/>
            </a:ext>
          </a:extLst>
        </xdr:cNvPr>
        <xdr:cNvSpPr/>
      </xdr:nvSpPr>
      <xdr:spPr>
        <a:xfrm>
          <a:off x="3054350" y="2495550"/>
          <a:ext cx="2313305"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12</xdr:row>
      <xdr:rowOff>38100</xdr:rowOff>
    </xdr:from>
    <xdr:to>
      <xdr:col>4</xdr:col>
      <xdr:colOff>1491615</xdr:colOff>
      <xdr:row>12</xdr:row>
      <xdr:rowOff>219075</xdr:rowOff>
    </xdr:to>
    <xdr:sp macro="" textlink="">
      <xdr:nvSpPr>
        <xdr:cNvPr id="9" name="Right Arrow 9">
          <a:extLst>
            <a:ext uri="{FF2B5EF4-FFF2-40B4-BE49-F238E27FC236}">
              <a16:creationId xmlns:a16="http://schemas.microsoft.com/office/drawing/2014/main" id="{B84FD46F-A62E-47ED-9A27-69001FCD1A01}"/>
            </a:ext>
          </a:extLst>
        </xdr:cNvPr>
        <xdr:cNvSpPr/>
      </xdr:nvSpPr>
      <xdr:spPr>
        <a:xfrm>
          <a:off x="3933825" y="2733675"/>
          <a:ext cx="1424940" cy="1809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133350</xdr:colOff>
      <xdr:row>2</xdr:row>
      <xdr:rowOff>61912</xdr:rowOff>
    </xdr:from>
    <xdr:to>
      <xdr:col>25</xdr:col>
      <xdr:colOff>571500</xdr:colOff>
      <xdr:row>16</xdr:row>
      <xdr:rowOff>138112</xdr:rowOff>
    </xdr:to>
    <xdr:graphicFrame macro="">
      <xdr:nvGraphicFramePr>
        <xdr:cNvPr id="2" name="Chart 1">
          <a:extLst>
            <a:ext uri="{FF2B5EF4-FFF2-40B4-BE49-F238E27FC236}">
              <a16:creationId xmlns:a16="http://schemas.microsoft.com/office/drawing/2014/main" id="{EF4F30F5-ECE5-DAB4-D50C-0DA36EFA7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171450</xdr:colOff>
      <xdr:row>17</xdr:row>
      <xdr:rowOff>71437</xdr:rowOff>
    </xdr:from>
    <xdr:to>
      <xdr:col>26</xdr:col>
      <xdr:colOff>19050</xdr:colOff>
      <xdr:row>31</xdr:row>
      <xdr:rowOff>147637</xdr:rowOff>
    </xdr:to>
    <xdr:graphicFrame macro="">
      <xdr:nvGraphicFramePr>
        <xdr:cNvPr id="3" name="Chart 2">
          <a:extLst>
            <a:ext uri="{FF2B5EF4-FFF2-40B4-BE49-F238E27FC236}">
              <a16:creationId xmlns:a16="http://schemas.microsoft.com/office/drawing/2014/main" id="{35B631FC-D7B8-BEB2-51E4-3B3C564AB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180975</xdr:colOff>
      <xdr:row>32</xdr:row>
      <xdr:rowOff>61912</xdr:rowOff>
    </xdr:from>
    <xdr:to>
      <xdr:col>26</xdr:col>
      <xdr:colOff>28575</xdr:colOff>
      <xdr:row>46</xdr:row>
      <xdr:rowOff>138112</xdr:rowOff>
    </xdr:to>
    <xdr:graphicFrame macro="">
      <xdr:nvGraphicFramePr>
        <xdr:cNvPr id="5" name="Chart 4">
          <a:extLst>
            <a:ext uri="{FF2B5EF4-FFF2-40B4-BE49-F238E27FC236}">
              <a16:creationId xmlns:a16="http://schemas.microsoft.com/office/drawing/2014/main" id="{4CE02CDD-676D-449E-3E55-5EDBF9DEF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88"/>
  <sheetViews>
    <sheetView zoomScaleNormal="100" workbookViewId="0">
      <selection activeCell="B4" sqref="B4"/>
    </sheetView>
  </sheetViews>
  <sheetFormatPr defaultColWidth="9.140625" defaultRowHeight="15" x14ac:dyDescent="0.25"/>
  <cols>
    <col min="1" max="1" width="24.28515625" customWidth="1"/>
  </cols>
  <sheetData>
    <row r="1" spans="1:5" x14ac:dyDescent="0.25">
      <c r="A1" s="1" t="s">
        <v>1170</v>
      </c>
    </row>
    <row r="2" spans="1:5" x14ac:dyDescent="0.25">
      <c r="A2" s="15">
        <v>45670</v>
      </c>
      <c r="B2" t="s">
        <v>1248</v>
      </c>
      <c r="E2" s="8" t="s">
        <v>3</v>
      </c>
    </row>
    <row r="3" spans="1:5" x14ac:dyDescent="0.25">
      <c r="A3" s="16" t="s">
        <v>41</v>
      </c>
      <c r="B3" t="s">
        <v>1249</v>
      </c>
      <c r="E3" s="8"/>
    </row>
    <row r="4" spans="1:5" x14ac:dyDescent="0.25">
      <c r="A4" s="16" t="s">
        <v>42</v>
      </c>
      <c r="B4" t="s">
        <v>43</v>
      </c>
    </row>
    <row r="5" spans="1:5" x14ac:dyDescent="0.25">
      <c r="A5" s="16"/>
    </row>
    <row r="6" spans="1:5" x14ac:dyDescent="0.25">
      <c r="A6" t="s">
        <v>38</v>
      </c>
      <c r="B6" t="s">
        <v>194</v>
      </c>
    </row>
    <row r="7" spans="1:5" x14ac:dyDescent="0.25">
      <c r="B7" t="s">
        <v>1147</v>
      </c>
    </row>
    <row r="8" spans="1:5" x14ac:dyDescent="0.25">
      <c r="B8" t="s">
        <v>164</v>
      </c>
    </row>
    <row r="9" spans="1:5" x14ac:dyDescent="0.25">
      <c r="B9" t="s">
        <v>1151</v>
      </c>
    </row>
    <row r="11" spans="1:5" x14ac:dyDescent="0.25">
      <c r="A11" t="s">
        <v>196</v>
      </c>
      <c r="B11" t="s">
        <v>195</v>
      </c>
    </row>
    <row r="12" spans="1:5" x14ac:dyDescent="0.25">
      <c r="B12" t="s">
        <v>182</v>
      </c>
    </row>
    <row r="13" spans="1:5" x14ac:dyDescent="0.25">
      <c r="B13" t="s">
        <v>165</v>
      </c>
    </row>
    <row r="14" spans="1:5" x14ac:dyDescent="0.25">
      <c r="B14" t="s">
        <v>166</v>
      </c>
    </row>
    <row r="15" spans="1:5" x14ac:dyDescent="0.25">
      <c r="B15" t="s">
        <v>167</v>
      </c>
    </row>
    <row r="16" spans="1:5" x14ac:dyDescent="0.25">
      <c r="B16" t="s">
        <v>168</v>
      </c>
    </row>
    <row r="17" spans="2:2" x14ac:dyDescent="0.25">
      <c r="B17" t="s">
        <v>169</v>
      </c>
    </row>
    <row r="18" spans="2:2" x14ac:dyDescent="0.25">
      <c r="B18" t="s">
        <v>170</v>
      </c>
    </row>
    <row r="19" spans="2:2" x14ac:dyDescent="0.25">
      <c r="B19" t="s">
        <v>171</v>
      </c>
    </row>
    <row r="20" spans="2:2" x14ac:dyDescent="0.25">
      <c r="B20" t="s">
        <v>172</v>
      </c>
    </row>
    <row r="21" spans="2:2" x14ac:dyDescent="0.25">
      <c r="B21" t="s">
        <v>173</v>
      </c>
    </row>
    <row r="22" spans="2:2" x14ac:dyDescent="0.25">
      <c r="B22" t="s">
        <v>174</v>
      </c>
    </row>
    <row r="23" spans="2:2" x14ac:dyDescent="0.25">
      <c r="B23" t="s">
        <v>175</v>
      </c>
    </row>
    <row r="24" spans="2:2" x14ac:dyDescent="0.25">
      <c r="B24" t="s">
        <v>176</v>
      </c>
    </row>
    <row r="25" spans="2:2" x14ac:dyDescent="0.25">
      <c r="B25" t="s">
        <v>177</v>
      </c>
    </row>
    <row r="26" spans="2:2" x14ac:dyDescent="0.25">
      <c r="B26" t="s">
        <v>178</v>
      </c>
    </row>
    <row r="27" spans="2:2" x14ac:dyDescent="0.25">
      <c r="B27" t="s">
        <v>179</v>
      </c>
    </row>
    <row r="28" spans="2:2" x14ac:dyDescent="0.25">
      <c r="B28" t="s">
        <v>180</v>
      </c>
    </row>
    <row r="29" spans="2:2" x14ac:dyDescent="0.25">
      <c r="B29" t="s">
        <v>181</v>
      </c>
    </row>
    <row r="30" spans="2:2" x14ac:dyDescent="0.25">
      <c r="B30" t="s">
        <v>1145</v>
      </c>
    </row>
    <row r="31" spans="2:2" x14ac:dyDescent="0.25">
      <c r="B31" t="s">
        <v>1146</v>
      </c>
    </row>
    <row r="32" spans="2:2" x14ac:dyDescent="0.25">
      <c r="B32" t="s">
        <v>1152</v>
      </c>
    </row>
    <row r="34" spans="1:20" x14ac:dyDescent="0.25">
      <c r="A34" t="s">
        <v>39</v>
      </c>
      <c r="B34" t="s">
        <v>1156</v>
      </c>
    </row>
    <row r="35" spans="1:20" x14ac:dyDescent="0.25">
      <c r="B35" s="53" t="s">
        <v>1157</v>
      </c>
      <c r="C35" s="8"/>
      <c r="D35" s="8"/>
      <c r="E35" s="8"/>
      <c r="F35" s="8"/>
      <c r="G35" s="8"/>
      <c r="H35" s="8"/>
      <c r="I35" s="8"/>
      <c r="J35" s="8"/>
      <c r="K35" s="8"/>
      <c r="L35" s="8"/>
      <c r="M35" s="8"/>
      <c r="N35" s="8"/>
      <c r="O35" s="8"/>
      <c r="P35" s="8"/>
    </row>
    <row r="36" spans="1:20" x14ac:dyDescent="0.25">
      <c r="B36" s="53" t="s">
        <v>198</v>
      </c>
      <c r="C36" s="8"/>
      <c r="D36" s="8"/>
      <c r="E36" s="8"/>
      <c r="F36" s="8"/>
      <c r="G36" s="8"/>
      <c r="H36" s="8"/>
      <c r="I36" s="8"/>
      <c r="J36" s="8"/>
      <c r="K36" s="8"/>
      <c r="L36" s="8"/>
      <c r="M36" s="8"/>
      <c r="N36" s="8"/>
      <c r="O36" s="8"/>
      <c r="P36" s="8"/>
    </row>
    <row r="37" spans="1:20" x14ac:dyDescent="0.25">
      <c r="B37" s="53" t="s">
        <v>1148</v>
      </c>
      <c r="C37" s="8"/>
      <c r="D37" s="8"/>
      <c r="E37" s="8"/>
      <c r="F37" s="8"/>
      <c r="G37" s="8"/>
      <c r="H37" s="8"/>
      <c r="I37" s="8"/>
      <c r="J37" s="8"/>
      <c r="K37" s="8"/>
      <c r="L37" s="8"/>
      <c r="M37" s="8"/>
      <c r="N37" s="8"/>
      <c r="O37" s="8"/>
      <c r="P37" s="8"/>
    </row>
    <row r="38" spans="1:20" x14ac:dyDescent="0.25">
      <c r="B38" s="8"/>
      <c r="C38" s="8"/>
      <c r="D38" s="8"/>
      <c r="E38" s="8"/>
      <c r="F38" s="8"/>
      <c r="G38" s="8"/>
      <c r="H38" s="8"/>
      <c r="I38" s="8"/>
      <c r="J38" s="8"/>
      <c r="K38" s="8"/>
      <c r="L38" s="8"/>
      <c r="M38" s="8"/>
      <c r="N38" s="8"/>
      <c r="O38" s="8"/>
      <c r="P38" s="8"/>
    </row>
    <row r="39" spans="1:20" x14ac:dyDescent="0.25">
      <c r="A39" t="s">
        <v>40</v>
      </c>
      <c r="B39" s="53" t="s">
        <v>1149</v>
      </c>
      <c r="C39" s="8"/>
      <c r="D39" s="8"/>
      <c r="E39" s="8"/>
      <c r="F39" s="8"/>
      <c r="G39" s="8"/>
      <c r="H39" s="8"/>
      <c r="I39" s="8"/>
      <c r="J39" s="8"/>
      <c r="K39" s="8"/>
      <c r="L39" s="8"/>
      <c r="M39" s="8"/>
      <c r="N39" s="8"/>
      <c r="O39" s="8"/>
      <c r="P39" s="8"/>
    </row>
    <row r="40" spans="1:20" x14ac:dyDescent="0.25">
      <c r="B40" s="8" t="s">
        <v>3</v>
      </c>
      <c r="C40" s="8"/>
      <c r="D40" s="8"/>
      <c r="E40" s="8"/>
      <c r="F40" s="8"/>
      <c r="G40" s="8"/>
      <c r="H40" s="8"/>
      <c r="I40" s="8"/>
      <c r="J40" s="8"/>
      <c r="K40" s="8"/>
      <c r="L40" s="8"/>
      <c r="M40" s="8"/>
      <c r="N40" s="8"/>
      <c r="O40" s="8"/>
      <c r="P40" s="8"/>
    </row>
    <row r="41" spans="1:20" x14ac:dyDescent="0.25">
      <c r="A41" t="s">
        <v>197</v>
      </c>
      <c r="B41" s="53" t="s">
        <v>215</v>
      </c>
      <c r="C41" s="8"/>
      <c r="D41" s="8"/>
      <c r="E41" s="8"/>
      <c r="F41" s="8"/>
      <c r="G41" s="8"/>
      <c r="H41" s="8"/>
      <c r="I41" s="8"/>
      <c r="J41" s="8"/>
      <c r="K41" s="8"/>
      <c r="L41" s="8"/>
      <c r="M41" s="8"/>
      <c r="N41" s="8"/>
      <c r="O41" s="8"/>
      <c r="P41" s="8"/>
    </row>
    <row r="42" spans="1:20" ht="9.6" customHeight="1" x14ac:dyDescent="0.25">
      <c r="B42" s="8"/>
      <c r="C42" s="8"/>
      <c r="D42" s="8"/>
      <c r="E42" s="8"/>
      <c r="F42" s="8"/>
      <c r="G42" s="8"/>
      <c r="H42" s="8"/>
      <c r="I42" s="8"/>
      <c r="J42" s="8"/>
      <c r="K42" s="8"/>
      <c r="L42" s="8"/>
      <c r="M42" s="8"/>
      <c r="N42" s="8"/>
      <c r="O42" s="8"/>
      <c r="P42" s="8"/>
    </row>
    <row r="43" spans="1:20" x14ac:dyDescent="0.25">
      <c r="B43" s="224" t="s">
        <v>1150</v>
      </c>
      <c r="C43" s="224"/>
      <c r="D43" s="224"/>
      <c r="E43" s="224"/>
      <c r="F43" s="224"/>
      <c r="G43" s="224"/>
      <c r="H43" s="224"/>
      <c r="I43" s="224"/>
      <c r="J43" s="224"/>
      <c r="K43" s="224"/>
      <c r="L43" s="224"/>
      <c r="M43" s="224"/>
      <c r="N43" s="224"/>
      <c r="O43" s="224"/>
      <c r="P43" s="224"/>
      <c r="Q43" s="224"/>
      <c r="R43" s="224"/>
      <c r="S43" s="224"/>
      <c r="T43" s="224"/>
    </row>
    <row r="44" spans="1:20" ht="9.6" customHeight="1" x14ac:dyDescent="0.25">
      <c r="B44" s="8"/>
      <c r="C44" s="8"/>
      <c r="D44" s="8"/>
      <c r="E44" s="8"/>
      <c r="F44" s="8"/>
      <c r="G44" s="8"/>
      <c r="H44" s="8"/>
      <c r="I44" s="8"/>
      <c r="J44" s="8"/>
      <c r="K44" s="8"/>
      <c r="L44" s="8"/>
      <c r="M44" s="8"/>
      <c r="N44" s="8"/>
      <c r="O44" s="8"/>
      <c r="P44" s="8"/>
    </row>
    <row r="45" spans="1:20" ht="43.5" customHeight="1" x14ac:dyDescent="0.25">
      <c r="A45" t="s">
        <v>3</v>
      </c>
      <c r="B45" s="224" t="s">
        <v>216</v>
      </c>
      <c r="C45" s="224"/>
      <c r="D45" s="224"/>
      <c r="E45" s="224"/>
      <c r="F45" s="224"/>
      <c r="G45" s="224"/>
      <c r="H45" s="224"/>
      <c r="I45" s="224"/>
      <c r="J45" s="224"/>
      <c r="K45" s="224"/>
      <c r="L45" s="224"/>
      <c r="M45" s="224"/>
      <c r="N45" s="224"/>
      <c r="O45" s="224"/>
      <c r="P45" s="224"/>
      <c r="Q45" s="224"/>
      <c r="R45" s="224"/>
      <c r="S45" s="224"/>
      <c r="T45" s="224"/>
    </row>
    <row r="46" spans="1:20" ht="9.6" customHeight="1" x14ac:dyDescent="0.25">
      <c r="B46" s="8"/>
      <c r="C46" s="8"/>
      <c r="D46" s="8"/>
      <c r="E46" s="8"/>
      <c r="F46" s="8"/>
      <c r="G46" s="8"/>
      <c r="H46" s="8"/>
      <c r="I46" s="8"/>
      <c r="J46" s="8"/>
      <c r="K46" s="8"/>
      <c r="L46" s="8"/>
      <c r="M46" s="8"/>
      <c r="N46" s="8"/>
      <c r="O46" s="8"/>
      <c r="P46" s="8"/>
    </row>
    <row r="47" spans="1:20" ht="26.45" customHeight="1" x14ac:dyDescent="0.25">
      <c r="B47" s="224" t="s">
        <v>217</v>
      </c>
      <c r="C47" s="224"/>
      <c r="D47" s="224"/>
      <c r="E47" s="224"/>
      <c r="F47" s="224"/>
      <c r="G47" s="224"/>
      <c r="H47" s="224"/>
      <c r="I47" s="224"/>
      <c r="J47" s="224"/>
      <c r="K47" s="224"/>
      <c r="L47" s="224"/>
      <c r="M47" s="224"/>
      <c r="N47" s="224"/>
      <c r="O47" s="224"/>
      <c r="P47" s="224"/>
      <c r="Q47" s="224"/>
      <c r="R47" s="224"/>
      <c r="S47" s="224"/>
      <c r="T47" s="224"/>
    </row>
    <row r="48" spans="1:20" ht="9.6" customHeight="1" x14ac:dyDescent="0.25">
      <c r="B48" s="8"/>
      <c r="C48" s="8"/>
      <c r="D48" s="8"/>
      <c r="E48" s="8"/>
      <c r="F48" s="8"/>
      <c r="G48" s="8"/>
      <c r="H48" s="8"/>
      <c r="I48" s="8"/>
      <c r="J48" s="8"/>
      <c r="K48" s="8"/>
      <c r="L48" s="8"/>
      <c r="M48" s="8"/>
      <c r="N48" s="8"/>
      <c r="O48" s="8"/>
      <c r="P48" s="8"/>
    </row>
    <row r="49" spans="1:20" ht="28.5" customHeight="1" x14ac:dyDescent="0.25">
      <c r="B49" s="224" t="s">
        <v>1153</v>
      </c>
      <c r="C49" s="224"/>
      <c r="D49" s="224"/>
      <c r="E49" s="224"/>
      <c r="F49" s="224"/>
      <c r="G49" s="224"/>
      <c r="H49" s="224"/>
      <c r="I49" s="224"/>
      <c r="J49" s="224"/>
      <c r="K49" s="224"/>
      <c r="L49" s="224"/>
      <c r="M49" s="224"/>
      <c r="N49" s="224"/>
      <c r="O49" s="224"/>
      <c r="P49" s="224"/>
      <c r="Q49" s="224"/>
      <c r="R49" s="224"/>
      <c r="S49" s="224"/>
      <c r="T49" s="224"/>
    </row>
    <row r="50" spans="1:20" ht="9.6" customHeight="1" x14ac:dyDescent="0.25">
      <c r="B50" s="8"/>
      <c r="C50" s="8"/>
      <c r="D50" s="8"/>
      <c r="E50" s="8"/>
      <c r="F50" s="8"/>
      <c r="G50" s="8"/>
      <c r="H50" s="8"/>
      <c r="I50" s="8"/>
      <c r="J50" s="8"/>
      <c r="K50" s="8"/>
      <c r="L50" s="8"/>
      <c r="M50" s="8"/>
      <c r="N50" s="8"/>
      <c r="O50" s="8"/>
      <c r="P50" s="8"/>
    </row>
    <row r="51" spans="1:20" s="67" customFormat="1" ht="124.5" customHeight="1" x14ac:dyDescent="0.25">
      <c r="B51" s="225" t="s">
        <v>218</v>
      </c>
      <c r="C51" s="225"/>
      <c r="D51" s="225"/>
      <c r="E51" s="225"/>
      <c r="F51" s="225"/>
      <c r="G51" s="225"/>
      <c r="H51" s="225"/>
      <c r="I51" s="225"/>
      <c r="J51" s="225"/>
      <c r="K51" s="225"/>
      <c r="L51" s="225"/>
      <c r="M51" s="225"/>
      <c r="N51" s="225"/>
      <c r="O51" s="225"/>
      <c r="P51" s="225"/>
      <c r="Q51" s="225"/>
      <c r="R51" s="225"/>
      <c r="S51" s="225"/>
      <c r="T51" s="225"/>
    </row>
    <row r="52" spans="1:20" ht="9.6" customHeight="1" x14ac:dyDescent="0.25">
      <c r="B52" s="8"/>
      <c r="C52" s="8"/>
      <c r="D52" s="8"/>
      <c r="E52" s="8"/>
      <c r="F52" s="8"/>
      <c r="G52" s="8"/>
      <c r="H52" s="8"/>
      <c r="I52" s="8"/>
      <c r="J52" s="8"/>
      <c r="K52" s="8"/>
      <c r="L52" s="8"/>
      <c r="M52" s="8"/>
      <c r="N52" s="8"/>
      <c r="O52" s="8"/>
      <c r="P52" s="8"/>
    </row>
    <row r="53" spans="1:20" s="111" customFormat="1" ht="123.75" customHeight="1" x14ac:dyDescent="0.25">
      <c r="B53" s="225" t="s">
        <v>219</v>
      </c>
      <c r="C53" s="225"/>
      <c r="D53" s="225"/>
      <c r="E53" s="225"/>
      <c r="F53" s="225"/>
      <c r="G53" s="225"/>
      <c r="H53" s="225"/>
      <c r="I53" s="225"/>
      <c r="J53" s="225"/>
      <c r="K53" s="225"/>
      <c r="L53" s="225"/>
      <c r="M53" s="225"/>
      <c r="N53" s="225"/>
      <c r="O53" s="225"/>
      <c r="P53" s="225"/>
      <c r="Q53" s="225"/>
      <c r="R53" s="225"/>
      <c r="S53" s="225"/>
      <c r="T53" s="225"/>
    </row>
    <row r="54" spans="1:20" ht="9.6" customHeight="1" x14ac:dyDescent="0.25">
      <c r="B54" s="8"/>
      <c r="C54" s="8"/>
      <c r="D54" s="8"/>
      <c r="E54" s="8"/>
      <c r="F54" s="8"/>
      <c r="G54" s="8"/>
      <c r="H54" s="8"/>
      <c r="I54" s="8"/>
      <c r="J54" s="8"/>
      <c r="K54" s="8"/>
      <c r="L54" s="8"/>
      <c r="M54" s="8"/>
      <c r="N54" s="8"/>
      <c r="O54" s="8"/>
      <c r="P54" s="8"/>
    </row>
    <row r="55" spans="1:20" ht="46.9" customHeight="1" x14ac:dyDescent="0.25">
      <c r="B55" s="225" t="s">
        <v>220</v>
      </c>
      <c r="C55" s="225"/>
      <c r="D55" s="225"/>
      <c r="E55" s="225"/>
      <c r="F55" s="225"/>
      <c r="G55" s="225"/>
      <c r="H55" s="225"/>
      <c r="I55" s="225"/>
      <c r="J55" s="225"/>
      <c r="K55" s="225"/>
      <c r="L55" s="225"/>
      <c r="M55" s="225"/>
      <c r="N55" s="225"/>
      <c r="O55" s="225"/>
      <c r="P55" s="225"/>
      <c r="Q55" s="225"/>
      <c r="R55" s="225"/>
      <c r="S55" s="225"/>
      <c r="T55" s="225"/>
    </row>
    <row r="56" spans="1:20" ht="9.6" customHeight="1" x14ac:dyDescent="0.25">
      <c r="B56" s="8"/>
      <c r="C56" s="8"/>
      <c r="D56" s="8"/>
      <c r="E56" s="8"/>
      <c r="F56" s="8"/>
      <c r="G56" s="8"/>
      <c r="H56" s="8"/>
      <c r="I56" s="8"/>
      <c r="J56" s="8"/>
      <c r="K56" s="8"/>
      <c r="L56" s="8"/>
      <c r="M56" s="8"/>
      <c r="N56" s="8"/>
      <c r="O56" s="8"/>
      <c r="P56" s="8"/>
    </row>
    <row r="57" spans="1:20" ht="43.5" customHeight="1" x14ac:dyDescent="0.25">
      <c r="B57" s="224" t="s">
        <v>1154</v>
      </c>
      <c r="C57" s="224"/>
      <c r="D57" s="224"/>
      <c r="E57" s="224"/>
      <c r="F57" s="224"/>
      <c r="G57" s="224"/>
      <c r="H57" s="224"/>
      <c r="I57" s="224"/>
      <c r="J57" s="224"/>
      <c r="K57" s="224"/>
      <c r="L57" s="224"/>
      <c r="M57" s="224"/>
      <c r="N57" s="224"/>
      <c r="O57" s="224"/>
      <c r="P57" s="224"/>
      <c r="Q57" s="224"/>
      <c r="R57" s="224"/>
      <c r="S57" s="224"/>
      <c r="T57" s="224"/>
    </row>
    <row r="58" spans="1:20" ht="9.6" customHeight="1" x14ac:dyDescent="0.25">
      <c r="B58" s="8"/>
      <c r="C58" s="8"/>
      <c r="D58" s="8"/>
      <c r="E58" s="8"/>
      <c r="F58" s="8"/>
      <c r="G58" s="8"/>
      <c r="H58" s="8"/>
      <c r="I58" s="8"/>
      <c r="J58" s="8"/>
      <c r="K58" s="8"/>
      <c r="L58" s="8"/>
      <c r="M58" s="8"/>
      <c r="N58" s="8"/>
      <c r="O58" s="8"/>
      <c r="P58" s="8"/>
    </row>
    <row r="59" spans="1:20" ht="31.9" customHeight="1" x14ac:dyDescent="0.25">
      <c r="B59" s="225" t="s">
        <v>1155</v>
      </c>
      <c r="C59" s="225"/>
      <c r="D59" s="225"/>
      <c r="E59" s="225"/>
      <c r="F59" s="225"/>
      <c r="G59" s="225"/>
      <c r="H59" s="225"/>
      <c r="I59" s="225"/>
      <c r="J59" s="225"/>
      <c r="K59" s="225"/>
      <c r="L59" s="225"/>
      <c r="M59" s="225"/>
      <c r="N59" s="225"/>
      <c r="O59" s="225"/>
      <c r="P59" s="225"/>
      <c r="Q59" s="225"/>
      <c r="R59" s="225"/>
      <c r="S59" s="225"/>
      <c r="T59" s="225"/>
    </row>
    <row r="60" spans="1:20" ht="30.75" customHeight="1" x14ac:dyDescent="0.25">
      <c r="B60" s="8" t="s">
        <v>3</v>
      </c>
      <c r="C60" s="224" t="s">
        <v>1171</v>
      </c>
      <c r="D60" s="224"/>
      <c r="E60" s="224"/>
      <c r="F60" s="224"/>
      <c r="G60" s="224"/>
      <c r="H60" s="224"/>
      <c r="I60" s="224"/>
      <c r="J60" s="224"/>
      <c r="K60" s="224"/>
      <c r="L60" s="224"/>
      <c r="M60" s="224"/>
      <c r="N60" s="224"/>
      <c r="O60" s="224"/>
      <c r="P60" s="224"/>
      <c r="Q60" s="224"/>
      <c r="R60" s="224"/>
      <c r="S60" s="224"/>
      <c r="T60" s="224"/>
    </row>
    <row r="61" spans="1:20" ht="48.75" customHeight="1" x14ac:dyDescent="0.25">
      <c r="B61" s="8" t="s">
        <v>3</v>
      </c>
      <c r="C61" s="225" t="s">
        <v>1172</v>
      </c>
      <c r="D61" s="225"/>
      <c r="E61" s="225"/>
      <c r="F61" s="225"/>
      <c r="G61" s="225"/>
      <c r="H61" s="225"/>
      <c r="I61" s="225"/>
      <c r="J61" s="225"/>
      <c r="K61" s="225"/>
      <c r="L61" s="225"/>
      <c r="M61" s="225"/>
      <c r="N61" s="225"/>
      <c r="O61" s="225"/>
      <c r="P61" s="225"/>
      <c r="Q61" s="225"/>
      <c r="R61" s="225"/>
      <c r="S61" s="225"/>
      <c r="T61" s="225"/>
    </row>
    <row r="62" spans="1:20" ht="29.45" customHeight="1" x14ac:dyDescent="0.25">
      <c r="A62" s="128"/>
      <c r="B62" s="8" t="s">
        <v>3</v>
      </c>
      <c r="C62" s="224" t="s">
        <v>1173</v>
      </c>
      <c r="D62" s="224"/>
      <c r="E62" s="224"/>
      <c r="F62" s="224"/>
      <c r="G62" s="224"/>
      <c r="H62" s="224"/>
      <c r="I62" s="224"/>
      <c r="J62" s="224"/>
      <c r="K62" s="224"/>
      <c r="L62" s="224"/>
      <c r="M62" s="224"/>
      <c r="N62" s="224"/>
      <c r="O62" s="224"/>
      <c r="P62" s="224"/>
      <c r="Q62" s="224"/>
      <c r="R62" s="224"/>
      <c r="S62" s="224"/>
      <c r="T62" s="224"/>
    </row>
    <row r="63" spans="1:20" ht="51.75" customHeight="1" x14ac:dyDescent="0.25">
      <c r="A63" s="128"/>
      <c r="B63" s="8"/>
      <c r="C63" s="224" t="s">
        <v>1174</v>
      </c>
      <c r="D63" s="224"/>
      <c r="E63" s="224"/>
      <c r="F63" s="224"/>
      <c r="G63" s="224"/>
      <c r="H63" s="224"/>
      <c r="I63" s="224"/>
      <c r="J63" s="224"/>
      <c r="K63" s="224"/>
      <c r="L63" s="224"/>
      <c r="M63" s="224"/>
      <c r="N63" s="224"/>
      <c r="O63" s="224"/>
      <c r="P63" s="224"/>
      <c r="Q63" s="224"/>
      <c r="R63" s="224"/>
      <c r="S63" s="224"/>
      <c r="T63" s="224"/>
    </row>
    <row r="64" spans="1:20" ht="29.25" customHeight="1" x14ac:dyDescent="0.25">
      <c r="B64" s="8"/>
      <c r="C64" s="224" t="s">
        <v>1199</v>
      </c>
      <c r="D64" s="224"/>
      <c r="E64" s="224"/>
      <c r="F64" s="224"/>
      <c r="G64" s="224"/>
      <c r="H64" s="224"/>
      <c r="I64" s="224"/>
      <c r="J64" s="224"/>
      <c r="K64" s="224"/>
      <c r="L64" s="224"/>
      <c r="M64" s="224"/>
      <c r="N64" s="224"/>
      <c r="O64" s="224"/>
      <c r="P64" s="224"/>
      <c r="Q64" s="224"/>
      <c r="R64" s="224"/>
      <c r="S64" s="224"/>
      <c r="T64" s="224"/>
    </row>
    <row r="65" spans="1:20" ht="34.5" customHeight="1" x14ac:dyDescent="0.25">
      <c r="A65" s="128"/>
      <c r="B65" s="8"/>
      <c r="C65" s="224" t="s">
        <v>1200</v>
      </c>
      <c r="D65" s="224"/>
      <c r="E65" s="224"/>
      <c r="F65" s="224"/>
      <c r="G65" s="224"/>
      <c r="H65" s="224"/>
      <c r="I65" s="224"/>
      <c r="J65" s="224"/>
      <c r="K65" s="224"/>
      <c r="L65" s="224"/>
      <c r="M65" s="224"/>
      <c r="N65" s="224"/>
      <c r="O65" s="224"/>
      <c r="P65" s="224"/>
      <c r="Q65" s="224"/>
      <c r="R65" s="224"/>
      <c r="S65" s="224"/>
      <c r="T65" s="224"/>
    </row>
    <row r="66" spans="1:20" s="53" customFormat="1" ht="36.75" customHeight="1" x14ac:dyDescent="0.25">
      <c r="A66" s="128"/>
      <c r="C66" s="224" t="s">
        <v>1201</v>
      </c>
      <c r="D66" s="224"/>
      <c r="E66" s="224"/>
      <c r="F66" s="224"/>
      <c r="G66" s="224"/>
      <c r="H66" s="224"/>
      <c r="I66" s="224"/>
      <c r="J66" s="224"/>
      <c r="K66" s="224"/>
      <c r="L66" s="224"/>
      <c r="M66" s="224"/>
      <c r="N66" s="224"/>
      <c r="O66" s="224"/>
      <c r="P66" s="224"/>
      <c r="Q66" s="224"/>
      <c r="R66" s="224"/>
      <c r="S66" s="224"/>
      <c r="T66" s="224"/>
    </row>
    <row r="67" spans="1:20" s="53" customFormat="1" ht="36.75" customHeight="1" x14ac:dyDescent="0.25">
      <c r="A67" s="128"/>
      <c r="C67" s="224" t="s">
        <v>1202</v>
      </c>
      <c r="D67" s="224"/>
      <c r="E67" s="224"/>
      <c r="F67" s="224"/>
      <c r="G67" s="224"/>
      <c r="H67" s="224"/>
      <c r="I67" s="224"/>
      <c r="J67" s="224"/>
      <c r="K67" s="224"/>
      <c r="L67" s="224"/>
      <c r="M67" s="224"/>
      <c r="N67" s="224"/>
      <c r="O67" s="224"/>
      <c r="P67" s="224"/>
      <c r="Q67" s="224"/>
      <c r="R67" s="224"/>
      <c r="S67" s="224"/>
      <c r="T67" s="224"/>
    </row>
    <row r="68" spans="1:20" s="53" customFormat="1" ht="44.25" customHeight="1" x14ac:dyDescent="0.25">
      <c r="A68" s="127"/>
      <c r="B68" s="53" t="s">
        <v>3</v>
      </c>
      <c r="C68" s="224" t="s">
        <v>1203</v>
      </c>
      <c r="D68" s="224"/>
      <c r="E68" s="224"/>
      <c r="F68" s="224"/>
      <c r="G68" s="224"/>
      <c r="H68" s="224"/>
      <c r="I68" s="224"/>
      <c r="J68" s="224"/>
      <c r="K68" s="224"/>
      <c r="L68" s="224"/>
      <c r="M68" s="224"/>
      <c r="N68" s="224"/>
      <c r="O68" s="224"/>
      <c r="P68" s="224"/>
      <c r="Q68" s="224"/>
      <c r="R68" s="224"/>
      <c r="S68" s="224"/>
      <c r="T68" s="224"/>
    </row>
    <row r="69" spans="1:20" s="53" customFormat="1" ht="44.25" customHeight="1" x14ac:dyDescent="0.25">
      <c r="A69" s="127"/>
      <c r="B69" s="53" t="s">
        <v>3</v>
      </c>
      <c r="C69" s="224" t="s">
        <v>1204</v>
      </c>
      <c r="D69" s="224"/>
      <c r="E69" s="224"/>
      <c r="F69" s="224"/>
      <c r="G69" s="224"/>
      <c r="H69" s="224"/>
      <c r="I69" s="224"/>
      <c r="J69" s="224"/>
      <c r="K69" s="224"/>
      <c r="L69" s="224"/>
      <c r="M69" s="224"/>
      <c r="N69" s="224"/>
      <c r="O69" s="224"/>
      <c r="P69" s="224"/>
      <c r="Q69" s="224"/>
      <c r="R69" s="224"/>
      <c r="S69" s="224"/>
      <c r="T69" s="224"/>
    </row>
    <row r="70" spans="1:20" ht="30.75" customHeight="1" x14ac:dyDescent="0.25">
      <c r="A70" s="128"/>
      <c r="B70" s="8"/>
      <c r="C70" s="224" t="s">
        <v>1205</v>
      </c>
      <c r="D70" s="224"/>
      <c r="E70" s="224"/>
      <c r="F70" s="224"/>
      <c r="G70" s="224"/>
      <c r="H70" s="224"/>
      <c r="I70" s="224"/>
      <c r="J70" s="224"/>
      <c r="K70" s="224"/>
      <c r="L70" s="224"/>
      <c r="M70" s="224"/>
      <c r="N70" s="224"/>
      <c r="O70" s="224"/>
      <c r="P70" s="224"/>
      <c r="Q70" s="224"/>
      <c r="R70" s="224"/>
      <c r="S70" s="224"/>
      <c r="T70" s="224"/>
    </row>
    <row r="71" spans="1:20" ht="9.6" customHeight="1" x14ac:dyDescent="0.25">
      <c r="B71" s="8"/>
      <c r="C71" s="8"/>
      <c r="D71" s="8"/>
      <c r="E71" s="8"/>
      <c r="F71" s="8"/>
      <c r="G71" s="8"/>
      <c r="H71" s="8"/>
      <c r="I71" s="8"/>
      <c r="J71" s="8"/>
      <c r="K71" s="8"/>
      <c r="L71" s="8"/>
      <c r="M71" s="8"/>
      <c r="N71" s="8"/>
      <c r="O71" s="8"/>
      <c r="P71" s="8"/>
    </row>
    <row r="72" spans="1:20" ht="42" customHeight="1" x14ac:dyDescent="0.25">
      <c r="B72" s="224" t="s">
        <v>1175</v>
      </c>
      <c r="C72" s="224"/>
      <c r="D72" s="224"/>
      <c r="E72" s="224"/>
      <c r="F72" s="224"/>
      <c r="G72" s="224"/>
      <c r="H72" s="224"/>
      <c r="I72" s="224"/>
      <c r="J72" s="224"/>
      <c r="K72" s="224"/>
      <c r="L72" s="224"/>
      <c r="M72" s="224"/>
      <c r="N72" s="224"/>
      <c r="O72" s="224"/>
      <c r="P72" s="224"/>
      <c r="Q72" s="224"/>
      <c r="R72" s="224"/>
      <c r="S72" s="224"/>
      <c r="T72" s="224"/>
    </row>
    <row r="73" spans="1:20" ht="9.6" customHeight="1" x14ac:dyDescent="0.25">
      <c r="B73" s="8"/>
      <c r="C73" s="8"/>
      <c r="D73" s="8"/>
      <c r="E73" s="8"/>
      <c r="F73" s="8"/>
      <c r="G73" s="8"/>
      <c r="H73" s="8"/>
      <c r="I73" s="8"/>
      <c r="J73" s="8"/>
      <c r="K73" s="8"/>
      <c r="L73" s="8"/>
      <c r="M73" s="8"/>
      <c r="N73" s="8"/>
      <c r="O73" s="8"/>
      <c r="P73" s="8"/>
    </row>
    <row r="74" spans="1:20" s="111" customFormat="1" ht="16.149999999999999" customHeight="1" x14ac:dyDescent="0.25">
      <c r="B74" s="225" t="s">
        <v>1209</v>
      </c>
      <c r="C74" s="225"/>
      <c r="D74" s="225"/>
      <c r="E74" s="225"/>
      <c r="F74" s="225"/>
      <c r="G74" s="225"/>
      <c r="H74" s="225"/>
      <c r="I74" s="225"/>
      <c r="J74" s="225"/>
      <c r="K74" s="225"/>
      <c r="L74" s="225"/>
      <c r="M74" s="225"/>
      <c r="N74" s="225"/>
      <c r="O74" s="225"/>
      <c r="P74" s="225"/>
      <c r="Q74" s="225"/>
      <c r="R74" s="225"/>
      <c r="S74" s="225"/>
      <c r="T74" s="225"/>
    </row>
    <row r="75" spans="1:20" ht="9.6" customHeight="1" x14ac:dyDescent="0.25">
      <c r="B75" s="8"/>
      <c r="C75" s="8"/>
      <c r="D75" s="8"/>
      <c r="E75" s="8"/>
      <c r="F75" s="8"/>
      <c r="G75" s="8"/>
      <c r="H75" s="8"/>
      <c r="I75" s="8"/>
      <c r="J75" s="8"/>
      <c r="K75" s="8"/>
      <c r="L75" s="8"/>
      <c r="M75" s="8"/>
      <c r="N75" s="8"/>
      <c r="O75" s="8"/>
      <c r="P75" s="8"/>
    </row>
    <row r="76" spans="1:20" ht="33.75" customHeight="1" x14ac:dyDescent="0.25">
      <c r="B76" s="225" t="s">
        <v>1206</v>
      </c>
      <c r="C76" s="225"/>
      <c r="D76" s="225"/>
      <c r="E76" s="225"/>
      <c r="F76" s="225"/>
      <c r="G76" s="225"/>
      <c r="H76" s="225"/>
      <c r="I76" s="225"/>
      <c r="J76" s="225"/>
      <c r="K76" s="225"/>
      <c r="L76" s="225"/>
      <c r="M76" s="225"/>
      <c r="N76" s="225"/>
      <c r="O76" s="225"/>
      <c r="P76" s="225"/>
      <c r="Q76" s="225"/>
      <c r="R76" s="225"/>
      <c r="S76" s="225"/>
      <c r="T76" s="225"/>
    </row>
    <row r="77" spans="1:20" ht="9.6" customHeight="1" x14ac:dyDescent="0.25">
      <c r="B77" s="8"/>
      <c r="C77" s="8"/>
      <c r="D77" s="8"/>
      <c r="E77" s="8"/>
      <c r="F77" s="8"/>
      <c r="G77" s="8"/>
      <c r="H77" s="8"/>
      <c r="I77" s="8"/>
      <c r="J77" s="8"/>
      <c r="K77" s="8"/>
      <c r="L77" s="8"/>
      <c r="M77" s="8"/>
      <c r="N77" s="8"/>
      <c r="O77" s="8"/>
      <c r="P77" s="8"/>
    </row>
    <row r="78" spans="1:20" ht="107.25" customHeight="1" x14ac:dyDescent="0.25">
      <c r="B78" s="225" t="s">
        <v>1207</v>
      </c>
      <c r="C78" s="225"/>
      <c r="D78" s="225"/>
      <c r="E78" s="225"/>
      <c r="F78" s="225"/>
      <c r="G78" s="225"/>
      <c r="H78" s="225"/>
      <c r="I78" s="225"/>
      <c r="J78" s="225"/>
      <c r="K78" s="225"/>
      <c r="L78" s="225"/>
      <c r="M78" s="225"/>
      <c r="N78" s="225"/>
      <c r="O78" s="225"/>
      <c r="P78" s="225"/>
      <c r="Q78" s="225"/>
      <c r="R78" s="225"/>
      <c r="S78" s="225"/>
      <c r="T78" s="225"/>
    </row>
    <row r="79" spans="1:20" ht="9.6" customHeight="1" x14ac:dyDescent="0.25">
      <c r="B79" s="8"/>
      <c r="C79" s="8"/>
      <c r="D79" s="8"/>
      <c r="E79" s="8"/>
      <c r="F79" s="8"/>
      <c r="G79" s="8"/>
      <c r="H79" s="8"/>
      <c r="I79" s="8"/>
      <c r="J79" s="8"/>
      <c r="K79" s="8"/>
      <c r="L79" s="8"/>
      <c r="M79" s="8"/>
      <c r="N79" s="8"/>
      <c r="O79" s="8"/>
      <c r="P79" s="8"/>
    </row>
    <row r="80" spans="1:20" ht="42.6" customHeight="1" x14ac:dyDescent="0.25">
      <c r="B80" s="224" t="s">
        <v>1208</v>
      </c>
      <c r="C80" s="224"/>
      <c r="D80" s="224"/>
      <c r="E80" s="224"/>
      <c r="F80" s="224"/>
      <c r="G80" s="224"/>
      <c r="H80" s="224"/>
      <c r="I80" s="224"/>
      <c r="J80" s="224"/>
      <c r="K80" s="224"/>
      <c r="L80" s="224"/>
      <c r="M80" s="224"/>
      <c r="N80" s="224"/>
      <c r="O80" s="224"/>
      <c r="P80" s="224"/>
      <c r="Q80" s="224"/>
      <c r="R80" s="224"/>
      <c r="S80" s="224"/>
      <c r="T80" s="224"/>
    </row>
    <row r="81" spans="1:19" ht="9.6" customHeight="1" x14ac:dyDescent="0.25">
      <c r="B81" s="8"/>
      <c r="C81" s="8"/>
      <c r="D81" s="8"/>
      <c r="E81" s="8"/>
      <c r="F81" s="8"/>
      <c r="G81" s="8"/>
      <c r="H81" s="8"/>
      <c r="I81" s="8"/>
      <c r="J81" s="8"/>
      <c r="K81" s="8"/>
      <c r="L81" s="8"/>
      <c r="M81" s="8"/>
      <c r="N81" s="8"/>
      <c r="O81" s="8"/>
      <c r="P81" s="8"/>
    </row>
    <row r="82" spans="1:19" ht="27.6" customHeight="1" x14ac:dyDescent="0.25">
      <c r="A82" s="111" t="s">
        <v>184</v>
      </c>
      <c r="B82" s="224" t="s">
        <v>199</v>
      </c>
      <c r="C82" s="224"/>
      <c r="D82" s="224"/>
      <c r="E82" s="224"/>
      <c r="F82" s="224"/>
      <c r="G82" s="224"/>
      <c r="H82" s="224"/>
      <c r="I82" s="224"/>
      <c r="J82" s="224"/>
      <c r="K82" s="224"/>
      <c r="L82" s="224"/>
      <c r="M82" s="224"/>
      <c r="N82" s="224"/>
      <c r="O82" s="224"/>
      <c r="P82" s="224"/>
      <c r="Q82" s="224"/>
      <c r="R82" s="224"/>
      <c r="S82" s="224"/>
    </row>
    <row r="83" spans="1:19" ht="9.6" customHeight="1" x14ac:dyDescent="0.25">
      <c r="B83" s="8"/>
      <c r="C83" s="8"/>
      <c r="D83" s="8"/>
      <c r="E83" s="8"/>
      <c r="F83" s="8"/>
      <c r="G83" s="8"/>
      <c r="H83" s="8"/>
      <c r="I83" s="8"/>
      <c r="J83" s="8"/>
      <c r="K83" s="8"/>
      <c r="L83" s="8"/>
      <c r="M83" s="8"/>
      <c r="N83" s="8"/>
      <c r="O83" s="8"/>
      <c r="P83" s="8"/>
    </row>
    <row r="84" spans="1:19" ht="30" customHeight="1" x14ac:dyDescent="0.25">
      <c r="B84" s="224" t="s">
        <v>1210</v>
      </c>
      <c r="C84" s="224"/>
      <c r="D84" s="224"/>
      <c r="E84" s="224"/>
      <c r="F84" s="224"/>
      <c r="G84" s="224"/>
      <c r="H84" s="224"/>
      <c r="I84" s="224"/>
      <c r="J84" s="224"/>
      <c r="K84" s="224"/>
      <c r="L84" s="224"/>
      <c r="M84" s="224"/>
      <c r="N84" s="224"/>
      <c r="O84" s="224"/>
      <c r="P84" s="224"/>
      <c r="Q84" s="224"/>
      <c r="R84" s="224"/>
      <c r="S84" s="224"/>
    </row>
    <row r="85" spans="1:19" ht="9.6" customHeight="1" x14ac:dyDescent="0.25">
      <c r="B85" s="8"/>
      <c r="C85" s="8"/>
      <c r="D85" s="8"/>
      <c r="E85" s="8"/>
      <c r="F85" s="8"/>
      <c r="G85" s="8"/>
      <c r="H85" s="8"/>
      <c r="I85" s="8"/>
      <c r="J85" s="8"/>
      <c r="K85" s="8"/>
      <c r="L85" s="8"/>
      <c r="M85" s="8"/>
      <c r="N85" s="8"/>
      <c r="O85" s="8"/>
      <c r="P85" s="8"/>
    </row>
    <row r="86" spans="1:19" x14ac:dyDescent="0.25">
      <c r="B86" s="224" t="s">
        <v>185</v>
      </c>
      <c r="C86" s="224"/>
      <c r="D86" s="224"/>
      <c r="E86" s="224"/>
      <c r="F86" s="224"/>
      <c r="G86" s="224"/>
      <c r="H86" s="224"/>
      <c r="I86" s="224"/>
      <c r="J86" s="224"/>
      <c r="K86" s="224"/>
      <c r="L86" s="224"/>
      <c r="M86" s="224"/>
      <c r="N86" s="224"/>
      <c r="O86" s="224"/>
      <c r="P86" s="224"/>
      <c r="Q86" s="224"/>
      <c r="R86" s="224"/>
      <c r="S86" s="224"/>
    </row>
    <row r="87" spans="1:19" ht="9.6" customHeight="1" x14ac:dyDescent="0.25">
      <c r="B87" s="8"/>
      <c r="C87" s="8"/>
      <c r="D87" s="8"/>
      <c r="E87" s="8"/>
      <c r="F87" s="8"/>
      <c r="G87" s="8"/>
      <c r="H87" s="8"/>
      <c r="I87" s="8"/>
      <c r="J87" s="8"/>
      <c r="K87" s="8"/>
      <c r="L87" s="8"/>
      <c r="M87" s="8"/>
      <c r="N87" s="8"/>
      <c r="O87" s="8"/>
      <c r="P87" s="8"/>
    </row>
    <row r="88" spans="1:19" ht="28.5" customHeight="1" x14ac:dyDescent="0.25">
      <c r="B88" s="224" t="s">
        <v>1211</v>
      </c>
      <c r="C88" s="224"/>
      <c r="D88" s="224"/>
      <c r="E88" s="224"/>
      <c r="F88" s="224"/>
      <c r="G88" s="224"/>
      <c r="H88" s="224"/>
      <c r="I88" s="224"/>
      <c r="J88" s="224"/>
      <c r="K88" s="224"/>
      <c r="L88" s="224"/>
      <c r="M88" s="224"/>
      <c r="N88" s="224"/>
      <c r="O88" s="224"/>
      <c r="P88" s="224"/>
      <c r="Q88" s="224"/>
      <c r="R88" s="224"/>
      <c r="S88" s="224"/>
    </row>
  </sheetData>
  <mergeCells count="29">
    <mergeCell ref="B43:T43"/>
    <mergeCell ref="B45:T45"/>
    <mergeCell ref="B47:T47"/>
    <mergeCell ref="B49:T49"/>
    <mergeCell ref="B76:T76"/>
    <mergeCell ref="B57:T57"/>
    <mergeCell ref="B51:T51"/>
    <mergeCell ref="B53:T53"/>
    <mergeCell ref="B55:T55"/>
    <mergeCell ref="C63:T63"/>
    <mergeCell ref="C67:T67"/>
    <mergeCell ref="C69:T69"/>
    <mergeCell ref="B74:T74"/>
    <mergeCell ref="B88:S88"/>
    <mergeCell ref="B86:S86"/>
    <mergeCell ref="B59:T59"/>
    <mergeCell ref="C60:T60"/>
    <mergeCell ref="C61:T61"/>
    <mergeCell ref="C62:T62"/>
    <mergeCell ref="C68:T68"/>
    <mergeCell ref="C65:T65"/>
    <mergeCell ref="C66:T66"/>
    <mergeCell ref="C70:T70"/>
    <mergeCell ref="C64:T64"/>
    <mergeCell ref="B84:S84"/>
    <mergeCell ref="B82:S82"/>
    <mergeCell ref="B72:T72"/>
    <mergeCell ref="B78:T78"/>
    <mergeCell ref="B80:T80"/>
  </mergeCells>
  <pageMargins left="0.7" right="0.7" top="0.75" bottom="0.75" header="0.3" footer="0.3"/>
  <pageSetup orientation="portrait" r:id="rId1"/>
  <headerFooter>
    <oddHeader>&amp;LCSW Savings Calculator Version 2.0.0</oddHeader>
    <oddFooter>&amp;LEnergy Savings Report&amp;R&amp;P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6" width="17.28515625" customWidth="1"/>
    <col min="7" max="7" width="15.7109375" customWidth="1"/>
    <col min="8" max="8" width="15" customWidth="1"/>
    <col min="9" max="9" width="15.7109375" customWidth="1"/>
    <col min="10" max="11" width="14.42578125" customWidth="1"/>
    <col min="12" max="12" width="13.42578125" customWidth="1"/>
    <col min="13" max="13" width="14.140625" customWidth="1"/>
  </cols>
  <sheetData>
    <row r="1" spans="1:14" x14ac:dyDescent="0.25">
      <c r="A1" s="1" t="s">
        <v>125</v>
      </c>
      <c r="B1" s="1"/>
      <c r="H1" s="226" t="s">
        <v>1187</v>
      </c>
      <c r="I1" s="226"/>
      <c r="J1" s="226"/>
      <c r="K1" s="226"/>
      <c r="L1" s="226"/>
      <c r="M1" s="226"/>
    </row>
    <row r="2" spans="1:14" x14ac:dyDescent="0.25">
      <c r="H2" s="226" t="s">
        <v>121</v>
      </c>
      <c r="I2" s="226"/>
      <c r="J2" s="226"/>
      <c r="K2" s="226" t="s">
        <v>124</v>
      </c>
      <c r="L2" s="226"/>
      <c r="M2" s="226"/>
      <c r="N2" t="s">
        <v>136</v>
      </c>
    </row>
    <row r="3" spans="1:14" x14ac:dyDescent="0.25">
      <c r="A3" s="5" t="s">
        <v>129</v>
      </c>
      <c r="B3" s="2" t="s">
        <v>1030</v>
      </c>
      <c r="C3" s="5" t="s">
        <v>190</v>
      </c>
      <c r="D3" s="5" t="s">
        <v>118</v>
      </c>
      <c r="E3" s="5" t="s">
        <v>130</v>
      </c>
      <c r="F3" s="5" t="s">
        <v>135</v>
      </c>
      <c r="G3" s="5" t="s">
        <v>1188</v>
      </c>
      <c r="H3" s="5" t="s">
        <v>116</v>
      </c>
      <c r="I3" s="5" t="s">
        <v>122</v>
      </c>
      <c r="J3" s="5" t="s">
        <v>123</v>
      </c>
      <c r="K3" s="5" t="s">
        <v>116</v>
      </c>
      <c r="L3" s="5" t="s">
        <v>122</v>
      </c>
      <c r="M3" s="2" t="s">
        <v>123</v>
      </c>
    </row>
    <row r="4" spans="1:14" x14ac:dyDescent="0.25">
      <c r="A4" s="5">
        <v>1</v>
      </c>
      <c r="B4" s="2" t="s">
        <v>17</v>
      </c>
      <c r="C4" s="6" t="s">
        <v>17</v>
      </c>
      <c r="D4" s="6" t="s">
        <v>56</v>
      </c>
      <c r="E4" s="6"/>
      <c r="F4" s="5" t="s">
        <v>29</v>
      </c>
      <c r="G4" s="174">
        <v>33</v>
      </c>
      <c r="H4" s="82">
        <v>6.5346327699999998E-2</v>
      </c>
      <c r="I4" s="82">
        <v>1.0553873E-3</v>
      </c>
      <c r="J4" s="82">
        <v>3.9799999999999999E-8</v>
      </c>
      <c r="K4" s="82">
        <v>0.74399159992139996</v>
      </c>
      <c r="L4" s="82">
        <v>1.0256342642999999E-3</v>
      </c>
      <c r="M4" s="82">
        <v>-5.3035700000000003E-8</v>
      </c>
    </row>
    <row r="5" spans="1:14" x14ac:dyDescent="0.25">
      <c r="A5" s="5">
        <v>2</v>
      </c>
      <c r="B5" s="2" t="s">
        <v>17</v>
      </c>
      <c r="C5" s="6" t="s">
        <v>17</v>
      </c>
      <c r="D5" s="6" t="s">
        <v>56</v>
      </c>
      <c r="E5" s="6"/>
      <c r="F5" s="88" t="s">
        <v>29</v>
      </c>
      <c r="G5" s="174">
        <v>100</v>
      </c>
      <c r="H5" s="82">
        <v>0.10877243590000001</v>
      </c>
      <c r="I5" s="82">
        <v>1.6538812999999999E-3</v>
      </c>
      <c r="J5" s="82">
        <v>1.1700000000000001E-8</v>
      </c>
      <c r="K5" s="82">
        <v>1.4162762878160999</v>
      </c>
      <c r="L5" s="82">
        <v>9.4582979630000003E-4</v>
      </c>
      <c r="M5" s="82">
        <v>-2.5410200000000001E-8</v>
      </c>
      <c r="N5" t="s">
        <v>3</v>
      </c>
    </row>
    <row r="6" spans="1:14" x14ac:dyDescent="0.25">
      <c r="A6" s="5">
        <v>3</v>
      </c>
      <c r="B6" s="2" t="s">
        <v>17</v>
      </c>
      <c r="C6" s="6" t="s">
        <v>12</v>
      </c>
      <c r="D6" s="6" t="s">
        <v>56</v>
      </c>
      <c r="E6" s="6"/>
      <c r="F6" s="88" t="s">
        <v>29</v>
      </c>
      <c r="G6" s="174">
        <v>33</v>
      </c>
      <c r="H6" s="82">
        <v>0.36073084760000002</v>
      </c>
      <c r="I6" s="82">
        <v>3.7113249999999999E-4</v>
      </c>
      <c r="J6" s="82">
        <v>9.16E-8</v>
      </c>
      <c r="K6" s="82">
        <v>1.7779457544285999</v>
      </c>
      <c r="L6" s="82">
        <v>1.8315942857000001E-3</v>
      </c>
      <c r="M6" s="82">
        <v>-1.016429E-7</v>
      </c>
    </row>
    <row r="7" spans="1:14" x14ac:dyDescent="0.25">
      <c r="A7" s="5">
        <v>4</v>
      </c>
      <c r="B7" s="2" t="s">
        <v>17</v>
      </c>
      <c r="C7" s="6" t="s">
        <v>12</v>
      </c>
      <c r="D7" s="6" t="s">
        <v>56</v>
      </c>
      <c r="E7" s="6"/>
      <c r="F7" s="88" t="s">
        <v>29</v>
      </c>
      <c r="G7" s="174">
        <v>100</v>
      </c>
      <c r="H7" s="82">
        <v>0.54052535020000003</v>
      </c>
      <c r="I7" s="82">
        <v>1.1271126E-3</v>
      </c>
      <c r="J7" s="82">
        <v>-8.4600000000000003E-8</v>
      </c>
      <c r="K7" s="82">
        <v>2.7578509344286002</v>
      </c>
      <c r="L7" s="82">
        <v>1.9024650000000001E-3</v>
      </c>
      <c r="M7" s="82">
        <v>-8.25714E-8</v>
      </c>
    </row>
    <row r="8" spans="1:14" x14ac:dyDescent="0.25">
      <c r="A8" s="5">
        <v>5</v>
      </c>
      <c r="B8" s="2" t="s">
        <v>12</v>
      </c>
      <c r="C8" s="6" t="s">
        <v>17</v>
      </c>
      <c r="D8" s="6" t="s">
        <v>56</v>
      </c>
      <c r="E8" s="6"/>
      <c r="F8" s="88" t="s">
        <v>29</v>
      </c>
      <c r="G8" s="174">
        <v>33</v>
      </c>
      <c r="H8" s="82">
        <v>3.59279297E-2</v>
      </c>
      <c r="I8" s="82">
        <v>3.2251440000000001E-4</v>
      </c>
      <c r="J8" s="82">
        <v>2.3800000000000001E-8</v>
      </c>
      <c r="K8" s="82">
        <v>0.55311610915599996</v>
      </c>
      <c r="L8" s="82">
        <v>8.0545846999999996E-4</v>
      </c>
      <c r="M8" s="82">
        <v>-4.6680300000000001E-8</v>
      </c>
    </row>
    <row r="9" spans="1:14" x14ac:dyDescent="0.25">
      <c r="A9" s="5">
        <v>6</v>
      </c>
      <c r="B9" s="2" t="s">
        <v>12</v>
      </c>
      <c r="C9" s="6" t="s">
        <v>17</v>
      </c>
      <c r="D9" s="6" t="s">
        <v>56</v>
      </c>
      <c r="E9" s="6"/>
      <c r="F9" s="88" t="s">
        <v>29</v>
      </c>
      <c r="G9" s="174">
        <v>100</v>
      </c>
      <c r="H9" s="82">
        <v>7.7719451300000006E-2</v>
      </c>
      <c r="I9" s="82">
        <v>5.1202889999999997E-4</v>
      </c>
      <c r="J9" s="82">
        <v>1.7599999999999999E-8</v>
      </c>
      <c r="K9" s="82">
        <v>0.68712097277899997</v>
      </c>
      <c r="L9" s="82">
        <v>9.4199686449999997E-4</v>
      </c>
      <c r="M9" s="82">
        <v>-4.3891400000000001E-8</v>
      </c>
    </row>
    <row r="10" spans="1:14" x14ac:dyDescent="0.25">
      <c r="A10" s="5">
        <v>7</v>
      </c>
      <c r="B10" s="2" t="s">
        <v>17</v>
      </c>
      <c r="C10" s="6" t="s">
        <v>17</v>
      </c>
      <c r="D10" s="6" t="s">
        <v>56</v>
      </c>
      <c r="E10" s="6"/>
      <c r="F10" s="88" t="s">
        <v>142</v>
      </c>
      <c r="G10" s="174">
        <v>33</v>
      </c>
      <c r="H10" s="82">
        <v>3.8721565296999999E-3</v>
      </c>
      <c r="I10" s="82">
        <v>4.4682074799999999E-5</v>
      </c>
      <c r="J10" s="82">
        <v>1.719E-9</v>
      </c>
      <c r="K10" s="82">
        <v>0.74399159992139996</v>
      </c>
      <c r="L10" s="82">
        <v>1.0256342642999999E-3</v>
      </c>
      <c r="M10" s="82">
        <v>-5.3035700000000003E-8</v>
      </c>
    </row>
    <row r="11" spans="1:14" x14ac:dyDescent="0.25">
      <c r="A11" s="5">
        <v>8</v>
      </c>
      <c r="B11" s="2" t="s">
        <v>17</v>
      </c>
      <c r="C11" s="6" t="s">
        <v>17</v>
      </c>
      <c r="D11" s="6" t="s">
        <v>56</v>
      </c>
      <c r="E11" s="6"/>
      <c r="F11" s="88" t="s">
        <v>142</v>
      </c>
      <c r="G11" s="174">
        <v>100</v>
      </c>
      <c r="H11" s="82">
        <v>4.8633395247999998E-3</v>
      </c>
      <c r="I11" s="82">
        <v>7.0632894300000004E-5</v>
      </c>
      <c r="J11" s="82">
        <v>4.8199999999999999E-10</v>
      </c>
      <c r="K11" s="82">
        <v>1.4162762878160999</v>
      </c>
      <c r="L11" s="82">
        <v>9.4582979630000003E-4</v>
      </c>
      <c r="M11" s="82">
        <v>-2.5410200000000001E-8</v>
      </c>
    </row>
    <row r="12" spans="1:14" x14ac:dyDescent="0.25">
      <c r="A12" s="5">
        <v>9</v>
      </c>
      <c r="B12" s="2" t="s">
        <v>17</v>
      </c>
      <c r="C12" s="6" t="s">
        <v>12</v>
      </c>
      <c r="D12" s="6" t="s">
        <v>56</v>
      </c>
      <c r="E12" s="6"/>
      <c r="F12" s="88" t="s">
        <v>142</v>
      </c>
      <c r="G12" s="174">
        <v>33</v>
      </c>
      <c r="H12" s="82">
        <v>2.8884672990000001E-3</v>
      </c>
      <c r="I12" s="82">
        <v>1.7714126800000001E-5</v>
      </c>
      <c r="J12" s="82">
        <v>3.5699999999999999E-9</v>
      </c>
      <c r="K12" s="82">
        <v>1.7779457544285999</v>
      </c>
      <c r="L12" s="82">
        <v>1.8315942857000001E-3</v>
      </c>
      <c r="M12" s="82">
        <v>-1.016429E-7</v>
      </c>
    </row>
    <row r="13" spans="1:14" x14ac:dyDescent="0.25">
      <c r="A13" s="5">
        <v>10</v>
      </c>
      <c r="B13" s="2" t="s">
        <v>17</v>
      </c>
      <c r="C13" s="6" t="s">
        <v>12</v>
      </c>
      <c r="D13" s="6" t="s">
        <v>56</v>
      </c>
      <c r="E13" s="6"/>
      <c r="F13" s="88" t="s">
        <v>142</v>
      </c>
      <c r="G13" s="174">
        <v>100</v>
      </c>
      <c r="H13" s="82">
        <v>3.6630697578E-3</v>
      </c>
      <c r="I13" s="82">
        <v>3.5851509799999998E-5</v>
      </c>
      <c r="J13" s="82">
        <v>3.2518999999999999E-9</v>
      </c>
      <c r="K13" s="82">
        <v>2.7578509344286002</v>
      </c>
      <c r="L13" s="82">
        <v>1.9024650000000001E-3</v>
      </c>
      <c r="M13" s="82">
        <v>-8.25714E-8</v>
      </c>
    </row>
    <row r="14" spans="1:14" x14ac:dyDescent="0.25">
      <c r="A14" s="5">
        <v>11</v>
      </c>
      <c r="B14" s="2" t="s">
        <v>12</v>
      </c>
      <c r="C14" s="6" t="s">
        <v>17</v>
      </c>
      <c r="D14" s="6" t="s">
        <v>56</v>
      </c>
      <c r="E14" s="6"/>
      <c r="F14" s="88" t="s">
        <v>142</v>
      </c>
      <c r="G14" s="174">
        <v>33</v>
      </c>
      <c r="H14" s="82">
        <v>1.5323262017000001E-3</v>
      </c>
      <c r="I14" s="82">
        <v>1.37552392E-5</v>
      </c>
      <c r="J14" s="82">
        <v>1.0150999999999999E-9</v>
      </c>
      <c r="K14" s="82">
        <v>0.55311610915599996</v>
      </c>
      <c r="L14" s="82">
        <v>8.0545846999999996E-4</v>
      </c>
      <c r="M14" s="82">
        <v>-4.6680300000000001E-8</v>
      </c>
    </row>
    <row r="15" spans="1:14" x14ac:dyDescent="0.25">
      <c r="A15" s="5">
        <v>12</v>
      </c>
      <c r="B15" s="2" t="s">
        <v>12</v>
      </c>
      <c r="C15" s="6" t="s">
        <v>17</v>
      </c>
      <c r="D15" s="6" t="s">
        <v>56</v>
      </c>
      <c r="E15" s="6"/>
      <c r="F15" s="88" t="s">
        <v>142</v>
      </c>
      <c r="G15" s="174">
        <v>100</v>
      </c>
      <c r="H15" s="82">
        <v>3.3662736694000002E-3</v>
      </c>
      <c r="I15" s="82">
        <v>2.1777693299999999E-5</v>
      </c>
      <c r="J15" s="82">
        <v>7.5929999999999995E-10</v>
      </c>
      <c r="K15" s="82">
        <v>0.68712097277899997</v>
      </c>
      <c r="L15" s="82">
        <v>9.4199686449999997E-4</v>
      </c>
      <c r="M15" s="82">
        <v>-4.3891400000000001E-8</v>
      </c>
    </row>
    <row r="16" spans="1:14" x14ac:dyDescent="0.25">
      <c r="A16" s="11"/>
      <c r="C16" s="65"/>
      <c r="D16" s="65"/>
      <c r="E16" s="65"/>
      <c r="F16" s="161"/>
      <c r="G16" s="124"/>
      <c r="H16" s="124"/>
      <c r="I16" s="124"/>
      <c r="J16" s="124"/>
      <c r="K16" s="124"/>
      <c r="L16" s="124"/>
    </row>
    <row r="17" spans="1:14" x14ac:dyDescent="0.25">
      <c r="A17" s="162" t="s">
        <v>126</v>
      </c>
      <c r="C17" s="65"/>
      <c r="D17" s="65"/>
      <c r="E17" s="65"/>
      <c r="F17" s="161"/>
      <c r="G17" s="124"/>
      <c r="H17" s="265" t="s">
        <v>120</v>
      </c>
      <c r="I17" s="265"/>
      <c r="J17" s="265"/>
      <c r="K17" s="265"/>
      <c r="L17" s="265"/>
      <c r="M17" s="265"/>
    </row>
    <row r="18" spans="1:14" x14ac:dyDescent="0.25">
      <c r="A18" s="11"/>
      <c r="C18" s="65"/>
      <c r="D18" s="65"/>
      <c r="E18" s="65"/>
      <c r="F18" s="161"/>
      <c r="G18" s="124"/>
      <c r="H18" s="82" t="s">
        <v>1176</v>
      </c>
      <c r="I18" s="82"/>
      <c r="J18" s="82"/>
      <c r="K18" s="265" t="s">
        <v>1177</v>
      </c>
      <c r="L18" s="265"/>
      <c r="M18" s="265"/>
    </row>
    <row r="19" spans="1:14" x14ac:dyDescent="0.25">
      <c r="A19" s="5" t="s">
        <v>129</v>
      </c>
      <c r="B19" s="2" t="s">
        <v>1030</v>
      </c>
      <c r="C19" s="6" t="s">
        <v>5</v>
      </c>
      <c r="D19" s="6" t="s">
        <v>118</v>
      </c>
      <c r="E19" s="6" t="s">
        <v>15</v>
      </c>
      <c r="F19" s="88" t="s">
        <v>60</v>
      </c>
      <c r="G19" s="82"/>
      <c r="H19" s="82" t="s">
        <v>116</v>
      </c>
      <c r="I19" s="82" t="s">
        <v>122</v>
      </c>
      <c r="J19" s="82" t="s">
        <v>123</v>
      </c>
      <c r="K19" s="82" t="s">
        <v>116</v>
      </c>
      <c r="L19" s="82" t="s">
        <v>122</v>
      </c>
      <c r="M19" s="2" t="s">
        <v>123</v>
      </c>
    </row>
    <row r="20" spans="1:14" x14ac:dyDescent="0.25">
      <c r="A20" s="5">
        <v>1</v>
      </c>
      <c r="B20" s="2" t="s">
        <v>17</v>
      </c>
      <c r="C20" s="6" t="s">
        <v>17</v>
      </c>
      <c r="D20" s="6" t="s">
        <v>56</v>
      </c>
      <c r="E20" s="6" t="s">
        <v>127</v>
      </c>
      <c r="F20" s="88" t="s">
        <v>127</v>
      </c>
      <c r="G20" s="82"/>
      <c r="H20" s="82">
        <v>22.9422889772</v>
      </c>
      <c r="I20" s="82">
        <v>4.9987193999999997E-3</v>
      </c>
      <c r="J20" s="82">
        <v>-4.1750000000000003E-7</v>
      </c>
      <c r="K20" s="82">
        <v>51.067217100999997</v>
      </c>
      <c r="L20" s="82">
        <v>1.6653035199999999E-2</v>
      </c>
      <c r="M20" s="82">
        <v>-1.6018000000000001E-6</v>
      </c>
    </row>
    <row r="21" spans="1:14" x14ac:dyDescent="0.25">
      <c r="A21" s="5">
        <v>2</v>
      </c>
      <c r="B21" s="2" t="s">
        <v>17</v>
      </c>
      <c r="C21" s="6" t="s">
        <v>12</v>
      </c>
      <c r="D21" s="6" t="s">
        <v>56</v>
      </c>
      <c r="E21" s="6" t="s">
        <v>127</v>
      </c>
      <c r="F21" s="88" t="s">
        <v>127</v>
      </c>
      <c r="G21" s="82"/>
      <c r="H21" s="82">
        <v>22.9422889772</v>
      </c>
      <c r="I21" s="82">
        <v>4.9987193999999997E-3</v>
      </c>
      <c r="J21" s="82">
        <v>-4.1750000000000003E-7</v>
      </c>
      <c r="K21" s="82">
        <v>111.68741973900001</v>
      </c>
      <c r="L21" s="82">
        <v>2.9644613E-2</v>
      </c>
      <c r="M21" s="82">
        <v>-2.8926999999999998E-6</v>
      </c>
    </row>
    <row r="22" spans="1:14" x14ac:dyDescent="0.25">
      <c r="A22" s="5">
        <v>3</v>
      </c>
      <c r="B22" s="2" t="s">
        <v>12</v>
      </c>
      <c r="C22" s="2" t="s">
        <v>17</v>
      </c>
      <c r="D22" s="2" t="s">
        <v>56</v>
      </c>
      <c r="E22" s="2"/>
      <c r="F22" s="2"/>
      <c r="G22" s="2"/>
      <c r="H22" s="82">
        <v>21.166245095800001</v>
      </c>
      <c r="I22" s="82">
        <v>3.3299104999999999E-3</v>
      </c>
      <c r="J22" s="82">
        <v>-2.0179999999999999E-7</v>
      </c>
      <c r="K22" s="82">
        <v>44.687047929000002</v>
      </c>
      <c r="L22" s="82">
        <v>1.1554145300000001E-2</v>
      </c>
      <c r="M22" s="82">
        <v>-1.0455E-6</v>
      </c>
    </row>
    <row r="23" spans="1:14" x14ac:dyDescent="0.25">
      <c r="A23" s="1"/>
      <c r="B23" s="1"/>
    </row>
    <row r="24" spans="1:14" x14ac:dyDescent="0.25">
      <c r="A24" t="s">
        <v>128</v>
      </c>
      <c r="H24" s="226" t="s">
        <v>120</v>
      </c>
      <c r="I24" s="226"/>
      <c r="J24" s="226"/>
    </row>
    <row r="25" spans="1:14" x14ac:dyDescent="0.25">
      <c r="A25" s="11"/>
      <c r="C25" s="11"/>
      <c r="D25" s="11"/>
      <c r="E25" s="11"/>
      <c r="F25" s="11"/>
      <c r="G25" s="11"/>
      <c r="H25" s="226" t="s">
        <v>131</v>
      </c>
      <c r="I25" s="226"/>
      <c r="J25" s="226"/>
      <c r="K25" s="11"/>
      <c r="L25" s="11"/>
    </row>
    <row r="26" spans="1:14" x14ac:dyDescent="0.25">
      <c r="A26" s="5" t="s">
        <v>129</v>
      </c>
      <c r="B26" s="2" t="s">
        <v>1030</v>
      </c>
      <c r="C26" s="6" t="s">
        <v>190</v>
      </c>
      <c r="D26" s="6" t="s">
        <v>118</v>
      </c>
      <c r="E26" s="6" t="s">
        <v>135</v>
      </c>
      <c r="F26" s="6" t="s">
        <v>60</v>
      </c>
      <c r="G26" s="82" t="s">
        <v>143</v>
      </c>
      <c r="H26" s="164" t="s">
        <v>116</v>
      </c>
      <c r="I26" s="164" t="s">
        <v>122</v>
      </c>
      <c r="J26" s="164" t="s">
        <v>123</v>
      </c>
      <c r="K26" s="124"/>
      <c r="L26" s="124"/>
      <c r="N26" t="s">
        <v>3</v>
      </c>
    </row>
    <row r="27" spans="1:14" x14ac:dyDescent="0.25">
      <c r="A27" s="5">
        <v>1</v>
      </c>
      <c r="B27" s="2" t="s">
        <v>17</v>
      </c>
      <c r="C27" s="6" t="s">
        <v>127</v>
      </c>
      <c r="D27" s="6" t="s">
        <v>56</v>
      </c>
      <c r="E27" s="163" t="s">
        <v>29</v>
      </c>
      <c r="F27" s="6" t="s">
        <v>127</v>
      </c>
      <c r="G27" s="174">
        <v>33</v>
      </c>
      <c r="H27" s="82">
        <v>110.1376985853</v>
      </c>
      <c r="I27" s="82">
        <v>-7.8283002000000008E-3</v>
      </c>
      <c r="J27" s="82">
        <v>9.879999999999999E-7</v>
      </c>
      <c r="K27" s="124"/>
      <c r="L27" s="124"/>
    </row>
    <row r="28" spans="1:14" x14ac:dyDescent="0.25">
      <c r="A28" s="5">
        <v>3</v>
      </c>
      <c r="B28" s="2" t="s">
        <v>17</v>
      </c>
      <c r="C28" s="2" t="s">
        <v>127</v>
      </c>
      <c r="D28" s="2" t="s">
        <v>56</v>
      </c>
      <c r="E28" s="159" t="s">
        <v>29</v>
      </c>
      <c r="F28" s="2" t="s">
        <v>127</v>
      </c>
      <c r="G28" s="174">
        <v>100</v>
      </c>
      <c r="H28" s="82">
        <v>116.4980513732</v>
      </c>
      <c r="I28" s="82">
        <v>-8.4815589999999996E-3</v>
      </c>
      <c r="J28" s="82">
        <v>1.0438000000000001E-6</v>
      </c>
    </row>
    <row r="29" spans="1:14" x14ac:dyDescent="0.25">
      <c r="A29" s="5">
        <v>4</v>
      </c>
      <c r="B29" s="2" t="s">
        <v>12</v>
      </c>
      <c r="C29" s="2" t="s">
        <v>127</v>
      </c>
      <c r="D29" s="2" t="s">
        <v>56</v>
      </c>
      <c r="E29" s="159" t="s">
        <v>29</v>
      </c>
      <c r="F29" s="2" t="s">
        <v>127</v>
      </c>
      <c r="G29" s="174">
        <v>33</v>
      </c>
      <c r="H29" s="82">
        <v>103.09641074789999</v>
      </c>
      <c r="I29" s="82">
        <v>-7.0849989000000002E-3</v>
      </c>
      <c r="J29" s="82">
        <v>8.9279999999999995E-7</v>
      </c>
    </row>
    <row r="30" spans="1:14" x14ac:dyDescent="0.25">
      <c r="A30" s="5">
        <v>6</v>
      </c>
      <c r="B30" s="2" t="s">
        <v>12</v>
      </c>
      <c r="C30" s="6" t="s">
        <v>127</v>
      </c>
      <c r="D30" s="6" t="s">
        <v>56</v>
      </c>
      <c r="E30" s="163" t="s">
        <v>29</v>
      </c>
      <c r="F30" s="175" t="s">
        <v>127</v>
      </c>
      <c r="G30" s="174">
        <v>100</v>
      </c>
      <c r="H30" s="82">
        <v>109.3793758849</v>
      </c>
      <c r="I30" s="82">
        <v>-7.5483154E-3</v>
      </c>
      <c r="J30" s="82">
        <v>9.1969999999999996E-7</v>
      </c>
    </row>
    <row r="31" spans="1:14" x14ac:dyDescent="0.25">
      <c r="A31" s="5">
        <v>7</v>
      </c>
      <c r="B31" s="2" t="s">
        <v>17</v>
      </c>
      <c r="C31" s="6" t="s">
        <v>127</v>
      </c>
      <c r="D31" s="6" t="s">
        <v>56</v>
      </c>
      <c r="E31" s="6" t="s">
        <v>142</v>
      </c>
      <c r="F31" s="175" t="s">
        <v>127</v>
      </c>
      <c r="G31" s="174">
        <v>33</v>
      </c>
      <c r="H31" s="82">
        <v>111.29919594659999</v>
      </c>
      <c r="I31" s="82">
        <v>-7.1869098999999999E-3</v>
      </c>
      <c r="J31" s="82">
        <v>1.0628E-6</v>
      </c>
      <c r="K31" s="11"/>
      <c r="L31" s="11"/>
    </row>
    <row r="32" spans="1:14" x14ac:dyDescent="0.25">
      <c r="A32" s="5">
        <v>9</v>
      </c>
      <c r="B32" s="2" t="s">
        <v>17</v>
      </c>
      <c r="C32" s="6" t="s">
        <v>127</v>
      </c>
      <c r="D32" s="6" t="s">
        <v>56</v>
      </c>
      <c r="E32" s="6" t="s">
        <v>142</v>
      </c>
      <c r="F32" s="175" t="s">
        <v>127</v>
      </c>
      <c r="G32" s="174">
        <v>100</v>
      </c>
      <c r="H32" s="82">
        <v>117.6789267713</v>
      </c>
      <c r="I32" s="82">
        <v>-7.8208615999999995E-3</v>
      </c>
      <c r="J32" s="82">
        <v>1.1174000000000001E-6</v>
      </c>
      <c r="K32" s="77"/>
      <c r="L32" s="77"/>
    </row>
    <row r="33" spans="1:12" x14ac:dyDescent="0.25">
      <c r="A33" s="5">
        <v>10</v>
      </c>
      <c r="B33" s="2" t="s">
        <v>12</v>
      </c>
      <c r="C33" s="6" t="s">
        <v>127</v>
      </c>
      <c r="D33" s="6" t="s">
        <v>56</v>
      </c>
      <c r="E33" s="6" t="s">
        <v>142</v>
      </c>
      <c r="F33" s="175" t="s">
        <v>127</v>
      </c>
      <c r="G33" s="174">
        <v>33</v>
      </c>
      <c r="H33" s="82">
        <v>104.12370843070001</v>
      </c>
      <c r="I33" s="82">
        <v>-6.5781212000000002E-3</v>
      </c>
      <c r="J33" s="82">
        <v>9.6379999999999999E-7</v>
      </c>
      <c r="K33" s="77"/>
      <c r="L33" s="77"/>
    </row>
    <row r="34" spans="1:12" x14ac:dyDescent="0.25">
      <c r="A34" s="5">
        <v>12</v>
      </c>
      <c r="B34" s="2" t="s">
        <v>12</v>
      </c>
      <c r="C34" s="2" t="s">
        <v>127</v>
      </c>
      <c r="D34" s="2" t="s">
        <v>56</v>
      </c>
      <c r="E34" s="2" t="s">
        <v>142</v>
      </c>
      <c r="F34" s="2" t="s">
        <v>127</v>
      </c>
      <c r="G34" s="174">
        <v>100</v>
      </c>
      <c r="H34" s="82">
        <v>110.7391875699</v>
      </c>
      <c r="I34" s="82">
        <v>-7.4405909000000003E-3</v>
      </c>
      <c r="J34" s="82">
        <v>1.0280999999999999E-6</v>
      </c>
      <c r="K34" s="77"/>
      <c r="L34" s="77"/>
    </row>
    <row r="36" spans="1:12" x14ac:dyDescent="0.25">
      <c r="A36" t="s">
        <v>1192</v>
      </c>
      <c r="D36" s="5" t="s">
        <v>116</v>
      </c>
      <c r="E36" s="5" t="s">
        <v>122</v>
      </c>
      <c r="F36" s="5" t="s">
        <v>123</v>
      </c>
      <c r="G36" s="5" t="s">
        <v>1193</v>
      </c>
    </row>
    <row r="37" spans="1:12" x14ac:dyDescent="0.25">
      <c r="D37" s="190">
        <v>0.62036986097699998</v>
      </c>
      <c r="E37" s="190">
        <v>-1.6209909499999999E-4</v>
      </c>
      <c r="F37" s="190">
        <v>-5.1812000000000001E-8</v>
      </c>
      <c r="G37" s="190">
        <v>-3.9999999999999999E-12</v>
      </c>
    </row>
  </sheetData>
  <mergeCells count="7">
    <mergeCell ref="H24:J24"/>
    <mergeCell ref="H25:J25"/>
    <mergeCell ref="H1:M1"/>
    <mergeCell ref="H2:J2"/>
    <mergeCell ref="K2:M2"/>
    <mergeCell ref="H17:M17"/>
    <mergeCell ref="K18:M1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M3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7" max="8" width="15.7109375" customWidth="1"/>
    <col min="9" max="9" width="16.42578125" customWidth="1"/>
    <col min="10" max="10" width="16.85546875" customWidth="1"/>
    <col min="11" max="11" width="17.28515625" customWidth="1"/>
    <col min="12" max="12" width="16.28515625" customWidth="1"/>
    <col min="13" max="13" width="54.7109375" customWidth="1"/>
  </cols>
  <sheetData>
    <row r="1" spans="1:13" x14ac:dyDescent="0.25">
      <c r="A1" s="1" t="s">
        <v>125</v>
      </c>
      <c r="B1" s="1"/>
      <c r="G1" s="226" t="s">
        <v>120</v>
      </c>
      <c r="H1" s="226"/>
      <c r="I1" s="226"/>
      <c r="J1" s="226"/>
      <c r="K1" s="226"/>
      <c r="L1" s="226"/>
    </row>
    <row r="2" spans="1:13" x14ac:dyDescent="0.25">
      <c r="G2" s="226" t="s">
        <v>121</v>
      </c>
      <c r="H2" s="226"/>
      <c r="I2" s="226"/>
      <c r="J2" s="226" t="s">
        <v>124</v>
      </c>
      <c r="K2" s="226"/>
      <c r="L2" s="226"/>
      <c r="M2" t="s">
        <v>145</v>
      </c>
    </row>
    <row r="3" spans="1:13" x14ac:dyDescent="0.25">
      <c r="A3" s="5" t="s">
        <v>129</v>
      </c>
      <c r="B3" s="5" t="s">
        <v>1030</v>
      </c>
      <c r="C3" s="2" t="s">
        <v>190</v>
      </c>
      <c r="D3" s="5" t="s">
        <v>3</v>
      </c>
      <c r="E3" s="5" t="s">
        <v>146</v>
      </c>
      <c r="F3" s="74" t="s">
        <v>6</v>
      </c>
      <c r="G3" s="5" t="s">
        <v>116</v>
      </c>
      <c r="H3" s="5" t="s">
        <v>122</v>
      </c>
      <c r="I3" s="5" t="s">
        <v>123</v>
      </c>
      <c r="J3" s="5" t="s">
        <v>116</v>
      </c>
      <c r="K3" s="5" t="s">
        <v>122</v>
      </c>
      <c r="L3" s="5" t="s">
        <v>123</v>
      </c>
    </row>
    <row r="4" spans="1:13" x14ac:dyDescent="0.25">
      <c r="A4" s="5">
        <v>1</v>
      </c>
      <c r="B4" s="5" t="s">
        <v>17</v>
      </c>
      <c r="C4" s="2" t="s">
        <v>17</v>
      </c>
      <c r="D4" s="6" t="s">
        <v>3</v>
      </c>
      <c r="E4" s="6" t="s">
        <v>140</v>
      </c>
      <c r="F4" s="66" t="s">
        <v>141</v>
      </c>
      <c r="G4" s="198">
        <v>5.3960662727400001E-2</v>
      </c>
      <c r="H4" s="198">
        <v>2.1447734516999999E-3</v>
      </c>
      <c r="I4" s="198">
        <v>-1.7946E-9</v>
      </c>
      <c r="J4" s="198">
        <v>0.95808699033480005</v>
      </c>
      <c r="K4" s="198">
        <v>2.2102159530000001E-4</v>
      </c>
      <c r="L4" s="198">
        <v>-1.2262E-9</v>
      </c>
    </row>
    <row r="5" spans="1:13" x14ac:dyDescent="0.25">
      <c r="A5" s="5">
        <v>2</v>
      </c>
      <c r="B5" s="5" t="s">
        <v>17</v>
      </c>
      <c r="C5" s="2" t="s">
        <v>12</v>
      </c>
      <c r="D5" s="6" t="s">
        <v>3</v>
      </c>
      <c r="E5" s="6" t="s">
        <v>140</v>
      </c>
      <c r="F5" s="66" t="s">
        <v>141</v>
      </c>
      <c r="G5" s="198">
        <v>0.13779051533100001</v>
      </c>
      <c r="H5" s="198">
        <v>1.9760606191E-3</v>
      </c>
      <c r="I5" s="198">
        <v>-5.2529000000000003E-9</v>
      </c>
      <c r="J5" s="198">
        <v>1.3489000170936001</v>
      </c>
      <c r="K5" s="198">
        <v>7.1387713390000005E-4</v>
      </c>
      <c r="L5" s="198">
        <v>-1.9598600000000001E-8</v>
      </c>
      <c r="M5" t="s">
        <v>3</v>
      </c>
    </row>
    <row r="6" spans="1:13" x14ac:dyDescent="0.25">
      <c r="A6" s="5">
        <v>3</v>
      </c>
      <c r="B6" s="5" t="s">
        <v>12</v>
      </c>
      <c r="C6" s="2" t="s">
        <v>17</v>
      </c>
      <c r="D6" s="6" t="s">
        <v>3</v>
      </c>
      <c r="E6" s="6" t="s">
        <v>140</v>
      </c>
      <c r="F6" s="66" t="s">
        <v>141</v>
      </c>
      <c r="G6" s="198">
        <v>3.7852737812000001E-3</v>
      </c>
      <c r="H6" s="198">
        <v>1.0767119460999999E-3</v>
      </c>
      <c r="I6" s="198">
        <v>7.4261000000000002E-9</v>
      </c>
      <c r="J6" s="198">
        <v>0.81031146965550005</v>
      </c>
      <c r="K6" s="198">
        <v>1.8948046539999999E-4</v>
      </c>
      <c r="L6" s="198">
        <v>-2.1620999999999998E-9</v>
      </c>
    </row>
    <row r="7" spans="1:13" x14ac:dyDescent="0.25">
      <c r="A7" s="5">
        <v>4</v>
      </c>
      <c r="B7" s="5" t="s">
        <v>17</v>
      </c>
      <c r="C7" s="2" t="s">
        <v>17</v>
      </c>
      <c r="D7" s="6" t="s">
        <v>3</v>
      </c>
      <c r="E7" s="6" t="s">
        <v>134</v>
      </c>
      <c r="F7" s="66" t="s">
        <v>141</v>
      </c>
      <c r="G7" s="198">
        <v>0.28478789799999998</v>
      </c>
      <c r="H7" s="198">
        <v>2.9383726000000001E-3</v>
      </c>
      <c r="I7" s="198">
        <v>-2.7500000000000001E-8</v>
      </c>
      <c r="J7" s="198">
        <v>3.6664226893</v>
      </c>
      <c r="K7" s="198">
        <v>1.357455E-3</v>
      </c>
      <c r="L7" s="198">
        <v>-7.7400000000000005E-8</v>
      </c>
    </row>
    <row r="8" spans="1:13" x14ac:dyDescent="0.25">
      <c r="A8" s="5">
        <v>5</v>
      </c>
      <c r="B8" s="5" t="s">
        <v>17</v>
      </c>
      <c r="C8" s="2" t="s">
        <v>12</v>
      </c>
      <c r="D8" s="6" t="s">
        <v>3</v>
      </c>
      <c r="E8" s="6" t="s">
        <v>134</v>
      </c>
      <c r="F8" s="66" t="s">
        <v>141</v>
      </c>
      <c r="G8" s="198">
        <v>0.1562376184</v>
      </c>
      <c r="H8" s="198">
        <v>2.9248314999999999E-3</v>
      </c>
      <c r="I8" s="198">
        <v>-2.4900000000000001E-8</v>
      </c>
      <c r="J8" s="198">
        <v>5.4818773101999998</v>
      </c>
      <c r="K8" s="198">
        <v>2.5477443999999999E-3</v>
      </c>
      <c r="L8" s="198">
        <v>-1.7179999999999999E-7</v>
      </c>
    </row>
    <row r="9" spans="1:13" x14ac:dyDescent="0.25">
      <c r="A9" s="5">
        <v>6</v>
      </c>
      <c r="B9" s="5" t="s">
        <v>12</v>
      </c>
      <c r="C9" s="2" t="s">
        <v>17</v>
      </c>
      <c r="D9" s="6" t="s">
        <v>3</v>
      </c>
      <c r="E9" s="6" t="s">
        <v>134</v>
      </c>
      <c r="F9" s="66" t="s">
        <v>141</v>
      </c>
      <c r="G9" s="198">
        <v>0.60464502919999996</v>
      </c>
      <c r="H9" s="198">
        <v>2.0274896000000001E-3</v>
      </c>
      <c r="I9" s="198">
        <v>-1.4699999999999999E-8</v>
      </c>
      <c r="J9" s="198">
        <v>3.0243216331</v>
      </c>
      <c r="K9" s="198">
        <v>1.0350111E-3</v>
      </c>
      <c r="L9" s="198">
        <v>-4.6299999999999998E-8</v>
      </c>
    </row>
    <row r="10" spans="1:13" x14ac:dyDescent="0.25">
      <c r="A10" s="5">
        <v>7</v>
      </c>
      <c r="B10" s="5" t="s">
        <v>17</v>
      </c>
      <c r="C10" s="2" t="s">
        <v>17</v>
      </c>
      <c r="D10" s="6" t="s">
        <v>3</v>
      </c>
      <c r="E10" s="6" t="s">
        <v>140</v>
      </c>
      <c r="F10" s="66" t="s">
        <v>142</v>
      </c>
      <c r="G10" s="198">
        <v>2.3014222652999999E-3</v>
      </c>
      <c r="H10" s="198">
        <v>9.1474587700000006E-5</v>
      </c>
      <c r="I10" s="198">
        <v>-7.6499999999999994E-11</v>
      </c>
      <c r="J10" s="198">
        <v>0.95808699033480005</v>
      </c>
      <c r="K10" s="198">
        <v>2.2102159530000001E-4</v>
      </c>
      <c r="L10" s="198">
        <v>-1.2262E-9</v>
      </c>
    </row>
    <row r="11" spans="1:13" x14ac:dyDescent="0.25">
      <c r="A11" s="5">
        <v>8</v>
      </c>
      <c r="B11" s="5" t="s">
        <v>17</v>
      </c>
      <c r="C11" s="2" t="s">
        <v>12</v>
      </c>
      <c r="D11" s="6" t="s">
        <v>3</v>
      </c>
      <c r="E11" s="6" t="s">
        <v>140</v>
      </c>
      <c r="F11" s="66" t="s">
        <v>142</v>
      </c>
      <c r="G11" s="198">
        <v>5.8767654789000003E-3</v>
      </c>
      <c r="H11" s="198">
        <v>8.4278985399999996E-5</v>
      </c>
      <c r="I11" s="198">
        <v>-2.24E-10</v>
      </c>
      <c r="J11" s="198">
        <v>1.3489000170936001</v>
      </c>
      <c r="K11" s="198">
        <v>7.1387713390000005E-4</v>
      </c>
      <c r="L11" s="198">
        <v>-1.9598600000000001E-8</v>
      </c>
    </row>
    <row r="12" spans="1:13" x14ac:dyDescent="0.25">
      <c r="A12" s="5">
        <v>9</v>
      </c>
      <c r="B12" s="5" t="s">
        <v>12</v>
      </c>
      <c r="C12" s="2" t="s">
        <v>17</v>
      </c>
      <c r="D12" s="6" t="s">
        <v>3</v>
      </c>
      <c r="E12" s="6" t="s">
        <v>140</v>
      </c>
      <c r="F12" s="66" t="s">
        <v>142</v>
      </c>
      <c r="G12" s="198">
        <v>1.6144192679999999E-4</v>
      </c>
      <c r="H12" s="198">
        <v>4.5921764499999998E-5</v>
      </c>
      <c r="I12" s="198">
        <v>3.167E-10</v>
      </c>
      <c r="J12" s="198">
        <v>0.81031146965550005</v>
      </c>
      <c r="K12" s="198">
        <v>1.8948046539999999E-4</v>
      </c>
      <c r="L12" s="198">
        <v>-2.1620999999999998E-9</v>
      </c>
    </row>
    <row r="13" spans="1:13" x14ac:dyDescent="0.25">
      <c r="A13" s="5">
        <v>10</v>
      </c>
      <c r="B13" s="5" t="s">
        <v>17</v>
      </c>
      <c r="C13" s="2" t="s">
        <v>17</v>
      </c>
      <c r="D13" s="6" t="s">
        <v>3</v>
      </c>
      <c r="E13" s="6" t="s">
        <v>134</v>
      </c>
      <c r="F13" s="66" t="s">
        <v>142</v>
      </c>
      <c r="G13" s="198">
        <v>1.2146203849700001E-2</v>
      </c>
      <c r="H13" s="198">
        <v>1.253215914E-4</v>
      </c>
      <c r="I13" s="198">
        <v>-1.1729E-9</v>
      </c>
      <c r="J13" s="198">
        <v>3.6664226893</v>
      </c>
      <c r="K13" s="198">
        <v>1.357455E-3</v>
      </c>
      <c r="L13" s="198">
        <v>-7.7400000000000005E-8</v>
      </c>
    </row>
    <row r="14" spans="1:13" x14ac:dyDescent="0.25">
      <c r="A14" s="5">
        <v>11</v>
      </c>
      <c r="B14" s="5" t="s">
        <v>17</v>
      </c>
      <c r="C14" s="2" t="s">
        <v>12</v>
      </c>
      <c r="D14" s="6" t="s">
        <v>3</v>
      </c>
      <c r="E14" s="6" t="s">
        <v>134</v>
      </c>
      <c r="F14" s="66" t="s">
        <v>142</v>
      </c>
      <c r="G14" s="198">
        <v>6.6635344248000003E-3</v>
      </c>
      <c r="H14" s="198">
        <v>1.247440635E-4</v>
      </c>
      <c r="I14" s="198">
        <v>-1.0620000000000001E-9</v>
      </c>
      <c r="J14" s="198">
        <v>5.4818773101999998</v>
      </c>
      <c r="K14" s="198">
        <v>2.5477443999999999E-3</v>
      </c>
      <c r="L14" s="198">
        <v>-1.7179999999999999E-7</v>
      </c>
    </row>
    <row r="15" spans="1:13" x14ac:dyDescent="0.25">
      <c r="A15" s="5">
        <v>12</v>
      </c>
      <c r="B15" s="5" t="s">
        <v>12</v>
      </c>
      <c r="C15" s="2" t="s">
        <v>17</v>
      </c>
      <c r="D15" s="6" t="s">
        <v>3</v>
      </c>
      <c r="E15" s="6" t="s">
        <v>134</v>
      </c>
      <c r="F15" s="66" t="s">
        <v>142</v>
      </c>
      <c r="G15" s="198">
        <v>2.5788110495399998E-2</v>
      </c>
      <c r="H15" s="198">
        <v>8.64724314E-5</v>
      </c>
      <c r="I15" s="198">
        <v>-6.2700000000000001E-10</v>
      </c>
      <c r="J15" s="198">
        <v>3.0243216331</v>
      </c>
      <c r="K15" s="198">
        <v>1.0350111E-3</v>
      </c>
      <c r="L15" s="198">
        <v>-4.6299999999999998E-8</v>
      </c>
    </row>
    <row r="17" spans="1:12" x14ac:dyDescent="0.25">
      <c r="A17" s="1" t="s">
        <v>126</v>
      </c>
      <c r="B17" s="1"/>
      <c r="C17" s="1"/>
      <c r="G17" s="259" t="s">
        <v>120</v>
      </c>
      <c r="H17" s="260"/>
      <c r="I17" s="260"/>
      <c r="J17" s="260"/>
      <c r="K17" s="260"/>
      <c r="L17" s="261"/>
    </row>
    <row r="18" spans="1:12" x14ac:dyDescent="0.25">
      <c r="G18" s="269" t="s">
        <v>1176</v>
      </c>
      <c r="H18" s="269"/>
      <c r="I18" s="269"/>
      <c r="J18" s="270" t="s">
        <v>124</v>
      </c>
      <c r="K18" s="271"/>
      <c r="L18" s="272"/>
    </row>
    <row r="19" spans="1:12" x14ac:dyDescent="0.25">
      <c r="A19" s="5" t="s">
        <v>129</v>
      </c>
      <c r="B19" s="5" t="s">
        <v>1030</v>
      </c>
      <c r="C19" s="2" t="s">
        <v>146</v>
      </c>
      <c r="D19" s="2" t="s">
        <v>190</v>
      </c>
      <c r="E19" s="5" t="s">
        <v>6</v>
      </c>
      <c r="F19" s="74"/>
      <c r="G19" s="5" t="s">
        <v>116</v>
      </c>
      <c r="H19" s="5" t="s">
        <v>122</v>
      </c>
      <c r="I19" s="5" t="s">
        <v>123</v>
      </c>
      <c r="J19" s="5" t="s">
        <v>116</v>
      </c>
      <c r="K19" s="5" t="s">
        <v>122</v>
      </c>
      <c r="L19" s="5" t="s">
        <v>123</v>
      </c>
    </row>
    <row r="20" spans="1:12" x14ac:dyDescent="0.25">
      <c r="A20" s="5">
        <v>1</v>
      </c>
      <c r="B20" s="5" t="s">
        <v>17</v>
      </c>
      <c r="C20" s="2" t="s">
        <v>134</v>
      </c>
      <c r="D20" s="2" t="s">
        <v>17</v>
      </c>
      <c r="E20" s="76" t="s">
        <v>127</v>
      </c>
      <c r="F20" s="76"/>
      <c r="G20" s="82">
        <v>23.1194767611</v>
      </c>
      <c r="H20" s="82">
        <v>6.1555880999999996E-3</v>
      </c>
      <c r="I20" s="82">
        <v>-6.2760000000000003E-7</v>
      </c>
      <c r="J20" s="82">
        <v>21.198686953599999</v>
      </c>
      <c r="K20" s="82">
        <v>5.6719075000000001E-3</v>
      </c>
      <c r="L20" s="82">
        <v>-4.5919999999999998E-7</v>
      </c>
    </row>
    <row r="21" spans="1:12" x14ac:dyDescent="0.25">
      <c r="A21" s="5">
        <v>2</v>
      </c>
      <c r="B21" s="5" t="s">
        <v>17</v>
      </c>
      <c r="C21" s="2" t="s">
        <v>134</v>
      </c>
      <c r="D21" s="2" t="s">
        <v>12</v>
      </c>
      <c r="E21" s="76" t="s">
        <v>127</v>
      </c>
      <c r="F21" s="76"/>
      <c r="G21" s="82">
        <v>23.024436638299999</v>
      </c>
      <c r="H21" s="82">
        <v>6.0724895999999997E-3</v>
      </c>
      <c r="I21" s="82">
        <v>-5.9729999999999998E-7</v>
      </c>
      <c r="J21" s="82">
        <v>40.880967509000001</v>
      </c>
      <c r="K21" s="82">
        <v>6.3161909999999996E-3</v>
      </c>
      <c r="L21" s="82">
        <v>-4.5200000000000001E-8</v>
      </c>
    </row>
    <row r="22" spans="1:12" x14ac:dyDescent="0.25">
      <c r="A22" s="5">
        <v>3</v>
      </c>
      <c r="B22" s="5" t="s">
        <v>12</v>
      </c>
      <c r="C22" s="2" t="s">
        <v>134</v>
      </c>
      <c r="D22" s="2" t="s">
        <v>17</v>
      </c>
      <c r="E22" s="76" t="s">
        <v>127</v>
      </c>
      <c r="F22" s="76"/>
      <c r="G22" s="82">
        <v>20.815961411100002</v>
      </c>
      <c r="H22" s="82">
        <v>5.4446933000000001E-3</v>
      </c>
      <c r="I22" s="82">
        <v>-4.6400000000000003E-7</v>
      </c>
      <c r="J22" s="82">
        <v>13.167873266799999</v>
      </c>
      <c r="K22" s="82">
        <v>3.6668022999999999E-3</v>
      </c>
      <c r="L22" s="82">
        <v>-3.6650000000000001E-7</v>
      </c>
    </row>
    <row r="23" spans="1:12" x14ac:dyDescent="0.25">
      <c r="A23" s="5">
        <v>4</v>
      </c>
      <c r="B23" s="5" t="s">
        <v>17</v>
      </c>
      <c r="C23" s="6" t="s">
        <v>140</v>
      </c>
      <c r="D23" s="2" t="s">
        <v>17</v>
      </c>
      <c r="E23" s="76" t="s">
        <v>127</v>
      </c>
      <c r="F23" s="76"/>
      <c r="G23" s="82">
        <f>G20</f>
        <v>23.1194767611</v>
      </c>
      <c r="H23" s="82">
        <f t="shared" ref="H23:L23" si="0">H20</f>
        <v>6.1555880999999996E-3</v>
      </c>
      <c r="I23" s="82">
        <f t="shared" si="0"/>
        <v>-6.2760000000000003E-7</v>
      </c>
      <c r="J23" s="82">
        <f t="shared" si="0"/>
        <v>21.198686953599999</v>
      </c>
      <c r="K23" s="82">
        <f t="shared" si="0"/>
        <v>5.6719075000000001E-3</v>
      </c>
      <c r="L23" s="82">
        <f t="shared" si="0"/>
        <v>-4.5919999999999998E-7</v>
      </c>
    </row>
    <row r="24" spans="1:12" x14ac:dyDescent="0.25">
      <c r="A24" s="5">
        <v>5</v>
      </c>
      <c r="B24" s="5" t="s">
        <v>17</v>
      </c>
      <c r="C24" s="6" t="s">
        <v>140</v>
      </c>
      <c r="D24" s="2" t="s">
        <v>12</v>
      </c>
      <c r="E24" s="76" t="s">
        <v>127</v>
      </c>
      <c r="F24" s="76"/>
      <c r="G24" s="82">
        <f t="shared" ref="G24:L24" si="1">G21</f>
        <v>23.024436638299999</v>
      </c>
      <c r="H24" s="82">
        <f t="shared" si="1"/>
        <v>6.0724895999999997E-3</v>
      </c>
      <c r="I24" s="82">
        <f t="shared" si="1"/>
        <v>-5.9729999999999998E-7</v>
      </c>
      <c r="J24" s="82">
        <f t="shared" si="1"/>
        <v>40.880967509000001</v>
      </c>
      <c r="K24" s="82">
        <f t="shared" si="1"/>
        <v>6.3161909999999996E-3</v>
      </c>
      <c r="L24" s="82">
        <f t="shared" si="1"/>
        <v>-4.5200000000000001E-8</v>
      </c>
    </row>
    <row r="25" spans="1:12" x14ac:dyDescent="0.25">
      <c r="A25" s="5">
        <v>6</v>
      </c>
      <c r="B25" s="5" t="s">
        <v>12</v>
      </c>
      <c r="C25" s="6" t="s">
        <v>140</v>
      </c>
      <c r="D25" s="2" t="s">
        <v>17</v>
      </c>
      <c r="E25" s="76" t="s">
        <v>127</v>
      </c>
      <c r="F25" s="76"/>
      <c r="G25" s="82">
        <f t="shared" ref="G25:L25" si="2">G22</f>
        <v>20.815961411100002</v>
      </c>
      <c r="H25" s="82">
        <f t="shared" si="2"/>
        <v>5.4446933000000001E-3</v>
      </c>
      <c r="I25" s="82">
        <f t="shared" si="2"/>
        <v>-4.6400000000000003E-7</v>
      </c>
      <c r="J25" s="82">
        <f t="shared" si="2"/>
        <v>13.167873266799999</v>
      </c>
      <c r="K25" s="82">
        <f t="shared" si="2"/>
        <v>3.6668022999999999E-3</v>
      </c>
      <c r="L25" s="82">
        <f t="shared" si="2"/>
        <v>-3.6650000000000001E-7</v>
      </c>
    </row>
    <row r="27" spans="1:12" x14ac:dyDescent="0.25">
      <c r="A27" s="1" t="s">
        <v>128</v>
      </c>
      <c r="B27" s="1"/>
      <c r="C27" s="1"/>
      <c r="G27" s="226" t="s">
        <v>120</v>
      </c>
      <c r="H27" s="226"/>
      <c r="I27" s="226"/>
    </row>
    <row r="28" spans="1:12" x14ac:dyDescent="0.25">
      <c r="G28" s="226" t="s">
        <v>131</v>
      </c>
      <c r="H28" s="226"/>
      <c r="I28" s="226"/>
      <c r="J28" s="264"/>
      <c r="K28" s="264"/>
      <c r="L28" s="264"/>
    </row>
    <row r="29" spans="1:12" x14ac:dyDescent="0.25">
      <c r="A29" s="5" t="s">
        <v>129</v>
      </c>
      <c r="B29" s="5" t="s">
        <v>1030</v>
      </c>
      <c r="C29" s="2" t="s">
        <v>190</v>
      </c>
      <c r="D29" s="5" t="s">
        <v>3</v>
      </c>
      <c r="E29" s="5" t="s">
        <v>146</v>
      </c>
      <c r="F29" s="5" t="s">
        <v>6</v>
      </c>
      <c r="G29" s="5" t="s">
        <v>116</v>
      </c>
      <c r="H29" s="5" t="s">
        <v>122</v>
      </c>
      <c r="I29" s="5" t="s">
        <v>123</v>
      </c>
      <c r="J29" s="11"/>
      <c r="K29" s="11"/>
      <c r="L29" s="11"/>
    </row>
    <row r="30" spans="1:12" x14ac:dyDescent="0.25">
      <c r="A30" s="5">
        <v>1</v>
      </c>
      <c r="B30" s="5" t="s">
        <v>17</v>
      </c>
      <c r="C30" s="78" t="s">
        <v>127</v>
      </c>
      <c r="D30" s="6" t="s">
        <v>3</v>
      </c>
      <c r="E30" s="6" t="s">
        <v>134</v>
      </c>
      <c r="F30" s="66" t="s">
        <v>141</v>
      </c>
      <c r="G30" s="82">
        <v>50.110886272099997</v>
      </c>
      <c r="H30" s="82">
        <v>-1.9976371000000001E-3</v>
      </c>
      <c r="I30" s="82">
        <v>6.9830000000000005E-7</v>
      </c>
      <c r="J30" s="77"/>
      <c r="K30" s="77"/>
      <c r="L30" s="77"/>
    </row>
    <row r="31" spans="1:12" x14ac:dyDescent="0.25">
      <c r="A31" s="5">
        <v>2</v>
      </c>
      <c r="B31" s="5" t="s">
        <v>12</v>
      </c>
      <c r="C31" s="78" t="s">
        <v>127</v>
      </c>
      <c r="D31" s="6" t="s">
        <v>3</v>
      </c>
      <c r="E31" s="6" t="s">
        <v>134</v>
      </c>
      <c r="F31" s="66" t="s">
        <v>141</v>
      </c>
      <c r="G31" s="82">
        <v>48.258277577000001</v>
      </c>
      <c r="H31" s="82">
        <v>-2.3833177000000001E-3</v>
      </c>
      <c r="I31" s="82">
        <v>6.7479999999999998E-7</v>
      </c>
      <c r="J31" s="77"/>
      <c r="K31" s="77"/>
      <c r="L31" s="77"/>
    </row>
    <row r="32" spans="1:12" x14ac:dyDescent="0.25">
      <c r="A32" s="5">
        <v>3</v>
      </c>
      <c r="B32" s="5" t="s">
        <v>17</v>
      </c>
      <c r="C32" s="78" t="s">
        <v>127</v>
      </c>
      <c r="D32" s="6" t="s">
        <v>3</v>
      </c>
      <c r="E32" s="6" t="s">
        <v>134</v>
      </c>
      <c r="F32" s="66" t="s">
        <v>142</v>
      </c>
      <c r="G32" s="82">
        <v>50.613398730999997</v>
      </c>
      <c r="H32" s="82">
        <v>-1.4570653999999999E-3</v>
      </c>
      <c r="I32" s="82">
        <v>7.7440000000000005E-7</v>
      </c>
    </row>
    <row r="33" spans="1:9" x14ac:dyDescent="0.25">
      <c r="A33" s="5">
        <v>4</v>
      </c>
      <c r="B33" s="5" t="s">
        <v>12</v>
      </c>
      <c r="C33" s="78" t="s">
        <v>127</v>
      </c>
      <c r="D33" s="6" t="s">
        <v>3</v>
      </c>
      <c r="E33" s="6" t="s">
        <v>134</v>
      </c>
      <c r="F33" s="66" t="s">
        <v>142</v>
      </c>
      <c r="G33" s="82">
        <v>48.767029922600003</v>
      </c>
      <c r="H33" s="82">
        <v>-1.9935171999999998E-3</v>
      </c>
      <c r="I33" s="82">
        <v>7.5089999999999998E-7</v>
      </c>
    </row>
    <row r="34" spans="1:9" x14ac:dyDescent="0.25">
      <c r="A34" s="5">
        <v>5</v>
      </c>
      <c r="B34" s="5" t="s">
        <v>17</v>
      </c>
      <c r="C34" s="78" t="s">
        <v>127</v>
      </c>
      <c r="D34" s="6" t="s">
        <v>3</v>
      </c>
      <c r="E34" s="6" t="s">
        <v>140</v>
      </c>
      <c r="F34" s="66" t="s">
        <v>141</v>
      </c>
      <c r="G34" s="82">
        <v>34.702793614500003</v>
      </c>
      <c r="H34" s="82">
        <v>3.9534690000000001E-4</v>
      </c>
      <c r="I34" s="82">
        <v>5.5509999999999999E-7</v>
      </c>
    </row>
    <row r="35" spans="1:9" x14ac:dyDescent="0.25">
      <c r="A35" s="5">
        <v>6</v>
      </c>
      <c r="B35" s="5" t="s">
        <v>12</v>
      </c>
      <c r="C35" s="78" t="s">
        <v>127</v>
      </c>
      <c r="D35" s="6" t="s">
        <v>3</v>
      </c>
      <c r="E35" s="6" t="s">
        <v>140</v>
      </c>
      <c r="F35" s="66" t="s">
        <v>141</v>
      </c>
      <c r="G35" s="82">
        <v>33.311866933399997</v>
      </c>
      <c r="H35" s="82">
        <v>3.5673049999999999E-4</v>
      </c>
      <c r="I35" s="82">
        <v>4.9380000000000004E-7</v>
      </c>
    </row>
    <row r="36" spans="1:9" x14ac:dyDescent="0.25">
      <c r="A36" s="5">
        <v>7</v>
      </c>
      <c r="B36" s="5" t="s">
        <v>17</v>
      </c>
      <c r="C36" s="78" t="s">
        <v>127</v>
      </c>
      <c r="D36" s="6" t="s">
        <v>3</v>
      </c>
      <c r="E36" s="6" t="s">
        <v>140</v>
      </c>
      <c r="F36" s="66" t="s">
        <v>142</v>
      </c>
      <c r="G36" s="82">
        <v>36.044509701800003</v>
      </c>
      <c r="H36" s="82">
        <v>1.8573210000000001E-4</v>
      </c>
      <c r="I36" s="82">
        <v>6.9439999999999997E-7</v>
      </c>
    </row>
    <row r="37" spans="1:9" x14ac:dyDescent="0.25">
      <c r="A37" s="5">
        <v>8</v>
      </c>
      <c r="B37" s="5" t="s">
        <v>12</v>
      </c>
      <c r="C37" s="78" t="s">
        <v>127</v>
      </c>
      <c r="D37" s="6" t="s">
        <v>3</v>
      </c>
      <c r="E37" s="6" t="s">
        <v>140</v>
      </c>
      <c r="F37" s="66" t="s">
        <v>142</v>
      </c>
      <c r="G37" s="82">
        <v>35.715924788999999</v>
      </c>
      <c r="H37" s="82">
        <v>-3.2934510000000002E-4</v>
      </c>
      <c r="I37" s="82">
        <v>6.5580000000000004E-7</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496D-9EE8-4A81-9339-702784A67876}">
  <sheetPr codeName="Sheet12"/>
  <dimension ref="A1:M41"/>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5.42578125" bestFit="1" customWidth="1"/>
    <col min="6" max="6" width="14.7109375" bestFit="1" customWidth="1"/>
    <col min="7" max="7" width="15.7109375" customWidth="1"/>
    <col min="8" max="8" width="17" customWidth="1"/>
    <col min="9" max="9" width="17.5703125" customWidth="1"/>
    <col min="10" max="11" width="16.28515625" customWidth="1"/>
    <col min="12" max="12" width="16.7109375" customWidth="1"/>
    <col min="13" max="13" width="54.7109375" customWidth="1"/>
  </cols>
  <sheetData>
    <row r="1" spans="1:13" x14ac:dyDescent="0.25">
      <c r="A1" s="1" t="s">
        <v>125</v>
      </c>
      <c r="B1" s="1"/>
      <c r="G1" s="226" t="s">
        <v>120</v>
      </c>
      <c r="H1" s="226"/>
      <c r="I1" s="226"/>
      <c r="J1" s="226"/>
      <c r="K1" s="226"/>
      <c r="L1" s="226"/>
    </row>
    <row r="2" spans="1:13" x14ac:dyDescent="0.25">
      <c r="G2" s="226" t="s">
        <v>121</v>
      </c>
      <c r="H2" s="226"/>
      <c r="I2" s="226"/>
      <c r="J2" s="226" t="s">
        <v>124</v>
      </c>
      <c r="K2" s="226"/>
      <c r="L2" s="226"/>
      <c r="M2" t="s">
        <v>145</v>
      </c>
    </row>
    <row r="3" spans="1:13" x14ac:dyDescent="0.25">
      <c r="A3" s="5" t="s">
        <v>129</v>
      </c>
      <c r="B3" s="5" t="s">
        <v>1030</v>
      </c>
      <c r="C3" s="2" t="s">
        <v>190</v>
      </c>
      <c r="D3" s="5" t="s">
        <v>3</v>
      </c>
      <c r="E3" s="5" t="s">
        <v>146</v>
      </c>
      <c r="F3" s="74" t="s">
        <v>6</v>
      </c>
      <c r="G3" s="5" t="s">
        <v>116</v>
      </c>
      <c r="H3" s="5" t="s">
        <v>122</v>
      </c>
      <c r="I3" s="5" t="s">
        <v>123</v>
      </c>
      <c r="J3" s="5" t="s">
        <v>116</v>
      </c>
      <c r="K3" s="5" t="s">
        <v>122</v>
      </c>
      <c r="L3" s="5" t="s">
        <v>123</v>
      </c>
    </row>
    <row r="4" spans="1:13" x14ac:dyDescent="0.25">
      <c r="A4" s="5">
        <v>1</v>
      </c>
      <c r="B4" s="5" t="s">
        <v>17</v>
      </c>
      <c r="C4" s="2" t="s">
        <v>17</v>
      </c>
      <c r="D4" s="6" t="s">
        <v>3</v>
      </c>
      <c r="E4" s="6" t="s">
        <v>140</v>
      </c>
      <c r="F4" s="66" t="s">
        <v>141</v>
      </c>
      <c r="G4" s="82">
        <v>7.6669884199999996E-2</v>
      </c>
      <c r="H4" s="82">
        <v>2.3295316999999999E-3</v>
      </c>
      <c r="I4" s="82">
        <v>-1.3999999999999999E-9</v>
      </c>
      <c r="J4" s="82">
        <v>1.0341074052999999</v>
      </c>
      <c r="K4" s="82">
        <v>2.2721929999999999E-4</v>
      </c>
      <c r="L4" s="82">
        <v>-6E-10</v>
      </c>
    </row>
    <row r="5" spans="1:13" x14ac:dyDescent="0.25">
      <c r="A5" s="5">
        <v>2</v>
      </c>
      <c r="B5" s="5" t="s">
        <v>17</v>
      </c>
      <c r="C5" s="2" t="s">
        <v>12</v>
      </c>
      <c r="D5" s="6" t="s">
        <v>3</v>
      </c>
      <c r="E5" s="6" t="s">
        <v>140</v>
      </c>
      <c r="F5" s="66" t="s">
        <v>141</v>
      </c>
      <c r="G5" s="82">
        <v>0.16046315926659999</v>
      </c>
      <c r="H5" s="82">
        <v>2.1482851306000002E-3</v>
      </c>
      <c r="I5" s="82">
        <v>-5.3467000000000002E-9</v>
      </c>
      <c r="J5" s="82">
        <v>1.4756215677</v>
      </c>
      <c r="K5" s="82">
        <v>8.6337899999999995E-4</v>
      </c>
      <c r="L5" s="82">
        <v>-2.2300000000000001E-8</v>
      </c>
      <c r="M5" t="s">
        <v>3</v>
      </c>
    </row>
    <row r="6" spans="1:13" x14ac:dyDescent="0.25">
      <c r="A6" s="5">
        <v>3</v>
      </c>
      <c r="B6" s="5" t="s">
        <v>12</v>
      </c>
      <c r="C6" s="2" t="s">
        <v>17</v>
      </c>
      <c r="D6" s="6" t="s">
        <v>3</v>
      </c>
      <c r="E6" s="6" t="s">
        <v>140</v>
      </c>
      <c r="F6" s="66" t="s">
        <v>141</v>
      </c>
      <c r="G6" s="82">
        <v>1.36882362E-2</v>
      </c>
      <c r="H6" s="82">
        <v>1.1410127000000001E-3</v>
      </c>
      <c r="I6" s="82">
        <v>1.15E-8</v>
      </c>
      <c r="J6" s="82">
        <v>0.87461680090000005</v>
      </c>
      <c r="K6" s="82">
        <v>1.9487150000000001E-4</v>
      </c>
      <c r="L6" s="82">
        <v>-1.6999999999999999E-9</v>
      </c>
    </row>
    <row r="7" spans="1:13" x14ac:dyDescent="0.25">
      <c r="A7" s="5">
        <v>4</v>
      </c>
      <c r="B7" s="5" t="s">
        <v>17</v>
      </c>
      <c r="C7" s="2" t="s">
        <v>17</v>
      </c>
      <c r="D7" s="6" t="s">
        <v>3</v>
      </c>
      <c r="E7" s="6" t="s">
        <v>134</v>
      </c>
      <c r="F7" s="66" t="s">
        <v>141</v>
      </c>
      <c r="G7" s="82">
        <v>0.30646261353929999</v>
      </c>
      <c r="H7" s="82">
        <v>3.2211710615999999E-3</v>
      </c>
      <c r="I7" s="82">
        <v>-2.0506300000000001E-8</v>
      </c>
      <c r="J7" s="82">
        <v>3.7648216858132999</v>
      </c>
      <c r="K7" s="82">
        <v>1.5380200462E-3</v>
      </c>
      <c r="L7" s="82">
        <v>-9.9239900000000002E-8</v>
      </c>
    </row>
    <row r="8" spans="1:13" x14ac:dyDescent="0.25">
      <c r="A8" s="5">
        <v>5</v>
      </c>
      <c r="B8" s="5" t="s">
        <v>17</v>
      </c>
      <c r="C8" s="2" t="s">
        <v>12</v>
      </c>
      <c r="D8" s="6" t="s">
        <v>3</v>
      </c>
      <c r="E8" s="6" t="s">
        <v>134</v>
      </c>
      <c r="F8" s="66" t="s">
        <v>141</v>
      </c>
      <c r="G8" s="82">
        <v>0.26911762446659998</v>
      </c>
      <c r="H8" s="82">
        <v>3.0125456597999999E-3</v>
      </c>
      <c r="I8" s="82">
        <v>-2.7017400000000001E-8</v>
      </c>
      <c r="J8" s="82">
        <v>6.0997141443484004</v>
      </c>
      <c r="K8" s="82">
        <v>2.9145119755000001E-3</v>
      </c>
      <c r="L8" s="82">
        <v>-2.017773E-7</v>
      </c>
    </row>
    <row r="9" spans="1:13" x14ac:dyDescent="0.25">
      <c r="A9" s="5">
        <v>6</v>
      </c>
      <c r="B9" s="5" t="s">
        <v>12</v>
      </c>
      <c r="C9" s="2" t="s">
        <v>17</v>
      </c>
      <c r="D9" s="6" t="s">
        <v>3</v>
      </c>
      <c r="E9" s="6" t="s">
        <v>134</v>
      </c>
      <c r="F9" s="66" t="s">
        <v>141</v>
      </c>
      <c r="G9" s="82">
        <v>0.60649267396280004</v>
      </c>
      <c r="H9" s="82">
        <v>2.1689090868999999E-3</v>
      </c>
      <c r="I9" s="82">
        <v>-4.0728000000000002E-9</v>
      </c>
      <c r="J9" s="82">
        <v>3.1179988919218999</v>
      </c>
      <c r="K9" s="82">
        <v>1.1288541783999999E-3</v>
      </c>
      <c r="L9" s="82">
        <v>-3.6959199999999998E-8</v>
      </c>
    </row>
    <row r="10" spans="1:13" x14ac:dyDescent="0.25">
      <c r="A10" s="5">
        <v>7</v>
      </c>
      <c r="B10" s="5" t="s">
        <v>17</v>
      </c>
      <c r="C10" s="2" t="s">
        <v>17</v>
      </c>
      <c r="D10" s="6" t="s">
        <v>3</v>
      </c>
      <c r="E10" s="6" t="s">
        <v>140</v>
      </c>
      <c r="F10" s="66" t="s">
        <v>142</v>
      </c>
      <c r="G10" s="82">
        <v>3.2699705610999999E-3</v>
      </c>
      <c r="H10" s="82">
        <v>9.9354527000000006E-5</v>
      </c>
      <c r="I10" s="82">
        <v>-5.9699999999999998E-11</v>
      </c>
      <c r="J10" s="82">
        <v>1.0341074052999999</v>
      </c>
      <c r="K10" s="82">
        <v>2.2721929999999999E-4</v>
      </c>
      <c r="L10" s="82">
        <v>-6E-10</v>
      </c>
    </row>
    <row r="11" spans="1:13" x14ac:dyDescent="0.25">
      <c r="A11" s="5">
        <v>8</v>
      </c>
      <c r="B11" s="5" t="s">
        <v>17</v>
      </c>
      <c r="C11" s="2" t="s">
        <v>12</v>
      </c>
      <c r="D11" s="6" t="s">
        <v>3</v>
      </c>
      <c r="E11" s="6" t="s">
        <v>140</v>
      </c>
      <c r="F11" s="66" t="s">
        <v>142</v>
      </c>
      <c r="G11" s="82">
        <v>6.8437537426999998E-3</v>
      </c>
      <c r="H11" s="82">
        <v>9.16243608E-5</v>
      </c>
      <c r="I11" s="82">
        <v>-2.2799999999999999E-10</v>
      </c>
      <c r="J11" s="82">
        <v>1.4756215677</v>
      </c>
      <c r="K11" s="82">
        <v>8.6337899999999995E-4</v>
      </c>
      <c r="L11" s="82">
        <v>-2.2300000000000001E-8</v>
      </c>
    </row>
    <row r="12" spans="1:13" x14ac:dyDescent="0.25">
      <c r="A12" s="5">
        <v>9</v>
      </c>
      <c r="B12" s="5" t="s">
        <v>12</v>
      </c>
      <c r="C12" s="2" t="s">
        <v>17</v>
      </c>
      <c r="D12" s="6" t="s">
        <v>3</v>
      </c>
      <c r="E12" s="6" t="s">
        <v>140</v>
      </c>
      <c r="F12" s="66" t="s">
        <v>142</v>
      </c>
      <c r="G12" s="82">
        <v>5.8380327390000005E-4</v>
      </c>
      <c r="H12" s="82">
        <v>4.8664191699999997E-5</v>
      </c>
      <c r="I12" s="82">
        <v>4.9050000000000001E-10</v>
      </c>
      <c r="J12" s="82">
        <v>0.87461680090000005</v>
      </c>
      <c r="K12" s="82">
        <v>1.9487150000000001E-4</v>
      </c>
      <c r="L12" s="82">
        <v>-1.6999999999999999E-9</v>
      </c>
    </row>
    <row r="13" spans="1:13" x14ac:dyDescent="0.25">
      <c r="A13" s="5">
        <v>10</v>
      </c>
      <c r="B13" s="5" t="s">
        <v>17</v>
      </c>
      <c r="C13" s="2" t="s">
        <v>17</v>
      </c>
      <c r="D13" s="6" t="s">
        <v>3</v>
      </c>
      <c r="E13" s="6" t="s">
        <v>134</v>
      </c>
      <c r="F13" s="66" t="s">
        <v>142</v>
      </c>
      <c r="G13" s="82">
        <v>1.30706304674E-2</v>
      </c>
      <c r="H13" s="82">
        <v>1.373829458E-4</v>
      </c>
      <c r="I13" s="82">
        <v>-8.7459999999999996E-10</v>
      </c>
      <c r="J13" s="82">
        <v>3.7648216858132999</v>
      </c>
      <c r="K13" s="82">
        <v>1.5380200462E-3</v>
      </c>
      <c r="L13" s="82">
        <v>-9.9239900000000002E-8</v>
      </c>
    </row>
    <row r="14" spans="1:13" x14ac:dyDescent="0.25">
      <c r="A14" s="5">
        <v>11</v>
      </c>
      <c r="B14" s="5" t="s">
        <v>17</v>
      </c>
      <c r="C14" s="2" t="s">
        <v>12</v>
      </c>
      <c r="D14" s="6" t="s">
        <v>3</v>
      </c>
      <c r="E14" s="6" t="s">
        <v>134</v>
      </c>
      <c r="F14" s="66" t="s">
        <v>142</v>
      </c>
      <c r="G14" s="82">
        <v>1.1477866683499999E-2</v>
      </c>
      <c r="H14" s="82">
        <v>1.2848507239999999E-4</v>
      </c>
      <c r="I14" s="82">
        <v>-1.1523E-9</v>
      </c>
      <c r="J14" s="82">
        <v>6.0997141443484004</v>
      </c>
      <c r="K14" s="82">
        <v>2.9145119755000001E-3</v>
      </c>
      <c r="L14" s="82">
        <v>-2.017773E-7</v>
      </c>
    </row>
    <row r="15" spans="1:13" x14ac:dyDescent="0.25">
      <c r="A15" s="5">
        <v>12</v>
      </c>
      <c r="B15" s="5" t="s">
        <v>12</v>
      </c>
      <c r="C15" s="2" t="s">
        <v>17</v>
      </c>
      <c r="D15" s="6" t="s">
        <v>3</v>
      </c>
      <c r="E15" s="6" t="s">
        <v>134</v>
      </c>
      <c r="F15" s="66" t="s">
        <v>142</v>
      </c>
      <c r="G15" s="82">
        <v>3.01672389852E-2</v>
      </c>
      <c r="H15" s="82">
        <v>9.1131527900000005E-5</v>
      </c>
      <c r="I15" s="82">
        <v>-8.2199999999999998E-11</v>
      </c>
      <c r="J15" s="82">
        <v>3.1179988919218999</v>
      </c>
      <c r="K15" s="82">
        <v>1.1288541783999999E-3</v>
      </c>
      <c r="L15" s="82">
        <v>-3.6959199999999998E-8</v>
      </c>
    </row>
    <row r="17" spans="1:12" x14ac:dyDescent="0.25">
      <c r="A17" s="1" t="s">
        <v>126</v>
      </c>
      <c r="B17" s="1"/>
      <c r="C17" s="1"/>
      <c r="G17" s="259" t="s">
        <v>120</v>
      </c>
      <c r="H17" s="260"/>
      <c r="I17" s="260"/>
      <c r="J17" s="260"/>
      <c r="K17" s="260"/>
      <c r="L17" s="261"/>
    </row>
    <row r="18" spans="1:12" x14ac:dyDescent="0.25">
      <c r="G18" s="269" t="s">
        <v>1176</v>
      </c>
      <c r="H18" s="269"/>
      <c r="I18" s="269"/>
      <c r="J18" s="270" t="s">
        <v>124</v>
      </c>
      <c r="K18" s="271"/>
      <c r="L18" s="272"/>
    </row>
    <row r="19" spans="1:12" x14ac:dyDescent="0.25">
      <c r="A19" s="5" t="s">
        <v>129</v>
      </c>
      <c r="B19" s="5" t="s">
        <v>1030</v>
      </c>
      <c r="C19" s="2" t="s">
        <v>146</v>
      </c>
      <c r="D19" s="2" t="s">
        <v>190</v>
      </c>
      <c r="E19" s="5" t="s">
        <v>6</v>
      </c>
      <c r="F19" s="74"/>
      <c r="G19" s="5" t="s">
        <v>116</v>
      </c>
      <c r="H19" s="5" t="s">
        <v>122</v>
      </c>
      <c r="I19" s="5" t="s">
        <v>123</v>
      </c>
      <c r="J19" s="5" t="s">
        <v>116</v>
      </c>
      <c r="K19" s="5" t="s">
        <v>122</v>
      </c>
      <c r="L19" s="5" t="s">
        <v>123</v>
      </c>
    </row>
    <row r="20" spans="1:12" x14ac:dyDescent="0.25">
      <c r="A20" s="5">
        <v>1</v>
      </c>
      <c r="B20" s="5" t="s">
        <v>17</v>
      </c>
      <c r="C20" s="2" t="s">
        <v>134</v>
      </c>
      <c r="D20" s="2" t="s">
        <v>17</v>
      </c>
      <c r="E20" s="76" t="s">
        <v>127</v>
      </c>
      <c r="F20" s="76"/>
      <c r="G20" s="58">
        <v>14.0662895812</v>
      </c>
      <c r="H20" s="58">
        <v>5.1478282999999998E-3</v>
      </c>
      <c r="I20" s="82">
        <v>-5.3170000000000003E-7</v>
      </c>
      <c r="J20" s="58">
        <v>18.6274347865</v>
      </c>
      <c r="K20" s="58">
        <v>6.2097291999999998E-3</v>
      </c>
      <c r="L20" s="82">
        <v>-6.3519999999999997E-7</v>
      </c>
    </row>
    <row r="21" spans="1:12" x14ac:dyDescent="0.25">
      <c r="A21" s="5">
        <v>2</v>
      </c>
      <c r="B21" s="5" t="s">
        <v>17</v>
      </c>
      <c r="C21" s="2" t="s">
        <v>134</v>
      </c>
      <c r="D21" s="2" t="s">
        <v>12</v>
      </c>
      <c r="E21" s="76" t="s">
        <v>127</v>
      </c>
      <c r="F21" s="76"/>
      <c r="G21" s="58">
        <v>13.258993803499999</v>
      </c>
      <c r="H21" s="58">
        <v>5.8206205E-3</v>
      </c>
      <c r="I21" s="82">
        <v>-6.0289999999999998E-7</v>
      </c>
      <c r="J21" s="58">
        <v>37.785747913000002</v>
      </c>
      <c r="K21" s="58">
        <v>7.8383089999999999E-3</v>
      </c>
      <c r="L21" s="82">
        <v>-6.158E-7</v>
      </c>
    </row>
    <row r="22" spans="1:12" x14ac:dyDescent="0.25">
      <c r="A22" s="5">
        <v>3</v>
      </c>
      <c r="B22" s="5" t="s">
        <v>12</v>
      </c>
      <c r="C22" s="2" t="s">
        <v>134</v>
      </c>
      <c r="D22" s="2" t="s">
        <v>17</v>
      </c>
      <c r="E22" s="76" t="s">
        <v>127</v>
      </c>
      <c r="F22" s="76"/>
      <c r="G22" s="58">
        <v>12.3843002573</v>
      </c>
      <c r="H22" s="58">
        <v>4.9067438000000001E-3</v>
      </c>
      <c r="I22" s="82">
        <v>-4.8999999999999997E-7</v>
      </c>
      <c r="J22" s="58">
        <v>12.550751120599999</v>
      </c>
      <c r="K22" s="58">
        <v>3.0734718000000002E-3</v>
      </c>
      <c r="L22" s="82">
        <v>-2.4839999999999997E-7</v>
      </c>
    </row>
    <row r="23" spans="1:12" x14ac:dyDescent="0.25">
      <c r="A23" s="5">
        <v>4</v>
      </c>
      <c r="B23" s="5" t="s">
        <v>17</v>
      </c>
      <c r="C23" s="6" t="s">
        <v>140</v>
      </c>
      <c r="D23" s="2" t="s">
        <v>17</v>
      </c>
      <c r="E23" s="76" t="s">
        <v>127</v>
      </c>
      <c r="F23" s="76"/>
      <c r="G23" s="82">
        <f>G20</f>
        <v>14.0662895812</v>
      </c>
      <c r="H23" s="82">
        <f t="shared" ref="H23:L23" si="0">H20</f>
        <v>5.1478282999999998E-3</v>
      </c>
      <c r="I23" s="82">
        <f t="shared" si="0"/>
        <v>-5.3170000000000003E-7</v>
      </c>
      <c r="J23" s="82">
        <f t="shared" si="0"/>
        <v>18.6274347865</v>
      </c>
      <c r="K23" s="82">
        <f t="shared" si="0"/>
        <v>6.2097291999999998E-3</v>
      </c>
      <c r="L23" s="82">
        <f t="shared" si="0"/>
        <v>-6.3519999999999997E-7</v>
      </c>
    </row>
    <row r="24" spans="1:12" x14ac:dyDescent="0.25">
      <c r="A24" s="5">
        <v>5</v>
      </c>
      <c r="B24" s="5" t="s">
        <v>17</v>
      </c>
      <c r="C24" s="6" t="s">
        <v>140</v>
      </c>
      <c r="D24" s="2" t="s">
        <v>12</v>
      </c>
      <c r="E24" s="76" t="s">
        <v>127</v>
      </c>
      <c r="F24" s="76"/>
      <c r="G24" s="82">
        <f t="shared" ref="G24:L24" si="1">G21</f>
        <v>13.258993803499999</v>
      </c>
      <c r="H24" s="82">
        <f t="shared" si="1"/>
        <v>5.8206205E-3</v>
      </c>
      <c r="I24" s="82">
        <f t="shared" si="1"/>
        <v>-6.0289999999999998E-7</v>
      </c>
      <c r="J24" s="82">
        <f t="shared" si="1"/>
        <v>37.785747913000002</v>
      </c>
      <c r="K24" s="82">
        <f t="shared" si="1"/>
        <v>7.8383089999999999E-3</v>
      </c>
      <c r="L24" s="82">
        <f t="shared" si="1"/>
        <v>-6.158E-7</v>
      </c>
    </row>
    <row r="25" spans="1:12" x14ac:dyDescent="0.25">
      <c r="A25" s="5">
        <v>6</v>
      </c>
      <c r="B25" s="5" t="s">
        <v>12</v>
      </c>
      <c r="C25" s="6" t="s">
        <v>140</v>
      </c>
      <c r="D25" s="2" t="s">
        <v>17</v>
      </c>
      <c r="E25" s="76" t="s">
        <v>127</v>
      </c>
      <c r="F25" s="76"/>
      <c r="G25" s="82">
        <f t="shared" ref="G25:L25" si="2">G22</f>
        <v>12.3843002573</v>
      </c>
      <c r="H25" s="82">
        <f t="shared" si="2"/>
        <v>4.9067438000000001E-3</v>
      </c>
      <c r="I25" s="82">
        <f t="shared" si="2"/>
        <v>-4.8999999999999997E-7</v>
      </c>
      <c r="J25" s="82">
        <f t="shared" si="2"/>
        <v>12.550751120599999</v>
      </c>
      <c r="K25" s="82">
        <f t="shared" si="2"/>
        <v>3.0734718000000002E-3</v>
      </c>
      <c r="L25" s="82">
        <f t="shared" si="2"/>
        <v>-2.4839999999999997E-7</v>
      </c>
    </row>
    <row r="27" spans="1:12" x14ac:dyDescent="0.25">
      <c r="A27" s="1" t="s">
        <v>128</v>
      </c>
      <c r="B27" s="1"/>
      <c r="C27" s="1"/>
      <c r="G27" s="226" t="s">
        <v>120</v>
      </c>
      <c r="H27" s="226"/>
      <c r="I27" s="226"/>
    </row>
    <row r="28" spans="1:12" x14ac:dyDescent="0.25">
      <c r="G28" s="226" t="s">
        <v>131</v>
      </c>
      <c r="H28" s="226"/>
      <c r="I28" s="226"/>
      <c r="J28" s="264"/>
      <c r="K28" s="264"/>
      <c r="L28" s="264"/>
    </row>
    <row r="29" spans="1:12" x14ac:dyDescent="0.25">
      <c r="A29" s="5" t="s">
        <v>129</v>
      </c>
      <c r="B29" s="5" t="s">
        <v>1030</v>
      </c>
      <c r="C29" s="2" t="s">
        <v>190</v>
      </c>
      <c r="D29" s="5" t="s">
        <v>3</v>
      </c>
      <c r="E29" s="5" t="s">
        <v>146</v>
      </c>
      <c r="F29" s="5" t="s">
        <v>6</v>
      </c>
      <c r="G29" s="5" t="s">
        <v>116</v>
      </c>
      <c r="H29" s="5" t="s">
        <v>122</v>
      </c>
      <c r="I29" s="5" t="s">
        <v>123</v>
      </c>
      <c r="J29" s="11"/>
      <c r="K29" s="11"/>
      <c r="L29" s="11"/>
    </row>
    <row r="30" spans="1:12" x14ac:dyDescent="0.25">
      <c r="A30" s="5">
        <v>1</v>
      </c>
      <c r="B30" s="5" t="s">
        <v>17</v>
      </c>
      <c r="C30" s="78" t="s">
        <v>127</v>
      </c>
      <c r="D30" s="6" t="s">
        <v>3</v>
      </c>
      <c r="E30" s="6" t="s">
        <v>134</v>
      </c>
      <c r="F30" s="66" t="s">
        <v>141</v>
      </c>
      <c r="G30" s="82">
        <v>53.561979751199999</v>
      </c>
      <c r="H30" s="82">
        <v>-1.3443042E-3</v>
      </c>
      <c r="I30" s="82">
        <v>1.1175999999999999E-6</v>
      </c>
      <c r="J30" s="77"/>
      <c r="K30" s="77"/>
      <c r="L30" s="77"/>
    </row>
    <row r="31" spans="1:12" x14ac:dyDescent="0.25">
      <c r="A31" s="5">
        <v>2</v>
      </c>
      <c r="B31" s="5" t="s">
        <v>12</v>
      </c>
      <c r="C31" s="78" t="s">
        <v>127</v>
      </c>
      <c r="D31" s="6" t="s">
        <v>3</v>
      </c>
      <c r="E31" s="6" t="s">
        <v>134</v>
      </c>
      <c r="F31" s="66" t="s">
        <v>141</v>
      </c>
      <c r="G31" s="82">
        <v>52.015312242699999</v>
      </c>
      <c r="H31" s="82">
        <v>-1.7659068000000001E-3</v>
      </c>
      <c r="I31" s="82">
        <v>1.0907E-6</v>
      </c>
      <c r="J31" s="77"/>
      <c r="K31" s="77"/>
      <c r="L31" s="77"/>
    </row>
    <row r="32" spans="1:12" x14ac:dyDescent="0.25">
      <c r="A32" s="5">
        <v>3</v>
      </c>
      <c r="B32" s="5" t="s">
        <v>17</v>
      </c>
      <c r="C32" s="78" t="s">
        <v>127</v>
      </c>
      <c r="D32" s="6" t="s">
        <v>3</v>
      </c>
      <c r="E32" s="6" t="s">
        <v>134</v>
      </c>
      <c r="F32" s="66" t="s">
        <v>142</v>
      </c>
      <c r="G32" s="82">
        <v>53.947615367600001</v>
      </c>
      <c r="H32" s="82">
        <v>-4.5127820000000001E-4</v>
      </c>
      <c r="I32" s="82">
        <v>1.2431E-6</v>
      </c>
    </row>
    <row r="33" spans="1:9" x14ac:dyDescent="0.25">
      <c r="A33" s="5">
        <v>4</v>
      </c>
      <c r="B33" s="5" t="s">
        <v>12</v>
      </c>
      <c r="C33" s="78" t="s">
        <v>127</v>
      </c>
      <c r="D33" s="6" t="s">
        <v>3</v>
      </c>
      <c r="E33" s="6" t="s">
        <v>134</v>
      </c>
      <c r="F33" s="66" t="s">
        <v>142</v>
      </c>
      <c r="G33" s="82">
        <v>52.349144244000001</v>
      </c>
      <c r="H33" s="82">
        <v>-7.6439140000000004E-4</v>
      </c>
      <c r="I33" s="82">
        <v>1.1883999999999999E-6</v>
      </c>
    </row>
    <row r="34" spans="1:9" x14ac:dyDescent="0.25">
      <c r="A34" s="5">
        <v>5</v>
      </c>
      <c r="B34" s="5" t="s">
        <v>17</v>
      </c>
      <c r="C34" s="78" t="s">
        <v>127</v>
      </c>
      <c r="D34" s="6" t="s">
        <v>3</v>
      </c>
      <c r="E34" s="6" t="s">
        <v>140</v>
      </c>
      <c r="F34" s="66" t="s">
        <v>141</v>
      </c>
      <c r="G34" s="82">
        <v>46.580975879500002</v>
      </c>
      <c r="H34" s="82">
        <v>-9.9150109999999992E-4</v>
      </c>
      <c r="I34" s="82">
        <v>1.1638E-6</v>
      </c>
    </row>
    <row r="35" spans="1:9" x14ac:dyDescent="0.25">
      <c r="A35" s="5">
        <v>6</v>
      </c>
      <c r="B35" s="5" t="s">
        <v>12</v>
      </c>
      <c r="C35" s="78" t="s">
        <v>127</v>
      </c>
      <c r="D35" s="6" t="s">
        <v>3</v>
      </c>
      <c r="E35" s="6" t="s">
        <v>140</v>
      </c>
      <c r="F35" s="66" t="s">
        <v>141</v>
      </c>
      <c r="G35" s="82">
        <v>45.937270417900002</v>
      </c>
      <c r="H35" s="82">
        <v>-1.6372074E-3</v>
      </c>
      <c r="I35" s="82">
        <v>1.1558E-6</v>
      </c>
    </row>
    <row r="36" spans="1:9" x14ac:dyDescent="0.25">
      <c r="A36" s="5">
        <v>7</v>
      </c>
      <c r="B36" s="5" t="s">
        <v>17</v>
      </c>
      <c r="C36" s="78" t="s">
        <v>127</v>
      </c>
      <c r="D36" s="6" t="s">
        <v>3</v>
      </c>
      <c r="E36" s="6" t="s">
        <v>140</v>
      </c>
      <c r="F36" s="66" t="s">
        <v>142</v>
      </c>
      <c r="G36" s="82">
        <v>47.063891505699999</v>
      </c>
      <c r="H36" s="82">
        <v>-5.3890959999999995E-4</v>
      </c>
      <c r="I36" s="82">
        <v>1.3252E-6</v>
      </c>
    </row>
    <row r="37" spans="1:9" x14ac:dyDescent="0.25">
      <c r="A37" s="5">
        <v>8</v>
      </c>
      <c r="B37" s="5" t="s">
        <v>12</v>
      </c>
      <c r="C37" s="78" t="s">
        <v>127</v>
      </c>
      <c r="D37" s="6" t="s">
        <v>3</v>
      </c>
      <c r="E37" s="6" t="s">
        <v>140</v>
      </c>
      <c r="F37" s="66" t="s">
        <v>142</v>
      </c>
      <c r="G37" s="82">
        <v>46.4710459908</v>
      </c>
      <c r="H37" s="82">
        <v>-1.3284834E-3</v>
      </c>
      <c r="I37" s="82">
        <v>1.3181999999999999E-6</v>
      </c>
    </row>
    <row r="39" spans="1:9" x14ac:dyDescent="0.25">
      <c r="A39" t="s">
        <v>1192</v>
      </c>
      <c r="D39" s="5" t="s">
        <v>116</v>
      </c>
      <c r="E39" s="5" t="s">
        <v>122</v>
      </c>
      <c r="F39" s="5" t="s">
        <v>123</v>
      </c>
      <c r="G39" s="5" t="s">
        <v>1193</v>
      </c>
    </row>
    <row r="40" spans="1:9" x14ac:dyDescent="0.25">
      <c r="B40" t="s">
        <v>134</v>
      </c>
      <c r="D40" s="190">
        <v>0.54362725751899998</v>
      </c>
      <c r="E40" s="190">
        <v>-2.6719951399999998E-4</v>
      </c>
      <c r="F40" s="190">
        <v>6.9503999999999998E-8</v>
      </c>
      <c r="G40" s="190">
        <v>-7.0000000000000001E-12</v>
      </c>
    </row>
    <row r="41" spans="1:9" x14ac:dyDescent="0.25">
      <c r="B41" t="s">
        <v>140</v>
      </c>
      <c r="D41" s="190">
        <v>0.948347618221</v>
      </c>
      <c r="E41" s="190">
        <v>-2.3926918899999999E-4</v>
      </c>
      <c r="F41" s="190">
        <v>5.4430000000000003E-9</v>
      </c>
      <c r="G41" s="190">
        <v>9.9999999999999998E-13</v>
      </c>
    </row>
  </sheetData>
  <mergeCells count="9">
    <mergeCell ref="G27:I27"/>
    <mergeCell ref="G28:I28"/>
    <mergeCell ref="J28:L28"/>
    <mergeCell ref="G1:L1"/>
    <mergeCell ref="G2:I2"/>
    <mergeCell ref="J2:L2"/>
    <mergeCell ref="G17:L17"/>
    <mergeCell ref="G18:I18"/>
    <mergeCell ref="J18:L18"/>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S27"/>
  <sheetViews>
    <sheetView workbookViewId="0">
      <selection activeCell="P89" sqref="P89"/>
    </sheetView>
  </sheetViews>
  <sheetFormatPr defaultColWidth="8.85546875" defaultRowHeight="15" x14ac:dyDescent="0.25"/>
  <cols>
    <col min="2" max="2" width="12.140625" customWidth="1"/>
    <col min="3" max="3" width="16.42578125" customWidth="1"/>
    <col min="4" max="4" width="17.7109375" customWidth="1"/>
    <col min="5" max="5" width="16.42578125" bestFit="1" customWidth="1"/>
    <col min="6" max="6" width="15.7109375" bestFit="1" customWidth="1"/>
    <col min="7" max="7" width="18" customWidth="1"/>
    <col min="8" max="8" width="15" customWidth="1"/>
    <col min="9" max="9" width="15.7109375" customWidth="1"/>
    <col min="10" max="11" width="14.42578125" customWidth="1"/>
    <col min="12" max="12" width="13.42578125" customWidth="1"/>
    <col min="13" max="13" width="54.7109375" customWidth="1"/>
  </cols>
  <sheetData>
    <row r="1" spans="1:19" x14ac:dyDescent="0.25">
      <c r="A1" s="1" t="s">
        <v>125</v>
      </c>
      <c r="B1" s="1"/>
      <c r="G1" s="259" t="s">
        <v>120</v>
      </c>
      <c r="H1" s="260"/>
      <c r="I1" s="260"/>
      <c r="J1" s="260"/>
      <c r="K1" s="260"/>
      <c r="L1" s="261"/>
    </row>
    <row r="2" spans="1:19" x14ac:dyDescent="0.25">
      <c r="G2" s="259" t="s">
        <v>121</v>
      </c>
      <c r="H2" s="260"/>
      <c r="I2" s="261"/>
      <c r="J2" s="259" t="s">
        <v>124</v>
      </c>
      <c r="K2" s="260"/>
      <c r="L2" s="261"/>
      <c r="M2" t="s">
        <v>136</v>
      </c>
    </row>
    <row r="3" spans="1:19" x14ac:dyDescent="0.25">
      <c r="A3" s="5" t="s">
        <v>129</v>
      </c>
      <c r="B3" s="2" t="s">
        <v>1030</v>
      </c>
      <c r="C3" s="5" t="s">
        <v>190</v>
      </c>
      <c r="D3" s="5" t="s">
        <v>3</v>
      </c>
      <c r="E3" s="74" t="s">
        <v>146</v>
      </c>
      <c r="F3" s="74" t="s">
        <v>6</v>
      </c>
      <c r="G3" s="5" t="s">
        <v>116</v>
      </c>
      <c r="H3" s="5" t="s">
        <v>122</v>
      </c>
      <c r="I3" s="5" t="s">
        <v>123</v>
      </c>
      <c r="J3" s="5" t="s">
        <v>116</v>
      </c>
      <c r="K3" s="5" t="s">
        <v>122</v>
      </c>
      <c r="L3" s="5" t="s">
        <v>123</v>
      </c>
    </row>
    <row r="4" spans="1:19" x14ac:dyDescent="0.25">
      <c r="A4" s="5">
        <v>1</v>
      </c>
      <c r="B4" s="2" t="s">
        <v>17</v>
      </c>
      <c r="C4" s="6" t="s">
        <v>17</v>
      </c>
      <c r="D4" s="6" t="s">
        <v>3</v>
      </c>
      <c r="E4" s="66" t="s">
        <v>134</v>
      </c>
      <c r="F4" s="74" t="s">
        <v>141</v>
      </c>
      <c r="G4" s="82">
        <v>19.253509486700001</v>
      </c>
      <c r="H4" s="82">
        <v>2.1027715E-3</v>
      </c>
      <c r="I4" s="82">
        <v>-2.5200000000000001E-8</v>
      </c>
      <c r="J4" s="82">
        <v>8.3588249804183992</v>
      </c>
      <c r="K4" s="82">
        <v>5.1741083561000004E-3</v>
      </c>
      <c r="L4" s="82">
        <v>-4.5097919999999999E-7</v>
      </c>
      <c r="N4">
        <v>-0.27284476712600397</v>
      </c>
      <c r="O4">
        <v>3.9844768400788899E-3</v>
      </c>
      <c r="P4">
        <v>-2.1952521778563499E-7</v>
      </c>
      <c r="Q4">
        <v>1.5740779421716</v>
      </c>
      <c r="R4">
        <v>8.1792011045315506E-3</v>
      </c>
      <c r="S4">
        <v>-4.49855873707022E-6</v>
      </c>
    </row>
    <row r="5" spans="1:19" x14ac:dyDescent="0.25">
      <c r="A5" s="5">
        <v>2</v>
      </c>
      <c r="B5" s="2" t="s">
        <v>17</v>
      </c>
      <c r="C5" s="6" t="s">
        <v>12</v>
      </c>
      <c r="D5" s="6" t="s">
        <v>3</v>
      </c>
      <c r="E5" s="66" t="s">
        <v>134</v>
      </c>
      <c r="F5" s="87" t="s">
        <v>141</v>
      </c>
      <c r="G5" s="82">
        <v>26.115411101399999</v>
      </c>
      <c r="H5" s="82">
        <v>1.7023889000000001E-3</v>
      </c>
      <c r="I5" s="82">
        <v>-1.44E-8</v>
      </c>
      <c r="J5" s="82">
        <v>10.0933150471341</v>
      </c>
      <c r="K5" s="82">
        <v>7.2544761113999996E-3</v>
      </c>
      <c r="L5" s="82">
        <v>-6.734289E-7</v>
      </c>
      <c r="M5" t="s">
        <v>3</v>
      </c>
      <c r="N5">
        <v>7.4574661255860805E-2</v>
      </c>
      <c r="O5">
        <v>3.9990231059737298E-3</v>
      </c>
      <c r="P5">
        <v>-2.8627921415672698E-7</v>
      </c>
      <c r="Q5">
        <v>0.78588005003435502</v>
      </c>
      <c r="R5">
        <v>9.2962495243179497E-3</v>
      </c>
      <c r="S5">
        <v>-5.2851970709819496E-6</v>
      </c>
    </row>
    <row r="6" spans="1:19" x14ac:dyDescent="0.25">
      <c r="A6" s="5">
        <v>3</v>
      </c>
      <c r="B6" s="2" t="s">
        <v>12</v>
      </c>
      <c r="C6" s="6" t="s">
        <v>17</v>
      </c>
      <c r="D6" s="6" t="s">
        <v>3</v>
      </c>
      <c r="E6" s="66" t="s">
        <v>134</v>
      </c>
      <c r="F6" s="87" t="s">
        <v>141</v>
      </c>
      <c r="G6" s="82">
        <v>13.511831467537901</v>
      </c>
      <c r="H6" s="82">
        <v>7.1768806100000004E-4</v>
      </c>
      <c r="I6" s="82">
        <v>2.8786E-9</v>
      </c>
      <c r="J6" s="82">
        <v>3.6366203503283998</v>
      </c>
      <c r="K6" s="82">
        <v>4.2105085070000001E-3</v>
      </c>
      <c r="L6" s="82">
        <v>-3.3164340000000002E-7</v>
      </c>
      <c r="N6">
        <v>2.4796310118051101</v>
      </c>
      <c r="O6">
        <v>3.07279186679021E-3</v>
      </c>
      <c r="P6">
        <v>-1.6647536763604E-7</v>
      </c>
      <c r="Q6">
        <v>1.64988448260013</v>
      </c>
      <c r="R6">
        <v>1.25517671689523E-2</v>
      </c>
      <c r="S6">
        <v>-6.3490161206277096E-6</v>
      </c>
    </row>
    <row r="7" spans="1:19" x14ac:dyDescent="0.25">
      <c r="A7" s="5">
        <v>4</v>
      </c>
      <c r="B7" s="2" t="s">
        <v>17</v>
      </c>
      <c r="C7" s="6" t="s">
        <v>17</v>
      </c>
      <c r="D7" s="6" t="s">
        <v>3</v>
      </c>
      <c r="E7" s="66" t="s">
        <v>134</v>
      </c>
      <c r="F7" s="87" t="s">
        <v>142</v>
      </c>
      <c r="G7" s="82">
        <v>0.80256557179999999</v>
      </c>
      <c r="H7" s="82">
        <v>9.1983400000000004E-5</v>
      </c>
      <c r="I7" s="82">
        <v>-1.2E-9</v>
      </c>
      <c r="J7" s="82">
        <v>8.3588249804183992</v>
      </c>
      <c r="K7" s="82">
        <v>5.1741083561000004E-3</v>
      </c>
      <c r="L7" s="82">
        <v>-4.5097919999999999E-7</v>
      </c>
      <c r="N7">
        <v>2.2479059276595299</v>
      </c>
      <c r="O7">
        <v>2.16148769363151E-3</v>
      </c>
      <c r="P7">
        <v>-1.52317010885847E-7</v>
      </c>
      <c r="Q7">
        <v>0.45657904846208702</v>
      </c>
      <c r="R7">
        <v>1.7915859019311201E-2</v>
      </c>
      <c r="S7">
        <v>-1.01352874386841E-5</v>
      </c>
    </row>
    <row r="8" spans="1:19" x14ac:dyDescent="0.25">
      <c r="A8" s="5">
        <v>5</v>
      </c>
      <c r="B8" s="2" t="s">
        <v>17</v>
      </c>
      <c r="C8" s="6" t="s">
        <v>12</v>
      </c>
      <c r="D8" s="6" t="s">
        <v>3</v>
      </c>
      <c r="E8" s="66" t="s">
        <v>134</v>
      </c>
      <c r="F8" s="87" t="s">
        <v>142</v>
      </c>
      <c r="G8" s="82">
        <v>1.1202876037</v>
      </c>
      <c r="H8" s="82">
        <v>7.3164599999999994E-5</v>
      </c>
      <c r="I8" s="82">
        <v>-3E-10</v>
      </c>
      <c r="J8" s="82">
        <v>10.0933150471341</v>
      </c>
      <c r="K8" s="82">
        <v>7.2544761113999996E-3</v>
      </c>
      <c r="L8" s="82">
        <v>-6.734289E-7</v>
      </c>
      <c r="N8">
        <v>2.2270366815565001E-2</v>
      </c>
      <c r="O8">
        <v>1.5822035714902499E-4</v>
      </c>
      <c r="P8">
        <v>-8.4280086448129999E-9</v>
      </c>
      <c r="Q8">
        <v>1.26657821532221</v>
      </c>
      <c r="R8">
        <v>8.8124912234159407E-3</v>
      </c>
      <c r="S8">
        <v>-4.7464706562268698E-6</v>
      </c>
    </row>
    <row r="9" spans="1:19" x14ac:dyDescent="0.25">
      <c r="A9" s="5">
        <v>6</v>
      </c>
      <c r="B9" s="2" t="s">
        <v>12</v>
      </c>
      <c r="C9" s="6" t="s">
        <v>17</v>
      </c>
      <c r="D9" s="6" t="s">
        <v>3</v>
      </c>
      <c r="E9" s="6" t="s">
        <v>134</v>
      </c>
      <c r="F9" s="88" t="s">
        <v>142</v>
      </c>
      <c r="G9" s="82">
        <v>0.57627961209050005</v>
      </c>
      <c r="H9" s="82">
        <v>3.0609395799999998E-5</v>
      </c>
      <c r="I9" s="82">
        <v>-1.2280000000000001E-10</v>
      </c>
      <c r="J9" s="82">
        <v>3.6366203503283998</v>
      </c>
      <c r="K9" s="82">
        <v>4.2105085070000001E-3</v>
      </c>
      <c r="L9" s="82">
        <v>-3.3164340000000002E-7</v>
      </c>
      <c r="N9">
        <v>-1.05583070608346</v>
      </c>
      <c r="O9">
        <v>4.7561697776129499E-4</v>
      </c>
      <c r="P9">
        <v>-3.4052117190789202E-8</v>
      </c>
      <c r="Q9">
        <v>0.78681671704119704</v>
      </c>
      <c r="R9">
        <v>9.2578900249941799E-3</v>
      </c>
      <c r="S9">
        <v>-5.1559252505213403E-6</v>
      </c>
    </row>
    <row r="10" spans="1:19" x14ac:dyDescent="0.25">
      <c r="A10" s="11"/>
      <c r="C10" s="65"/>
      <c r="D10" s="65"/>
      <c r="E10" s="65"/>
      <c r="F10" s="161"/>
      <c r="G10" s="124"/>
      <c r="H10" s="124"/>
      <c r="I10" s="124"/>
      <c r="J10" s="124"/>
      <c r="K10" s="124"/>
      <c r="L10" s="124"/>
      <c r="N10">
        <v>-0.19323179886314301</v>
      </c>
      <c r="O10">
        <v>2.1308167189857901E-4</v>
      </c>
      <c r="P10">
        <v>-1.1548134486529101E-8</v>
      </c>
      <c r="Q10">
        <v>0.83440129481070802</v>
      </c>
      <c r="R10">
        <v>1.6489129910299102E-2</v>
      </c>
      <c r="S10">
        <v>-8.94392112211468E-6</v>
      </c>
    </row>
    <row r="11" spans="1:19" x14ac:dyDescent="0.25">
      <c r="A11" s="273" t="s">
        <v>126</v>
      </c>
      <c r="B11" s="273"/>
      <c r="C11" s="273"/>
      <c r="D11" s="65"/>
      <c r="E11" s="65"/>
      <c r="F11" s="161"/>
      <c r="G11" s="265" t="s">
        <v>120</v>
      </c>
      <c r="H11" s="265"/>
      <c r="I11" s="265"/>
      <c r="J11" s="265"/>
      <c r="K11" s="265"/>
      <c r="L11" s="265"/>
      <c r="N11">
        <v>-9.3323957508777894E-2</v>
      </c>
      <c r="O11">
        <v>1.54140553737844E-4</v>
      </c>
      <c r="P11">
        <v>-1.1003330690271E-8</v>
      </c>
      <c r="Q11">
        <v>0.459822264367726</v>
      </c>
      <c r="R11">
        <v>1.78474648366145E-2</v>
      </c>
      <c r="S11">
        <v>-9.9320348553360305E-6</v>
      </c>
    </row>
    <row r="12" spans="1:19" x14ac:dyDescent="0.25">
      <c r="G12" s="226" t="s">
        <v>1176</v>
      </c>
      <c r="H12" s="226"/>
      <c r="I12" s="226"/>
      <c r="J12" s="226" t="s">
        <v>124</v>
      </c>
      <c r="K12" s="226"/>
      <c r="L12" s="226"/>
    </row>
    <row r="13" spans="1:19" x14ac:dyDescent="0.25">
      <c r="A13" s="3" t="s">
        <v>129</v>
      </c>
      <c r="B13" s="3" t="s">
        <v>1030</v>
      </c>
      <c r="C13" s="2" t="s">
        <v>146</v>
      </c>
      <c r="D13" s="2" t="s">
        <v>190</v>
      </c>
      <c r="E13" s="2" t="s">
        <v>6</v>
      </c>
      <c r="F13" s="2"/>
      <c r="G13" s="5" t="s">
        <v>116</v>
      </c>
      <c r="H13" s="5" t="s">
        <v>122</v>
      </c>
      <c r="I13" s="5" t="s">
        <v>123</v>
      </c>
      <c r="J13" s="5" t="s">
        <v>116</v>
      </c>
      <c r="K13" s="5" t="s">
        <v>122</v>
      </c>
      <c r="L13" s="5" t="s">
        <v>123</v>
      </c>
    </row>
    <row r="14" spans="1:19" x14ac:dyDescent="0.25">
      <c r="A14" s="5">
        <v>1</v>
      </c>
      <c r="B14" s="2" t="s">
        <v>17</v>
      </c>
      <c r="C14" s="159" t="s">
        <v>134</v>
      </c>
      <c r="D14" s="159" t="s">
        <v>17</v>
      </c>
      <c r="E14" s="159" t="s">
        <v>127</v>
      </c>
      <c r="F14" s="159"/>
      <c r="G14" s="82">
        <v>15.9452239594</v>
      </c>
      <c r="H14" s="82">
        <v>6.2549245E-3</v>
      </c>
      <c r="I14" s="82">
        <v>-4.6660000000000001E-7</v>
      </c>
      <c r="J14" s="82">
        <v>10.221192398499999</v>
      </c>
      <c r="K14" s="82">
        <v>4.944024E-3</v>
      </c>
      <c r="L14" s="82">
        <v>-4.3500000000000002E-7</v>
      </c>
    </row>
    <row r="15" spans="1:19" x14ac:dyDescent="0.25">
      <c r="A15" s="5">
        <v>2</v>
      </c>
      <c r="B15" s="2" t="s">
        <v>17</v>
      </c>
      <c r="C15" s="159" t="s">
        <v>134</v>
      </c>
      <c r="D15" s="159" t="s">
        <v>12</v>
      </c>
      <c r="E15" s="159" t="s">
        <v>127</v>
      </c>
      <c r="F15" s="159"/>
      <c r="G15" s="82">
        <v>15.9452239594</v>
      </c>
      <c r="H15" s="82">
        <v>6.2549245E-3</v>
      </c>
      <c r="I15" s="82">
        <v>-4.6660000000000001E-7</v>
      </c>
      <c r="J15" s="82">
        <v>16.195819482899999</v>
      </c>
      <c r="K15" s="82">
        <v>1.0505368100000001E-2</v>
      </c>
      <c r="L15" s="82">
        <v>-1.0237E-6</v>
      </c>
    </row>
    <row r="16" spans="1:19" x14ac:dyDescent="0.25">
      <c r="A16" s="5">
        <v>3</v>
      </c>
      <c r="B16" s="2" t="s">
        <v>12</v>
      </c>
      <c r="C16" s="163" t="s">
        <v>134</v>
      </c>
      <c r="D16" s="163" t="s">
        <v>17</v>
      </c>
      <c r="E16" s="163" t="s">
        <v>127</v>
      </c>
      <c r="F16" s="163"/>
      <c r="G16" s="82">
        <v>19.620015013900002</v>
      </c>
      <c r="H16" s="82">
        <v>3.1579652000000001E-3</v>
      </c>
      <c r="I16" s="82">
        <v>-2.3939999999999999E-7</v>
      </c>
      <c r="J16" s="82">
        <v>5.1435341982000002</v>
      </c>
      <c r="K16" s="82">
        <v>3.9769960999999996E-3</v>
      </c>
      <c r="L16" s="82">
        <v>-3.869E-7</v>
      </c>
    </row>
    <row r="17" spans="1:12" x14ac:dyDescent="0.25">
      <c r="A17" s="11"/>
      <c r="C17" s="65"/>
      <c r="D17" s="65"/>
      <c r="E17" s="65"/>
      <c r="F17" s="65"/>
      <c r="G17" s="124"/>
      <c r="H17" s="124"/>
      <c r="I17" s="124"/>
      <c r="J17" s="124"/>
      <c r="K17" s="124"/>
      <c r="L17" s="124"/>
    </row>
    <row r="18" spans="1:12" x14ac:dyDescent="0.25">
      <c r="A18" t="s">
        <v>128</v>
      </c>
      <c r="G18" s="274" t="s">
        <v>120</v>
      </c>
      <c r="H18" s="274"/>
      <c r="I18" s="274"/>
    </row>
    <row r="19" spans="1:12" x14ac:dyDescent="0.25">
      <c r="A19" s="1"/>
      <c r="B19" s="1"/>
      <c r="G19" s="259" t="s">
        <v>131</v>
      </c>
      <c r="H19" s="260"/>
      <c r="I19" s="261"/>
    </row>
    <row r="20" spans="1:12" x14ac:dyDescent="0.25">
      <c r="A20" s="2" t="s">
        <v>129</v>
      </c>
      <c r="B20" s="2" t="s">
        <v>1030</v>
      </c>
      <c r="C20" s="2" t="s">
        <v>190</v>
      </c>
      <c r="D20" s="2" t="s">
        <v>3</v>
      </c>
      <c r="E20" s="2" t="s">
        <v>146</v>
      </c>
      <c r="F20" s="2" t="s">
        <v>6</v>
      </c>
      <c r="G20" s="5" t="s">
        <v>116</v>
      </c>
      <c r="H20" s="5" t="s">
        <v>122</v>
      </c>
      <c r="I20" s="5" t="s">
        <v>123</v>
      </c>
    </row>
    <row r="21" spans="1:12" x14ac:dyDescent="0.25">
      <c r="A21" s="5">
        <v>1</v>
      </c>
      <c r="B21" s="159" t="s">
        <v>17</v>
      </c>
      <c r="C21" s="159" t="s">
        <v>127</v>
      </c>
      <c r="D21" s="159" t="s">
        <v>3</v>
      </c>
      <c r="E21" s="159" t="s">
        <v>134</v>
      </c>
      <c r="F21" s="159" t="s">
        <v>141</v>
      </c>
      <c r="G21" s="82">
        <v>222.32538416200001</v>
      </c>
      <c r="H21" s="82">
        <v>-8.7189968999999996E-3</v>
      </c>
      <c r="I21" s="82">
        <v>1.229E-6</v>
      </c>
      <c r="J21" s="11"/>
      <c r="K21" s="11"/>
      <c r="L21" s="11"/>
    </row>
    <row r="22" spans="1:12" x14ac:dyDescent="0.25">
      <c r="A22" s="5">
        <v>2</v>
      </c>
      <c r="B22" s="159" t="s">
        <v>12</v>
      </c>
      <c r="C22" s="163" t="s">
        <v>127</v>
      </c>
      <c r="D22" s="163" t="s">
        <v>3</v>
      </c>
      <c r="E22" s="163" t="s">
        <v>134</v>
      </c>
      <c r="F22" s="163" t="s">
        <v>141</v>
      </c>
      <c r="G22" s="82">
        <v>217.22102088680001</v>
      </c>
      <c r="H22" s="82">
        <v>-8.0141336000000007E-3</v>
      </c>
      <c r="I22" s="82">
        <v>1.1095999999999999E-6</v>
      </c>
      <c r="J22" s="77"/>
      <c r="K22" s="77"/>
      <c r="L22" s="77"/>
    </row>
    <row r="23" spans="1:12" x14ac:dyDescent="0.25">
      <c r="A23" s="5">
        <v>3</v>
      </c>
      <c r="B23" s="159" t="s">
        <v>17</v>
      </c>
      <c r="C23" s="163" t="s">
        <v>127</v>
      </c>
      <c r="D23" s="163" t="s">
        <v>3</v>
      </c>
      <c r="E23" s="163" t="s">
        <v>134</v>
      </c>
      <c r="F23" s="163" t="s">
        <v>142</v>
      </c>
      <c r="G23" s="82">
        <v>238.56295383099999</v>
      </c>
      <c r="H23" s="82">
        <v>-8.1294443999999997E-3</v>
      </c>
      <c r="I23" s="82">
        <v>1.3233999999999999E-6</v>
      </c>
    </row>
    <row r="24" spans="1:12" x14ac:dyDescent="0.25">
      <c r="A24" s="5">
        <v>4</v>
      </c>
      <c r="B24" s="159" t="s">
        <v>12</v>
      </c>
      <c r="C24" s="159" t="s">
        <v>127</v>
      </c>
      <c r="D24" s="159" t="s">
        <v>3</v>
      </c>
      <c r="E24" s="159" t="s">
        <v>134</v>
      </c>
      <c r="F24" s="159" t="s">
        <v>142</v>
      </c>
      <c r="G24" s="82">
        <v>229.95858158319999</v>
      </c>
      <c r="H24" s="82">
        <v>-6.3651313000000001E-3</v>
      </c>
      <c r="I24" s="82">
        <v>1.1099E-6</v>
      </c>
    </row>
    <row r="25" spans="1:12" x14ac:dyDescent="0.25">
      <c r="A25" t="s">
        <v>3</v>
      </c>
    </row>
    <row r="26" spans="1:12" x14ac:dyDescent="0.25">
      <c r="A26" t="s">
        <v>1192</v>
      </c>
      <c r="D26" s="191" t="s">
        <v>116</v>
      </c>
      <c r="E26" s="191" t="s">
        <v>122</v>
      </c>
      <c r="F26" s="191" t="s">
        <v>123</v>
      </c>
      <c r="G26" s="191" t="s">
        <v>1193</v>
      </c>
    </row>
    <row r="27" spans="1:12" x14ac:dyDescent="0.25">
      <c r="D27" s="191">
        <v>0.71341240430999997</v>
      </c>
      <c r="E27" s="191">
        <v>-1.9542100100000001E-4</v>
      </c>
      <c r="F27" s="191">
        <v>3.9398E-8</v>
      </c>
      <c r="G27" s="191">
        <v>-3.0000000000000001E-12</v>
      </c>
    </row>
  </sheetData>
  <mergeCells count="9">
    <mergeCell ref="G19:I19"/>
    <mergeCell ref="G1:L1"/>
    <mergeCell ref="G2:I2"/>
    <mergeCell ref="J2:L2"/>
    <mergeCell ref="A11:C11"/>
    <mergeCell ref="G11:L11"/>
    <mergeCell ref="G12:I12"/>
    <mergeCell ref="J12:L12"/>
    <mergeCell ref="G18:I18"/>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16CC8-ECD5-411C-8B66-05B21C5F3822}">
  <sheetPr codeName="Sheet14"/>
  <dimension ref="A1:N62"/>
  <sheetViews>
    <sheetView workbookViewId="0">
      <selection activeCell="G8" sqref="G8"/>
    </sheetView>
  </sheetViews>
  <sheetFormatPr defaultRowHeight="15" x14ac:dyDescent="0.25"/>
  <cols>
    <col min="3" max="3" width="12.140625" customWidth="1"/>
    <col min="4" max="4" width="16.42578125" customWidth="1"/>
    <col min="5" max="5" width="17.7109375" customWidth="1"/>
    <col min="7" max="7" width="20.5703125" customWidth="1"/>
    <col min="8" max="8" width="20.140625" customWidth="1"/>
    <col min="9" max="9" width="18.28515625" customWidth="1"/>
    <col min="10" max="10" width="17.140625" customWidth="1"/>
    <col min="11" max="11" width="17.85546875" customWidth="1"/>
    <col min="12" max="12" width="14.42578125" customWidth="1"/>
    <col min="13" max="13" width="13.42578125" customWidth="1"/>
    <col min="14" max="14" width="54.7109375" customWidth="1"/>
  </cols>
  <sheetData>
    <row r="1" spans="1:14" x14ac:dyDescent="0.25">
      <c r="A1" s="1" t="s">
        <v>125</v>
      </c>
      <c r="B1" s="1"/>
      <c r="C1" s="1"/>
      <c r="H1" s="226" t="s">
        <v>120</v>
      </c>
      <c r="I1" s="226"/>
      <c r="J1" s="226"/>
      <c r="K1" s="226"/>
      <c r="L1" s="226"/>
      <c r="M1" s="226"/>
    </row>
    <row r="2" spans="1:14" x14ac:dyDescent="0.25">
      <c r="H2" s="226" t="s">
        <v>121</v>
      </c>
      <c r="I2" s="226"/>
      <c r="J2" s="226"/>
      <c r="K2" s="226" t="s">
        <v>124</v>
      </c>
      <c r="L2" s="226"/>
      <c r="M2" s="226"/>
      <c r="N2" t="s">
        <v>136</v>
      </c>
    </row>
    <row r="3" spans="1:14" x14ac:dyDescent="0.25">
      <c r="A3" s="5" t="s">
        <v>129</v>
      </c>
      <c r="B3" s="5" t="s">
        <v>1030</v>
      </c>
      <c r="C3" s="2" t="s">
        <v>5</v>
      </c>
      <c r="D3" s="5" t="s">
        <v>1029</v>
      </c>
      <c r="E3" s="5" t="s">
        <v>130</v>
      </c>
      <c r="F3" s="74" t="s">
        <v>60</v>
      </c>
      <c r="G3" s="74" t="s">
        <v>143</v>
      </c>
      <c r="H3" s="5" t="s">
        <v>116</v>
      </c>
      <c r="I3" s="5" t="s">
        <v>122</v>
      </c>
      <c r="J3" s="5" t="s">
        <v>123</v>
      </c>
      <c r="K3" s="5" t="s">
        <v>116</v>
      </c>
      <c r="L3" s="5" t="s">
        <v>122</v>
      </c>
      <c r="M3" s="5" t="s">
        <v>123</v>
      </c>
    </row>
    <row r="4" spans="1:14" x14ac:dyDescent="0.25">
      <c r="A4" s="5">
        <v>1</v>
      </c>
      <c r="B4" s="5" t="s">
        <v>17</v>
      </c>
      <c r="C4" s="2" t="s">
        <v>17</v>
      </c>
      <c r="D4" s="6" t="s">
        <v>155</v>
      </c>
      <c r="E4" s="6" t="s">
        <v>119</v>
      </c>
      <c r="F4" s="66" t="s">
        <v>3</v>
      </c>
      <c r="G4" s="74" t="s">
        <v>3</v>
      </c>
      <c r="H4" s="82">
        <v>0.29900094925920001</v>
      </c>
      <c r="I4" s="82">
        <v>2.5233668044000001E-3</v>
      </c>
      <c r="J4" s="82">
        <v>2.3682E-8</v>
      </c>
      <c r="K4" s="82">
        <v>2.5604538557000001</v>
      </c>
      <c r="L4" s="82">
        <v>1.947889E-3</v>
      </c>
      <c r="M4" s="82">
        <v>-5.9999999999999995E-8</v>
      </c>
    </row>
    <row r="5" spans="1:14" x14ac:dyDescent="0.25">
      <c r="A5" s="5">
        <v>2</v>
      </c>
      <c r="B5" s="5" t="s">
        <v>17</v>
      </c>
      <c r="C5" s="2" t="s">
        <v>12</v>
      </c>
      <c r="D5" s="6" t="s">
        <v>155</v>
      </c>
      <c r="E5" s="6" t="s">
        <v>119</v>
      </c>
      <c r="F5" s="66" t="s">
        <v>3</v>
      </c>
      <c r="G5" s="87" t="s">
        <v>3</v>
      </c>
      <c r="H5" s="82">
        <v>0.28228689116939998</v>
      </c>
      <c r="I5" s="82">
        <v>1.5466209106E-3</v>
      </c>
      <c r="J5" s="82">
        <v>9.7966700000000003E-8</v>
      </c>
      <c r="K5" s="82">
        <v>4.7841494488</v>
      </c>
      <c r="L5" s="82">
        <v>3.7555224E-3</v>
      </c>
      <c r="M5" s="82">
        <v>-1.7450000000000001E-7</v>
      </c>
      <c r="N5" t="s">
        <v>3</v>
      </c>
    </row>
    <row r="6" spans="1:14" x14ac:dyDescent="0.25">
      <c r="A6" s="5">
        <v>3</v>
      </c>
      <c r="B6" s="5" t="s">
        <v>12</v>
      </c>
      <c r="C6" s="2" t="s">
        <v>17</v>
      </c>
      <c r="D6" s="6" t="s">
        <v>155</v>
      </c>
      <c r="E6" s="6" t="s">
        <v>119</v>
      </c>
      <c r="F6" s="66" t="s">
        <v>3</v>
      </c>
      <c r="G6" s="87" t="s">
        <v>3</v>
      </c>
      <c r="H6" s="82">
        <v>0.1063905386502</v>
      </c>
      <c r="I6" s="82">
        <v>1.1627651278999999E-3</v>
      </c>
      <c r="J6" s="82">
        <v>7.3911999999999999E-9</v>
      </c>
      <c r="K6" s="82">
        <v>1.2302018995999999</v>
      </c>
      <c r="L6" s="82">
        <v>1.8858486000000001E-3</v>
      </c>
      <c r="M6" s="82">
        <v>-8.9000000000000003E-8</v>
      </c>
    </row>
    <row r="7" spans="1:14" x14ac:dyDescent="0.25">
      <c r="A7" s="5">
        <v>4</v>
      </c>
      <c r="B7" s="5" t="s">
        <v>17</v>
      </c>
      <c r="C7" s="2" t="s">
        <v>17</v>
      </c>
      <c r="D7" s="6" t="s">
        <v>14</v>
      </c>
      <c r="E7" s="6" t="s">
        <v>1031</v>
      </c>
      <c r="F7" s="66" t="s">
        <v>3</v>
      </c>
      <c r="G7" s="87" t="s">
        <v>3</v>
      </c>
      <c r="H7" s="82">
        <v>0.1612053080966</v>
      </c>
      <c r="I7" s="82">
        <v>2.1417929290000002E-3</v>
      </c>
      <c r="J7" s="82">
        <v>4.26846E-8</v>
      </c>
      <c r="K7" s="82">
        <v>2.4322523945043999</v>
      </c>
      <c r="L7" s="82">
        <v>1.554035713E-3</v>
      </c>
      <c r="M7" s="82">
        <v>-5.8283599999999999E-8</v>
      </c>
    </row>
    <row r="8" spans="1:14" x14ac:dyDescent="0.25">
      <c r="A8" s="5">
        <v>5</v>
      </c>
      <c r="B8" s="5" t="s">
        <v>17</v>
      </c>
      <c r="C8" s="2" t="s">
        <v>12</v>
      </c>
      <c r="D8" s="6" t="s">
        <v>14</v>
      </c>
      <c r="E8" s="6" t="s">
        <v>1031</v>
      </c>
      <c r="F8" s="66" t="s">
        <v>3</v>
      </c>
      <c r="G8" s="87" t="s">
        <v>3</v>
      </c>
      <c r="H8" s="82">
        <v>0.1420689426002</v>
      </c>
      <c r="I8" s="82">
        <v>1.2868119372E-3</v>
      </c>
      <c r="J8" s="82">
        <v>1.067865E-7</v>
      </c>
      <c r="K8" s="82">
        <v>4.5672910865737002</v>
      </c>
      <c r="L8" s="82">
        <v>3.4876237989E-3</v>
      </c>
      <c r="M8" s="82">
        <v>-2.2003250000000001E-7</v>
      </c>
    </row>
    <row r="9" spans="1:14" x14ac:dyDescent="0.25">
      <c r="A9" s="5">
        <v>6</v>
      </c>
      <c r="B9" s="5" t="s">
        <v>12</v>
      </c>
      <c r="C9" s="2" t="s">
        <v>17</v>
      </c>
      <c r="D9" s="6" t="s">
        <v>14</v>
      </c>
      <c r="E9" s="6" t="s">
        <v>1031</v>
      </c>
      <c r="F9" s="66" t="s">
        <v>3</v>
      </c>
      <c r="G9" s="87" t="s">
        <v>3</v>
      </c>
      <c r="H9" s="82">
        <v>5.8778256399900003E-2</v>
      </c>
      <c r="I9" s="82">
        <v>7.6817769500000003E-4</v>
      </c>
      <c r="J9" s="82">
        <v>3.9601499999999999E-8</v>
      </c>
      <c r="K9" s="82">
        <v>1.1836541331142001</v>
      </c>
      <c r="L9" s="82">
        <v>1.5549397284E-3</v>
      </c>
      <c r="M9" s="82">
        <v>-8.4301900000000004E-8</v>
      </c>
    </row>
    <row r="10" spans="1:14" x14ac:dyDescent="0.25">
      <c r="A10" s="5">
        <v>7</v>
      </c>
      <c r="B10" s="5" t="s">
        <v>17</v>
      </c>
      <c r="C10" s="2" t="s">
        <v>17</v>
      </c>
      <c r="D10" s="6" t="s">
        <v>14</v>
      </c>
      <c r="E10" s="6" t="s">
        <v>1032</v>
      </c>
      <c r="F10" s="66" t="s">
        <v>3</v>
      </c>
      <c r="G10" s="87" t="s">
        <v>3</v>
      </c>
      <c r="H10" s="82">
        <v>6.8754063903000004E-3</v>
      </c>
      <c r="I10" s="82">
        <v>9.1347468399999998E-5</v>
      </c>
      <c r="J10" s="82">
        <v>1.8205000000000001E-9</v>
      </c>
      <c r="K10" s="82">
        <v>2.4322523945043999</v>
      </c>
      <c r="L10" s="82">
        <v>1.554035713E-3</v>
      </c>
      <c r="M10" s="82">
        <v>-5.8283599999999999E-8</v>
      </c>
    </row>
    <row r="11" spans="1:14" x14ac:dyDescent="0.25">
      <c r="A11" s="5">
        <v>8</v>
      </c>
      <c r="B11" s="5" t="s">
        <v>17</v>
      </c>
      <c r="C11" s="2" t="s">
        <v>12</v>
      </c>
      <c r="D11" s="6" t="s">
        <v>14</v>
      </c>
      <c r="E11" s="6" t="s">
        <v>1032</v>
      </c>
      <c r="F11" s="66" t="s">
        <v>3</v>
      </c>
      <c r="G11" s="87" t="s">
        <v>3</v>
      </c>
      <c r="H11" s="82">
        <v>6.0592404018999999E-3</v>
      </c>
      <c r="I11" s="82">
        <v>5.4882529099999999E-5</v>
      </c>
      <c r="J11" s="82">
        <v>4.5543999999999999E-9</v>
      </c>
      <c r="K11" s="82">
        <v>4.5672910865737002</v>
      </c>
      <c r="L11" s="82">
        <v>3.4876237989E-3</v>
      </c>
      <c r="M11" s="82">
        <v>-2.2003250000000001E-7</v>
      </c>
    </row>
    <row r="12" spans="1:14" x14ac:dyDescent="0.25">
      <c r="A12" s="5">
        <v>9</v>
      </c>
      <c r="B12" s="5" t="s">
        <v>12</v>
      </c>
      <c r="C12" s="2" t="s">
        <v>17</v>
      </c>
      <c r="D12" s="6" t="s">
        <v>14</v>
      </c>
      <c r="E12" s="6" t="s">
        <v>1032</v>
      </c>
      <c r="F12" s="66" t="s">
        <v>3</v>
      </c>
      <c r="G12" s="87" t="s">
        <v>3</v>
      </c>
      <c r="H12" s="82">
        <v>2.5068926350000002E-3</v>
      </c>
      <c r="I12" s="82">
        <v>3.2762778699999998E-5</v>
      </c>
      <c r="J12" s="82">
        <v>1.6890000000000001E-9</v>
      </c>
      <c r="K12" s="82">
        <v>1.1836541331142001</v>
      </c>
      <c r="L12" s="82">
        <v>1.5549397284E-3</v>
      </c>
      <c r="M12" s="82">
        <v>-8.4301900000000004E-8</v>
      </c>
    </row>
    <row r="14" spans="1:14" x14ac:dyDescent="0.25">
      <c r="A14" s="1" t="s">
        <v>126</v>
      </c>
      <c r="B14" s="1"/>
      <c r="C14" s="1"/>
      <c r="G14" s="226" t="s">
        <v>120</v>
      </c>
      <c r="H14" s="226"/>
      <c r="I14" s="226"/>
      <c r="J14" s="226"/>
      <c r="K14" s="226"/>
      <c r="L14" s="226"/>
    </row>
    <row r="15" spans="1:14" x14ac:dyDescent="0.25">
      <c r="G15" s="226" t="s">
        <v>1163</v>
      </c>
      <c r="H15" s="226"/>
      <c r="I15" s="226"/>
      <c r="J15" s="259" t="s">
        <v>124</v>
      </c>
      <c r="K15" s="260"/>
      <c r="L15" s="261"/>
    </row>
    <row r="16" spans="1:14" x14ac:dyDescent="0.25">
      <c r="A16" s="5" t="s">
        <v>129</v>
      </c>
      <c r="B16" s="5" t="s">
        <v>1030</v>
      </c>
      <c r="C16" s="2" t="s">
        <v>1029</v>
      </c>
      <c r="D16" s="5" t="s">
        <v>5</v>
      </c>
      <c r="E16" s="5" t="s">
        <v>6</v>
      </c>
      <c r="F16" s="5"/>
      <c r="G16" s="5" t="s">
        <v>116</v>
      </c>
      <c r="H16" s="5" t="s">
        <v>122</v>
      </c>
      <c r="I16" s="5" t="s">
        <v>123</v>
      </c>
      <c r="J16" s="5" t="s">
        <v>116</v>
      </c>
      <c r="K16" s="5" t="s">
        <v>122</v>
      </c>
      <c r="L16" s="5" t="s">
        <v>123</v>
      </c>
      <c r="M16" s="11"/>
    </row>
    <row r="17" spans="1:14" x14ac:dyDescent="0.25">
      <c r="A17" s="5">
        <v>1</v>
      </c>
      <c r="B17" s="5" t="s">
        <v>17</v>
      </c>
      <c r="C17" s="2" t="s">
        <v>155</v>
      </c>
      <c r="D17" s="6" t="s">
        <v>17</v>
      </c>
      <c r="E17" s="76" t="s">
        <v>127</v>
      </c>
      <c r="F17" s="76"/>
      <c r="G17" s="165">
        <v>12.583549251000001</v>
      </c>
      <c r="H17" s="165">
        <v>3.2441068999999999E-3</v>
      </c>
      <c r="I17" s="165">
        <v>-2.8789999999999998E-7</v>
      </c>
      <c r="J17" s="82">
        <v>23.4622378997</v>
      </c>
      <c r="K17" s="82">
        <v>6.2223143000000002E-3</v>
      </c>
      <c r="L17" s="82">
        <v>-6.0950000000000005E-7</v>
      </c>
      <c r="M17" s="124"/>
      <c r="N17" t="s">
        <v>3</v>
      </c>
    </row>
    <row r="18" spans="1:14" x14ac:dyDescent="0.25">
      <c r="A18" s="5">
        <v>2</v>
      </c>
      <c r="B18" s="5" t="s">
        <v>17</v>
      </c>
      <c r="C18" s="2" t="s">
        <v>155</v>
      </c>
      <c r="D18" s="6" t="s">
        <v>12</v>
      </c>
      <c r="E18" s="76" t="s">
        <v>127</v>
      </c>
      <c r="F18" s="76"/>
      <c r="G18" s="165">
        <v>12.583549251000001</v>
      </c>
      <c r="H18" s="165">
        <v>3.2441068999999999E-3</v>
      </c>
      <c r="I18" s="165">
        <v>-2.8789999999999998E-7</v>
      </c>
      <c r="J18" s="82">
        <v>50.0156084479</v>
      </c>
      <c r="K18" s="82">
        <v>6.0901235999999996E-3</v>
      </c>
      <c r="L18" s="82">
        <v>-4.2730000000000002E-7</v>
      </c>
      <c r="M18" s="124"/>
    </row>
    <row r="19" spans="1:14" x14ac:dyDescent="0.25">
      <c r="A19" s="58">
        <v>3</v>
      </c>
      <c r="B19" s="58" t="s">
        <v>12</v>
      </c>
      <c r="C19" s="52" t="s">
        <v>155</v>
      </c>
      <c r="D19" s="6" t="s">
        <v>17</v>
      </c>
      <c r="E19" s="76" t="s">
        <v>127</v>
      </c>
      <c r="F19" s="76"/>
      <c r="G19" s="165">
        <v>10.5990068893</v>
      </c>
      <c r="H19" s="82">
        <v>2.5958863E-3</v>
      </c>
      <c r="I19" s="82">
        <v>-2.4130000000000002E-7</v>
      </c>
      <c r="J19" s="82">
        <v>18.279632983500001</v>
      </c>
      <c r="K19" s="82">
        <v>2.1591213000000001E-3</v>
      </c>
      <c r="L19" s="82">
        <v>-2.9000000000000002E-8</v>
      </c>
      <c r="M19" s="124"/>
    </row>
    <row r="20" spans="1:14" x14ac:dyDescent="0.25">
      <c r="A20" s="58">
        <v>4</v>
      </c>
      <c r="B20" s="58" t="s">
        <v>17</v>
      </c>
      <c r="C20" s="52" t="s">
        <v>14</v>
      </c>
      <c r="D20" s="6" t="s">
        <v>17</v>
      </c>
      <c r="E20" s="76" t="s">
        <v>127</v>
      </c>
      <c r="F20" s="76"/>
      <c r="G20" s="82">
        <v>10.3001345569</v>
      </c>
      <c r="H20" s="82">
        <v>2.7498523999999998E-3</v>
      </c>
      <c r="I20" s="82">
        <v>-1.9289999999999999E-7</v>
      </c>
      <c r="J20" s="82">
        <v>16.697216873399999</v>
      </c>
      <c r="K20" s="82">
        <v>5.5256461E-3</v>
      </c>
      <c r="L20" s="82">
        <v>-4.9569999999999997E-7</v>
      </c>
      <c r="M20" s="124"/>
    </row>
    <row r="21" spans="1:14" x14ac:dyDescent="0.25">
      <c r="A21" s="58">
        <v>5</v>
      </c>
      <c r="B21" s="58" t="s">
        <v>17</v>
      </c>
      <c r="C21" s="52" t="s">
        <v>14</v>
      </c>
      <c r="D21" s="6" t="s">
        <v>12</v>
      </c>
      <c r="E21" s="76" t="s">
        <v>127</v>
      </c>
      <c r="F21" s="76"/>
      <c r="G21" s="82">
        <v>10.3001345569</v>
      </c>
      <c r="H21" s="82">
        <v>2.7498523999999998E-3</v>
      </c>
      <c r="I21" s="82">
        <v>-1.9289999999999999E-7</v>
      </c>
      <c r="J21" s="82">
        <v>34.829369506299997</v>
      </c>
      <c r="K21" s="82">
        <v>8.4272954999999993E-3</v>
      </c>
      <c r="L21" s="82">
        <v>-6.7380000000000001E-7</v>
      </c>
      <c r="M21" s="124"/>
    </row>
    <row r="22" spans="1:14" x14ac:dyDescent="0.25">
      <c r="A22" s="58">
        <v>6</v>
      </c>
      <c r="B22" s="58" t="s">
        <v>12</v>
      </c>
      <c r="C22" s="52" t="s">
        <v>14</v>
      </c>
      <c r="D22" s="6" t="s">
        <v>17</v>
      </c>
      <c r="E22" s="76" t="s">
        <v>127</v>
      </c>
      <c r="F22" s="76"/>
      <c r="G22" s="82">
        <v>8.7782837349000005</v>
      </c>
      <c r="H22" s="82">
        <v>2.1889039000000002E-3</v>
      </c>
      <c r="I22" s="82">
        <v>-1.501E-7</v>
      </c>
      <c r="J22" s="82">
        <v>11.1553045026</v>
      </c>
      <c r="K22" s="82">
        <v>0</v>
      </c>
      <c r="L22" s="82">
        <v>-2.5310000000000001E-7</v>
      </c>
      <c r="M22" s="124"/>
    </row>
    <row r="24" spans="1:14" x14ac:dyDescent="0.25">
      <c r="A24" s="1" t="s">
        <v>128</v>
      </c>
      <c r="B24" s="1"/>
      <c r="C24" s="1"/>
      <c r="H24" s="275" t="s">
        <v>120</v>
      </c>
      <c r="I24" s="275"/>
      <c r="J24" s="275"/>
    </row>
    <row r="25" spans="1:14" x14ac:dyDescent="0.25">
      <c r="H25" s="226" t="s">
        <v>121</v>
      </c>
      <c r="I25" s="226"/>
      <c r="J25" s="226"/>
      <c r="K25" s="226" t="s">
        <v>124</v>
      </c>
      <c r="L25" s="226"/>
      <c r="M25" s="226"/>
    </row>
    <row r="26" spans="1:14" x14ac:dyDescent="0.25">
      <c r="A26" s="5" t="s">
        <v>129</v>
      </c>
      <c r="B26" s="5" t="s">
        <v>1030</v>
      </c>
      <c r="C26" s="2" t="s">
        <v>5</v>
      </c>
      <c r="D26" s="5" t="s">
        <v>1029</v>
      </c>
      <c r="E26" s="5" t="s">
        <v>146</v>
      </c>
      <c r="F26" s="5" t="s">
        <v>6</v>
      </c>
      <c r="G26" s="74"/>
      <c r="H26" s="5" t="s">
        <v>116</v>
      </c>
      <c r="I26" s="5" t="s">
        <v>122</v>
      </c>
      <c r="J26" s="5" t="s">
        <v>123</v>
      </c>
      <c r="K26" s="5" t="s">
        <v>116</v>
      </c>
      <c r="L26" s="5" t="s">
        <v>122</v>
      </c>
      <c r="M26" s="5" t="s">
        <v>123</v>
      </c>
    </row>
    <row r="27" spans="1:14" x14ac:dyDescent="0.25">
      <c r="A27" s="5">
        <v>1</v>
      </c>
      <c r="B27" s="5" t="s">
        <v>17</v>
      </c>
      <c r="C27" s="78" t="s">
        <v>127</v>
      </c>
      <c r="D27" s="6" t="s">
        <v>155</v>
      </c>
      <c r="E27" s="6" t="s">
        <v>132</v>
      </c>
      <c r="F27" s="66" t="s">
        <v>141</v>
      </c>
      <c r="G27" s="76"/>
      <c r="H27" s="82">
        <v>50.149568919899998</v>
      </c>
      <c r="I27" s="82">
        <v>-3.9337621999999996E-3</v>
      </c>
      <c r="J27" s="82">
        <v>6.624E-7</v>
      </c>
      <c r="K27" s="82">
        <v>50.149568919899998</v>
      </c>
      <c r="L27" s="82">
        <v>-3.9337621999999996E-3</v>
      </c>
      <c r="M27" s="82">
        <v>6.624E-7</v>
      </c>
    </row>
    <row r="28" spans="1:14" x14ac:dyDescent="0.25">
      <c r="A28" s="5">
        <v>2</v>
      </c>
      <c r="B28" s="5" t="s">
        <v>12</v>
      </c>
      <c r="C28" s="78" t="s">
        <v>127</v>
      </c>
      <c r="D28" s="6" t="s">
        <v>155</v>
      </c>
      <c r="E28" s="6" t="s">
        <v>132</v>
      </c>
      <c r="F28" s="66" t="s">
        <v>141</v>
      </c>
      <c r="G28" s="76"/>
      <c r="H28" s="82">
        <v>42.489195614099998</v>
      </c>
      <c r="I28" s="82">
        <v>-2.6420184E-3</v>
      </c>
      <c r="J28" s="82">
        <v>5.102E-7</v>
      </c>
      <c r="K28" s="82">
        <v>42.489195614099998</v>
      </c>
      <c r="L28" s="82">
        <v>-2.6420184E-3</v>
      </c>
      <c r="M28" s="82">
        <v>5.102E-7</v>
      </c>
    </row>
    <row r="29" spans="1:14" x14ac:dyDescent="0.25">
      <c r="A29" s="5">
        <v>3</v>
      </c>
      <c r="B29" s="5" t="s">
        <v>17</v>
      </c>
      <c r="C29" s="78" t="s">
        <v>127</v>
      </c>
      <c r="D29" s="6" t="s">
        <v>14</v>
      </c>
      <c r="E29" s="6" t="s">
        <v>140</v>
      </c>
      <c r="F29" s="66" t="s">
        <v>141</v>
      </c>
      <c r="G29" s="76"/>
      <c r="H29" s="82">
        <v>47.667248969100001</v>
      </c>
      <c r="I29" s="82">
        <v>-3.8797311E-3</v>
      </c>
      <c r="J29" s="82">
        <v>6.6069999999999998E-7</v>
      </c>
      <c r="K29" s="82">
        <v>47.667248969100001</v>
      </c>
      <c r="L29" s="82">
        <v>-3.8797311E-3</v>
      </c>
      <c r="M29" s="82">
        <v>6.6069999999999998E-7</v>
      </c>
    </row>
    <row r="30" spans="1:14" x14ac:dyDescent="0.25">
      <c r="A30" s="5">
        <v>4</v>
      </c>
      <c r="B30" s="5" t="s">
        <v>12</v>
      </c>
      <c r="C30" s="78" t="s">
        <v>127</v>
      </c>
      <c r="D30" s="6" t="s">
        <v>14</v>
      </c>
      <c r="E30" s="6" t="s">
        <v>140</v>
      </c>
      <c r="F30" s="66" t="s">
        <v>141</v>
      </c>
      <c r="G30" s="76"/>
      <c r="H30" s="82">
        <v>44.867633981399997</v>
      </c>
      <c r="I30" s="82">
        <v>-3.5527412E-3</v>
      </c>
      <c r="J30" s="82">
        <v>5.6710000000000004E-7</v>
      </c>
      <c r="K30" s="82">
        <v>44.867633981399997</v>
      </c>
      <c r="L30" s="82">
        <v>-3.5527412E-3</v>
      </c>
      <c r="M30" s="82">
        <v>5.6710000000000004E-7</v>
      </c>
    </row>
    <row r="31" spans="1:14" x14ac:dyDescent="0.25">
      <c r="A31" s="5">
        <v>5</v>
      </c>
      <c r="B31" s="5" t="s">
        <v>17</v>
      </c>
      <c r="C31" s="78" t="s">
        <v>127</v>
      </c>
      <c r="D31" s="6" t="s">
        <v>14</v>
      </c>
      <c r="E31" s="6" t="s">
        <v>140</v>
      </c>
      <c r="F31" s="66" t="s">
        <v>142</v>
      </c>
      <c r="G31" s="76"/>
      <c r="H31" s="82">
        <v>47.776849460299999</v>
      </c>
      <c r="I31" s="82">
        <v>-3.4438451000000001E-3</v>
      </c>
      <c r="J31" s="82">
        <v>7.2030000000000001E-7</v>
      </c>
      <c r="K31" s="82">
        <v>47.776849460299999</v>
      </c>
      <c r="L31" s="82">
        <v>-3.4438451000000001E-3</v>
      </c>
      <c r="M31" s="82">
        <v>7.2030000000000001E-7</v>
      </c>
    </row>
    <row r="32" spans="1:14" x14ac:dyDescent="0.25">
      <c r="A32" s="5">
        <v>6</v>
      </c>
      <c r="B32" s="5" t="s">
        <v>12</v>
      </c>
      <c r="C32" s="78" t="s">
        <v>127</v>
      </c>
      <c r="D32" s="6" t="s">
        <v>14</v>
      </c>
      <c r="E32" s="6" t="s">
        <v>140</v>
      </c>
      <c r="F32" s="66" t="s">
        <v>142</v>
      </c>
      <c r="G32" s="76"/>
      <c r="H32" s="82">
        <v>44.953053420000003</v>
      </c>
      <c r="I32" s="82">
        <v>-3.2698766999999999E-3</v>
      </c>
      <c r="J32" s="82">
        <v>6.2269999999999998E-7</v>
      </c>
      <c r="K32" s="82">
        <v>44.953053420000003</v>
      </c>
      <c r="L32" s="82">
        <v>-3.2698766999999999E-3</v>
      </c>
      <c r="M32" s="82">
        <v>6.2269999999999998E-7</v>
      </c>
    </row>
    <row r="34" spans="1:11" x14ac:dyDescent="0.25">
      <c r="A34" s="1" t="s">
        <v>1194</v>
      </c>
    </row>
    <row r="35" spans="1:11" x14ac:dyDescent="0.25">
      <c r="A35" s="2" t="s">
        <v>3</v>
      </c>
      <c r="B35" s="2"/>
      <c r="C35" s="2"/>
      <c r="D35" s="2"/>
      <c r="E35" s="2"/>
      <c r="F35" s="2"/>
      <c r="G35" s="2"/>
      <c r="H35" s="2"/>
      <c r="I35" s="2"/>
      <c r="J35" s="2"/>
      <c r="K35" s="2"/>
    </row>
    <row r="36" spans="1:11" x14ac:dyDescent="0.25">
      <c r="A36" s="2" t="s">
        <v>129</v>
      </c>
      <c r="B36" s="2" t="s">
        <v>1030</v>
      </c>
      <c r="C36" s="2" t="s">
        <v>190</v>
      </c>
      <c r="D36" s="2" t="s">
        <v>17</v>
      </c>
      <c r="E36" s="2" t="s">
        <v>1198</v>
      </c>
      <c r="F36" s="2" t="s">
        <v>6</v>
      </c>
      <c r="G36" s="2"/>
      <c r="H36" s="2" t="s">
        <v>116</v>
      </c>
      <c r="I36" s="2" t="s">
        <v>122</v>
      </c>
      <c r="J36" s="2" t="s">
        <v>123</v>
      </c>
      <c r="K36" s="2" t="s">
        <v>1193</v>
      </c>
    </row>
    <row r="37" spans="1:11" x14ac:dyDescent="0.25">
      <c r="A37" s="5">
        <v>1</v>
      </c>
      <c r="B37" s="2" t="s">
        <v>17</v>
      </c>
      <c r="C37" s="2" t="s">
        <v>17</v>
      </c>
      <c r="D37" s="2" t="s">
        <v>155</v>
      </c>
      <c r="E37" s="2" t="s">
        <v>132</v>
      </c>
      <c r="F37" s="2" t="s">
        <v>141</v>
      </c>
      <c r="G37" s="2"/>
      <c r="H37" s="186">
        <v>0.86042575187799997</v>
      </c>
      <c r="I37" s="186">
        <v>-2.27590531E-5</v>
      </c>
      <c r="J37" s="186">
        <v>2.5496E-9</v>
      </c>
      <c r="K37" s="186">
        <v>-1E-13</v>
      </c>
    </row>
    <row r="38" spans="1:11" x14ac:dyDescent="0.25">
      <c r="A38" s="5">
        <v>2</v>
      </c>
      <c r="B38" s="2" t="s">
        <v>17</v>
      </c>
      <c r="C38" s="2" t="s">
        <v>12</v>
      </c>
      <c r="D38" s="2" t="s">
        <v>155</v>
      </c>
      <c r="E38" s="2" t="s">
        <v>132</v>
      </c>
      <c r="F38" s="2" t="s">
        <v>141</v>
      </c>
      <c r="G38" s="2"/>
      <c r="H38" s="186">
        <v>0.86042575187799997</v>
      </c>
      <c r="I38" s="186">
        <v>-2.27590531E-5</v>
      </c>
      <c r="J38" s="186">
        <v>2.5496E-9</v>
      </c>
      <c r="K38" s="186">
        <v>-1E-13</v>
      </c>
    </row>
    <row r="39" spans="1:11" x14ac:dyDescent="0.25">
      <c r="A39" s="5">
        <v>3</v>
      </c>
      <c r="B39" s="2" t="s">
        <v>12</v>
      </c>
      <c r="C39" s="2" t="s">
        <v>17</v>
      </c>
      <c r="D39" s="2" t="s">
        <v>155</v>
      </c>
      <c r="E39" s="2" t="s">
        <v>132</v>
      </c>
      <c r="F39" s="2" t="s">
        <v>141</v>
      </c>
      <c r="G39" s="2"/>
      <c r="H39" s="186">
        <v>0.86042575187799997</v>
      </c>
      <c r="I39" s="186">
        <v>-2.27590531E-5</v>
      </c>
      <c r="J39" s="186">
        <v>2.5496E-9</v>
      </c>
      <c r="K39" s="186">
        <v>-1E-13</v>
      </c>
    </row>
    <row r="40" spans="1:11" x14ac:dyDescent="0.25">
      <c r="A40" s="5">
        <v>4</v>
      </c>
      <c r="B40" s="2" t="s">
        <v>17</v>
      </c>
      <c r="C40" s="2" t="s">
        <v>17</v>
      </c>
      <c r="D40" s="2" t="s">
        <v>14</v>
      </c>
      <c r="E40" s="2" t="s">
        <v>140</v>
      </c>
      <c r="F40" s="2" t="s">
        <v>141</v>
      </c>
      <c r="G40" s="2"/>
      <c r="H40" s="186">
        <v>0.86042575187799997</v>
      </c>
      <c r="I40" s="186">
        <v>-2.27590531E-5</v>
      </c>
      <c r="J40" s="186">
        <v>2.5496E-9</v>
      </c>
      <c r="K40" s="186">
        <v>-1E-13</v>
      </c>
    </row>
    <row r="41" spans="1:11" x14ac:dyDescent="0.25">
      <c r="A41" s="5">
        <v>5</v>
      </c>
      <c r="B41" s="2" t="s">
        <v>17</v>
      </c>
      <c r="C41" s="2" t="s">
        <v>12</v>
      </c>
      <c r="D41" s="2" t="s">
        <v>14</v>
      </c>
      <c r="E41" s="2" t="s">
        <v>140</v>
      </c>
      <c r="F41" s="2" t="s">
        <v>141</v>
      </c>
      <c r="G41" s="2"/>
      <c r="H41" s="187">
        <v>0.86042575187799997</v>
      </c>
      <c r="I41" s="187">
        <v>-2.27590531E-5</v>
      </c>
      <c r="J41" s="187">
        <v>2.5496E-9</v>
      </c>
      <c r="K41" s="187">
        <v>-1E-13</v>
      </c>
    </row>
    <row r="42" spans="1:11" x14ac:dyDescent="0.25">
      <c r="A42" s="5">
        <v>6</v>
      </c>
      <c r="B42" s="2" t="s">
        <v>12</v>
      </c>
      <c r="C42" s="2" t="s">
        <v>17</v>
      </c>
      <c r="D42" s="2" t="s">
        <v>14</v>
      </c>
      <c r="E42" s="2" t="s">
        <v>140</v>
      </c>
      <c r="F42" s="2" t="s">
        <v>141</v>
      </c>
      <c r="G42" s="2"/>
      <c r="H42" s="186">
        <v>0.86042575187799997</v>
      </c>
      <c r="I42" s="186">
        <v>-2.27590531E-5</v>
      </c>
      <c r="J42" s="186">
        <v>2.5496E-9</v>
      </c>
      <c r="K42" s="186">
        <v>-1E-13</v>
      </c>
    </row>
    <row r="43" spans="1:11" x14ac:dyDescent="0.25">
      <c r="A43" s="5">
        <v>7</v>
      </c>
      <c r="B43" s="2" t="s">
        <v>17</v>
      </c>
      <c r="C43" s="2" t="s">
        <v>17</v>
      </c>
      <c r="D43" s="2" t="s">
        <v>14</v>
      </c>
      <c r="E43" s="2" t="s">
        <v>140</v>
      </c>
      <c r="F43" s="2" t="s">
        <v>142</v>
      </c>
      <c r="G43" s="2"/>
      <c r="H43" s="186">
        <v>0.86042575187799997</v>
      </c>
      <c r="I43" s="186">
        <v>-2.27590531E-5</v>
      </c>
      <c r="J43" s="186">
        <v>2.5496E-9</v>
      </c>
      <c r="K43" s="186">
        <v>-1E-13</v>
      </c>
    </row>
    <row r="44" spans="1:11" x14ac:dyDescent="0.25">
      <c r="A44" s="5">
        <v>8</v>
      </c>
      <c r="B44" s="2" t="s">
        <v>17</v>
      </c>
      <c r="C44" s="2" t="s">
        <v>12</v>
      </c>
      <c r="D44" s="2" t="s">
        <v>14</v>
      </c>
      <c r="E44" s="2" t="s">
        <v>140</v>
      </c>
      <c r="F44" s="2" t="s">
        <v>142</v>
      </c>
      <c r="G44" s="2"/>
      <c r="H44" s="186">
        <v>0.86042575187799997</v>
      </c>
      <c r="I44" s="186">
        <v>-2.27590531E-5</v>
      </c>
      <c r="J44" s="186">
        <v>2.5496E-9</v>
      </c>
      <c r="K44" s="186">
        <v>-1E-13</v>
      </c>
    </row>
    <row r="45" spans="1:11" x14ac:dyDescent="0.25">
      <c r="A45" s="5">
        <v>9</v>
      </c>
      <c r="B45" s="2" t="s">
        <v>12</v>
      </c>
      <c r="C45" s="2" t="s">
        <v>17</v>
      </c>
      <c r="D45" s="2" t="s">
        <v>14</v>
      </c>
      <c r="E45" s="2" t="s">
        <v>140</v>
      </c>
      <c r="F45" s="2" t="s">
        <v>142</v>
      </c>
      <c r="G45" s="2"/>
      <c r="H45" s="186">
        <v>0.86042575187799997</v>
      </c>
      <c r="I45" s="186">
        <v>-2.27590531E-5</v>
      </c>
      <c r="J45" s="186">
        <v>2.5496E-9</v>
      </c>
      <c r="K45" s="186">
        <v>-1E-13</v>
      </c>
    </row>
    <row r="47" spans="1:11" x14ac:dyDescent="0.25">
      <c r="A47" s="1" t="s">
        <v>1196</v>
      </c>
    </row>
    <row r="48" spans="1:11" x14ac:dyDescent="0.25">
      <c r="A48" s="2" t="s">
        <v>3</v>
      </c>
      <c r="B48" s="2"/>
      <c r="C48" s="2"/>
      <c r="D48" s="2"/>
      <c r="E48" s="2"/>
      <c r="F48" s="2"/>
      <c r="G48" s="2"/>
      <c r="H48" s="2"/>
      <c r="I48" s="2"/>
      <c r="J48" s="2"/>
      <c r="K48" s="2"/>
    </row>
    <row r="49" spans="1:11" x14ac:dyDescent="0.25">
      <c r="A49" s="2" t="s">
        <v>129</v>
      </c>
      <c r="B49" s="2" t="s">
        <v>1030</v>
      </c>
      <c r="C49" s="2" t="s">
        <v>190</v>
      </c>
      <c r="D49" s="2" t="s">
        <v>1029</v>
      </c>
      <c r="E49" s="2" t="s">
        <v>1198</v>
      </c>
      <c r="F49" s="2" t="s">
        <v>6</v>
      </c>
      <c r="G49" s="2"/>
      <c r="H49" s="2" t="s">
        <v>116</v>
      </c>
      <c r="I49" s="2" t="s">
        <v>122</v>
      </c>
      <c r="J49" s="2" t="s">
        <v>123</v>
      </c>
      <c r="K49" s="2" t="s">
        <v>1193</v>
      </c>
    </row>
    <row r="50" spans="1:11" x14ac:dyDescent="0.25">
      <c r="A50" s="185">
        <v>1</v>
      </c>
      <c r="B50" s="2" t="s">
        <v>17</v>
      </c>
      <c r="C50" s="2" t="s">
        <v>17</v>
      </c>
      <c r="D50" s="2" t="s">
        <v>155</v>
      </c>
      <c r="E50" s="2" t="s">
        <v>132</v>
      </c>
      <c r="F50" s="2" t="s">
        <v>141</v>
      </c>
      <c r="G50" s="2"/>
      <c r="H50" s="186">
        <v>0.9648702694861</v>
      </c>
      <c r="I50" s="186">
        <v>-4.3579467199999998E-5</v>
      </c>
      <c r="J50" s="186">
        <v>1.02803E-8</v>
      </c>
      <c r="K50" s="186">
        <v>-9.9999999999999998E-13</v>
      </c>
    </row>
    <row r="51" spans="1:11" x14ac:dyDescent="0.25">
      <c r="A51" s="185">
        <v>2</v>
      </c>
      <c r="B51" s="2" t="s">
        <v>17</v>
      </c>
      <c r="C51" s="2" t="s">
        <v>12</v>
      </c>
      <c r="D51" s="2" t="s">
        <v>155</v>
      </c>
      <c r="E51" s="2" t="s">
        <v>132</v>
      </c>
      <c r="F51" s="2" t="s">
        <v>141</v>
      </c>
      <c r="G51" s="2"/>
      <c r="H51" s="187">
        <v>0.9648702694861</v>
      </c>
      <c r="I51" s="187">
        <v>-4.3579467199999998E-5</v>
      </c>
      <c r="J51" s="187">
        <v>1.02803E-8</v>
      </c>
      <c r="K51" s="187">
        <v>-9.9999999999999998E-13</v>
      </c>
    </row>
    <row r="52" spans="1:11" x14ac:dyDescent="0.25">
      <c r="A52" s="185">
        <v>3</v>
      </c>
      <c r="B52" s="2" t="s">
        <v>12</v>
      </c>
      <c r="C52" s="2" t="s">
        <v>17</v>
      </c>
      <c r="D52" s="2" t="s">
        <v>155</v>
      </c>
      <c r="E52" s="2" t="s">
        <v>132</v>
      </c>
      <c r="F52" s="2" t="s">
        <v>141</v>
      </c>
      <c r="G52" s="2"/>
      <c r="H52" s="186">
        <v>0.9648702694861</v>
      </c>
      <c r="I52" s="186">
        <v>-4.3579467199999998E-5</v>
      </c>
      <c r="J52" s="186">
        <v>1.02803E-8</v>
      </c>
      <c r="K52" s="186">
        <v>-9.9999999999999998E-13</v>
      </c>
    </row>
    <row r="53" spans="1:11" x14ac:dyDescent="0.25">
      <c r="A53" s="5">
        <f>A40</f>
        <v>4</v>
      </c>
      <c r="B53" s="2" t="str">
        <f>B40</f>
        <v>Single</v>
      </c>
      <c r="C53" s="2" t="str">
        <f t="shared" ref="C53:F53" si="0">C40</f>
        <v>Single</v>
      </c>
      <c r="D53" s="2" t="str">
        <f t="shared" si="0"/>
        <v>Mid</v>
      </c>
      <c r="E53" s="2" t="str">
        <f t="shared" si="0"/>
        <v>FCU</v>
      </c>
      <c r="F53" s="2" t="str">
        <f t="shared" si="0"/>
        <v>Elec</v>
      </c>
      <c r="G53" s="2"/>
      <c r="H53" s="186">
        <v>0.9648702694861</v>
      </c>
      <c r="I53" s="186">
        <v>-4.3579467199999998E-5</v>
      </c>
      <c r="J53" s="186">
        <v>1.02803E-8</v>
      </c>
      <c r="K53" s="186">
        <v>-9.9999999999999998E-13</v>
      </c>
    </row>
    <row r="54" spans="1:11" x14ac:dyDescent="0.25">
      <c r="A54" s="5">
        <f t="shared" ref="A54:F58" si="1">A41</f>
        <v>5</v>
      </c>
      <c r="B54" s="2" t="str">
        <f t="shared" si="1"/>
        <v>Single</v>
      </c>
      <c r="C54" s="2" t="str">
        <f t="shared" si="1"/>
        <v>Double</v>
      </c>
      <c r="D54" s="2" t="str">
        <f t="shared" si="1"/>
        <v>Mid</v>
      </c>
      <c r="E54" s="2" t="str">
        <f t="shared" si="1"/>
        <v>FCU</v>
      </c>
      <c r="F54" s="2" t="str">
        <f t="shared" si="1"/>
        <v>Elec</v>
      </c>
      <c r="G54" s="2"/>
      <c r="H54" s="186">
        <v>0.9648702694861</v>
      </c>
      <c r="I54" s="186">
        <v>-4.3579467199999998E-5</v>
      </c>
      <c r="J54" s="186">
        <v>1.02803E-8</v>
      </c>
      <c r="K54" s="186">
        <v>-9.9999999999999998E-13</v>
      </c>
    </row>
    <row r="55" spans="1:11" x14ac:dyDescent="0.25">
      <c r="A55" s="5">
        <f t="shared" si="1"/>
        <v>6</v>
      </c>
      <c r="B55" s="2" t="str">
        <f t="shared" si="1"/>
        <v>Double</v>
      </c>
      <c r="C55" s="2" t="str">
        <f t="shared" si="1"/>
        <v>Single</v>
      </c>
      <c r="D55" s="2" t="str">
        <f t="shared" si="1"/>
        <v>Mid</v>
      </c>
      <c r="E55" s="2" t="str">
        <f t="shared" si="1"/>
        <v>FCU</v>
      </c>
      <c r="F55" s="2" t="str">
        <f t="shared" si="1"/>
        <v>Elec</v>
      </c>
      <c r="G55" s="2"/>
      <c r="H55" s="186">
        <v>0.9648702694861</v>
      </c>
      <c r="I55" s="186">
        <v>-4.3579467199999998E-5</v>
      </c>
      <c r="J55" s="186">
        <v>1.02803E-8</v>
      </c>
      <c r="K55" s="186">
        <v>-9.9999999999999998E-13</v>
      </c>
    </row>
    <row r="56" spans="1:11" x14ac:dyDescent="0.25">
      <c r="A56" s="5">
        <f t="shared" si="1"/>
        <v>7</v>
      </c>
      <c r="B56" s="2" t="str">
        <f t="shared" si="1"/>
        <v>Single</v>
      </c>
      <c r="C56" s="2" t="str">
        <f t="shared" si="1"/>
        <v>Single</v>
      </c>
      <c r="D56" s="2" t="str">
        <f t="shared" si="1"/>
        <v>Mid</v>
      </c>
      <c r="E56" s="2" t="str">
        <f t="shared" si="1"/>
        <v>FCU</v>
      </c>
      <c r="F56" s="2" t="str">
        <f t="shared" si="1"/>
        <v>Gas</v>
      </c>
      <c r="G56" s="2"/>
      <c r="H56" s="186">
        <v>0.9648702694861</v>
      </c>
      <c r="I56" s="186">
        <v>-4.3579467199999998E-5</v>
      </c>
      <c r="J56" s="186">
        <v>1.02803E-8</v>
      </c>
      <c r="K56" s="186">
        <v>-9.9999999999999998E-13</v>
      </c>
    </row>
    <row r="57" spans="1:11" x14ac:dyDescent="0.25">
      <c r="A57" s="5">
        <f t="shared" si="1"/>
        <v>8</v>
      </c>
      <c r="B57" s="2" t="str">
        <f t="shared" si="1"/>
        <v>Single</v>
      </c>
      <c r="C57" s="2" t="str">
        <f t="shared" si="1"/>
        <v>Double</v>
      </c>
      <c r="D57" s="2" t="str">
        <f t="shared" si="1"/>
        <v>Mid</v>
      </c>
      <c r="E57" s="2" t="str">
        <f t="shared" si="1"/>
        <v>FCU</v>
      </c>
      <c r="F57" s="2" t="str">
        <f t="shared" si="1"/>
        <v>Gas</v>
      </c>
      <c r="G57" s="2"/>
      <c r="H57" s="186">
        <v>0.9648702694861</v>
      </c>
      <c r="I57" s="186">
        <v>-4.3579467199999998E-5</v>
      </c>
      <c r="J57" s="186">
        <v>1.02803E-8</v>
      </c>
      <c r="K57" s="186">
        <v>-9.9999999999999998E-13</v>
      </c>
    </row>
    <row r="58" spans="1:11" x14ac:dyDescent="0.25">
      <c r="A58" s="5">
        <f t="shared" si="1"/>
        <v>9</v>
      </c>
      <c r="B58" s="2" t="str">
        <f t="shared" si="1"/>
        <v>Double</v>
      </c>
      <c r="C58" s="2" t="str">
        <f t="shared" si="1"/>
        <v>Single</v>
      </c>
      <c r="D58" s="2" t="str">
        <f t="shared" si="1"/>
        <v>Mid</v>
      </c>
      <c r="E58" s="2" t="str">
        <f t="shared" si="1"/>
        <v>FCU</v>
      </c>
      <c r="F58" s="2" t="str">
        <f t="shared" si="1"/>
        <v>Gas</v>
      </c>
      <c r="G58" s="2"/>
      <c r="H58" s="186">
        <v>0.9648702694861</v>
      </c>
      <c r="I58" s="186">
        <v>-4.3579467199999998E-5</v>
      </c>
      <c r="J58" s="186">
        <v>1.02803E-8</v>
      </c>
      <c r="K58" s="186">
        <v>-9.9999999999999998E-13</v>
      </c>
    </row>
    <row r="60" spans="1:11" x14ac:dyDescent="0.25">
      <c r="A60" s="1" t="s">
        <v>1214</v>
      </c>
      <c r="H60" s="5" t="s">
        <v>116</v>
      </c>
      <c r="I60" s="5" t="s">
        <v>122</v>
      </c>
      <c r="J60" s="5" t="s">
        <v>123</v>
      </c>
      <c r="K60" s="5" t="s">
        <v>1193</v>
      </c>
    </row>
    <row r="61" spans="1:11" x14ac:dyDescent="0.25">
      <c r="A61" t="s">
        <v>1218</v>
      </c>
      <c r="H61" s="181">
        <v>0.86171734759999996</v>
      </c>
      <c r="I61" s="181">
        <v>-2.9049480999999999E-4</v>
      </c>
      <c r="J61" s="181">
        <v>7.4999999999999997E-8</v>
      </c>
      <c r="K61" s="181">
        <v>-9.9999999999999994E-12</v>
      </c>
    </row>
    <row r="62" spans="1:11" x14ac:dyDescent="0.25">
      <c r="A62" t="s">
        <v>1219</v>
      </c>
      <c r="H62" s="181">
        <v>0.64499207696000005</v>
      </c>
      <c r="I62" s="181">
        <v>-3.5282915999999999E-4</v>
      </c>
      <c r="J62" s="181">
        <v>9.5830000000000005E-8</v>
      </c>
      <c r="K62" s="181">
        <v>-9.9999999999999994E-12</v>
      </c>
    </row>
  </sheetData>
  <mergeCells count="9">
    <mergeCell ref="H24:J24"/>
    <mergeCell ref="H25:J25"/>
    <mergeCell ref="K25:M25"/>
    <mergeCell ref="H1:M1"/>
    <mergeCell ref="H2:J2"/>
    <mergeCell ref="K2:M2"/>
    <mergeCell ref="G15:I15"/>
    <mergeCell ref="J15:L15"/>
    <mergeCell ref="G14:L14"/>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BH64"/>
  <sheetViews>
    <sheetView topLeftCell="AS7" workbookViewId="0">
      <selection activeCell="G8" sqref="G8"/>
    </sheetView>
  </sheetViews>
  <sheetFormatPr defaultRowHeight="15" x14ac:dyDescent="0.25"/>
  <cols>
    <col min="1" max="1" width="25.140625" customWidth="1"/>
    <col min="2" max="7" width="16.140625" customWidth="1"/>
    <col min="8" max="8" width="18.28515625" bestFit="1" customWidth="1"/>
    <col min="9" max="9" width="17.28515625" bestFit="1" customWidth="1"/>
    <col min="10" max="10" width="16.140625" customWidth="1"/>
    <col min="11" max="11" width="17.42578125" bestFit="1" customWidth="1"/>
    <col min="12" max="13" width="16.140625" customWidth="1"/>
    <col min="14" max="14" width="17.85546875" customWidth="1"/>
    <col min="15" max="22" width="16.140625" customWidth="1"/>
    <col min="23" max="23" width="19.7109375" bestFit="1" customWidth="1"/>
    <col min="24" max="24" width="19.42578125" bestFit="1" customWidth="1"/>
    <col min="25" max="27" width="16.140625" customWidth="1"/>
    <col min="28" max="28" width="17.85546875" customWidth="1"/>
    <col min="29" max="30" width="16.140625" customWidth="1"/>
    <col min="31" max="31" width="20.85546875" bestFit="1" customWidth="1"/>
    <col min="32" max="32" width="16.7109375" bestFit="1" customWidth="1"/>
    <col min="33" max="33" width="17.85546875" bestFit="1" customWidth="1"/>
    <col min="34" max="34" width="16.140625" customWidth="1"/>
    <col min="35" max="35" width="19.5703125" bestFit="1" customWidth="1"/>
    <col min="36" max="36" width="18.42578125" bestFit="1" customWidth="1"/>
    <col min="37" max="39" width="16.140625" customWidth="1"/>
    <col min="40" max="40" width="18.42578125" bestFit="1" customWidth="1"/>
    <col min="41" max="41" width="18.140625" bestFit="1" customWidth="1"/>
    <col min="42" max="42" width="19.5703125" bestFit="1" customWidth="1"/>
    <col min="43" max="43" width="18.42578125" bestFit="1" customWidth="1"/>
    <col min="44" max="45" width="16.140625" customWidth="1"/>
    <col min="46" max="46" width="16.85546875" bestFit="1" customWidth="1"/>
    <col min="47" max="48" width="16.140625" customWidth="1"/>
    <col min="49" max="49" width="17.85546875" customWidth="1"/>
    <col min="50" max="50" width="18.7109375" bestFit="1" customWidth="1"/>
    <col min="51" max="53" width="16.140625" customWidth="1"/>
    <col min="54" max="54" width="12.85546875" customWidth="1"/>
    <col min="55" max="55" width="17.7109375" customWidth="1"/>
    <col min="56" max="56" width="41.42578125" customWidth="1"/>
    <col min="57" max="57" width="18" customWidth="1"/>
  </cols>
  <sheetData>
    <row r="1" spans="1:60" x14ac:dyDescent="0.25">
      <c r="A1" t="s">
        <v>0</v>
      </c>
      <c r="B1" s="1" t="s">
        <v>69</v>
      </c>
      <c r="C1" s="1" t="s">
        <v>223</v>
      </c>
      <c r="D1" s="1" t="s">
        <v>224</v>
      </c>
      <c r="E1" s="1" t="s">
        <v>225</v>
      </c>
      <c r="F1" s="1" t="s">
        <v>226</v>
      </c>
      <c r="G1" s="1" t="s">
        <v>227</v>
      </c>
      <c r="H1" s="1" t="s">
        <v>228</v>
      </c>
      <c r="I1" s="1" t="s">
        <v>229</v>
      </c>
      <c r="J1" s="1" t="s">
        <v>230</v>
      </c>
      <c r="K1" s="1" t="s">
        <v>231</v>
      </c>
      <c r="L1" s="1" t="s">
        <v>232</v>
      </c>
      <c r="M1" s="1" t="s">
        <v>233</v>
      </c>
      <c r="N1" s="1" t="s">
        <v>72</v>
      </c>
      <c r="O1" s="1" t="s">
        <v>234</v>
      </c>
      <c r="P1" s="1" t="s">
        <v>235</v>
      </c>
      <c r="Q1" s="1" t="s">
        <v>236</v>
      </c>
      <c r="R1" s="1" t="s">
        <v>237</v>
      </c>
      <c r="S1" s="1" t="s">
        <v>238</v>
      </c>
      <c r="T1" s="1" t="s">
        <v>239</v>
      </c>
      <c r="U1" s="1" t="s">
        <v>240</v>
      </c>
      <c r="V1" s="1" t="s">
        <v>241</v>
      </c>
      <c r="W1" s="1" t="s">
        <v>242</v>
      </c>
      <c r="X1" s="1" t="s">
        <v>243</v>
      </c>
      <c r="Y1" s="1" t="s">
        <v>268</v>
      </c>
      <c r="Z1" s="1" t="s">
        <v>244</v>
      </c>
      <c r="AA1" s="1" t="s">
        <v>245</v>
      </c>
      <c r="AB1" s="1" t="s">
        <v>73</v>
      </c>
      <c r="AC1" s="1" t="s">
        <v>246</v>
      </c>
      <c r="AD1" s="1" t="s">
        <v>247</v>
      </c>
      <c r="AE1" s="1" t="s">
        <v>1019</v>
      </c>
      <c r="AF1" s="1" t="s">
        <v>1020</v>
      </c>
      <c r="AG1" s="1" t="s">
        <v>1021</v>
      </c>
      <c r="AH1" s="1" t="s">
        <v>1022</v>
      </c>
      <c r="AI1" s="1" t="s">
        <v>1023</v>
      </c>
      <c r="AJ1" s="1" t="s">
        <v>1024</v>
      </c>
      <c r="AK1" s="1" t="s">
        <v>254</v>
      </c>
      <c r="AL1" s="1" t="s">
        <v>255</v>
      </c>
      <c r="AM1" s="1" t="s">
        <v>70</v>
      </c>
      <c r="AN1" s="1" t="s">
        <v>256</v>
      </c>
      <c r="AO1" s="1" t="s">
        <v>1028</v>
      </c>
      <c r="AP1" s="1" t="s">
        <v>1026</v>
      </c>
      <c r="AQ1" s="1" t="s">
        <v>1027</v>
      </c>
      <c r="AR1" s="1" t="s">
        <v>260</v>
      </c>
      <c r="AS1" s="1" t="s">
        <v>261</v>
      </c>
      <c r="AT1" s="1" t="s">
        <v>262</v>
      </c>
      <c r="AU1" s="1" t="s">
        <v>263</v>
      </c>
      <c r="AV1" s="1" t="s">
        <v>264</v>
      </c>
      <c r="AW1" s="1" t="s">
        <v>71</v>
      </c>
      <c r="AX1" s="1" t="s">
        <v>1025</v>
      </c>
      <c r="AY1" s="1" t="s">
        <v>266</v>
      </c>
      <c r="AZ1" s="1" t="s">
        <v>267</v>
      </c>
      <c r="BA1" s="1" t="s">
        <v>1018</v>
      </c>
      <c r="BB1" t="s">
        <v>5</v>
      </c>
      <c r="BC1" t="s">
        <v>6</v>
      </c>
      <c r="BD1" s="51" t="s">
        <v>113</v>
      </c>
      <c r="BE1" t="s">
        <v>13</v>
      </c>
      <c r="BF1" t="s">
        <v>143</v>
      </c>
      <c r="BG1" t="s">
        <v>1037</v>
      </c>
      <c r="BH1" t="s">
        <v>1179</v>
      </c>
    </row>
    <row r="2" spans="1:60" x14ac:dyDescent="0.25">
      <c r="A2" t="s">
        <v>1</v>
      </c>
      <c r="B2" t="s">
        <v>223</v>
      </c>
      <c r="C2" t="s">
        <v>311</v>
      </c>
      <c r="D2" t="s">
        <v>269</v>
      </c>
      <c r="E2" t="s">
        <v>336</v>
      </c>
      <c r="F2" t="s">
        <v>321</v>
      </c>
      <c r="G2" t="s">
        <v>351</v>
      </c>
      <c r="H2" t="s">
        <v>1017</v>
      </c>
      <c r="I2" t="s">
        <v>430</v>
      </c>
      <c r="J2" t="s">
        <v>435</v>
      </c>
      <c r="K2" t="s">
        <v>436</v>
      </c>
      <c r="L2" t="s">
        <v>1045</v>
      </c>
      <c r="M2" t="s">
        <v>475</v>
      </c>
      <c r="N2" t="s">
        <v>92</v>
      </c>
      <c r="O2" t="s">
        <v>1053</v>
      </c>
      <c r="P2" t="s">
        <v>1080</v>
      </c>
      <c r="Q2" t="s">
        <v>990</v>
      </c>
      <c r="R2" t="s">
        <v>995</v>
      </c>
      <c r="S2" t="s">
        <v>551</v>
      </c>
      <c r="T2" t="s">
        <v>1047</v>
      </c>
      <c r="U2" t="s">
        <v>1049</v>
      </c>
      <c r="V2" t="s">
        <v>585</v>
      </c>
      <c r="W2" t="s">
        <v>571</v>
      </c>
      <c r="X2" t="s">
        <v>599</v>
      </c>
      <c r="Y2" t="s">
        <v>626</v>
      </c>
      <c r="Z2" t="s">
        <v>688</v>
      </c>
      <c r="AA2" t="s">
        <v>674</v>
      </c>
      <c r="AB2" t="s">
        <v>102</v>
      </c>
      <c r="AC2" t="s">
        <v>723</v>
      </c>
      <c r="AD2" t="s">
        <v>770</v>
      </c>
      <c r="AE2" t="s">
        <v>744</v>
      </c>
      <c r="AF2" t="s">
        <v>751</v>
      </c>
      <c r="AG2" t="s">
        <v>763</v>
      </c>
      <c r="AH2" t="s">
        <v>1046</v>
      </c>
      <c r="AI2" t="s">
        <v>701</v>
      </c>
      <c r="AJ2" t="s">
        <v>716</v>
      </c>
      <c r="AK2" t="s">
        <v>1044</v>
      </c>
      <c r="AL2" t="s">
        <v>801</v>
      </c>
      <c r="AM2" t="s">
        <v>61</v>
      </c>
      <c r="AN2" t="s">
        <v>820</v>
      </c>
      <c r="AO2" t="s">
        <v>834</v>
      </c>
      <c r="AP2" t="s">
        <v>837</v>
      </c>
      <c r="AQ2" t="s">
        <v>1042</v>
      </c>
      <c r="AR2" t="s">
        <v>850</v>
      </c>
      <c r="AS2" t="s">
        <v>858</v>
      </c>
      <c r="AT2" t="s">
        <v>856</v>
      </c>
      <c r="AU2" t="s">
        <v>1134</v>
      </c>
      <c r="AV2" t="s">
        <v>912</v>
      </c>
      <c r="AW2" t="s">
        <v>1043</v>
      </c>
      <c r="AX2" t="s">
        <v>962</v>
      </c>
      <c r="AY2" t="s">
        <v>943</v>
      </c>
      <c r="AZ2" t="s">
        <v>971</v>
      </c>
      <c r="BA2" t="s">
        <v>931</v>
      </c>
      <c r="BB2" t="s">
        <v>17</v>
      </c>
      <c r="BC2" t="s">
        <v>29</v>
      </c>
      <c r="BD2" t="s">
        <v>53</v>
      </c>
      <c r="BE2" t="s">
        <v>115</v>
      </c>
      <c r="BF2" s="75">
        <v>0.33</v>
      </c>
      <c r="BG2" t="s">
        <v>1038</v>
      </c>
      <c r="BH2" t="s">
        <v>1180</v>
      </c>
    </row>
    <row r="3" spans="1:60" x14ac:dyDescent="0.25">
      <c r="A3" t="s">
        <v>1035</v>
      </c>
      <c r="B3" t="s">
        <v>224</v>
      </c>
      <c r="C3" t="s">
        <v>1058</v>
      </c>
      <c r="D3" t="s">
        <v>270</v>
      </c>
      <c r="E3" t="s">
        <v>337</v>
      </c>
      <c r="F3" t="s">
        <v>322</v>
      </c>
      <c r="G3" t="s">
        <v>353</v>
      </c>
      <c r="H3" t="s">
        <v>407</v>
      </c>
      <c r="I3" t="s">
        <v>431</v>
      </c>
      <c r="J3" t="s">
        <v>1066</v>
      </c>
      <c r="K3" t="s">
        <v>437</v>
      </c>
      <c r="L3" t="s">
        <v>461</v>
      </c>
      <c r="M3" t="s">
        <v>476</v>
      </c>
      <c r="N3" t="s">
        <v>512</v>
      </c>
      <c r="O3" t="s">
        <v>517</v>
      </c>
      <c r="P3" t="s">
        <v>528</v>
      </c>
      <c r="Q3" t="s">
        <v>991</v>
      </c>
      <c r="R3" t="s">
        <v>535</v>
      </c>
      <c r="S3" t="s">
        <v>997</v>
      </c>
      <c r="T3" t="s">
        <v>561</v>
      </c>
      <c r="U3" t="s">
        <v>1050</v>
      </c>
      <c r="V3" t="s">
        <v>584</v>
      </c>
      <c r="W3" t="s">
        <v>572</v>
      </c>
      <c r="X3" t="s">
        <v>600</v>
      </c>
      <c r="Y3" t="s">
        <v>627</v>
      </c>
      <c r="Z3" t="s">
        <v>1094</v>
      </c>
      <c r="AA3" t="s">
        <v>1091</v>
      </c>
      <c r="AB3" t="s">
        <v>101</v>
      </c>
      <c r="AC3" t="s">
        <v>724</v>
      </c>
      <c r="AD3" t="s">
        <v>638</v>
      </c>
      <c r="AE3" t="s">
        <v>1107</v>
      </c>
      <c r="AF3" t="s">
        <v>752</v>
      </c>
      <c r="AG3" t="s">
        <v>758</v>
      </c>
      <c r="AH3" t="s">
        <v>778</v>
      </c>
      <c r="AI3" t="s">
        <v>702</v>
      </c>
      <c r="AJ3" t="s">
        <v>717</v>
      </c>
      <c r="AK3" t="s">
        <v>794</v>
      </c>
      <c r="AL3" t="s">
        <v>802</v>
      </c>
      <c r="AM3" t="s">
        <v>1054</v>
      </c>
      <c r="AN3" t="s">
        <v>1005</v>
      </c>
      <c r="AO3" t="s">
        <v>835</v>
      </c>
      <c r="AP3" t="s">
        <v>838</v>
      </c>
      <c r="AQ3" t="s">
        <v>842</v>
      </c>
      <c r="AR3" t="s">
        <v>851</v>
      </c>
      <c r="AS3" t="s">
        <v>859</v>
      </c>
      <c r="AT3" t="s">
        <v>857</v>
      </c>
      <c r="AU3" t="s">
        <v>909</v>
      </c>
      <c r="AV3" t="s">
        <v>930</v>
      </c>
      <c r="AW3" t="s">
        <v>84</v>
      </c>
      <c r="AX3" t="s">
        <v>963</v>
      </c>
      <c r="AY3" t="s">
        <v>944</v>
      </c>
      <c r="AZ3" t="s">
        <v>972</v>
      </c>
      <c r="BB3" t="s">
        <v>12</v>
      </c>
      <c r="BC3" t="s">
        <v>7</v>
      </c>
      <c r="BD3" t="s">
        <v>54</v>
      </c>
      <c r="BE3" t="s">
        <v>110</v>
      </c>
      <c r="BF3" s="75">
        <v>0.66</v>
      </c>
      <c r="BG3" t="s">
        <v>1039</v>
      </c>
      <c r="BH3" t="s">
        <v>1181</v>
      </c>
    </row>
    <row r="4" spans="1:60" x14ac:dyDescent="0.25">
      <c r="A4" t="s">
        <v>2</v>
      </c>
      <c r="B4" t="s">
        <v>225</v>
      </c>
      <c r="C4" t="s">
        <v>312</v>
      </c>
      <c r="D4" t="s">
        <v>271</v>
      </c>
      <c r="E4" t="s">
        <v>338</v>
      </c>
      <c r="F4" t="s">
        <v>323</v>
      </c>
      <c r="G4" t="s">
        <v>354</v>
      </c>
      <c r="H4" t="s">
        <v>408</v>
      </c>
      <c r="I4" t="s">
        <v>432</v>
      </c>
      <c r="K4" t="s">
        <v>438</v>
      </c>
      <c r="L4" t="s">
        <v>462</v>
      </c>
      <c r="M4" t="s">
        <v>477</v>
      </c>
      <c r="N4" t="s">
        <v>513</v>
      </c>
      <c r="O4" t="s">
        <v>1077</v>
      </c>
      <c r="P4" t="s">
        <v>529</v>
      </c>
      <c r="Q4" t="s">
        <v>992</v>
      </c>
      <c r="R4" t="s">
        <v>536</v>
      </c>
      <c r="S4" t="s">
        <v>552</v>
      </c>
      <c r="T4" t="s">
        <v>560</v>
      </c>
      <c r="U4" t="s">
        <v>588</v>
      </c>
      <c r="V4" t="s">
        <v>586</v>
      </c>
      <c r="W4" t="s">
        <v>573</v>
      </c>
      <c r="X4" t="s">
        <v>601</v>
      </c>
      <c r="Y4" t="s">
        <v>1048</v>
      </c>
      <c r="Z4" t="s">
        <v>1095</v>
      </c>
      <c r="AA4" t="s">
        <v>1092</v>
      </c>
      <c r="AB4" t="s">
        <v>100</v>
      </c>
      <c r="AC4" t="s">
        <v>725</v>
      </c>
      <c r="AD4" t="s">
        <v>771</v>
      </c>
      <c r="AE4" t="s">
        <v>745</v>
      </c>
      <c r="AF4" t="s">
        <v>1108</v>
      </c>
      <c r="AG4" t="s">
        <v>1109</v>
      </c>
      <c r="AH4" t="s">
        <v>779</v>
      </c>
      <c r="AI4" t="s">
        <v>703</v>
      </c>
      <c r="AJ4" t="s">
        <v>718</v>
      </c>
      <c r="AK4" t="s">
        <v>795</v>
      </c>
      <c r="AL4" t="s">
        <v>1118</v>
      </c>
      <c r="AM4" t="s">
        <v>80</v>
      </c>
      <c r="AN4" t="s">
        <v>822</v>
      </c>
      <c r="AO4" t="s">
        <v>836</v>
      </c>
      <c r="AP4" t="s">
        <v>1122</v>
      </c>
      <c r="AQ4" t="s">
        <v>844</v>
      </c>
      <c r="AR4" t="s">
        <v>852</v>
      </c>
      <c r="AS4" t="s">
        <v>860</v>
      </c>
      <c r="AT4" t="s">
        <v>899</v>
      </c>
      <c r="AU4" t="s">
        <v>910</v>
      </c>
      <c r="AV4" t="s">
        <v>913</v>
      </c>
      <c r="AW4" t="s">
        <v>933</v>
      </c>
      <c r="AX4" t="s">
        <v>965</v>
      </c>
      <c r="AY4" t="s">
        <v>945</v>
      </c>
      <c r="AZ4" t="s">
        <v>973</v>
      </c>
      <c r="BC4" t="s">
        <v>1167</v>
      </c>
      <c r="BD4" t="s">
        <v>8</v>
      </c>
      <c r="BE4" t="s">
        <v>147</v>
      </c>
      <c r="BF4" s="75">
        <v>1</v>
      </c>
    </row>
    <row r="5" spans="1:60" x14ac:dyDescent="0.25">
      <c r="B5" t="s">
        <v>226</v>
      </c>
      <c r="C5" t="s">
        <v>470</v>
      </c>
      <c r="D5" t="s">
        <v>272</v>
      </c>
      <c r="E5" t="s">
        <v>339</v>
      </c>
      <c r="F5" t="s">
        <v>1059</v>
      </c>
      <c r="G5" t="s">
        <v>355</v>
      </c>
      <c r="H5" t="s">
        <v>1052</v>
      </c>
      <c r="I5" t="s">
        <v>433</v>
      </c>
      <c r="K5" t="s">
        <v>439</v>
      </c>
      <c r="L5" t="s">
        <v>463</v>
      </c>
      <c r="M5" t="s">
        <v>989</v>
      </c>
      <c r="N5" t="s">
        <v>90</v>
      </c>
      <c r="O5" t="s">
        <v>993</v>
      </c>
      <c r="P5" t="s">
        <v>531</v>
      </c>
      <c r="Q5" t="s">
        <v>1070</v>
      </c>
      <c r="R5" t="s">
        <v>537</v>
      </c>
      <c r="S5" t="s">
        <v>554</v>
      </c>
      <c r="T5" t="s">
        <v>563</v>
      </c>
      <c r="U5" t="s">
        <v>589</v>
      </c>
      <c r="V5" t="s">
        <v>1000</v>
      </c>
      <c r="W5" t="s">
        <v>570</v>
      </c>
      <c r="X5" t="s">
        <v>602</v>
      </c>
      <c r="Y5" t="s">
        <v>1055</v>
      </c>
      <c r="Z5" t="s">
        <v>685</v>
      </c>
      <c r="AA5" t="s">
        <v>1001</v>
      </c>
      <c r="AB5" t="s">
        <v>693</v>
      </c>
      <c r="AC5" t="s">
        <v>726</v>
      </c>
      <c r="AD5" t="s">
        <v>1112</v>
      </c>
      <c r="AE5" t="s">
        <v>746</v>
      </c>
      <c r="AF5" t="s">
        <v>754</v>
      </c>
      <c r="AG5" t="s">
        <v>759</v>
      </c>
      <c r="AH5" t="s">
        <v>780</v>
      </c>
      <c r="AI5" t="s">
        <v>706</v>
      </c>
      <c r="AJ5" t="s">
        <v>719</v>
      </c>
      <c r="AK5" t="s">
        <v>1116</v>
      </c>
      <c r="AL5" t="s">
        <v>812</v>
      </c>
      <c r="AM5" t="s">
        <v>79</v>
      </c>
      <c r="AN5" t="s">
        <v>823</v>
      </c>
      <c r="AP5" t="s">
        <v>1123</v>
      </c>
      <c r="AQ5" t="s">
        <v>845</v>
      </c>
      <c r="AR5" t="s">
        <v>853</v>
      </c>
      <c r="AS5" t="s">
        <v>1056</v>
      </c>
      <c r="AT5" t="s">
        <v>900</v>
      </c>
      <c r="AU5" t="s">
        <v>1135</v>
      </c>
      <c r="AV5" t="s">
        <v>914</v>
      </c>
      <c r="AW5" t="s">
        <v>934</v>
      </c>
      <c r="AX5" t="s">
        <v>1138</v>
      </c>
      <c r="AY5" t="s">
        <v>946</v>
      </c>
      <c r="AZ5" t="s">
        <v>974</v>
      </c>
      <c r="BD5" t="s">
        <v>52</v>
      </c>
      <c r="BE5" t="s">
        <v>148</v>
      </c>
    </row>
    <row r="6" spans="1:60" x14ac:dyDescent="0.25">
      <c r="B6" t="s">
        <v>227</v>
      </c>
      <c r="C6" t="s">
        <v>313</v>
      </c>
      <c r="D6" t="s">
        <v>273</v>
      </c>
      <c r="E6" t="s">
        <v>340</v>
      </c>
      <c r="F6" t="s">
        <v>324</v>
      </c>
      <c r="G6" t="s">
        <v>356</v>
      </c>
      <c r="H6" t="s">
        <v>409</v>
      </c>
      <c r="I6" t="s">
        <v>434</v>
      </c>
      <c r="K6" t="s">
        <v>454</v>
      </c>
      <c r="L6" t="s">
        <v>1051</v>
      </c>
      <c r="M6" t="s">
        <v>478</v>
      </c>
      <c r="N6" t="s">
        <v>515</v>
      </c>
      <c r="O6" t="s">
        <v>518</v>
      </c>
      <c r="P6" t="s">
        <v>532</v>
      </c>
      <c r="Q6" t="s">
        <v>483</v>
      </c>
      <c r="R6" t="s">
        <v>539</v>
      </c>
      <c r="S6" t="s">
        <v>553</v>
      </c>
      <c r="T6" t="s">
        <v>1085</v>
      </c>
      <c r="U6" t="s">
        <v>1086</v>
      </c>
      <c r="V6" t="s">
        <v>587</v>
      </c>
      <c r="W6" t="s">
        <v>574</v>
      </c>
      <c r="X6" t="s">
        <v>603</v>
      </c>
      <c r="Y6" t="s">
        <v>628</v>
      </c>
      <c r="Z6" t="s">
        <v>686</v>
      </c>
      <c r="AA6" t="s">
        <v>675</v>
      </c>
      <c r="AB6" t="s">
        <v>694</v>
      </c>
      <c r="AC6" t="s">
        <v>728</v>
      </c>
      <c r="AD6" t="s">
        <v>772</v>
      </c>
      <c r="AE6" t="s">
        <v>747</v>
      </c>
      <c r="AF6" t="s">
        <v>755</v>
      </c>
      <c r="AG6" t="s">
        <v>760</v>
      </c>
      <c r="AH6" t="s">
        <v>781</v>
      </c>
      <c r="AI6" t="s">
        <v>1098</v>
      </c>
      <c r="AJ6" t="s">
        <v>720</v>
      </c>
      <c r="AK6" t="s">
        <v>796</v>
      </c>
      <c r="AL6" t="s">
        <v>803</v>
      </c>
      <c r="AM6" t="s">
        <v>813</v>
      </c>
      <c r="AN6" t="s">
        <v>824</v>
      </c>
      <c r="AP6" t="s">
        <v>839</v>
      </c>
      <c r="AQ6" t="s">
        <v>846</v>
      </c>
      <c r="AR6" t="s">
        <v>1127</v>
      </c>
      <c r="AS6" t="s">
        <v>861</v>
      </c>
      <c r="AT6" t="s">
        <v>901</v>
      </c>
      <c r="AV6" t="s">
        <v>915</v>
      </c>
      <c r="AW6" t="s">
        <v>941</v>
      </c>
      <c r="AX6" t="s">
        <v>964</v>
      </c>
      <c r="AY6" t="s">
        <v>947</v>
      </c>
      <c r="AZ6" t="s">
        <v>975</v>
      </c>
      <c r="BC6" t="s">
        <v>1191</v>
      </c>
      <c r="BD6" t="s">
        <v>3</v>
      </c>
      <c r="BE6" t="s">
        <v>111</v>
      </c>
    </row>
    <row r="7" spans="1:60" x14ac:dyDescent="0.25">
      <c r="B7" t="s">
        <v>228</v>
      </c>
      <c r="C7" t="s">
        <v>314</v>
      </c>
      <c r="D7" t="s">
        <v>985</v>
      </c>
      <c r="E7" t="s">
        <v>341</v>
      </c>
      <c r="F7" t="s">
        <v>325</v>
      </c>
      <c r="G7" t="s">
        <v>357</v>
      </c>
      <c r="H7" t="s">
        <v>410</v>
      </c>
      <c r="I7" t="s">
        <v>429</v>
      </c>
      <c r="K7" t="s">
        <v>440</v>
      </c>
      <c r="L7" t="s">
        <v>1068</v>
      </c>
      <c r="M7" t="s">
        <v>479</v>
      </c>
      <c r="N7" t="s">
        <v>107</v>
      </c>
      <c r="O7" t="s">
        <v>519</v>
      </c>
      <c r="P7" t="s">
        <v>530</v>
      </c>
      <c r="Q7" t="s">
        <v>484</v>
      </c>
      <c r="R7" t="s">
        <v>540</v>
      </c>
      <c r="S7" t="s">
        <v>1084</v>
      </c>
      <c r="T7" t="s">
        <v>564</v>
      </c>
      <c r="U7" t="s">
        <v>590</v>
      </c>
      <c r="W7" t="s">
        <v>575</v>
      </c>
      <c r="X7" t="s">
        <v>608</v>
      </c>
      <c r="Y7" t="s">
        <v>629</v>
      </c>
      <c r="Z7" t="s">
        <v>687</v>
      </c>
      <c r="AA7" t="s">
        <v>676</v>
      </c>
      <c r="AB7" t="s">
        <v>695</v>
      </c>
      <c r="AC7" t="s">
        <v>729</v>
      </c>
      <c r="AD7" t="s">
        <v>773</v>
      </c>
      <c r="AE7" t="s">
        <v>748</v>
      </c>
      <c r="AF7" t="s">
        <v>753</v>
      </c>
      <c r="AG7" t="s">
        <v>761</v>
      </c>
      <c r="AH7" t="s">
        <v>1113</v>
      </c>
      <c r="AI7" t="s">
        <v>707</v>
      </c>
      <c r="AJ7" t="s">
        <v>1102</v>
      </c>
      <c r="AK7" t="s">
        <v>797</v>
      </c>
      <c r="AL7" t="s">
        <v>804</v>
      </c>
      <c r="AM7" t="s">
        <v>76</v>
      </c>
      <c r="AN7" t="s">
        <v>825</v>
      </c>
      <c r="AP7" t="s">
        <v>1124</v>
      </c>
      <c r="AQ7" t="s">
        <v>847</v>
      </c>
      <c r="AR7" t="s">
        <v>1126</v>
      </c>
      <c r="AS7" t="s">
        <v>862</v>
      </c>
      <c r="AT7" t="s">
        <v>902</v>
      </c>
      <c r="AV7" t="s">
        <v>1129</v>
      </c>
      <c r="AW7" t="s">
        <v>939</v>
      </c>
      <c r="AX7" t="s">
        <v>966</v>
      </c>
      <c r="AY7" t="s">
        <v>948</v>
      </c>
      <c r="AZ7" t="s">
        <v>976</v>
      </c>
      <c r="BC7" t="s">
        <v>29</v>
      </c>
      <c r="BD7" s="51" t="s">
        <v>114</v>
      </c>
      <c r="BE7" t="s">
        <v>1016</v>
      </c>
    </row>
    <row r="8" spans="1:60" x14ac:dyDescent="0.25">
      <c r="B8" t="s">
        <v>229</v>
      </c>
      <c r="C8" t="s">
        <v>315</v>
      </c>
      <c r="D8" t="s">
        <v>275</v>
      </c>
      <c r="E8" t="s">
        <v>342</v>
      </c>
      <c r="F8" t="s">
        <v>326</v>
      </c>
      <c r="G8" t="s">
        <v>358</v>
      </c>
      <c r="H8" t="s">
        <v>411</v>
      </c>
      <c r="K8" t="s">
        <v>441</v>
      </c>
      <c r="L8" t="s">
        <v>1069</v>
      </c>
      <c r="M8" t="s">
        <v>474</v>
      </c>
      <c r="N8" t="s">
        <v>94</v>
      </c>
      <c r="O8" t="s">
        <v>1078</v>
      </c>
      <c r="P8" t="s">
        <v>1081</v>
      </c>
      <c r="Q8" t="s">
        <v>485</v>
      </c>
      <c r="R8" t="s">
        <v>541</v>
      </c>
      <c r="S8" t="s">
        <v>998</v>
      </c>
      <c r="T8" t="s">
        <v>562</v>
      </c>
      <c r="U8" t="s">
        <v>593</v>
      </c>
      <c r="W8" t="s">
        <v>580</v>
      </c>
      <c r="X8" t="s">
        <v>605</v>
      </c>
      <c r="Y8" t="s">
        <v>630</v>
      </c>
      <c r="Z8" t="s">
        <v>1096</v>
      </c>
      <c r="AA8" t="s">
        <v>677</v>
      </c>
      <c r="AB8" t="s">
        <v>103</v>
      </c>
      <c r="AC8" t="s">
        <v>1103</v>
      </c>
      <c r="AD8" t="s">
        <v>774</v>
      </c>
      <c r="AE8" t="s">
        <v>749</v>
      </c>
      <c r="AF8" t="s">
        <v>756</v>
      </c>
      <c r="AG8" t="s">
        <v>1110</v>
      </c>
      <c r="AH8" t="s">
        <v>783</v>
      </c>
      <c r="AI8" t="s">
        <v>708</v>
      </c>
      <c r="AJ8" t="s">
        <v>721</v>
      </c>
      <c r="AK8" t="s">
        <v>798</v>
      </c>
      <c r="AL8" t="s">
        <v>805</v>
      </c>
      <c r="AM8" t="s">
        <v>105</v>
      </c>
      <c r="AN8" t="s">
        <v>1120</v>
      </c>
      <c r="AP8" t="s">
        <v>1007</v>
      </c>
      <c r="AQ8" t="s">
        <v>848</v>
      </c>
      <c r="AR8" t="s">
        <v>854</v>
      </c>
      <c r="AS8" t="s">
        <v>863</v>
      </c>
      <c r="AT8" t="s">
        <v>903</v>
      </c>
      <c r="AV8" t="s">
        <v>929</v>
      </c>
      <c r="AW8" t="s">
        <v>935</v>
      </c>
      <c r="AX8" t="s">
        <v>967</v>
      </c>
      <c r="AY8" t="s">
        <v>949</v>
      </c>
      <c r="AZ8" t="s">
        <v>977</v>
      </c>
      <c r="BC8" t="s">
        <v>1167</v>
      </c>
      <c r="BD8" t="s">
        <v>132</v>
      </c>
      <c r="BE8" t="s">
        <v>52</v>
      </c>
    </row>
    <row r="9" spans="1:60" x14ac:dyDescent="0.25">
      <c r="B9" t="s">
        <v>230</v>
      </c>
      <c r="C9" t="s">
        <v>317</v>
      </c>
      <c r="D9" t="s">
        <v>276</v>
      </c>
      <c r="E9" t="s">
        <v>343</v>
      </c>
      <c r="F9" t="s">
        <v>1060</v>
      </c>
      <c r="G9" t="s">
        <v>359</v>
      </c>
      <c r="H9" t="s">
        <v>412</v>
      </c>
      <c r="K9" t="s">
        <v>1067</v>
      </c>
      <c r="L9" t="s">
        <v>465</v>
      </c>
      <c r="M9" t="s">
        <v>474</v>
      </c>
      <c r="N9" t="s">
        <v>91</v>
      </c>
      <c r="O9" t="s">
        <v>520</v>
      </c>
      <c r="P9" t="s">
        <v>527</v>
      </c>
      <c r="Q9" t="s">
        <v>486</v>
      </c>
      <c r="R9" t="s">
        <v>542</v>
      </c>
      <c r="S9" t="s">
        <v>555</v>
      </c>
      <c r="T9" t="s">
        <v>565</v>
      </c>
      <c r="U9" t="s">
        <v>591</v>
      </c>
      <c r="W9" t="s">
        <v>576</v>
      </c>
      <c r="X9" t="s">
        <v>606</v>
      </c>
      <c r="Y9" t="s">
        <v>631</v>
      </c>
      <c r="Z9" t="s">
        <v>689</v>
      </c>
      <c r="AA9" t="s">
        <v>678</v>
      </c>
      <c r="AB9" t="s">
        <v>696</v>
      </c>
      <c r="AC9" t="s">
        <v>730</v>
      </c>
      <c r="AD9" t="s">
        <v>775</v>
      </c>
      <c r="AE9" t="s">
        <v>750</v>
      </c>
      <c r="AF9" t="s">
        <v>757</v>
      </c>
      <c r="AG9" t="s">
        <v>762</v>
      </c>
      <c r="AH9" t="s">
        <v>1114</v>
      </c>
      <c r="AI9" t="s">
        <v>1099</v>
      </c>
      <c r="AJ9" t="s">
        <v>722</v>
      </c>
      <c r="AK9" t="s">
        <v>1117</v>
      </c>
      <c r="AL9" t="s">
        <v>806</v>
      </c>
      <c r="AM9" t="s">
        <v>814</v>
      </c>
      <c r="AN9" t="s">
        <v>1006</v>
      </c>
      <c r="AP9" t="s">
        <v>840</v>
      </c>
      <c r="AQ9" t="s">
        <v>849</v>
      </c>
      <c r="AR9" t="s">
        <v>855</v>
      </c>
      <c r="AS9" t="s">
        <v>864</v>
      </c>
      <c r="AT9" t="s">
        <v>904</v>
      </c>
      <c r="AV9" t="s">
        <v>917</v>
      </c>
      <c r="AW9" t="s">
        <v>936</v>
      </c>
      <c r="AX9" t="s">
        <v>821</v>
      </c>
      <c r="AY9" t="s">
        <v>950</v>
      </c>
      <c r="AZ9" t="s">
        <v>978</v>
      </c>
      <c r="BD9" t="s">
        <v>109</v>
      </c>
    </row>
    <row r="10" spans="1:60" x14ac:dyDescent="0.25">
      <c r="B10" t="s">
        <v>1018</v>
      </c>
      <c r="C10" t="s">
        <v>316</v>
      </c>
      <c r="D10" t="s">
        <v>277</v>
      </c>
      <c r="E10" t="s">
        <v>344</v>
      </c>
      <c r="F10" t="s">
        <v>327</v>
      </c>
      <c r="G10" t="s">
        <v>1061</v>
      </c>
      <c r="H10" t="s">
        <v>413</v>
      </c>
      <c r="K10" t="s">
        <v>442</v>
      </c>
      <c r="L10" t="s">
        <v>466</v>
      </c>
      <c r="M10" t="s">
        <v>480</v>
      </c>
      <c r="N10" t="s">
        <v>514</v>
      </c>
      <c r="O10" t="s">
        <v>521</v>
      </c>
      <c r="P10" t="s">
        <v>533</v>
      </c>
      <c r="Q10" t="s">
        <v>487</v>
      </c>
      <c r="R10" t="s">
        <v>543</v>
      </c>
      <c r="S10" t="s">
        <v>556</v>
      </c>
      <c r="T10" t="s">
        <v>566</v>
      </c>
      <c r="U10" t="s">
        <v>592</v>
      </c>
      <c r="W10" t="s">
        <v>577</v>
      </c>
      <c r="X10" t="s">
        <v>607</v>
      </c>
      <c r="Y10" t="s">
        <v>632</v>
      </c>
      <c r="Z10" t="s">
        <v>690</v>
      </c>
      <c r="AA10" t="s">
        <v>679</v>
      </c>
      <c r="AB10" t="s">
        <v>99</v>
      </c>
      <c r="AC10" t="s">
        <v>731</v>
      </c>
      <c r="AD10" t="s">
        <v>776</v>
      </c>
      <c r="AG10" t="s">
        <v>764</v>
      </c>
      <c r="AH10" t="s">
        <v>788</v>
      </c>
      <c r="AI10" t="s">
        <v>704</v>
      </c>
      <c r="AK10" t="s">
        <v>799</v>
      </c>
      <c r="AL10" t="s">
        <v>807</v>
      </c>
      <c r="AM10" t="s">
        <v>815</v>
      </c>
      <c r="AN10" t="s">
        <v>826</v>
      </c>
      <c r="AP10" t="s">
        <v>1008</v>
      </c>
      <c r="AQ10" t="s">
        <v>1125</v>
      </c>
      <c r="AS10" t="s">
        <v>865</v>
      </c>
      <c r="AT10" t="s">
        <v>905</v>
      </c>
      <c r="AV10" t="s">
        <v>916</v>
      </c>
      <c r="AW10" t="s">
        <v>106</v>
      </c>
      <c r="AX10" t="s">
        <v>968</v>
      </c>
      <c r="AY10" t="s">
        <v>951</v>
      </c>
      <c r="AZ10" t="s">
        <v>979</v>
      </c>
      <c r="BD10" t="s">
        <v>139</v>
      </c>
    </row>
    <row r="11" spans="1:60" x14ac:dyDescent="0.25">
      <c r="B11" t="s">
        <v>231</v>
      </c>
      <c r="C11" t="s">
        <v>318</v>
      </c>
      <c r="D11" t="s">
        <v>278</v>
      </c>
      <c r="E11" t="s">
        <v>345</v>
      </c>
      <c r="F11" t="s">
        <v>328</v>
      </c>
      <c r="G11" t="s">
        <v>360</v>
      </c>
      <c r="H11" t="s">
        <v>414</v>
      </c>
      <c r="K11" t="s">
        <v>443</v>
      </c>
      <c r="L11" t="s">
        <v>468</v>
      </c>
      <c r="M11" t="s">
        <v>481</v>
      </c>
      <c r="N11" t="s">
        <v>95</v>
      </c>
      <c r="O11" t="s">
        <v>525</v>
      </c>
      <c r="P11" t="s">
        <v>534</v>
      </c>
      <c r="Q11" t="s">
        <v>1071</v>
      </c>
      <c r="R11" t="s">
        <v>1082</v>
      </c>
      <c r="S11" t="s">
        <v>558</v>
      </c>
      <c r="T11" t="s">
        <v>567</v>
      </c>
      <c r="U11" t="s">
        <v>1087</v>
      </c>
      <c r="W11" t="s">
        <v>578</v>
      </c>
      <c r="X11" t="s">
        <v>622</v>
      </c>
      <c r="Y11" t="s">
        <v>633</v>
      </c>
      <c r="Z11" t="s">
        <v>691</v>
      </c>
      <c r="AA11" t="s">
        <v>680</v>
      </c>
      <c r="AB11" t="s">
        <v>97</v>
      </c>
      <c r="AC11" t="s">
        <v>732</v>
      </c>
      <c r="AG11" t="s">
        <v>1111</v>
      </c>
      <c r="AH11" t="s">
        <v>251</v>
      </c>
      <c r="AI11" t="s">
        <v>709</v>
      </c>
      <c r="AK11" t="s">
        <v>800</v>
      </c>
      <c r="AL11" t="s">
        <v>808</v>
      </c>
      <c r="AM11" t="s">
        <v>58</v>
      </c>
      <c r="AN11" t="s">
        <v>1041</v>
      </c>
      <c r="AP11" t="s">
        <v>841</v>
      </c>
      <c r="AQ11" t="s">
        <v>843</v>
      </c>
      <c r="AS11" t="s">
        <v>867</v>
      </c>
      <c r="AT11" t="s">
        <v>906</v>
      </c>
      <c r="AV11" t="s">
        <v>1131</v>
      </c>
      <c r="AW11" t="s">
        <v>937</v>
      </c>
      <c r="AX11" t="s">
        <v>969</v>
      </c>
      <c r="AY11" t="s">
        <v>952</v>
      </c>
      <c r="AZ11" t="s">
        <v>980</v>
      </c>
      <c r="BD11" t="s">
        <v>52</v>
      </c>
    </row>
    <row r="12" spans="1:60" x14ac:dyDescent="0.25">
      <c r="B12" t="s">
        <v>232</v>
      </c>
      <c r="C12" t="s">
        <v>319</v>
      </c>
      <c r="D12" t="s">
        <v>279</v>
      </c>
      <c r="E12" t="s">
        <v>346</v>
      </c>
      <c r="F12" t="s">
        <v>329</v>
      </c>
      <c r="G12" t="s">
        <v>361</v>
      </c>
      <c r="H12" t="s">
        <v>416</v>
      </c>
      <c r="K12" t="s">
        <v>444</v>
      </c>
      <c r="L12" t="s">
        <v>464</v>
      </c>
      <c r="M12" t="s">
        <v>482</v>
      </c>
      <c r="N12" t="s">
        <v>96</v>
      </c>
      <c r="O12" t="s">
        <v>522</v>
      </c>
      <c r="Q12" t="s">
        <v>488</v>
      </c>
      <c r="R12" t="s">
        <v>538</v>
      </c>
      <c r="S12" t="s">
        <v>557</v>
      </c>
      <c r="T12" t="s">
        <v>568</v>
      </c>
      <c r="U12" t="s">
        <v>594</v>
      </c>
      <c r="W12" t="s">
        <v>579</v>
      </c>
      <c r="X12" t="s">
        <v>1088</v>
      </c>
      <c r="Y12" t="s">
        <v>634</v>
      </c>
      <c r="Z12" t="s">
        <v>684</v>
      </c>
      <c r="AA12" t="s">
        <v>1093</v>
      </c>
      <c r="AB12" t="s">
        <v>697</v>
      </c>
      <c r="AC12" t="s">
        <v>733</v>
      </c>
      <c r="AG12" t="s">
        <v>765</v>
      </c>
      <c r="AH12" t="s">
        <v>784</v>
      </c>
      <c r="AI12" t="s">
        <v>1100</v>
      </c>
      <c r="AL12" t="s">
        <v>809</v>
      </c>
      <c r="AM12" t="s">
        <v>816</v>
      </c>
      <c r="AN12" t="s">
        <v>827</v>
      </c>
      <c r="AS12" t="s">
        <v>868</v>
      </c>
      <c r="AT12" t="s">
        <v>907</v>
      </c>
      <c r="AV12" t="s">
        <v>918</v>
      </c>
      <c r="AW12" t="s">
        <v>82</v>
      </c>
      <c r="AX12" t="s">
        <v>970</v>
      </c>
      <c r="AY12" t="s">
        <v>953</v>
      </c>
      <c r="AZ12" t="s">
        <v>981</v>
      </c>
      <c r="BD12" t="s">
        <v>3</v>
      </c>
    </row>
    <row r="13" spans="1:60" x14ac:dyDescent="0.25">
      <c r="B13" t="s">
        <v>233</v>
      </c>
      <c r="C13" t="s">
        <v>320</v>
      </c>
      <c r="D13" t="s">
        <v>280</v>
      </c>
      <c r="E13" t="s">
        <v>347</v>
      </c>
      <c r="F13" t="s">
        <v>330</v>
      </c>
      <c r="G13" t="s">
        <v>1062</v>
      </c>
      <c r="H13" t="s">
        <v>417</v>
      </c>
      <c r="K13" t="s">
        <v>445</v>
      </c>
      <c r="L13" t="s">
        <v>467</v>
      </c>
      <c r="N13" t="s">
        <v>516</v>
      </c>
      <c r="O13" t="s">
        <v>523</v>
      </c>
      <c r="Q13" t="s">
        <v>489</v>
      </c>
      <c r="R13" t="s">
        <v>545</v>
      </c>
      <c r="T13" t="s">
        <v>559</v>
      </c>
      <c r="U13" t="s">
        <v>595</v>
      </c>
      <c r="W13" t="s">
        <v>581</v>
      </c>
      <c r="X13" t="s">
        <v>609</v>
      </c>
      <c r="Y13" t="s">
        <v>635</v>
      </c>
      <c r="Z13" t="s">
        <v>692</v>
      </c>
      <c r="AA13" t="s">
        <v>681</v>
      </c>
      <c r="AB13" t="s">
        <v>698</v>
      </c>
      <c r="AC13" t="s">
        <v>727</v>
      </c>
      <c r="AG13" t="s">
        <v>1003</v>
      </c>
      <c r="AH13" t="s">
        <v>786</v>
      </c>
      <c r="AI13" t="s">
        <v>710</v>
      </c>
      <c r="AL13" t="s">
        <v>810</v>
      </c>
      <c r="AM13" t="s">
        <v>817</v>
      </c>
      <c r="AN13" t="s">
        <v>828</v>
      </c>
      <c r="AS13" t="s">
        <v>869</v>
      </c>
      <c r="AT13" t="s">
        <v>908</v>
      </c>
      <c r="AV13" t="s">
        <v>919</v>
      </c>
      <c r="AW13" t="s">
        <v>88</v>
      </c>
      <c r="AY13" t="s">
        <v>954</v>
      </c>
      <c r="AZ13" t="s">
        <v>982</v>
      </c>
      <c r="BD13" s="51" t="s">
        <v>149</v>
      </c>
    </row>
    <row r="14" spans="1:60" x14ac:dyDescent="0.25">
      <c r="B14" t="s">
        <v>72</v>
      </c>
      <c r="D14" t="s">
        <v>281</v>
      </c>
      <c r="E14" t="s">
        <v>348</v>
      </c>
      <c r="F14" t="s">
        <v>331</v>
      </c>
      <c r="G14" t="s">
        <v>362</v>
      </c>
      <c r="H14" t="s">
        <v>418</v>
      </c>
      <c r="K14" t="s">
        <v>446</v>
      </c>
      <c r="L14" t="s">
        <v>469</v>
      </c>
      <c r="N14" t="s">
        <v>93</v>
      </c>
      <c r="O14" t="s">
        <v>526</v>
      </c>
      <c r="Q14" t="s">
        <v>490</v>
      </c>
      <c r="R14" t="s">
        <v>546</v>
      </c>
      <c r="T14" t="s">
        <v>569</v>
      </c>
      <c r="U14" t="s">
        <v>596</v>
      </c>
      <c r="W14" t="s">
        <v>999</v>
      </c>
      <c r="X14" t="s">
        <v>610</v>
      </c>
      <c r="Y14" t="s">
        <v>636</v>
      </c>
      <c r="AA14" t="s">
        <v>682</v>
      </c>
      <c r="AB14" t="s">
        <v>699</v>
      </c>
      <c r="AC14" t="s">
        <v>1106</v>
      </c>
      <c r="AG14" t="s">
        <v>766</v>
      </c>
      <c r="AH14" t="s">
        <v>787</v>
      </c>
      <c r="AI14" t="s">
        <v>705</v>
      </c>
      <c r="AL14" t="s">
        <v>811</v>
      </c>
      <c r="AM14" t="s">
        <v>1119</v>
      </c>
      <c r="AN14" t="s">
        <v>829</v>
      </c>
      <c r="AS14" t="s">
        <v>871</v>
      </c>
      <c r="AV14" t="s">
        <v>920</v>
      </c>
      <c r="AW14" t="s">
        <v>81</v>
      </c>
      <c r="AY14" t="s">
        <v>955</v>
      </c>
      <c r="AZ14" t="s">
        <v>983</v>
      </c>
      <c r="BD14" t="s">
        <v>150</v>
      </c>
    </row>
    <row r="15" spans="1:60" x14ac:dyDescent="0.25">
      <c r="B15" t="s">
        <v>234</v>
      </c>
      <c r="D15" t="s">
        <v>282</v>
      </c>
      <c r="E15" t="s">
        <v>349</v>
      </c>
      <c r="F15" t="s">
        <v>332</v>
      </c>
      <c r="G15" t="s">
        <v>363</v>
      </c>
      <c r="H15" t="s">
        <v>419</v>
      </c>
      <c r="K15" t="s">
        <v>447</v>
      </c>
      <c r="O15" t="s">
        <v>524</v>
      </c>
      <c r="Q15" t="s">
        <v>491</v>
      </c>
      <c r="R15" t="s">
        <v>1083</v>
      </c>
      <c r="U15" t="s">
        <v>597</v>
      </c>
      <c r="W15" t="s">
        <v>582</v>
      </c>
      <c r="X15" t="s">
        <v>612</v>
      </c>
      <c r="Y15" t="s">
        <v>637</v>
      </c>
      <c r="AA15" t="s">
        <v>1002</v>
      </c>
      <c r="AB15" t="s">
        <v>98</v>
      </c>
      <c r="AC15" t="s">
        <v>734</v>
      </c>
      <c r="AG15" t="s">
        <v>767</v>
      </c>
      <c r="AH15" t="s">
        <v>782</v>
      </c>
      <c r="AI15" t="s">
        <v>711</v>
      </c>
      <c r="AM15" t="s">
        <v>818</v>
      </c>
      <c r="AN15" t="s">
        <v>830</v>
      </c>
      <c r="AS15" t="s">
        <v>873</v>
      </c>
      <c r="AV15" t="s">
        <v>1130</v>
      </c>
      <c r="AW15" t="s">
        <v>938</v>
      </c>
      <c r="AY15" t="s">
        <v>961</v>
      </c>
      <c r="BD15" t="s">
        <v>139</v>
      </c>
    </row>
    <row r="16" spans="1:60" x14ac:dyDescent="0.25">
      <c r="B16" t="s">
        <v>235</v>
      </c>
      <c r="D16" t="s">
        <v>283</v>
      </c>
      <c r="E16" t="s">
        <v>350</v>
      </c>
      <c r="F16" t="s">
        <v>333</v>
      </c>
      <c r="G16" t="s">
        <v>1063</v>
      </c>
      <c r="H16" t="s">
        <v>415</v>
      </c>
      <c r="K16" t="s">
        <v>460</v>
      </c>
      <c r="O16" t="s">
        <v>1079</v>
      </c>
      <c r="Q16" t="s">
        <v>492</v>
      </c>
      <c r="R16" t="s">
        <v>548</v>
      </c>
      <c r="U16" t="s">
        <v>598</v>
      </c>
      <c r="W16" t="s">
        <v>583</v>
      </c>
      <c r="X16" t="s">
        <v>1089</v>
      </c>
      <c r="Y16" t="s">
        <v>638</v>
      </c>
      <c r="AA16" t="s">
        <v>683</v>
      </c>
      <c r="AB16" t="s">
        <v>1097</v>
      </c>
      <c r="AC16" t="s">
        <v>735</v>
      </c>
      <c r="AG16" t="s">
        <v>768</v>
      </c>
      <c r="AH16" t="s">
        <v>777</v>
      </c>
      <c r="AI16" t="s">
        <v>712</v>
      </c>
      <c r="AM16" t="s">
        <v>77</v>
      </c>
      <c r="AN16" t="s">
        <v>832</v>
      </c>
      <c r="AS16" t="s">
        <v>874</v>
      </c>
      <c r="AV16" t="s">
        <v>921</v>
      </c>
      <c r="AW16" t="s">
        <v>940</v>
      </c>
      <c r="AY16" t="s">
        <v>956</v>
      </c>
      <c r="BD16" t="s">
        <v>52</v>
      </c>
    </row>
    <row r="17" spans="2:57" x14ac:dyDescent="0.25">
      <c r="B17" t="s">
        <v>236</v>
      </c>
      <c r="D17" t="s">
        <v>284</v>
      </c>
      <c r="F17" t="s">
        <v>334</v>
      </c>
      <c r="G17" t="s">
        <v>364</v>
      </c>
      <c r="H17" t="s">
        <v>420</v>
      </c>
      <c r="K17" t="s">
        <v>448</v>
      </c>
      <c r="O17" t="s">
        <v>994</v>
      </c>
      <c r="Q17" t="s">
        <v>493</v>
      </c>
      <c r="R17" t="s">
        <v>549</v>
      </c>
      <c r="X17" t="s">
        <v>613</v>
      </c>
      <c r="Y17" t="s">
        <v>639</v>
      </c>
      <c r="AB17" t="s">
        <v>700</v>
      </c>
      <c r="AC17" t="s">
        <v>736</v>
      </c>
      <c r="AG17" t="s">
        <v>769</v>
      </c>
      <c r="AH17" t="s">
        <v>789</v>
      </c>
      <c r="AI17" t="s">
        <v>713</v>
      </c>
      <c r="AM17" t="s">
        <v>75</v>
      </c>
      <c r="AN17" t="s">
        <v>831</v>
      </c>
      <c r="AS17" t="s">
        <v>1128</v>
      </c>
      <c r="AV17" t="s">
        <v>922</v>
      </c>
      <c r="AW17" t="s">
        <v>83</v>
      </c>
      <c r="AY17" t="s">
        <v>957</v>
      </c>
    </row>
    <row r="18" spans="2:57" x14ac:dyDescent="0.25">
      <c r="B18" t="s">
        <v>237</v>
      </c>
      <c r="D18" t="s">
        <v>285</v>
      </c>
      <c r="F18" t="s">
        <v>335</v>
      </c>
      <c r="G18" t="s">
        <v>365</v>
      </c>
      <c r="H18" t="s">
        <v>421</v>
      </c>
      <c r="K18" t="s">
        <v>449</v>
      </c>
      <c r="Q18" t="s">
        <v>494</v>
      </c>
      <c r="R18" t="s">
        <v>550</v>
      </c>
      <c r="X18" t="s">
        <v>604</v>
      </c>
      <c r="Y18" t="s">
        <v>640</v>
      </c>
      <c r="AC18" t="s">
        <v>1105</v>
      </c>
      <c r="AH18" t="s">
        <v>790</v>
      </c>
      <c r="AI18" t="s">
        <v>714</v>
      </c>
      <c r="AM18" t="s">
        <v>819</v>
      </c>
      <c r="AN18" t="s">
        <v>1121</v>
      </c>
      <c r="AS18" t="s">
        <v>875</v>
      </c>
      <c r="AV18" t="s">
        <v>923</v>
      </c>
      <c r="AW18" t="s">
        <v>89</v>
      </c>
      <c r="AY18" t="s">
        <v>958</v>
      </c>
      <c r="BD18" t="s">
        <v>53</v>
      </c>
      <c r="BE18" t="s">
        <v>16</v>
      </c>
    </row>
    <row r="19" spans="2:57" x14ac:dyDescent="0.25">
      <c r="B19" t="s">
        <v>238</v>
      </c>
      <c r="D19" t="s">
        <v>286</v>
      </c>
      <c r="G19" t="s">
        <v>367</v>
      </c>
      <c r="H19" t="s">
        <v>793</v>
      </c>
      <c r="K19" t="s">
        <v>450</v>
      </c>
      <c r="Q19" t="s">
        <v>1072</v>
      </c>
      <c r="R19" t="s">
        <v>996</v>
      </c>
      <c r="X19" t="s">
        <v>611</v>
      </c>
      <c r="Y19" t="s">
        <v>641</v>
      </c>
      <c r="AC19" t="s">
        <v>737</v>
      </c>
      <c r="AH19" t="s">
        <v>785</v>
      </c>
      <c r="AI19" t="s">
        <v>1101</v>
      </c>
      <c r="AN19" t="s">
        <v>833</v>
      </c>
      <c r="AS19" t="s">
        <v>876</v>
      </c>
      <c r="AV19" t="s">
        <v>1132</v>
      </c>
      <c r="AW19" t="s">
        <v>942</v>
      </c>
      <c r="AY19" t="s">
        <v>959</v>
      </c>
      <c r="BD19" t="s">
        <v>54</v>
      </c>
      <c r="BE19" t="s">
        <v>133</v>
      </c>
    </row>
    <row r="20" spans="2:57" x14ac:dyDescent="0.25">
      <c r="B20" t="s">
        <v>239</v>
      </c>
      <c r="D20" t="s">
        <v>287</v>
      </c>
      <c r="G20" t="s">
        <v>366</v>
      </c>
      <c r="H20" t="s">
        <v>422</v>
      </c>
      <c r="K20" t="s">
        <v>451</v>
      </c>
      <c r="Q20" t="s">
        <v>495</v>
      </c>
      <c r="R20" t="s">
        <v>547</v>
      </c>
      <c r="X20" t="s">
        <v>614</v>
      </c>
      <c r="Y20" t="s">
        <v>642</v>
      </c>
      <c r="AC20" t="s">
        <v>739</v>
      </c>
      <c r="AH20" t="s">
        <v>1115</v>
      </c>
      <c r="AI20" t="s">
        <v>715</v>
      </c>
      <c r="AS20" t="s">
        <v>877</v>
      </c>
      <c r="AV20" t="s">
        <v>1133</v>
      </c>
      <c r="AW20" t="s">
        <v>1011</v>
      </c>
      <c r="AY20" t="s">
        <v>1137</v>
      </c>
      <c r="BD20" t="s">
        <v>8</v>
      </c>
      <c r="BE20" t="s">
        <v>134</v>
      </c>
    </row>
    <row r="21" spans="2:57" x14ac:dyDescent="0.25">
      <c r="B21" t="s">
        <v>240</v>
      </c>
      <c r="D21" t="s">
        <v>288</v>
      </c>
      <c r="G21" t="s">
        <v>1064</v>
      </c>
      <c r="H21" t="s">
        <v>423</v>
      </c>
      <c r="K21" t="s">
        <v>452</v>
      </c>
      <c r="Q21" t="s">
        <v>496</v>
      </c>
      <c r="X21" t="s">
        <v>615</v>
      </c>
      <c r="Y21" t="s">
        <v>643</v>
      </c>
      <c r="AC21" t="s">
        <v>738</v>
      </c>
      <c r="AH21" t="s">
        <v>791</v>
      </c>
      <c r="AS21" t="s">
        <v>872</v>
      </c>
      <c r="AV21" t="s">
        <v>925</v>
      </c>
      <c r="AW21" t="s">
        <v>78</v>
      </c>
      <c r="AY21" t="s">
        <v>960</v>
      </c>
      <c r="BD21" t="s">
        <v>150</v>
      </c>
      <c r="BE21" t="s">
        <v>134</v>
      </c>
    </row>
    <row r="22" spans="2:57" x14ac:dyDescent="0.25">
      <c r="B22" t="s">
        <v>241</v>
      </c>
      <c r="D22" t="s">
        <v>289</v>
      </c>
      <c r="G22" t="s">
        <v>1065</v>
      </c>
      <c r="H22" t="s">
        <v>424</v>
      </c>
      <c r="K22" t="s">
        <v>453</v>
      </c>
      <c r="Q22" t="s">
        <v>497</v>
      </c>
      <c r="X22" t="s">
        <v>623</v>
      </c>
      <c r="Y22" t="s">
        <v>644</v>
      </c>
      <c r="AC22" t="s">
        <v>740</v>
      </c>
      <c r="AH22" t="s">
        <v>792</v>
      </c>
      <c r="AS22" t="s">
        <v>878</v>
      </c>
      <c r="AV22" t="s">
        <v>926</v>
      </c>
      <c r="AW22" t="s">
        <v>1136</v>
      </c>
      <c r="BD22" t="s">
        <v>132</v>
      </c>
      <c r="BE22" t="s">
        <v>132</v>
      </c>
    </row>
    <row r="23" spans="2:57" x14ac:dyDescent="0.25">
      <c r="B23" t="s">
        <v>242</v>
      </c>
      <c r="D23" t="s">
        <v>290</v>
      </c>
      <c r="G23" t="s">
        <v>368</v>
      </c>
      <c r="H23" t="s">
        <v>425</v>
      </c>
      <c r="K23" t="s">
        <v>455</v>
      </c>
      <c r="Q23" t="s">
        <v>1073</v>
      </c>
      <c r="X23" t="s">
        <v>616</v>
      </c>
      <c r="Y23" t="s">
        <v>645</v>
      </c>
      <c r="AC23" t="s">
        <v>741</v>
      </c>
      <c r="AS23" t="s">
        <v>879</v>
      </c>
      <c r="AV23" t="s">
        <v>927</v>
      </c>
      <c r="AW23" t="s">
        <v>87</v>
      </c>
      <c r="BD23" t="s">
        <v>109</v>
      </c>
      <c r="BE23" t="s">
        <v>109</v>
      </c>
    </row>
    <row r="24" spans="2:57" x14ac:dyDescent="0.25">
      <c r="B24" t="s">
        <v>243</v>
      </c>
      <c r="D24" t="s">
        <v>291</v>
      </c>
      <c r="G24" t="s">
        <v>369</v>
      </c>
      <c r="H24" t="s">
        <v>426</v>
      </c>
      <c r="K24" t="s">
        <v>456</v>
      </c>
      <c r="Q24" t="s">
        <v>498</v>
      </c>
      <c r="X24" t="s">
        <v>617</v>
      </c>
      <c r="Y24" t="s">
        <v>1090</v>
      </c>
      <c r="AC24" t="s">
        <v>1104</v>
      </c>
      <c r="AS24" t="s">
        <v>880</v>
      </c>
      <c r="AV24" t="s">
        <v>928</v>
      </c>
      <c r="AW24" t="s">
        <v>85</v>
      </c>
      <c r="BD24" t="str">
        <f>BD10</f>
        <v>Fan Coil Unit</v>
      </c>
      <c r="BE24" t="s">
        <v>140</v>
      </c>
    </row>
    <row r="25" spans="2:57" x14ac:dyDescent="0.25">
      <c r="B25" t="s">
        <v>268</v>
      </c>
      <c r="D25" t="s">
        <v>292</v>
      </c>
      <c r="G25" t="s">
        <v>370</v>
      </c>
      <c r="H25" t="s">
        <v>427</v>
      </c>
      <c r="K25" t="s">
        <v>457</v>
      </c>
      <c r="Q25" t="s">
        <v>499</v>
      </c>
      <c r="X25" t="s">
        <v>618</v>
      </c>
      <c r="Y25" t="s">
        <v>646</v>
      </c>
      <c r="AC25" t="s">
        <v>742</v>
      </c>
      <c r="AS25" t="s">
        <v>881</v>
      </c>
      <c r="AV25" t="s">
        <v>924</v>
      </c>
      <c r="AW25" t="s">
        <v>1012</v>
      </c>
      <c r="BD25" t="str">
        <f>BD11</f>
        <v>Other</v>
      </c>
      <c r="BE25" t="s">
        <v>140</v>
      </c>
    </row>
    <row r="26" spans="2:57" x14ac:dyDescent="0.25">
      <c r="B26" t="s">
        <v>244</v>
      </c>
      <c r="D26" t="s">
        <v>293</v>
      </c>
      <c r="G26" t="s">
        <v>371</v>
      </c>
      <c r="H26" t="s">
        <v>428</v>
      </c>
      <c r="K26" t="s">
        <v>458</v>
      </c>
      <c r="Q26" t="s">
        <v>1074</v>
      </c>
      <c r="X26" t="s">
        <v>620</v>
      </c>
      <c r="Y26" t="s">
        <v>647</v>
      </c>
      <c r="AC26" t="s">
        <v>743</v>
      </c>
      <c r="AS26" t="s">
        <v>882</v>
      </c>
      <c r="AV26" t="s">
        <v>1010</v>
      </c>
      <c r="AW26" t="s">
        <v>86</v>
      </c>
    </row>
    <row r="27" spans="2:57" x14ac:dyDescent="0.25">
      <c r="B27" t="s">
        <v>245</v>
      </c>
      <c r="D27" t="s">
        <v>294</v>
      </c>
      <c r="G27" t="s">
        <v>372</v>
      </c>
      <c r="K27" t="s">
        <v>459</v>
      </c>
      <c r="Q27" t="s">
        <v>500</v>
      </c>
      <c r="X27" t="s">
        <v>621</v>
      </c>
      <c r="Y27" t="s">
        <v>544</v>
      </c>
      <c r="AS27" t="s">
        <v>883</v>
      </c>
      <c r="AV27" t="s">
        <v>932</v>
      </c>
    </row>
    <row r="28" spans="2:57" x14ac:dyDescent="0.25">
      <c r="B28" t="s">
        <v>73</v>
      </c>
      <c r="D28" t="s">
        <v>295</v>
      </c>
      <c r="G28" t="s">
        <v>352</v>
      </c>
      <c r="Q28" t="s">
        <v>1075</v>
      </c>
      <c r="X28" t="s">
        <v>624</v>
      </c>
      <c r="Y28" t="s">
        <v>648</v>
      </c>
      <c r="AS28" t="s">
        <v>885</v>
      </c>
      <c r="AV28" t="s">
        <v>911</v>
      </c>
      <c r="BD28" s="51" t="s">
        <v>183</v>
      </c>
    </row>
    <row r="29" spans="2:57" x14ac:dyDescent="0.25">
      <c r="B29" t="s">
        <v>246</v>
      </c>
      <c r="D29" t="s">
        <v>296</v>
      </c>
      <c r="G29" t="s">
        <v>373</v>
      </c>
      <c r="Q29" t="s">
        <v>501</v>
      </c>
      <c r="X29" t="s">
        <v>625</v>
      </c>
      <c r="Y29" t="s">
        <v>649</v>
      </c>
      <c r="AS29" t="s">
        <v>884</v>
      </c>
      <c r="BD29" t="s">
        <v>150</v>
      </c>
      <c r="BE29" t="s">
        <v>134</v>
      </c>
    </row>
    <row r="30" spans="2:57" x14ac:dyDescent="0.25">
      <c r="B30" t="s">
        <v>247</v>
      </c>
      <c r="D30" t="s">
        <v>297</v>
      </c>
      <c r="G30" t="s">
        <v>374</v>
      </c>
      <c r="Q30" t="s">
        <v>502</v>
      </c>
      <c r="X30" t="s">
        <v>619</v>
      </c>
      <c r="Y30" t="s">
        <v>650</v>
      </c>
      <c r="AS30" t="s">
        <v>886</v>
      </c>
      <c r="BD30" t="s">
        <v>52</v>
      </c>
      <c r="BE30" t="s">
        <v>134</v>
      </c>
    </row>
    <row r="31" spans="2:57" x14ac:dyDescent="0.25">
      <c r="B31" t="s">
        <v>1019</v>
      </c>
      <c r="D31" t="s">
        <v>298</v>
      </c>
      <c r="G31" t="s">
        <v>375</v>
      </c>
      <c r="Q31" t="s">
        <v>503</v>
      </c>
      <c r="Y31" t="s">
        <v>651</v>
      </c>
      <c r="AS31" t="s">
        <v>887</v>
      </c>
      <c r="BD31" t="s">
        <v>3</v>
      </c>
    </row>
    <row r="32" spans="2:57" x14ac:dyDescent="0.25">
      <c r="B32" t="s">
        <v>1020</v>
      </c>
      <c r="D32" t="s">
        <v>1057</v>
      </c>
      <c r="G32" t="s">
        <v>376</v>
      </c>
      <c r="Q32" t="s">
        <v>504</v>
      </c>
      <c r="Y32" t="s">
        <v>652</v>
      </c>
      <c r="AS32" t="s">
        <v>888</v>
      </c>
      <c r="BD32" s="51" t="s">
        <v>1144</v>
      </c>
    </row>
    <row r="33" spans="2:56" x14ac:dyDescent="0.25">
      <c r="B33" t="s">
        <v>1021</v>
      </c>
      <c r="D33" t="s">
        <v>299</v>
      </c>
      <c r="G33" t="s">
        <v>377</v>
      </c>
      <c r="Q33" t="s">
        <v>505</v>
      </c>
      <c r="Y33" t="s">
        <v>653</v>
      </c>
      <c r="AS33" t="s">
        <v>889</v>
      </c>
      <c r="BD33" t="s">
        <v>139</v>
      </c>
    </row>
    <row r="34" spans="2:56" x14ac:dyDescent="0.25">
      <c r="B34" t="s">
        <v>1022</v>
      </c>
      <c r="D34" t="s">
        <v>300</v>
      </c>
      <c r="G34" t="s">
        <v>378</v>
      </c>
      <c r="Q34" t="s">
        <v>506</v>
      </c>
      <c r="Y34" t="s">
        <v>654</v>
      </c>
      <c r="AS34" t="s">
        <v>866</v>
      </c>
      <c r="BD34" t="s">
        <v>52</v>
      </c>
    </row>
    <row r="35" spans="2:56" x14ac:dyDescent="0.25">
      <c r="B35" t="s">
        <v>1023</v>
      </c>
      <c r="D35" t="s">
        <v>301</v>
      </c>
      <c r="G35" t="s">
        <v>379</v>
      </c>
      <c r="Q35" t="s">
        <v>507</v>
      </c>
      <c r="Y35" t="s">
        <v>655</v>
      </c>
      <c r="AS35" t="s">
        <v>890</v>
      </c>
      <c r="BD35" t="s">
        <v>3</v>
      </c>
    </row>
    <row r="36" spans="2:56" x14ac:dyDescent="0.25">
      <c r="B36" t="s">
        <v>1024</v>
      </c>
      <c r="D36" t="s">
        <v>302</v>
      </c>
      <c r="G36" t="s">
        <v>380</v>
      </c>
      <c r="Q36" t="s">
        <v>508</v>
      </c>
      <c r="Y36" t="s">
        <v>656</v>
      </c>
      <c r="AS36" t="s">
        <v>891</v>
      </c>
      <c r="BD36" s="51" t="s">
        <v>1143</v>
      </c>
    </row>
    <row r="37" spans="2:56" x14ac:dyDescent="0.25">
      <c r="B37" t="s">
        <v>254</v>
      </c>
      <c r="D37" t="s">
        <v>303</v>
      </c>
      <c r="G37" t="s">
        <v>381</v>
      </c>
      <c r="Q37" t="s">
        <v>509</v>
      </c>
      <c r="Y37" t="s">
        <v>657</v>
      </c>
      <c r="AS37" t="s">
        <v>892</v>
      </c>
      <c r="BD37" t="s">
        <v>132</v>
      </c>
    </row>
    <row r="38" spans="2:56" x14ac:dyDescent="0.25">
      <c r="B38" t="s">
        <v>255</v>
      </c>
      <c r="D38" t="s">
        <v>304</v>
      </c>
      <c r="G38" t="s">
        <v>382</v>
      </c>
      <c r="Q38" t="s">
        <v>1076</v>
      </c>
      <c r="Y38" t="s">
        <v>658</v>
      </c>
      <c r="AS38" t="s">
        <v>893</v>
      </c>
      <c r="BD38" t="s">
        <v>52</v>
      </c>
    </row>
    <row r="39" spans="2:56" x14ac:dyDescent="0.25">
      <c r="B39" t="s">
        <v>70</v>
      </c>
      <c r="D39" t="s">
        <v>305</v>
      </c>
      <c r="G39" t="s">
        <v>383</v>
      </c>
      <c r="Q39" t="s">
        <v>510</v>
      </c>
      <c r="Y39" t="s">
        <v>659</v>
      </c>
      <c r="AS39" t="s">
        <v>870</v>
      </c>
    </row>
    <row r="40" spans="2:56" x14ac:dyDescent="0.25">
      <c r="B40" t="s">
        <v>256</v>
      </c>
      <c r="D40" t="s">
        <v>471</v>
      </c>
      <c r="G40" t="s">
        <v>384</v>
      </c>
      <c r="Q40" t="s">
        <v>511</v>
      </c>
      <c r="Y40" t="s">
        <v>660</v>
      </c>
      <c r="AS40" t="s">
        <v>894</v>
      </c>
    </row>
    <row r="41" spans="2:56" x14ac:dyDescent="0.25">
      <c r="B41" t="s">
        <v>1028</v>
      </c>
      <c r="D41" t="s">
        <v>306</v>
      </c>
      <c r="G41" t="s">
        <v>385</v>
      </c>
      <c r="Y41" t="s">
        <v>661</v>
      </c>
      <c r="AS41" t="s">
        <v>895</v>
      </c>
    </row>
    <row r="42" spans="2:56" x14ac:dyDescent="0.25">
      <c r="B42" t="s">
        <v>1026</v>
      </c>
      <c r="D42" t="s">
        <v>472</v>
      </c>
      <c r="G42" t="s">
        <v>386</v>
      </c>
      <c r="Y42" t="s">
        <v>662</v>
      </c>
      <c r="AS42" t="s">
        <v>896</v>
      </c>
    </row>
    <row r="43" spans="2:56" x14ac:dyDescent="0.25">
      <c r="B43" t="s">
        <v>1027</v>
      </c>
      <c r="D43" t="s">
        <v>274</v>
      </c>
      <c r="G43" t="s">
        <v>473</v>
      </c>
      <c r="Y43" t="s">
        <v>663</v>
      </c>
      <c r="AS43" t="s">
        <v>897</v>
      </c>
    </row>
    <row r="44" spans="2:56" x14ac:dyDescent="0.25">
      <c r="B44" t="s">
        <v>260</v>
      </c>
      <c r="D44" t="s">
        <v>307</v>
      </c>
      <c r="G44" t="s">
        <v>387</v>
      </c>
      <c r="Y44" t="s">
        <v>664</v>
      </c>
      <c r="AS44" t="s">
        <v>898</v>
      </c>
    </row>
    <row r="45" spans="2:56" x14ac:dyDescent="0.25">
      <c r="B45" t="s">
        <v>261</v>
      </c>
      <c r="D45" t="s">
        <v>308</v>
      </c>
      <c r="G45" t="s">
        <v>388</v>
      </c>
      <c r="Y45" t="s">
        <v>665</v>
      </c>
    </row>
    <row r="46" spans="2:56" x14ac:dyDescent="0.25">
      <c r="B46" t="s">
        <v>262</v>
      </c>
      <c r="D46" t="s">
        <v>309</v>
      </c>
      <c r="G46" t="s">
        <v>389</v>
      </c>
      <c r="Y46" t="s">
        <v>666</v>
      </c>
    </row>
    <row r="47" spans="2:56" x14ac:dyDescent="0.25">
      <c r="B47" t="s">
        <v>263</v>
      </c>
      <c r="D47" t="s">
        <v>310</v>
      </c>
      <c r="G47" t="s">
        <v>390</v>
      </c>
      <c r="Y47" t="s">
        <v>667</v>
      </c>
    </row>
    <row r="48" spans="2:56" x14ac:dyDescent="0.25">
      <c r="B48" t="s">
        <v>264</v>
      </c>
      <c r="G48" t="s">
        <v>391</v>
      </c>
      <c r="Y48" t="s">
        <v>668</v>
      </c>
    </row>
    <row r="49" spans="2:25" x14ac:dyDescent="0.25">
      <c r="B49" t="s">
        <v>71</v>
      </c>
      <c r="G49" t="s">
        <v>392</v>
      </c>
      <c r="Y49" t="s">
        <v>669</v>
      </c>
    </row>
    <row r="50" spans="2:25" x14ac:dyDescent="0.25">
      <c r="B50" t="s">
        <v>1025</v>
      </c>
      <c r="G50" t="s">
        <v>393</v>
      </c>
      <c r="Y50" t="s">
        <v>670</v>
      </c>
    </row>
    <row r="51" spans="2:25" x14ac:dyDescent="0.25">
      <c r="B51" t="s">
        <v>266</v>
      </c>
      <c r="G51" t="s">
        <v>394</v>
      </c>
      <c r="Y51" t="s">
        <v>671</v>
      </c>
    </row>
    <row r="52" spans="2:25" x14ac:dyDescent="0.25">
      <c r="B52" t="s">
        <v>267</v>
      </c>
      <c r="G52" t="s">
        <v>395</v>
      </c>
      <c r="Y52" t="s">
        <v>672</v>
      </c>
    </row>
    <row r="53" spans="2:25" x14ac:dyDescent="0.25">
      <c r="G53" t="s">
        <v>396</v>
      </c>
      <c r="Y53" t="s">
        <v>673</v>
      </c>
    </row>
    <row r="54" spans="2:25" x14ac:dyDescent="0.25">
      <c r="G54" t="s">
        <v>397</v>
      </c>
    </row>
    <row r="55" spans="2:25" x14ac:dyDescent="0.25">
      <c r="G55" t="s">
        <v>398</v>
      </c>
    </row>
    <row r="56" spans="2:25" x14ac:dyDescent="0.25">
      <c r="G56" t="s">
        <v>399</v>
      </c>
    </row>
    <row r="57" spans="2:25" x14ac:dyDescent="0.25">
      <c r="G57" t="s">
        <v>400</v>
      </c>
    </row>
    <row r="58" spans="2:25" x14ac:dyDescent="0.25">
      <c r="G58" t="s">
        <v>401</v>
      </c>
    </row>
    <row r="59" spans="2:25" x14ac:dyDescent="0.25">
      <c r="G59" t="s">
        <v>402</v>
      </c>
    </row>
    <row r="60" spans="2:25" x14ac:dyDescent="0.25">
      <c r="G60" t="s">
        <v>403</v>
      </c>
    </row>
    <row r="61" spans="2:25" x14ac:dyDescent="0.25">
      <c r="G61" t="s">
        <v>404</v>
      </c>
    </row>
    <row r="62" spans="2:25" x14ac:dyDescent="0.25">
      <c r="G62" t="s">
        <v>405</v>
      </c>
    </row>
    <row r="63" spans="2:25" x14ac:dyDescent="0.25">
      <c r="G63" t="s">
        <v>406</v>
      </c>
    </row>
    <row r="64" spans="2:25" x14ac:dyDescent="0.25">
      <c r="G64" t="s">
        <v>987</v>
      </c>
    </row>
  </sheetData>
  <sortState xmlns:xlrd2="http://schemas.microsoft.com/office/spreadsheetml/2017/richdata2" ref="AW2:AW26">
    <sortCondition ref="AW2:AW26"/>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6"/>
  <dimension ref="A2:S877"/>
  <sheetViews>
    <sheetView tabSelected="1" topLeftCell="B1" workbookViewId="0">
      <selection activeCell="S1" sqref="H1:S1048576"/>
    </sheetView>
  </sheetViews>
  <sheetFormatPr defaultRowHeight="15" x14ac:dyDescent="0.25"/>
  <cols>
    <col min="1" max="1" width="18.7109375" customWidth="1"/>
    <col min="2" max="2" width="24" customWidth="1"/>
    <col min="3" max="3" width="19.140625" customWidth="1"/>
    <col min="4" max="4" width="19.7109375" customWidth="1"/>
    <col min="8" max="8" width="15.28515625" hidden="1" customWidth="1"/>
    <col min="9" max="9" width="19.42578125" hidden="1" customWidth="1"/>
    <col min="10" max="11" width="9.42578125" style="11" hidden="1" customWidth="1"/>
    <col min="12" max="12" width="15.28515625" style="11" hidden="1" customWidth="1"/>
    <col min="13" max="13" width="21.7109375" style="67" hidden="1" customWidth="1"/>
    <col min="14" max="15" width="9.42578125" style="11" hidden="1" customWidth="1"/>
    <col min="16" max="16" width="15.28515625" hidden="1" customWidth="1"/>
    <col min="17" max="17" width="21.7109375" hidden="1" customWidth="1"/>
    <col min="18" max="19" width="0" hidden="1" customWidth="1"/>
  </cols>
  <sheetData>
    <row r="2" spans="1:19" ht="30" x14ac:dyDescent="0.25">
      <c r="A2" s="276" t="s">
        <v>69</v>
      </c>
      <c r="B2" s="3" t="s">
        <v>104</v>
      </c>
      <c r="C2" s="86" t="s">
        <v>192</v>
      </c>
      <c r="D2" s="86" t="s">
        <v>193</v>
      </c>
    </row>
    <row r="3" spans="1:19" ht="15.75" x14ac:dyDescent="0.25">
      <c r="A3" s="3" t="s">
        <v>223</v>
      </c>
      <c r="B3" s="2" t="s">
        <v>311</v>
      </c>
      <c r="C3" s="2">
        <v>2585</v>
      </c>
      <c r="D3" s="2">
        <v>1713</v>
      </c>
      <c r="H3" s="146" t="s">
        <v>69</v>
      </c>
      <c r="I3" s="146" t="s">
        <v>1158</v>
      </c>
      <c r="J3" s="147" t="s">
        <v>4</v>
      </c>
      <c r="K3" s="147" t="s">
        <v>10</v>
      </c>
      <c r="L3" s="148" t="s">
        <v>69</v>
      </c>
      <c r="M3" s="149" t="s">
        <v>1158</v>
      </c>
      <c r="N3" s="147" t="s">
        <v>4</v>
      </c>
      <c r="O3" s="147" t="s">
        <v>10</v>
      </c>
      <c r="P3" s="148" t="s">
        <v>69</v>
      </c>
      <c r="Q3" s="149" t="s">
        <v>1158</v>
      </c>
      <c r="R3" s="147" t="s">
        <v>4</v>
      </c>
      <c r="S3" s="147" t="s">
        <v>10</v>
      </c>
    </row>
    <row r="4" spans="1:19" x14ac:dyDescent="0.25">
      <c r="A4" s="3" t="s">
        <v>223</v>
      </c>
      <c r="B4" s="2" t="s">
        <v>1058</v>
      </c>
      <c r="C4" s="2">
        <v>2688</v>
      </c>
      <c r="D4" s="2">
        <v>1477</v>
      </c>
      <c r="H4" s="132" t="s">
        <v>223</v>
      </c>
      <c r="I4" t="s">
        <v>311</v>
      </c>
      <c r="J4" s="11">
        <v>2585</v>
      </c>
      <c r="K4" s="11">
        <v>1713</v>
      </c>
      <c r="L4" s="144" t="s">
        <v>226</v>
      </c>
      <c r="M4" t="s">
        <v>321</v>
      </c>
      <c r="N4" s="11">
        <v>3761</v>
      </c>
      <c r="O4" s="11">
        <v>1687</v>
      </c>
      <c r="P4" s="145"/>
      <c r="Q4" t="s">
        <v>401</v>
      </c>
      <c r="R4" s="11">
        <v>2494</v>
      </c>
      <c r="S4" s="89">
        <v>1296</v>
      </c>
    </row>
    <row r="5" spans="1:19" x14ac:dyDescent="0.25">
      <c r="A5" s="3" t="s">
        <v>223</v>
      </c>
      <c r="B5" s="2" t="s">
        <v>312</v>
      </c>
      <c r="C5" s="2">
        <v>2698</v>
      </c>
      <c r="D5" s="2">
        <v>1912</v>
      </c>
      <c r="H5" s="133"/>
      <c r="I5" t="s">
        <v>1058</v>
      </c>
      <c r="J5" s="11">
        <v>2688</v>
      </c>
      <c r="K5" s="11">
        <v>1477</v>
      </c>
      <c r="L5" s="133"/>
      <c r="M5" t="s">
        <v>322</v>
      </c>
      <c r="N5" s="11">
        <v>4394</v>
      </c>
      <c r="O5" s="11">
        <v>1514</v>
      </c>
      <c r="P5" s="133"/>
      <c r="Q5" t="s">
        <v>402</v>
      </c>
      <c r="R5" s="11">
        <v>7884</v>
      </c>
      <c r="S5" s="89">
        <v>87</v>
      </c>
    </row>
    <row r="6" spans="1:19" x14ac:dyDescent="0.25">
      <c r="A6" s="3" t="s">
        <v>223</v>
      </c>
      <c r="B6" s="2" t="s">
        <v>470</v>
      </c>
      <c r="C6" s="2">
        <v>2447</v>
      </c>
      <c r="D6" s="2">
        <v>2122</v>
      </c>
      <c r="H6" s="133"/>
      <c r="I6" t="s">
        <v>312</v>
      </c>
      <c r="J6" s="11">
        <v>2698</v>
      </c>
      <c r="K6" s="11">
        <v>1912</v>
      </c>
      <c r="L6" s="133"/>
      <c r="M6" t="s">
        <v>323</v>
      </c>
      <c r="N6" s="11">
        <v>2672</v>
      </c>
      <c r="O6" s="11">
        <v>2512</v>
      </c>
      <c r="P6" s="133"/>
      <c r="Q6" t="s">
        <v>403</v>
      </c>
      <c r="R6" s="11">
        <v>1788</v>
      </c>
      <c r="S6" s="89">
        <v>3297</v>
      </c>
    </row>
    <row r="7" spans="1:19" x14ac:dyDescent="0.25">
      <c r="A7" s="3" t="s">
        <v>223</v>
      </c>
      <c r="B7" s="2" t="s">
        <v>313</v>
      </c>
      <c r="C7" s="2">
        <v>2072</v>
      </c>
      <c r="D7" s="2">
        <v>2443</v>
      </c>
      <c r="H7" s="133"/>
      <c r="I7" t="s">
        <v>470</v>
      </c>
      <c r="J7" s="11">
        <v>2447</v>
      </c>
      <c r="K7" s="11">
        <v>2122</v>
      </c>
      <c r="L7" s="133"/>
      <c r="M7" t="s">
        <v>1059</v>
      </c>
      <c r="N7" s="11">
        <v>3726</v>
      </c>
      <c r="O7" s="11">
        <v>1753</v>
      </c>
      <c r="P7" s="133"/>
      <c r="Q7" t="s">
        <v>404</v>
      </c>
      <c r="R7" s="11">
        <v>2981</v>
      </c>
      <c r="S7" s="89">
        <v>874</v>
      </c>
    </row>
    <row r="8" spans="1:19" x14ac:dyDescent="0.25">
      <c r="A8" s="3" t="s">
        <v>223</v>
      </c>
      <c r="B8" s="2" t="s">
        <v>314</v>
      </c>
      <c r="C8" s="2">
        <v>3063</v>
      </c>
      <c r="D8" s="2">
        <v>1383</v>
      </c>
      <c r="H8" s="133"/>
      <c r="I8" t="s">
        <v>313</v>
      </c>
      <c r="J8" s="11">
        <v>2072</v>
      </c>
      <c r="K8" s="11">
        <v>2443</v>
      </c>
      <c r="L8" s="133"/>
      <c r="M8" t="s">
        <v>324</v>
      </c>
      <c r="N8" s="11">
        <v>3724</v>
      </c>
      <c r="O8" s="11">
        <v>1604</v>
      </c>
      <c r="P8" s="133"/>
      <c r="Q8" t="s">
        <v>405</v>
      </c>
      <c r="R8" s="11">
        <v>1214</v>
      </c>
      <c r="S8" s="89">
        <v>1507</v>
      </c>
    </row>
    <row r="9" spans="1:19" x14ac:dyDescent="0.25">
      <c r="A9" s="3" t="s">
        <v>223</v>
      </c>
      <c r="B9" s="2" t="s">
        <v>315</v>
      </c>
      <c r="C9" s="2">
        <v>3472</v>
      </c>
      <c r="D9" s="2">
        <v>1701</v>
      </c>
      <c r="H9" s="133"/>
      <c r="I9" t="s">
        <v>314</v>
      </c>
      <c r="J9" s="11">
        <v>3063</v>
      </c>
      <c r="K9" s="11">
        <v>1383</v>
      </c>
      <c r="L9" s="133"/>
      <c r="M9" t="s">
        <v>325</v>
      </c>
      <c r="N9" s="11">
        <v>3596</v>
      </c>
      <c r="O9" s="11">
        <v>2020</v>
      </c>
      <c r="P9" s="133"/>
      <c r="Q9" t="s">
        <v>406</v>
      </c>
      <c r="R9" s="11">
        <v>3032</v>
      </c>
      <c r="S9" s="89">
        <v>1602</v>
      </c>
    </row>
    <row r="10" spans="1:19" x14ac:dyDescent="0.25">
      <c r="A10" s="3" t="s">
        <v>223</v>
      </c>
      <c r="B10" s="2" t="s">
        <v>317</v>
      </c>
      <c r="C10" s="2">
        <v>1724</v>
      </c>
      <c r="D10" s="2">
        <v>2524</v>
      </c>
      <c r="H10" s="133"/>
      <c r="I10" t="s">
        <v>315</v>
      </c>
      <c r="J10" s="11">
        <v>3472</v>
      </c>
      <c r="K10" s="11">
        <v>1701</v>
      </c>
      <c r="L10" s="133"/>
      <c r="M10" t="s">
        <v>326</v>
      </c>
      <c r="N10" s="11">
        <v>3822</v>
      </c>
      <c r="O10" s="11">
        <v>1590</v>
      </c>
      <c r="P10" s="135"/>
      <c r="Q10" s="129" t="s">
        <v>987</v>
      </c>
      <c r="R10" s="130">
        <v>2533</v>
      </c>
      <c r="S10" s="134">
        <v>1476</v>
      </c>
    </row>
    <row r="11" spans="1:19" x14ac:dyDescent="0.25">
      <c r="A11" s="3" t="s">
        <v>223</v>
      </c>
      <c r="B11" s="2" t="s">
        <v>316</v>
      </c>
      <c r="C11" s="2">
        <v>2183</v>
      </c>
      <c r="D11" s="2">
        <v>2124</v>
      </c>
      <c r="H11" s="133"/>
      <c r="I11" t="s">
        <v>317</v>
      </c>
      <c r="J11" s="11">
        <v>1724</v>
      </c>
      <c r="K11" s="11">
        <v>2524</v>
      </c>
      <c r="L11" s="133"/>
      <c r="M11" t="s">
        <v>1060</v>
      </c>
      <c r="N11" s="11">
        <v>3256</v>
      </c>
      <c r="O11" s="11">
        <v>2111</v>
      </c>
      <c r="P11" s="132" t="s">
        <v>228</v>
      </c>
      <c r="Q11" t="s">
        <v>1017</v>
      </c>
      <c r="R11" s="11">
        <v>6087</v>
      </c>
      <c r="S11" s="89">
        <v>823</v>
      </c>
    </row>
    <row r="12" spans="1:19" x14ac:dyDescent="0.25">
      <c r="A12" s="3" t="s">
        <v>223</v>
      </c>
      <c r="B12" s="2" t="s">
        <v>318</v>
      </c>
      <c r="C12" s="2">
        <v>2788</v>
      </c>
      <c r="D12" s="2">
        <v>1701</v>
      </c>
      <c r="H12" s="133"/>
      <c r="I12" t="s">
        <v>316</v>
      </c>
      <c r="J12" s="11">
        <v>2183</v>
      </c>
      <c r="K12" s="11">
        <v>2124</v>
      </c>
      <c r="L12" s="133"/>
      <c r="M12" t="s">
        <v>327</v>
      </c>
      <c r="N12" s="11">
        <v>4240</v>
      </c>
      <c r="O12" s="11">
        <v>1934</v>
      </c>
      <c r="P12" s="133"/>
      <c r="Q12" t="s">
        <v>407</v>
      </c>
      <c r="R12" s="11">
        <v>8528</v>
      </c>
      <c r="S12" s="89">
        <v>23</v>
      </c>
    </row>
    <row r="13" spans="1:19" x14ac:dyDescent="0.25">
      <c r="A13" s="3" t="s">
        <v>223</v>
      </c>
      <c r="B13" s="2" t="s">
        <v>319</v>
      </c>
      <c r="C13" s="2">
        <v>2196</v>
      </c>
      <c r="D13" s="2">
        <v>2217</v>
      </c>
      <c r="H13" s="133"/>
      <c r="I13" t="s">
        <v>318</v>
      </c>
      <c r="J13" s="11">
        <v>2788</v>
      </c>
      <c r="K13" s="11">
        <v>1701</v>
      </c>
      <c r="L13" s="133"/>
      <c r="M13" t="s">
        <v>328</v>
      </c>
      <c r="N13" s="11">
        <v>3079</v>
      </c>
      <c r="O13" s="11">
        <v>2076</v>
      </c>
      <c r="P13" s="133"/>
      <c r="Q13" t="s">
        <v>408</v>
      </c>
      <c r="R13" s="11">
        <v>8294</v>
      </c>
      <c r="S13" s="89">
        <v>68</v>
      </c>
    </row>
    <row r="14" spans="1:19" x14ac:dyDescent="0.25">
      <c r="A14" s="3" t="s">
        <v>223</v>
      </c>
      <c r="B14" s="2" t="s">
        <v>320</v>
      </c>
      <c r="C14" s="2">
        <v>2656</v>
      </c>
      <c r="D14" s="2">
        <v>2101</v>
      </c>
      <c r="H14" s="133"/>
      <c r="I14" t="s">
        <v>319</v>
      </c>
      <c r="J14" s="11">
        <v>2196</v>
      </c>
      <c r="K14" s="11">
        <v>2217</v>
      </c>
      <c r="L14" s="133"/>
      <c r="M14" t="s">
        <v>329</v>
      </c>
      <c r="N14" s="11">
        <v>3384</v>
      </c>
      <c r="O14" s="11">
        <v>2460</v>
      </c>
      <c r="P14" s="133"/>
      <c r="Q14" t="s">
        <v>1052</v>
      </c>
      <c r="R14" s="11">
        <v>6093</v>
      </c>
      <c r="S14" s="89">
        <v>825</v>
      </c>
    </row>
    <row r="15" spans="1:19" x14ac:dyDescent="0.25">
      <c r="A15" s="3" t="s">
        <v>984</v>
      </c>
      <c r="B15" s="2" t="s">
        <v>269</v>
      </c>
      <c r="C15" s="2">
        <v>9202</v>
      </c>
      <c r="D15" s="2">
        <v>0</v>
      </c>
      <c r="H15" s="135"/>
      <c r="I15" s="129" t="s">
        <v>320</v>
      </c>
      <c r="J15" s="130">
        <v>2656</v>
      </c>
      <c r="K15" s="130">
        <v>2101</v>
      </c>
      <c r="L15" s="133"/>
      <c r="M15" t="s">
        <v>330</v>
      </c>
      <c r="N15" s="11">
        <v>4327</v>
      </c>
      <c r="O15" s="11">
        <v>1669</v>
      </c>
      <c r="P15" s="133"/>
      <c r="Q15" t="s">
        <v>409</v>
      </c>
      <c r="R15" s="11">
        <v>5836</v>
      </c>
      <c r="S15" s="89">
        <v>637</v>
      </c>
    </row>
    <row r="16" spans="1:19" x14ac:dyDescent="0.25">
      <c r="A16" s="3" t="s">
        <v>984</v>
      </c>
      <c r="B16" s="2" t="s">
        <v>270</v>
      </c>
      <c r="C16" s="2">
        <v>10158</v>
      </c>
      <c r="D16" s="2">
        <v>0</v>
      </c>
      <c r="H16" s="132" t="s">
        <v>984</v>
      </c>
      <c r="I16" t="s">
        <v>269</v>
      </c>
      <c r="J16" s="11">
        <v>9202</v>
      </c>
      <c r="K16" s="11">
        <v>0</v>
      </c>
      <c r="L16" s="133"/>
      <c r="M16" t="s">
        <v>331</v>
      </c>
      <c r="N16" s="11">
        <v>3868</v>
      </c>
      <c r="O16" s="11">
        <v>1637</v>
      </c>
      <c r="P16" s="133"/>
      <c r="Q16" t="s">
        <v>410</v>
      </c>
      <c r="R16" s="11">
        <v>6115</v>
      </c>
      <c r="S16" s="89">
        <v>481</v>
      </c>
    </row>
    <row r="17" spans="1:19" x14ac:dyDescent="0.25">
      <c r="A17" s="3" t="s">
        <v>984</v>
      </c>
      <c r="B17" s="2" t="s">
        <v>271</v>
      </c>
      <c r="C17" s="2">
        <v>11513</v>
      </c>
      <c r="D17" s="2">
        <v>0</v>
      </c>
      <c r="H17" s="133"/>
      <c r="I17" t="s">
        <v>270</v>
      </c>
      <c r="J17" s="11">
        <v>10158</v>
      </c>
      <c r="K17" s="11">
        <v>0</v>
      </c>
      <c r="L17" s="133"/>
      <c r="M17" t="s">
        <v>332</v>
      </c>
      <c r="N17" s="11">
        <v>3963</v>
      </c>
      <c r="O17" s="11">
        <v>1480</v>
      </c>
      <c r="P17" s="133"/>
      <c r="Q17" t="s">
        <v>411</v>
      </c>
      <c r="R17" s="11">
        <v>5921</v>
      </c>
      <c r="S17" s="89">
        <v>523</v>
      </c>
    </row>
    <row r="18" spans="1:19" x14ac:dyDescent="0.25">
      <c r="A18" s="3" t="s">
        <v>984</v>
      </c>
      <c r="B18" s="2" t="s">
        <v>272</v>
      </c>
      <c r="C18" s="2">
        <v>6865</v>
      </c>
      <c r="D18" s="2">
        <v>11</v>
      </c>
      <c r="H18" s="133"/>
      <c r="I18" t="s">
        <v>271</v>
      </c>
      <c r="J18" s="11">
        <v>11513</v>
      </c>
      <c r="K18" s="11">
        <v>0</v>
      </c>
      <c r="L18" s="133"/>
      <c r="M18" t="s">
        <v>333</v>
      </c>
      <c r="N18" s="11">
        <v>2833</v>
      </c>
      <c r="O18" s="11">
        <v>2120</v>
      </c>
      <c r="P18" s="133"/>
      <c r="Q18" t="s">
        <v>412</v>
      </c>
      <c r="R18" s="11">
        <v>8497</v>
      </c>
      <c r="S18" s="89">
        <v>74</v>
      </c>
    </row>
    <row r="19" spans="1:19" x14ac:dyDescent="0.25">
      <c r="A19" s="3" t="s">
        <v>984</v>
      </c>
      <c r="B19" s="2" t="s">
        <v>273</v>
      </c>
      <c r="C19" s="2">
        <v>11628</v>
      </c>
      <c r="D19" s="2">
        <v>27</v>
      </c>
      <c r="H19" s="133"/>
      <c r="I19" t="s">
        <v>272</v>
      </c>
      <c r="J19" s="11">
        <v>6865</v>
      </c>
      <c r="K19" s="11">
        <v>11</v>
      </c>
      <c r="L19" s="133"/>
      <c r="M19" t="s">
        <v>334</v>
      </c>
      <c r="N19" s="11">
        <v>2471</v>
      </c>
      <c r="O19" s="11">
        <v>2486</v>
      </c>
      <c r="P19" s="133"/>
      <c r="Q19" t="s">
        <v>413</v>
      </c>
      <c r="R19" s="11">
        <v>5655</v>
      </c>
      <c r="S19" s="89">
        <v>923</v>
      </c>
    </row>
    <row r="20" spans="1:19" x14ac:dyDescent="0.25">
      <c r="A20" s="3" t="s">
        <v>984</v>
      </c>
      <c r="B20" s="2" t="s">
        <v>985</v>
      </c>
      <c r="C20" s="2">
        <v>9868</v>
      </c>
      <c r="D20" s="2">
        <v>1</v>
      </c>
      <c r="H20" s="133"/>
      <c r="I20" t="s">
        <v>273</v>
      </c>
      <c r="J20" s="11">
        <v>11628</v>
      </c>
      <c r="K20" s="11">
        <v>27</v>
      </c>
      <c r="L20" s="135"/>
      <c r="M20" s="129" t="s">
        <v>335</v>
      </c>
      <c r="N20" s="130">
        <v>3733</v>
      </c>
      <c r="O20" s="130">
        <v>1731</v>
      </c>
      <c r="P20" s="133"/>
      <c r="Q20" t="s">
        <v>414</v>
      </c>
      <c r="R20" s="11">
        <v>7114</v>
      </c>
      <c r="S20" s="89">
        <v>312</v>
      </c>
    </row>
    <row r="21" spans="1:19" x14ac:dyDescent="0.25">
      <c r="A21" s="3" t="s">
        <v>984</v>
      </c>
      <c r="B21" s="2" t="s">
        <v>275</v>
      </c>
      <c r="C21" s="2">
        <v>9521</v>
      </c>
      <c r="D21" s="2">
        <v>1</v>
      </c>
      <c r="H21" s="133"/>
      <c r="I21" t="s">
        <v>985</v>
      </c>
      <c r="J21" s="11">
        <v>9868</v>
      </c>
      <c r="K21" s="11">
        <v>1</v>
      </c>
      <c r="L21" s="132" t="s">
        <v>227</v>
      </c>
      <c r="M21" t="s">
        <v>351</v>
      </c>
      <c r="N21" s="11">
        <v>6458</v>
      </c>
      <c r="O21" s="11">
        <v>320</v>
      </c>
      <c r="P21" s="133"/>
      <c r="Q21" t="s">
        <v>416</v>
      </c>
      <c r="R21" s="11">
        <v>7048</v>
      </c>
      <c r="S21" s="89">
        <v>509</v>
      </c>
    </row>
    <row r="22" spans="1:19" x14ac:dyDescent="0.25">
      <c r="A22" s="3" t="s">
        <v>984</v>
      </c>
      <c r="B22" s="2" t="s">
        <v>276</v>
      </c>
      <c r="C22" s="2">
        <v>10471</v>
      </c>
      <c r="D22" s="2">
        <v>3</v>
      </c>
      <c r="H22" s="133"/>
      <c r="I22" t="s">
        <v>275</v>
      </c>
      <c r="J22" s="11">
        <v>9521</v>
      </c>
      <c r="K22" s="11">
        <v>1</v>
      </c>
      <c r="L22" s="133"/>
      <c r="M22" t="s">
        <v>353</v>
      </c>
      <c r="N22" s="11">
        <v>2013</v>
      </c>
      <c r="O22" s="11">
        <v>2240</v>
      </c>
      <c r="P22" s="133"/>
      <c r="Q22" t="s">
        <v>417</v>
      </c>
      <c r="R22" s="11">
        <v>5283</v>
      </c>
      <c r="S22" s="89">
        <v>1230</v>
      </c>
    </row>
    <row r="23" spans="1:19" x14ac:dyDescent="0.25">
      <c r="A23" s="3" t="s">
        <v>984</v>
      </c>
      <c r="B23" s="2" t="s">
        <v>277</v>
      </c>
      <c r="C23" s="2">
        <v>9517</v>
      </c>
      <c r="D23" s="2">
        <v>0</v>
      </c>
      <c r="H23" s="133"/>
      <c r="I23" t="s">
        <v>276</v>
      </c>
      <c r="J23" s="11">
        <v>10471</v>
      </c>
      <c r="K23" s="11">
        <v>3</v>
      </c>
      <c r="L23" s="133"/>
      <c r="M23" t="s">
        <v>354</v>
      </c>
      <c r="N23" s="11">
        <v>4053</v>
      </c>
      <c r="O23" s="11">
        <v>1087</v>
      </c>
      <c r="P23" s="133"/>
      <c r="Q23" t="s">
        <v>418</v>
      </c>
      <c r="R23" s="11">
        <v>6792</v>
      </c>
      <c r="S23" s="89">
        <v>484</v>
      </c>
    </row>
    <row r="24" spans="1:19" x14ac:dyDescent="0.25">
      <c r="A24" s="3" t="s">
        <v>984</v>
      </c>
      <c r="B24" s="2" t="s">
        <v>278</v>
      </c>
      <c r="C24" s="2">
        <v>9376</v>
      </c>
      <c r="D24" s="2">
        <v>0</v>
      </c>
      <c r="H24" s="133"/>
      <c r="I24" t="s">
        <v>277</v>
      </c>
      <c r="J24" s="11">
        <v>9517</v>
      </c>
      <c r="K24" s="11">
        <v>0</v>
      </c>
      <c r="L24" s="133"/>
      <c r="M24" t="s">
        <v>355</v>
      </c>
      <c r="N24" s="11">
        <v>5176</v>
      </c>
      <c r="O24" s="11">
        <v>465</v>
      </c>
      <c r="P24" s="133"/>
      <c r="Q24" t="s">
        <v>419</v>
      </c>
      <c r="R24" s="11">
        <v>9306</v>
      </c>
      <c r="S24" s="89">
        <v>13</v>
      </c>
    </row>
    <row r="25" spans="1:19" x14ac:dyDescent="0.25">
      <c r="A25" s="3" t="s">
        <v>984</v>
      </c>
      <c r="B25" s="2" t="s">
        <v>279</v>
      </c>
      <c r="C25" s="2">
        <v>10504</v>
      </c>
      <c r="D25" s="2">
        <v>1</v>
      </c>
      <c r="H25" s="133"/>
      <c r="I25" t="s">
        <v>278</v>
      </c>
      <c r="J25" s="11">
        <v>9376</v>
      </c>
      <c r="K25" s="11">
        <v>0</v>
      </c>
      <c r="L25" s="133"/>
      <c r="M25" t="s">
        <v>356</v>
      </c>
      <c r="N25" s="11">
        <v>826</v>
      </c>
      <c r="O25" s="11">
        <v>4527</v>
      </c>
      <c r="P25" s="133"/>
      <c r="Q25" t="s">
        <v>415</v>
      </c>
      <c r="R25" s="11">
        <v>7853</v>
      </c>
      <c r="S25" s="89">
        <v>116</v>
      </c>
    </row>
    <row r="26" spans="1:19" x14ac:dyDescent="0.25">
      <c r="A26" s="3" t="s">
        <v>984</v>
      </c>
      <c r="B26" s="2" t="s">
        <v>280</v>
      </c>
      <c r="C26" s="2">
        <v>8963</v>
      </c>
      <c r="D26" s="2">
        <v>0</v>
      </c>
      <c r="H26" s="133"/>
      <c r="I26" t="s">
        <v>279</v>
      </c>
      <c r="J26" s="11">
        <v>10504</v>
      </c>
      <c r="K26" s="11">
        <v>1</v>
      </c>
      <c r="L26" s="133"/>
      <c r="M26" t="s">
        <v>357</v>
      </c>
      <c r="N26" s="11">
        <v>1437</v>
      </c>
      <c r="O26" s="11">
        <v>1449</v>
      </c>
      <c r="P26" s="133"/>
      <c r="Q26" t="s">
        <v>420</v>
      </c>
      <c r="R26" s="11">
        <v>8169</v>
      </c>
      <c r="S26" s="89">
        <v>211</v>
      </c>
    </row>
    <row r="27" spans="1:19" x14ac:dyDescent="0.25">
      <c r="A27" s="3" t="s">
        <v>984</v>
      </c>
      <c r="B27" s="2" t="s">
        <v>281</v>
      </c>
      <c r="C27" s="2">
        <v>11775</v>
      </c>
      <c r="D27" s="2">
        <v>0</v>
      </c>
      <c r="H27" s="133"/>
      <c r="I27" t="s">
        <v>280</v>
      </c>
      <c r="J27" s="11">
        <v>8963</v>
      </c>
      <c r="K27" s="11">
        <v>0</v>
      </c>
      <c r="L27" s="133"/>
      <c r="M27" t="s">
        <v>358</v>
      </c>
      <c r="N27" s="11">
        <v>1979</v>
      </c>
      <c r="O27" s="11">
        <v>342</v>
      </c>
      <c r="P27" s="133"/>
      <c r="Q27" t="s">
        <v>421</v>
      </c>
      <c r="R27" s="11">
        <v>5194</v>
      </c>
      <c r="S27" s="89">
        <v>1318</v>
      </c>
    </row>
    <row r="28" spans="1:19" x14ac:dyDescent="0.25">
      <c r="A28" s="3" t="s">
        <v>984</v>
      </c>
      <c r="B28" s="2" t="s">
        <v>282</v>
      </c>
      <c r="C28" s="189">
        <v>13072</v>
      </c>
      <c r="D28" s="2">
        <v>31</v>
      </c>
      <c r="H28" s="133"/>
      <c r="I28" t="s">
        <v>281</v>
      </c>
      <c r="J28" s="11">
        <v>11775</v>
      </c>
      <c r="K28" s="11">
        <v>0</v>
      </c>
      <c r="L28" s="133"/>
      <c r="M28" t="s">
        <v>359</v>
      </c>
      <c r="N28" s="11">
        <v>2499</v>
      </c>
      <c r="O28" s="11">
        <v>731</v>
      </c>
      <c r="P28" s="133"/>
      <c r="Q28" t="s">
        <v>793</v>
      </c>
      <c r="R28" s="11">
        <v>6112</v>
      </c>
      <c r="S28" s="89">
        <v>582</v>
      </c>
    </row>
    <row r="29" spans="1:19" x14ac:dyDescent="0.25">
      <c r="A29" s="3" t="s">
        <v>984</v>
      </c>
      <c r="B29" s="2" t="s">
        <v>283</v>
      </c>
      <c r="C29" s="2">
        <v>9123</v>
      </c>
      <c r="D29" s="2">
        <v>0</v>
      </c>
      <c r="H29" s="133"/>
      <c r="I29" t="s">
        <v>282</v>
      </c>
      <c r="J29" s="136">
        <v>13072</v>
      </c>
      <c r="K29" s="11">
        <v>31</v>
      </c>
      <c r="L29" s="133"/>
      <c r="M29" t="s">
        <v>1061</v>
      </c>
      <c r="N29" s="11">
        <v>1798</v>
      </c>
      <c r="O29" s="11">
        <v>272</v>
      </c>
      <c r="P29" s="133"/>
      <c r="Q29" t="s">
        <v>422</v>
      </c>
      <c r="R29" s="11">
        <v>5635</v>
      </c>
      <c r="S29" s="89">
        <v>1305</v>
      </c>
    </row>
    <row r="30" spans="1:19" x14ac:dyDescent="0.25">
      <c r="A30" s="3" t="s">
        <v>984</v>
      </c>
      <c r="B30" s="2" t="s">
        <v>284</v>
      </c>
      <c r="C30" s="2">
        <v>10689</v>
      </c>
      <c r="D30" s="2">
        <v>0</v>
      </c>
      <c r="H30" s="133"/>
      <c r="I30" t="s">
        <v>283</v>
      </c>
      <c r="J30" s="11">
        <v>9123</v>
      </c>
      <c r="K30" s="11">
        <v>0</v>
      </c>
      <c r="L30" s="133"/>
      <c r="M30" t="s">
        <v>360</v>
      </c>
      <c r="N30" s="11">
        <v>1609</v>
      </c>
      <c r="O30" s="11">
        <v>1330</v>
      </c>
      <c r="P30" s="133"/>
      <c r="Q30" t="s">
        <v>423</v>
      </c>
      <c r="R30" s="11">
        <v>10266</v>
      </c>
      <c r="S30" s="89">
        <v>0</v>
      </c>
    </row>
    <row r="31" spans="1:19" x14ac:dyDescent="0.25">
      <c r="A31" s="3" t="s">
        <v>984</v>
      </c>
      <c r="B31" s="2" t="s">
        <v>285</v>
      </c>
      <c r="C31" s="2">
        <v>9696</v>
      </c>
      <c r="D31" s="2">
        <v>0</v>
      </c>
      <c r="H31" s="133"/>
      <c r="I31" t="s">
        <v>284</v>
      </c>
      <c r="J31" s="11">
        <v>10689</v>
      </c>
      <c r="K31" s="11">
        <v>0</v>
      </c>
      <c r="L31" s="133"/>
      <c r="M31" t="s">
        <v>361</v>
      </c>
      <c r="N31" s="11">
        <v>1642</v>
      </c>
      <c r="O31" s="11">
        <v>410</v>
      </c>
      <c r="P31" s="133"/>
      <c r="Q31" t="s">
        <v>424</v>
      </c>
      <c r="R31" s="11">
        <v>6576</v>
      </c>
      <c r="S31" s="89">
        <v>373</v>
      </c>
    </row>
    <row r="32" spans="1:19" x14ac:dyDescent="0.25">
      <c r="A32" s="3" t="s">
        <v>984</v>
      </c>
      <c r="B32" s="2" t="s">
        <v>286</v>
      </c>
      <c r="C32" s="2">
        <v>8858</v>
      </c>
      <c r="D32" s="2">
        <v>0</v>
      </c>
      <c r="H32" s="133"/>
      <c r="I32" t="s">
        <v>285</v>
      </c>
      <c r="J32" s="11">
        <v>9696</v>
      </c>
      <c r="K32" s="11">
        <v>0</v>
      </c>
      <c r="L32" s="133"/>
      <c r="M32" t="s">
        <v>1062</v>
      </c>
      <c r="N32" s="11">
        <v>2484</v>
      </c>
      <c r="O32" s="11">
        <v>785</v>
      </c>
      <c r="P32" s="133"/>
      <c r="Q32" t="s">
        <v>425</v>
      </c>
      <c r="R32" s="11">
        <v>5984</v>
      </c>
      <c r="S32" s="89">
        <v>746</v>
      </c>
    </row>
    <row r="33" spans="1:19" x14ac:dyDescent="0.25">
      <c r="A33" s="3" t="s">
        <v>984</v>
      </c>
      <c r="B33" s="2" t="s">
        <v>287</v>
      </c>
      <c r="C33" s="2">
        <v>11970</v>
      </c>
      <c r="D33" s="2">
        <v>0</v>
      </c>
      <c r="H33" s="133"/>
      <c r="I33" t="s">
        <v>286</v>
      </c>
      <c r="J33" s="11">
        <v>8858</v>
      </c>
      <c r="K33" s="11">
        <v>0</v>
      </c>
      <c r="L33" s="133"/>
      <c r="M33" t="s">
        <v>362</v>
      </c>
      <c r="N33" s="11">
        <v>4884</v>
      </c>
      <c r="O33" s="136">
        <v>0</v>
      </c>
      <c r="P33" s="133"/>
      <c r="Q33" t="s">
        <v>426</v>
      </c>
      <c r="R33" s="11">
        <v>5178</v>
      </c>
      <c r="S33" s="89">
        <v>936</v>
      </c>
    </row>
    <row r="34" spans="1:19" x14ac:dyDescent="0.25">
      <c r="A34" s="3" t="s">
        <v>984</v>
      </c>
      <c r="B34" s="2" t="s">
        <v>288</v>
      </c>
      <c r="C34" s="2">
        <v>13574</v>
      </c>
      <c r="D34" s="2">
        <v>0</v>
      </c>
      <c r="E34" t="s">
        <v>1142</v>
      </c>
      <c r="H34" s="133"/>
      <c r="I34" t="s">
        <v>287</v>
      </c>
      <c r="J34" s="11">
        <v>11970</v>
      </c>
      <c r="K34" s="11">
        <v>0</v>
      </c>
      <c r="L34" s="133"/>
      <c r="M34" t="s">
        <v>363</v>
      </c>
      <c r="N34" s="11">
        <v>1931</v>
      </c>
      <c r="O34" s="11">
        <v>3036</v>
      </c>
      <c r="P34" s="133"/>
      <c r="Q34" t="s">
        <v>427</v>
      </c>
      <c r="R34" s="11">
        <v>5943</v>
      </c>
      <c r="S34" s="89">
        <v>631</v>
      </c>
    </row>
    <row r="35" spans="1:19" x14ac:dyDescent="0.25">
      <c r="A35" s="3" t="s">
        <v>984</v>
      </c>
      <c r="B35" s="2" t="s">
        <v>289</v>
      </c>
      <c r="C35" s="2">
        <v>9855</v>
      </c>
      <c r="D35" s="2">
        <v>8</v>
      </c>
      <c r="H35" s="133"/>
      <c r="I35" t="s">
        <v>288</v>
      </c>
      <c r="J35" s="11">
        <v>13574</v>
      </c>
      <c r="K35" s="11">
        <v>0</v>
      </c>
      <c r="L35" s="133"/>
      <c r="M35" t="s">
        <v>1063</v>
      </c>
      <c r="N35" s="11">
        <v>2708</v>
      </c>
      <c r="O35" s="11">
        <v>1313</v>
      </c>
      <c r="P35" s="135"/>
      <c r="Q35" s="129" t="s">
        <v>428</v>
      </c>
      <c r="R35" s="130">
        <v>5266</v>
      </c>
      <c r="S35" s="134">
        <v>798</v>
      </c>
    </row>
    <row r="36" spans="1:19" x14ac:dyDescent="0.25">
      <c r="A36" s="3" t="s">
        <v>984</v>
      </c>
      <c r="B36" s="2" t="s">
        <v>290</v>
      </c>
      <c r="C36" s="2">
        <v>8471</v>
      </c>
      <c r="D36" s="2">
        <v>1</v>
      </c>
      <c r="H36" s="133"/>
      <c r="I36" t="s">
        <v>289</v>
      </c>
      <c r="J36" s="11">
        <v>9855</v>
      </c>
      <c r="K36" s="11">
        <v>8</v>
      </c>
      <c r="L36" s="133"/>
      <c r="M36" t="s">
        <v>364</v>
      </c>
      <c r="N36" s="11">
        <v>2327</v>
      </c>
      <c r="O36" s="11">
        <v>2101</v>
      </c>
      <c r="P36" s="132" t="s">
        <v>229</v>
      </c>
      <c r="Q36" t="s">
        <v>430</v>
      </c>
      <c r="R36" s="11">
        <v>6218</v>
      </c>
      <c r="S36" s="89">
        <v>503</v>
      </c>
    </row>
    <row r="37" spans="1:19" x14ac:dyDescent="0.25">
      <c r="A37" s="3" t="s">
        <v>984</v>
      </c>
      <c r="B37" s="2" t="s">
        <v>291</v>
      </c>
      <c r="C37" s="2">
        <v>8385</v>
      </c>
      <c r="D37" s="2">
        <v>0</v>
      </c>
      <c r="H37" s="133"/>
      <c r="I37" t="s">
        <v>290</v>
      </c>
      <c r="J37" s="11">
        <v>8471</v>
      </c>
      <c r="K37" s="11">
        <v>1</v>
      </c>
      <c r="L37" s="133"/>
      <c r="M37" t="s">
        <v>365</v>
      </c>
      <c r="N37" s="11">
        <v>1312</v>
      </c>
      <c r="O37" s="11">
        <v>1187</v>
      </c>
      <c r="P37" s="133"/>
      <c r="Q37" t="s">
        <v>431</v>
      </c>
      <c r="R37" s="11">
        <v>5700</v>
      </c>
      <c r="S37" s="89">
        <v>418</v>
      </c>
    </row>
    <row r="38" spans="1:19" x14ac:dyDescent="0.25">
      <c r="A38" s="3" t="s">
        <v>984</v>
      </c>
      <c r="B38" s="2" t="s">
        <v>292</v>
      </c>
      <c r="C38" s="2">
        <v>10071</v>
      </c>
      <c r="D38" s="2">
        <v>5</v>
      </c>
      <c r="H38" s="133"/>
      <c r="I38" t="s">
        <v>291</v>
      </c>
      <c r="J38" s="11">
        <v>8385</v>
      </c>
      <c r="K38" s="11">
        <v>0</v>
      </c>
      <c r="L38" s="133"/>
      <c r="M38" t="s">
        <v>367</v>
      </c>
      <c r="N38" s="11">
        <v>1299</v>
      </c>
      <c r="O38" s="11">
        <v>570</v>
      </c>
      <c r="P38" s="133"/>
      <c r="Q38" t="s">
        <v>432</v>
      </c>
      <c r="R38" s="11">
        <v>5969</v>
      </c>
      <c r="S38" s="89">
        <v>731</v>
      </c>
    </row>
    <row r="39" spans="1:19" x14ac:dyDescent="0.25">
      <c r="A39" s="3" t="s">
        <v>984</v>
      </c>
      <c r="B39" s="2" t="s">
        <v>293</v>
      </c>
      <c r="C39" s="2">
        <v>8033</v>
      </c>
      <c r="D39" s="2">
        <v>22</v>
      </c>
      <c r="H39" s="133"/>
      <c r="I39" t="s">
        <v>292</v>
      </c>
      <c r="J39" s="11">
        <v>10071</v>
      </c>
      <c r="K39" s="11">
        <v>5</v>
      </c>
      <c r="L39" s="133"/>
      <c r="M39" t="s">
        <v>366</v>
      </c>
      <c r="N39" s="11">
        <v>2327</v>
      </c>
      <c r="O39" s="11">
        <v>131</v>
      </c>
      <c r="P39" s="133"/>
      <c r="Q39" t="s">
        <v>433</v>
      </c>
      <c r="R39" s="11">
        <v>5524</v>
      </c>
      <c r="S39" s="89">
        <v>625</v>
      </c>
    </row>
    <row r="40" spans="1:19" x14ac:dyDescent="0.25">
      <c r="A40" s="3" t="s">
        <v>984</v>
      </c>
      <c r="B40" s="2" t="s">
        <v>294</v>
      </c>
      <c r="C40" s="2">
        <v>10754</v>
      </c>
      <c r="D40" s="2">
        <v>2</v>
      </c>
      <c r="H40" s="133"/>
      <c r="I40" t="s">
        <v>293</v>
      </c>
      <c r="J40" s="11">
        <v>8033</v>
      </c>
      <c r="K40" s="11">
        <v>22</v>
      </c>
      <c r="L40" s="133"/>
      <c r="M40" t="s">
        <v>1064</v>
      </c>
      <c r="N40" s="11">
        <v>837</v>
      </c>
      <c r="O40" s="11">
        <v>4228</v>
      </c>
      <c r="P40" s="133"/>
      <c r="Q40" t="s">
        <v>434</v>
      </c>
      <c r="R40" s="11">
        <v>6425</v>
      </c>
      <c r="S40" s="89">
        <v>551</v>
      </c>
    </row>
    <row r="41" spans="1:19" x14ac:dyDescent="0.25">
      <c r="A41" s="3" t="s">
        <v>984</v>
      </c>
      <c r="B41" s="2" t="s">
        <v>295</v>
      </c>
      <c r="C41" s="2">
        <v>8551</v>
      </c>
      <c r="D41" s="2">
        <v>5</v>
      </c>
      <c r="H41" s="133"/>
      <c r="I41" t="s">
        <v>294</v>
      </c>
      <c r="J41" s="11">
        <v>10754</v>
      </c>
      <c r="K41" s="11">
        <v>2</v>
      </c>
      <c r="L41" s="133"/>
      <c r="M41" t="s">
        <v>1065</v>
      </c>
      <c r="N41" s="11">
        <v>2871</v>
      </c>
      <c r="O41" s="11">
        <v>1983</v>
      </c>
      <c r="P41" s="135"/>
      <c r="Q41" s="129" t="s">
        <v>429</v>
      </c>
      <c r="R41" s="130">
        <v>5530</v>
      </c>
      <c r="S41" s="134">
        <v>738</v>
      </c>
    </row>
    <row r="42" spans="1:19" x14ac:dyDescent="0.25">
      <c r="A42" s="3" t="s">
        <v>984</v>
      </c>
      <c r="B42" s="2" t="s">
        <v>296</v>
      </c>
      <c r="C42" s="2">
        <v>11572</v>
      </c>
      <c r="D42" s="2">
        <v>0</v>
      </c>
      <c r="H42" s="133"/>
      <c r="I42" t="s">
        <v>295</v>
      </c>
      <c r="J42" s="11">
        <v>8551</v>
      </c>
      <c r="K42" s="11">
        <v>5</v>
      </c>
      <c r="L42" s="133"/>
      <c r="M42" t="s">
        <v>368</v>
      </c>
      <c r="N42" s="11">
        <v>1654</v>
      </c>
      <c r="O42" s="11">
        <v>1754</v>
      </c>
      <c r="P42" s="132" t="s">
        <v>230</v>
      </c>
      <c r="Q42" t="s">
        <v>435</v>
      </c>
      <c r="R42" s="11">
        <v>4987</v>
      </c>
      <c r="S42" s="89">
        <v>1010</v>
      </c>
    </row>
    <row r="43" spans="1:19" x14ac:dyDescent="0.25">
      <c r="A43" s="3" t="s">
        <v>984</v>
      </c>
      <c r="B43" s="2" t="s">
        <v>297</v>
      </c>
      <c r="C43" s="2">
        <v>8285</v>
      </c>
      <c r="D43" s="2">
        <v>0</v>
      </c>
      <c r="H43" s="133"/>
      <c r="I43" t="s">
        <v>296</v>
      </c>
      <c r="J43" s="11">
        <v>11572</v>
      </c>
      <c r="K43" s="11">
        <v>0</v>
      </c>
      <c r="L43" s="133"/>
      <c r="M43" t="s">
        <v>369</v>
      </c>
      <c r="N43" s="11">
        <v>2933</v>
      </c>
      <c r="O43" s="11">
        <v>679</v>
      </c>
      <c r="P43" s="135"/>
      <c r="Q43" s="129" t="s">
        <v>1066</v>
      </c>
      <c r="R43" s="130">
        <v>5087</v>
      </c>
      <c r="S43" s="134">
        <v>1088</v>
      </c>
    </row>
    <row r="44" spans="1:19" x14ac:dyDescent="0.25">
      <c r="A44" s="3" t="s">
        <v>984</v>
      </c>
      <c r="B44" s="2" t="s">
        <v>298</v>
      </c>
      <c r="C44" s="2">
        <v>8599</v>
      </c>
      <c r="D44" s="2">
        <v>4</v>
      </c>
      <c r="H44" s="133"/>
      <c r="I44" t="s">
        <v>297</v>
      </c>
      <c r="J44" s="11">
        <v>8285</v>
      </c>
      <c r="K44" s="11">
        <v>0</v>
      </c>
      <c r="L44" s="133"/>
      <c r="M44" t="s">
        <v>370</v>
      </c>
      <c r="N44" s="11">
        <v>3256</v>
      </c>
      <c r="O44" s="11">
        <v>27</v>
      </c>
      <c r="P44" s="132" t="s">
        <v>231</v>
      </c>
      <c r="Q44" t="s">
        <v>436</v>
      </c>
      <c r="R44" s="11">
        <v>1672</v>
      </c>
      <c r="S44" s="89">
        <v>2354</v>
      </c>
    </row>
    <row r="45" spans="1:19" x14ac:dyDescent="0.25">
      <c r="A45" s="3" t="s">
        <v>984</v>
      </c>
      <c r="B45" s="2" t="s">
        <v>1057</v>
      </c>
      <c r="C45" s="2">
        <v>8490</v>
      </c>
      <c r="D45" s="2">
        <v>6</v>
      </c>
      <c r="H45" s="133"/>
      <c r="I45" t="s">
        <v>298</v>
      </c>
      <c r="J45" s="11">
        <v>8599</v>
      </c>
      <c r="K45" s="11">
        <v>4</v>
      </c>
      <c r="L45" s="133"/>
      <c r="M45" t="s">
        <v>371</v>
      </c>
      <c r="N45" s="11">
        <v>1136</v>
      </c>
      <c r="O45" s="11">
        <v>995</v>
      </c>
      <c r="P45" s="133"/>
      <c r="Q45" t="s">
        <v>437</v>
      </c>
      <c r="R45" s="11">
        <v>789</v>
      </c>
      <c r="S45" s="89">
        <v>2857</v>
      </c>
    </row>
    <row r="46" spans="1:19" x14ac:dyDescent="0.25">
      <c r="A46" s="3" t="s">
        <v>984</v>
      </c>
      <c r="B46" s="2" t="s">
        <v>986</v>
      </c>
      <c r="C46" s="2">
        <v>10084</v>
      </c>
      <c r="D46" s="2">
        <v>0</v>
      </c>
      <c r="H46" s="133"/>
      <c r="I46" t="s">
        <v>1057</v>
      </c>
      <c r="J46" s="11">
        <v>8490</v>
      </c>
      <c r="K46" s="11">
        <v>6</v>
      </c>
      <c r="L46" s="133"/>
      <c r="M46" t="s">
        <v>372</v>
      </c>
      <c r="N46" s="137">
        <v>1283</v>
      </c>
      <c r="O46" s="11">
        <v>617</v>
      </c>
      <c r="P46" s="133"/>
      <c r="Q46" t="s">
        <v>438</v>
      </c>
      <c r="R46" s="11">
        <v>322</v>
      </c>
      <c r="S46" s="89">
        <v>4114</v>
      </c>
    </row>
    <row r="47" spans="1:19" x14ac:dyDescent="0.25">
      <c r="A47" s="3" t="s">
        <v>984</v>
      </c>
      <c r="B47" s="2" t="s">
        <v>300</v>
      </c>
      <c r="C47" s="2">
        <v>11770</v>
      </c>
      <c r="D47" s="2">
        <v>0</v>
      </c>
      <c r="H47" s="133"/>
      <c r="I47" t="s">
        <v>986</v>
      </c>
      <c r="J47" s="11">
        <v>10084</v>
      </c>
      <c r="K47" s="11">
        <v>0</v>
      </c>
      <c r="L47" s="133"/>
      <c r="M47" t="s">
        <v>352</v>
      </c>
      <c r="N47" s="11">
        <v>4964</v>
      </c>
      <c r="O47" s="11">
        <v>4</v>
      </c>
      <c r="P47" s="133"/>
      <c r="Q47" t="s">
        <v>439</v>
      </c>
      <c r="R47" s="11">
        <v>205</v>
      </c>
      <c r="S47" s="89">
        <v>4113</v>
      </c>
    </row>
    <row r="48" spans="1:19" x14ac:dyDescent="0.25">
      <c r="A48" s="3" t="s">
        <v>984</v>
      </c>
      <c r="B48" s="2" t="s">
        <v>301</v>
      </c>
      <c r="C48" s="2">
        <v>9143</v>
      </c>
      <c r="D48" s="2">
        <v>0</v>
      </c>
      <c r="H48" s="133"/>
      <c r="I48" t="s">
        <v>300</v>
      </c>
      <c r="J48" s="11">
        <v>11770</v>
      </c>
      <c r="K48" s="11">
        <v>0</v>
      </c>
      <c r="L48" s="133"/>
      <c r="M48" t="s">
        <v>373</v>
      </c>
      <c r="N48" s="11">
        <v>2268</v>
      </c>
      <c r="O48" s="11">
        <v>1389</v>
      </c>
      <c r="P48" s="133"/>
      <c r="Q48" t="s">
        <v>454</v>
      </c>
      <c r="R48" s="11">
        <v>722</v>
      </c>
      <c r="S48" s="89">
        <v>2959</v>
      </c>
    </row>
    <row r="49" spans="1:19" x14ac:dyDescent="0.25">
      <c r="A49" s="3" t="s">
        <v>984</v>
      </c>
      <c r="B49" s="2" t="s">
        <v>302</v>
      </c>
      <c r="C49" s="2">
        <v>9112</v>
      </c>
      <c r="D49" s="2">
        <v>0</v>
      </c>
      <c r="H49" s="133"/>
      <c r="I49" t="s">
        <v>301</v>
      </c>
      <c r="J49" s="11">
        <v>9143</v>
      </c>
      <c r="K49" s="11">
        <v>0</v>
      </c>
      <c r="L49" s="133"/>
      <c r="M49" t="s">
        <v>374</v>
      </c>
      <c r="N49" s="11">
        <v>2211</v>
      </c>
      <c r="O49" s="11">
        <v>1445</v>
      </c>
      <c r="P49" s="133"/>
      <c r="Q49" t="s">
        <v>440</v>
      </c>
      <c r="R49" s="11">
        <v>1306</v>
      </c>
      <c r="S49" s="89">
        <v>2659</v>
      </c>
    </row>
    <row r="50" spans="1:19" x14ac:dyDescent="0.25">
      <c r="A50" s="3" t="s">
        <v>984</v>
      </c>
      <c r="B50" s="2" t="s">
        <v>303</v>
      </c>
      <c r="C50" s="2">
        <v>8002</v>
      </c>
      <c r="D50" s="2">
        <v>0</v>
      </c>
      <c r="H50" s="133"/>
      <c r="I50" t="s">
        <v>302</v>
      </c>
      <c r="J50" s="11">
        <v>9112</v>
      </c>
      <c r="K50" s="11">
        <v>0</v>
      </c>
      <c r="L50" s="133"/>
      <c r="M50" t="s">
        <v>375</v>
      </c>
      <c r="N50" s="11">
        <v>5097</v>
      </c>
      <c r="O50" s="11">
        <v>567</v>
      </c>
      <c r="P50" s="133"/>
      <c r="Q50" t="s">
        <v>441</v>
      </c>
      <c r="R50" s="11">
        <v>318</v>
      </c>
      <c r="S50" s="89">
        <v>4117</v>
      </c>
    </row>
    <row r="51" spans="1:19" x14ac:dyDescent="0.25">
      <c r="A51" s="3" t="s">
        <v>984</v>
      </c>
      <c r="B51" s="2" t="s">
        <v>304</v>
      </c>
      <c r="C51" s="2">
        <v>8379</v>
      </c>
      <c r="D51" s="2">
        <v>9</v>
      </c>
      <c r="H51" s="133"/>
      <c r="I51" t="s">
        <v>303</v>
      </c>
      <c r="J51" s="11">
        <v>8002</v>
      </c>
      <c r="K51" s="11">
        <v>0</v>
      </c>
      <c r="L51" s="133"/>
      <c r="M51" t="s">
        <v>376</v>
      </c>
      <c r="N51" s="11">
        <v>3218</v>
      </c>
      <c r="O51" s="11">
        <v>64</v>
      </c>
      <c r="P51" s="133"/>
      <c r="Q51" t="s">
        <v>1067</v>
      </c>
      <c r="R51" s="11">
        <v>1281</v>
      </c>
      <c r="S51" s="89">
        <v>2565</v>
      </c>
    </row>
    <row r="52" spans="1:19" x14ac:dyDescent="0.25">
      <c r="A52" s="3" t="s">
        <v>984</v>
      </c>
      <c r="B52" s="2" t="s">
        <v>305</v>
      </c>
      <c r="C52" s="2">
        <v>10146</v>
      </c>
      <c r="D52" s="2">
        <v>3</v>
      </c>
      <c r="H52" s="133"/>
      <c r="I52" t="s">
        <v>304</v>
      </c>
      <c r="J52" s="11">
        <v>8379</v>
      </c>
      <c r="K52" s="11">
        <v>9</v>
      </c>
      <c r="L52" s="133"/>
      <c r="M52" t="s">
        <v>377</v>
      </c>
      <c r="N52" s="11">
        <v>3186</v>
      </c>
      <c r="O52" s="11">
        <v>191</v>
      </c>
      <c r="P52" s="133"/>
      <c r="Q52" t="s">
        <v>442</v>
      </c>
      <c r="R52" s="11">
        <v>67</v>
      </c>
      <c r="S52" s="89">
        <v>4906</v>
      </c>
    </row>
    <row r="53" spans="1:19" x14ac:dyDescent="0.25">
      <c r="A53" s="3" t="s">
        <v>984</v>
      </c>
      <c r="B53" s="2" t="s">
        <v>471</v>
      </c>
      <c r="C53" s="2">
        <v>10607</v>
      </c>
      <c r="D53" s="2">
        <v>0</v>
      </c>
      <c r="H53" s="133"/>
      <c r="I53" t="s">
        <v>305</v>
      </c>
      <c r="J53" s="11">
        <v>10146</v>
      </c>
      <c r="K53" s="11">
        <v>3</v>
      </c>
      <c r="L53" s="133"/>
      <c r="M53" t="s">
        <v>378</v>
      </c>
      <c r="N53" s="11">
        <v>944</v>
      </c>
      <c r="O53" s="11">
        <v>4672</v>
      </c>
      <c r="P53" s="133"/>
      <c r="Q53" t="s">
        <v>443</v>
      </c>
      <c r="R53" s="11">
        <v>973</v>
      </c>
      <c r="S53" s="89">
        <v>3374</v>
      </c>
    </row>
    <row r="54" spans="1:19" x14ac:dyDescent="0.25">
      <c r="A54" s="3" t="s">
        <v>984</v>
      </c>
      <c r="B54" s="2" t="s">
        <v>306</v>
      </c>
      <c r="C54" s="2">
        <v>10973</v>
      </c>
      <c r="D54" s="2">
        <v>2</v>
      </c>
      <c r="H54" s="133"/>
      <c r="I54" t="s">
        <v>471</v>
      </c>
      <c r="J54" s="11">
        <v>10607</v>
      </c>
      <c r="K54" s="11">
        <v>0</v>
      </c>
      <c r="L54" s="133"/>
      <c r="M54" t="s">
        <v>379</v>
      </c>
      <c r="N54" s="11">
        <v>2816</v>
      </c>
      <c r="O54" s="11">
        <v>128</v>
      </c>
      <c r="P54" s="133"/>
      <c r="Q54" t="s">
        <v>444</v>
      </c>
      <c r="R54" s="11">
        <v>124</v>
      </c>
      <c r="S54" s="89">
        <v>5280</v>
      </c>
    </row>
    <row r="55" spans="1:19" x14ac:dyDescent="0.25">
      <c r="A55" s="3" t="s">
        <v>984</v>
      </c>
      <c r="B55" s="2" t="s">
        <v>472</v>
      </c>
      <c r="C55" s="2">
        <v>10391</v>
      </c>
      <c r="D55" s="2">
        <v>3</v>
      </c>
      <c r="H55" s="133"/>
      <c r="I55" t="s">
        <v>306</v>
      </c>
      <c r="J55" s="11">
        <v>10973</v>
      </c>
      <c r="K55" s="11">
        <v>2</v>
      </c>
      <c r="L55" s="133"/>
      <c r="M55" t="s">
        <v>380</v>
      </c>
      <c r="N55" s="11">
        <v>2010</v>
      </c>
      <c r="O55" s="11">
        <v>186</v>
      </c>
      <c r="P55" s="133"/>
      <c r="Q55" t="s">
        <v>445</v>
      </c>
      <c r="R55" s="11">
        <v>1037</v>
      </c>
      <c r="S55" s="89">
        <v>2806</v>
      </c>
    </row>
    <row r="56" spans="1:19" x14ac:dyDescent="0.25">
      <c r="A56" s="3" t="s">
        <v>984</v>
      </c>
      <c r="B56" s="2" t="s">
        <v>274</v>
      </c>
      <c r="C56" s="2">
        <v>9862</v>
      </c>
      <c r="D56" s="2">
        <v>0</v>
      </c>
      <c r="H56" s="133"/>
      <c r="I56" t="s">
        <v>472</v>
      </c>
      <c r="J56" s="11">
        <v>10391</v>
      </c>
      <c r="K56" s="11">
        <v>3</v>
      </c>
      <c r="L56" s="133"/>
      <c r="M56" t="s">
        <v>381</v>
      </c>
      <c r="N56" s="11">
        <v>668</v>
      </c>
      <c r="O56" s="11">
        <v>4333</v>
      </c>
      <c r="P56" s="133"/>
      <c r="Q56" t="s">
        <v>446</v>
      </c>
      <c r="R56" s="11">
        <v>369</v>
      </c>
      <c r="S56" s="89">
        <v>3269</v>
      </c>
    </row>
    <row r="57" spans="1:19" x14ac:dyDescent="0.25">
      <c r="A57" s="3" t="s">
        <v>984</v>
      </c>
      <c r="B57" s="2" t="s">
        <v>307</v>
      </c>
      <c r="C57" s="2">
        <v>9257</v>
      </c>
      <c r="D57" s="2">
        <v>0</v>
      </c>
      <c r="H57" s="133"/>
      <c r="I57" t="s">
        <v>274</v>
      </c>
      <c r="J57" s="11">
        <v>9862</v>
      </c>
      <c r="K57" s="11">
        <v>0</v>
      </c>
      <c r="L57" s="133"/>
      <c r="M57" t="s">
        <v>382</v>
      </c>
      <c r="N57" s="11">
        <v>2829</v>
      </c>
      <c r="O57" s="11">
        <v>1947</v>
      </c>
      <c r="P57" s="133"/>
      <c r="Q57" t="s">
        <v>447</v>
      </c>
      <c r="R57" s="11">
        <v>150</v>
      </c>
      <c r="S57" s="89">
        <v>4292</v>
      </c>
    </row>
    <row r="58" spans="1:19" x14ac:dyDescent="0.25">
      <c r="A58" s="3" t="s">
        <v>984</v>
      </c>
      <c r="B58" s="2" t="s">
        <v>308</v>
      </c>
      <c r="C58" s="2">
        <v>9362</v>
      </c>
      <c r="D58" s="2">
        <v>1</v>
      </c>
      <c r="H58" s="133"/>
      <c r="I58" t="s">
        <v>307</v>
      </c>
      <c r="J58" s="11">
        <v>9257</v>
      </c>
      <c r="K58" s="11">
        <v>0</v>
      </c>
      <c r="L58" s="133"/>
      <c r="M58" t="s">
        <v>383</v>
      </c>
      <c r="N58" s="11">
        <v>2558</v>
      </c>
      <c r="O58" s="11">
        <v>852</v>
      </c>
      <c r="P58" s="133"/>
      <c r="Q58" t="s">
        <v>460</v>
      </c>
      <c r="R58" s="11">
        <v>1728</v>
      </c>
      <c r="S58" s="89">
        <v>2305</v>
      </c>
    </row>
    <row r="59" spans="1:19" x14ac:dyDescent="0.25">
      <c r="A59" s="3" t="s">
        <v>984</v>
      </c>
      <c r="B59" s="2" t="s">
        <v>309</v>
      </c>
      <c r="C59" s="2">
        <v>7985</v>
      </c>
      <c r="D59" s="2">
        <v>5</v>
      </c>
      <c r="H59" s="133"/>
      <c r="I59" t="s">
        <v>308</v>
      </c>
      <c r="J59" s="11">
        <v>9362</v>
      </c>
      <c r="K59" s="11">
        <v>1</v>
      </c>
      <c r="L59" s="133"/>
      <c r="M59" t="s">
        <v>384</v>
      </c>
      <c r="N59" s="11">
        <v>2465</v>
      </c>
      <c r="O59" s="11">
        <v>1620</v>
      </c>
      <c r="P59" s="133"/>
      <c r="Q59" t="s">
        <v>448</v>
      </c>
      <c r="R59" s="11">
        <v>289</v>
      </c>
      <c r="S59" s="89">
        <v>3443</v>
      </c>
    </row>
    <row r="60" spans="1:19" x14ac:dyDescent="0.25">
      <c r="A60" s="3" t="s">
        <v>984</v>
      </c>
      <c r="B60" s="2" t="s">
        <v>310</v>
      </c>
      <c r="C60" s="2">
        <v>9117</v>
      </c>
      <c r="D60" s="2">
        <v>0</v>
      </c>
      <c r="H60" s="133"/>
      <c r="I60" t="s">
        <v>309</v>
      </c>
      <c r="J60" s="11">
        <v>7985</v>
      </c>
      <c r="K60" s="11">
        <v>5</v>
      </c>
      <c r="L60" s="133"/>
      <c r="M60" t="s">
        <v>385</v>
      </c>
      <c r="N60" s="11">
        <v>2782</v>
      </c>
      <c r="O60" s="11">
        <v>1868</v>
      </c>
      <c r="P60" s="133"/>
      <c r="Q60" t="s">
        <v>449</v>
      </c>
      <c r="R60" s="11">
        <v>1144</v>
      </c>
      <c r="S60" s="89">
        <v>2724</v>
      </c>
    </row>
    <row r="61" spans="1:19" x14ac:dyDescent="0.25">
      <c r="A61" s="3" t="s">
        <v>225</v>
      </c>
      <c r="B61" s="2" t="s">
        <v>336</v>
      </c>
      <c r="C61" s="2">
        <v>1473</v>
      </c>
      <c r="D61" s="2">
        <v>3715</v>
      </c>
      <c r="H61" s="135"/>
      <c r="I61" s="129" t="s">
        <v>310</v>
      </c>
      <c r="J61" s="130">
        <v>9117</v>
      </c>
      <c r="K61" s="130">
        <v>0</v>
      </c>
      <c r="L61" s="133"/>
      <c r="M61" t="s">
        <v>386</v>
      </c>
      <c r="N61" s="11">
        <v>2694</v>
      </c>
      <c r="O61" s="11">
        <v>1688</v>
      </c>
      <c r="P61" s="133"/>
      <c r="Q61" t="s">
        <v>450</v>
      </c>
      <c r="R61" s="11">
        <v>526</v>
      </c>
      <c r="S61" s="89">
        <v>3234</v>
      </c>
    </row>
    <row r="62" spans="1:19" x14ac:dyDescent="0.25">
      <c r="A62" s="3" t="s">
        <v>225</v>
      </c>
      <c r="B62" s="2" t="s">
        <v>337</v>
      </c>
      <c r="C62" s="2">
        <v>2328</v>
      </c>
      <c r="D62" s="2">
        <v>1832</v>
      </c>
      <c r="H62" s="132" t="s">
        <v>225</v>
      </c>
      <c r="I62" t="s">
        <v>336</v>
      </c>
      <c r="J62" s="11">
        <v>1473</v>
      </c>
      <c r="K62" s="11">
        <v>3715</v>
      </c>
      <c r="L62" s="133"/>
      <c r="M62" t="s">
        <v>473</v>
      </c>
      <c r="N62" s="11">
        <v>2782</v>
      </c>
      <c r="O62" s="11">
        <v>3004</v>
      </c>
      <c r="P62" s="133"/>
      <c r="Q62" t="s">
        <v>451</v>
      </c>
      <c r="R62" s="11">
        <v>1269</v>
      </c>
      <c r="S62" s="89">
        <v>2877</v>
      </c>
    </row>
    <row r="63" spans="1:19" x14ac:dyDescent="0.25">
      <c r="A63" s="3" t="s">
        <v>225</v>
      </c>
      <c r="B63" s="2" t="s">
        <v>338</v>
      </c>
      <c r="C63" s="2">
        <v>7112</v>
      </c>
      <c r="D63" s="2">
        <v>110</v>
      </c>
      <c r="H63" s="133"/>
      <c r="I63" t="s">
        <v>337</v>
      </c>
      <c r="J63" s="11">
        <v>2328</v>
      </c>
      <c r="K63" s="11">
        <v>1832</v>
      </c>
      <c r="L63" s="133"/>
      <c r="M63" t="s">
        <v>387</v>
      </c>
      <c r="N63" s="11">
        <v>1609</v>
      </c>
      <c r="O63" s="11">
        <v>1413</v>
      </c>
      <c r="P63" s="133"/>
      <c r="Q63" t="s">
        <v>452</v>
      </c>
      <c r="R63" s="11">
        <v>1174</v>
      </c>
      <c r="S63" s="89">
        <v>2711</v>
      </c>
    </row>
    <row r="64" spans="1:19" x14ac:dyDescent="0.25">
      <c r="A64" s="3" t="s">
        <v>225</v>
      </c>
      <c r="B64" s="2" t="s">
        <v>339</v>
      </c>
      <c r="C64" s="2">
        <v>6605</v>
      </c>
      <c r="D64" s="2">
        <v>93</v>
      </c>
      <c r="H64" s="133"/>
      <c r="I64" t="s">
        <v>338</v>
      </c>
      <c r="J64" s="11">
        <v>7112</v>
      </c>
      <c r="K64" s="11">
        <v>110</v>
      </c>
      <c r="L64" s="133"/>
      <c r="M64" t="s">
        <v>388</v>
      </c>
      <c r="N64" s="11">
        <v>2581</v>
      </c>
      <c r="O64" s="11">
        <v>1281</v>
      </c>
      <c r="P64" s="133"/>
      <c r="Q64" t="s">
        <v>453</v>
      </c>
      <c r="R64" s="11">
        <v>604</v>
      </c>
      <c r="S64" s="89">
        <v>3266</v>
      </c>
    </row>
    <row r="65" spans="1:19" x14ac:dyDescent="0.25">
      <c r="A65" s="3" t="s">
        <v>225</v>
      </c>
      <c r="B65" s="2" t="s">
        <v>340</v>
      </c>
      <c r="C65" s="2">
        <v>3005</v>
      </c>
      <c r="D65" s="2">
        <v>2444</v>
      </c>
      <c r="H65" s="133"/>
      <c r="I65" t="s">
        <v>339</v>
      </c>
      <c r="J65" s="11">
        <v>6605</v>
      </c>
      <c r="K65" s="11">
        <v>93</v>
      </c>
      <c r="L65" s="133"/>
      <c r="M65" t="s">
        <v>389</v>
      </c>
      <c r="N65" s="11">
        <v>2852</v>
      </c>
      <c r="O65" s="11">
        <v>84</v>
      </c>
      <c r="P65" s="133"/>
      <c r="Q65" t="s">
        <v>455</v>
      </c>
      <c r="R65" s="11">
        <v>429</v>
      </c>
      <c r="S65" s="89">
        <v>3824</v>
      </c>
    </row>
    <row r="66" spans="1:19" x14ac:dyDescent="0.25">
      <c r="A66" s="3" t="s">
        <v>225</v>
      </c>
      <c r="B66" s="2" t="s">
        <v>341</v>
      </c>
      <c r="C66" s="2">
        <v>1137</v>
      </c>
      <c r="D66" s="2">
        <v>4152</v>
      </c>
      <c r="H66" s="133"/>
      <c r="I66" t="s">
        <v>340</v>
      </c>
      <c r="J66" s="11">
        <v>3005</v>
      </c>
      <c r="K66" s="11">
        <v>2444</v>
      </c>
      <c r="L66" s="133"/>
      <c r="M66" t="s">
        <v>390</v>
      </c>
      <c r="N66" s="11">
        <v>1019</v>
      </c>
      <c r="O66" s="11">
        <v>742</v>
      </c>
      <c r="P66" s="133"/>
      <c r="Q66" t="s">
        <v>456</v>
      </c>
      <c r="R66" s="11">
        <v>1545</v>
      </c>
      <c r="S66" s="89">
        <v>2370</v>
      </c>
    </row>
    <row r="67" spans="1:19" x14ac:dyDescent="0.25">
      <c r="A67" s="3" t="s">
        <v>225</v>
      </c>
      <c r="B67" s="2" t="s">
        <v>342</v>
      </c>
      <c r="C67" s="2">
        <v>3658</v>
      </c>
      <c r="D67" s="2">
        <v>1967</v>
      </c>
      <c r="H67" s="133"/>
      <c r="I67" t="s">
        <v>341</v>
      </c>
      <c r="J67" s="11">
        <v>1137</v>
      </c>
      <c r="K67" s="11">
        <v>4152</v>
      </c>
      <c r="L67" s="133"/>
      <c r="M67" t="s">
        <v>391</v>
      </c>
      <c r="N67" s="11">
        <v>2737</v>
      </c>
      <c r="O67" s="11">
        <v>97</v>
      </c>
      <c r="P67" s="133"/>
      <c r="Q67" t="s">
        <v>457</v>
      </c>
      <c r="R67" s="11">
        <v>646</v>
      </c>
      <c r="S67" s="89">
        <v>3442</v>
      </c>
    </row>
    <row r="68" spans="1:19" x14ac:dyDescent="0.25">
      <c r="A68" s="3" t="s">
        <v>225</v>
      </c>
      <c r="B68" s="2" t="s">
        <v>343</v>
      </c>
      <c r="C68" s="2">
        <v>997</v>
      </c>
      <c r="D68" s="2">
        <v>4591</v>
      </c>
      <c r="H68" s="133"/>
      <c r="I68" t="s">
        <v>342</v>
      </c>
      <c r="J68" s="11">
        <v>3658</v>
      </c>
      <c r="K68" s="11">
        <v>1967</v>
      </c>
      <c r="L68" s="133"/>
      <c r="M68" t="s">
        <v>392</v>
      </c>
      <c r="N68" s="11">
        <v>2301</v>
      </c>
      <c r="O68" s="11">
        <v>395</v>
      </c>
      <c r="P68" s="133"/>
      <c r="Q68" t="s">
        <v>988</v>
      </c>
      <c r="R68" s="11">
        <v>2072</v>
      </c>
      <c r="S68" s="89">
        <v>2339</v>
      </c>
    </row>
    <row r="69" spans="1:19" x14ac:dyDescent="0.25">
      <c r="A69" s="3" t="s">
        <v>225</v>
      </c>
      <c r="B69" s="2" t="s">
        <v>344</v>
      </c>
      <c r="C69" s="2">
        <v>4146</v>
      </c>
      <c r="D69" s="2">
        <v>1037</v>
      </c>
      <c r="H69" s="133"/>
      <c r="I69" t="s">
        <v>343</v>
      </c>
      <c r="J69" s="11">
        <v>997</v>
      </c>
      <c r="K69" s="11">
        <v>4591</v>
      </c>
      <c r="L69" s="133"/>
      <c r="M69" t="s">
        <v>393</v>
      </c>
      <c r="N69" s="11">
        <v>2325</v>
      </c>
      <c r="O69" s="11">
        <v>201</v>
      </c>
      <c r="P69" s="133"/>
      <c r="Q69" t="s">
        <v>458</v>
      </c>
      <c r="R69" s="11">
        <v>299</v>
      </c>
      <c r="S69" s="89">
        <v>3489</v>
      </c>
    </row>
    <row r="70" spans="1:19" x14ac:dyDescent="0.25">
      <c r="A70" s="3" t="s">
        <v>225</v>
      </c>
      <c r="B70" s="2" t="s">
        <v>345</v>
      </c>
      <c r="C70" s="2">
        <v>1891</v>
      </c>
      <c r="D70" s="2">
        <v>2760</v>
      </c>
      <c r="H70" s="133"/>
      <c r="I70" t="s">
        <v>344</v>
      </c>
      <c r="J70" s="11">
        <v>4146</v>
      </c>
      <c r="K70" s="11">
        <v>1037</v>
      </c>
      <c r="L70" s="133"/>
      <c r="M70" t="s">
        <v>394</v>
      </c>
      <c r="N70" s="11">
        <v>3610</v>
      </c>
      <c r="O70" s="11">
        <v>1089</v>
      </c>
      <c r="P70" s="135"/>
      <c r="Q70" s="129" t="s">
        <v>459</v>
      </c>
      <c r="R70" s="130">
        <v>316</v>
      </c>
      <c r="S70" s="134">
        <v>3787</v>
      </c>
    </row>
    <row r="71" spans="1:19" x14ac:dyDescent="0.25">
      <c r="A71" s="3" t="s">
        <v>225</v>
      </c>
      <c r="B71" s="2" t="s">
        <v>346</v>
      </c>
      <c r="C71" s="2">
        <v>1214</v>
      </c>
      <c r="D71" s="2">
        <v>4065</v>
      </c>
      <c r="H71" s="133"/>
      <c r="I71" t="s">
        <v>345</v>
      </c>
      <c r="J71" s="11">
        <v>1891</v>
      </c>
      <c r="K71" s="11">
        <v>2760</v>
      </c>
      <c r="L71" s="133"/>
      <c r="M71" t="s">
        <v>395</v>
      </c>
      <c r="N71" s="11">
        <v>1106</v>
      </c>
      <c r="O71" s="11">
        <v>657</v>
      </c>
      <c r="P71" s="132" t="s">
        <v>232</v>
      </c>
      <c r="Q71" t="s">
        <v>1045</v>
      </c>
      <c r="R71" s="11">
        <v>1739</v>
      </c>
      <c r="S71" s="89">
        <v>2456</v>
      </c>
    </row>
    <row r="72" spans="1:19" x14ac:dyDescent="0.25">
      <c r="A72" s="3" t="s">
        <v>225</v>
      </c>
      <c r="B72" s="2" t="s">
        <v>347</v>
      </c>
      <c r="C72" s="2">
        <v>4515</v>
      </c>
      <c r="D72" s="2">
        <v>643</v>
      </c>
      <c r="H72" s="133"/>
      <c r="I72" t="s">
        <v>346</v>
      </c>
      <c r="J72" s="11">
        <v>1214</v>
      </c>
      <c r="K72" s="11">
        <v>4065</v>
      </c>
      <c r="L72" s="133"/>
      <c r="M72" t="s">
        <v>396</v>
      </c>
      <c r="N72" s="11">
        <v>2433</v>
      </c>
      <c r="O72" s="11">
        <v>104</v>
      </c>
      <c r="P72" s="133"/>
      <c r="Q72" t="s">
        <v>461</v>
      </c>
      <c r="R72" s="11">
        <v>2097</v>
      </c>
      <c r="S72" s="89">
        <v>2316</v>
      </c>
    </row>
    <row r="73" spans="1:19" x14ac:dyDescent="0.25">
      <c r="A73" s="3" t="s">
        <v>225</v>
      </c>
      <c r="B73" s="2" t="s">
        <v>348</v>
      </c>
      <c r="C73" s="2">
        <v>1596</v>
      </c>
      <c r="D73" s="2">
        <v>3020</v>
      </c>
      <c r="H73" s="133"/>
      <c r="I73" t="s">
        <v>347</v>
      </c>
      <c r="J73" s="11">
        <v>4515</v>
      </c>
      <c r="K73" s="11">
        <v>643</v>
      </c>
      <c r="L73" s="133"/>
      <c r="M73" t="s">
        <v>397</v>
      </c>
      <c r="N73" s="11">
        <v>2795</v>
      </c>
      <c r="O73" s="11">
        <v>32</v>
      </c>
      <c r="P73" s="133"/>
      <c r="Q73" t="s">
        <v>462</v>
      </c>
      <c r="R73" s="11">
        <v>2730</v>
      </c>
      <c r="S73" s="89">
        <v>1702</v>
      </c>
    </row>
    <row r="74" spans="1:19" x14ac:dyDescent="0.25">
      <c r="A74" s="3" t="s">
        <v>225</v>
      </c>
      <c r="B74" s="2" t="s">
        <v>349</v>
      </c>
      <c r="C74" s="2">
        <v>4435</v>
      </c>
      <c r="D74" s="2">
        <v>1247</v>
      </c>
      <c r="H74" s="133"/>
      <c r="I74" t="s">
        <v>348</v>
      </c>
      <c r="J74" s="11">
        <v>1596</v>
      </c>
      <c r="K74" s="11">
        <v>3020</v>
      </c>
      <c r="L74" s="133"/>
      <c r="M74" t="s">
        <v>398</v>
      </c>
      <c r="N74" s="11">
        <v>1388</v>
      </c>
      <c r="O74" s="11">
        <v>467</v>
      </c>
      <c r="P74" s="133"/>
      <c r="Q74" t="s">
        <v>463</v>
      </c>
      <c r="R74" s="11">
        <v>2773</v>
      </c>
      <c r="S74" s="89">
        <v>1809</v>
      </c>
    </row>
    <row r="75" spans="1:19" x14ac:dyDescent="0.25">
      <c r="A75" s="3" t="s">
        <v>225</v>
      </c>
      <c r="B75" s="2" t="s">
        <v>350</v>
      </c>
      <c r="C75" s="2">
        <v>535</v>
      </c>
      <c r="D75" s="2">
        <v>4532</v>
      </c>
      <c r="H75" s="133"/>
      <c r="I75" t="s">
        <v>349</v>
      </c>
      <c r="J75" s="11">
        <v>4435</v>
      </c>
      <c r="K75" s="11">
        <v>1247</v>
      </c>
      <c r="L75" s="133"/>
      <c r="M75" t="s">
        <v>399</v>
      </c>
      <c r="N75" s="11">
        <v>2859</v>
      </c>
      <c r="O75" s="11">
        <v>329</v>
      </c>
      <c r="P75" s="133"/>
      <c r="Q75" t="s">
        <v>1051</v>
      </c>
      <c r="R75" s="11">
        <v>2512</v>
      </c>
      <c r="S75" s="89">
        <v>2023</v>
      </c>
    </row>
    <row r="76" spans="1:19" x14ac:dyDescent="0.25">
      <c r="A76" s="3" t="s">
        <v>226</v>
      </c>
      <c r="B76" s="2" t="s">
        <v>321</v>
      </c>
      <c r="C76" s="2">
        <v>3761</v>
      </c>
      <c r="D76" s="2">
        <v>1687</v>
      </c>
      <c r="H76" s="135"/>
      <c r="I76" s="129" t="s">
        <v>350</v>
      </c>
      <c r="J76" s="130">
        <v>535</v>
      </c>
      <c r="K76" s="130">
        <v>4532</v>
      </c>
      <c r="L76" s="135"/>
      <c r="M76" s="129" t="s">
        <v>400</v>
      </c>
      <c r="N76" s="130">
        <v>7847</v>
      </c>
      <c r="O76" s="130">
        <v>11</v>
      </c>
      <c r="P76" s="135"/>
      <c r="Q76" s="129" t="s">
        <v>1068</v>
      </c>
      <c r="R76" s="130">
        <v>2102</v>
      </c>
      <c r="S76" s="134">
        <v>2568</v>
      </c>
    </row>
    <row r="77" spans="1:19" x14ac:dyDescent="0.25">
      <c r="A77" s="3" t="s">
        <v>226</v>
      </c>
      <c r="B77" s="2" t="s">
        <v>322</v>
      </c>
      <c r="C77" s="2">
        <v>4394</v>
      </c>
      <c r="D77" s="2">
        <v>1514</v>
      </c>
      <c r="H77" s="1"/>
    </row>
    <row r="78" spans="1:19" ht="15.75" x14ac:dyDescent="0.25">
      <c r="A78" s="3" t="s">
        <v>226</v>
      </c>
      <c r="B78" s="2" t="s">
        <v>323</v>
      </c>
      <c r="C78" s="2">
        <v>2672</v>
      </c>
      <c r="D78" s="2">
        <v>2512</v>
      </c>
      <c r="H78" s="146" t="s">
        <v>69</v>
      </c>
      <c r="I78" s="146" t="s">
        <v>1158</v>
      </c>
      <c r="J78" s="147" t="s">
        <v>4</v>
      </c>
      <c r="K78" s="147" t="s">
        <v>10</v>
      </c>
      <c r="L78" s="148" t="s">
        <v>69</v>
      </c>
      <c r="M78" s="149" t="s">
        <v>1158</v>
      </c>
      <c r="N78" s="147" t="s">
        <v>4</v>
      </c>
      <c r="O78" s="147" t="s">
        <v>10</v>
      </c>
      <c r="P78" s="148" t="s">
        <v>69</v>
      </c>
      <c r="Q78" s="149" t="s">
        <v>1158</v>
      </c>
      <c r="R78" s="147" t="s">
        <v>4</v>
      </c>
      <c r="S78" s="147" t="s">
        <v>10</v>
      </c>
    </row>
    <row r="79" spans="1:19" x14ac:dyDescent="0.25">
      <c r="A79" s="3" t="s">
        <v>226</v>
      </c>
      <c r="B79" s="2" t="s">
        <v>1059</v>
      </c>
      <c r="C79" s="2">
        <v>3726</v>
      </c>
      <c r="D79" s="2">
        <v>1753</v>
      </c>
      <c r="H79" s="133"/>
      <c r="I79" t="s">
        <v>1069</v>
      </c>
      <c r="J79" s="11">
        <v>2063</v>
      </c>
      <c r="K79" s="11">
        <v>2407</v>
      </c>
      <c r="L79" s="145"/>
      <c r="M79" t="s">
        <v>1072</v>
      </c>
      <c r="N79" s="11">
        <v>6031</v>
      </c>
      <c r="O79" s="11">
        <v>1093</v>
      </c>
      <c r="P79" s="145"/>
      <c r="Q79" t="s">
        <v>592</v>
      </c>
      <c r="R79" s="11">
        <v>7921</v>
      </c>
      <c r="S79" s="89">
        <v>323</v>
      </c>
    </row>
    <row r="80" spans="1:19" x14ac:dyDescent="0.25">
      <c r="A80" s="3" t="s">
        <v>226</v>
      </c>
      <c r="B80" s="2" t="s">
        <v>324</v>
      </c>
      <c r="C80" s="2">
        <v>3724</v>
      </c>
      <c r="D80" s="2">
        <v>1604</v>
      </c>
      <c r="H80" s="133"/>
      <c r="I80" t="s">
        <v>465</v>
      </c>
      <c r="J80" s="11">
        <v>2400</v>
      </c>
      <c r="K80" s="11">
        <v>2182</v>
      </c>
      <c r="L80" s="133"/>
      <c r="M80" t="s">
        <v>495</v>
      </c>
      <c r="N80" s="11">
        <v>7177</v>
      </c>
      <c r="O80" s="11">
        <v>825</v>
      </c>
      <c r="P80" s="133"/>
      <c r="Q80" t="s">
        <v>1087</v>
      </c>
      <c r="R80" s="11">
        <v>7679</v>
      </c>
      <c r="S80" s="89">
        <v>335</v>
      </c>
    </row>
    <row r="81" spans="1:19" x14ac:dyDescent="0.25">
      <c r="A81" s="3" t="s">
        <v>226</v>
      </c>
      <c r="B81" s="2" t="s">
        <v>325</v>
      </c>
      <c r="C81" s="2">
        <v>3596</v>
      </c>
      <c r="D81" s="2">
        <v>2020</v>
      </c>
      <c r="H81" s="133"/>
      <c r="I81" t="s">
        <v>466</v>
      </c>
      <c r="J81" s="11">
        <v>3734</v>
      </c>
      <c r="K81" s="11">
        <v>1401</v>
      </c>
      <c r="L81" s="133"/>
      <c r="M81" t="s">
        <v>496</v>
      </c>
      <c r="N81" s="11">
        <v>5277</v>
      </c>
      <c r="O81" s="11">
        <v>1148</v>
      </c>
      <c r="P81" s="133"/>
      <c r="Q81" t="s">
        <v>594</v>
      </c>
      <c r="R81" s="11">
        <v>9295</v>
      </c>
      <c r="S81" s="89">
        <v>168</v>
      </c>
    </row>
    <row r="82" spans="1:19" x14ac:dyDescent="0.25">
      <c r="A82" s="3" t="s">
        <v>226</v>
      </c>
      <c r="B82" s="2" t="s">
        <v>326</v>
      </c>
      <c r="C82" s="2">
        <v>3822</v>
      </c>
      <c r="D82" s="2">
        <v>1590</v>
      </c>
      <c r="H82" s="133"/>
      <c r="I82" t="s">
        <v>468</v>
      </c>
      <c r="J82" s="11">
        <v>3331</v>
      </c>
      <c r="K82" s="11">
        <v>1895</v>
      </c>
      <c r="L82" s="133"/>
      <c r="M82" t="s">
        <v>497</v>
      </c>
      <c r="N82" s="11">
        <v>5496</v>
      </c>
      <c r="O82" s="11">
        <v>1208</v>
      </c>
      <c r="P82" s="133"/>
      <c r="Q82" t="s">
        <v>595</v>
      </c>
      <c r="R82" s="11">
        <v>7451</v>
      </c>
      <c r="S82" s="89">
        <v>194</v>
      </c>
    </row>
    <row r="83" spans="1:19" x14ac:dyDescent="0.25">
      <c r="A83" s="3" t="s">
        <v>226</v>
      </c>
      <c r="B83" s="2" t="s">
        <v>1060</v>
      </c>
      <c r="C83" s="2">
        <v>3256</v>
      </c>
      <c r="D83" s="2">
        <v>2111</v>
      </c>
      <c r="H83" s="133"/>
      <c r="I83" t="s">
        <v>464</v>
      </c>
      <c r="J83" s="11">
        <v>1759</v>
      </c>
      <c r="K83" s="11">
        <v>2474</v>
      </c>
      <c r="L83" s="133"/>
      <c r="M83" t="s">
        <v>1073</v>
      </c>
      <c r="N83" s="11">
        <v>5891</v>
      </c>
      <c r="O83" s="11">
        <v>1265</v>
      </c>
      <c r="P83" s="133"/>
      <c r="Q83" t="s">
        <v>596</v>
      </c>
      <c r="R83" s="11">
        <v>7774</v>
      </c>
      <c r="S83" s="89">
        <v>259</v>
      </c>
    </row>
    <row r="84" spans="1:19" x14ac:dyDescent="0.25">
      <c r="A84" s="3" t="s">
        <v>226</v>
      </c>
      <c r="B84" s="2" t="s">
        <v>327</v>
      </c>
      <c r="C84" s="2">
        <v>4240</v>
      </c>
      <c r="D84" s="2">
        <v>1934</v>
      </c>
      <c r="H84" s="133"/>
      <c r="I84" t="s">
        <v>467</v>
      </c>
      <c r="J84" s="11">
        <v>1525</v>
      </c>
      <c r="K84" s="11">
        <v>2860</v>
      </c>
      <c r="L84" s="133"/>
      <c r="M84" t="s">
        <v>498</v>
      </c>
      <c r="N84" s="11">
        <v>6122</v>
      </c>
      <c r="O84" s="11">
        <v>871</v>
      </c>
      <c r="P84" s="133"/>
      <c r="Q84" t="s">
        <v>597</v>
      </c>
      <c r="R84" s="11">
        <v>7926</v>
      </c>
      <c r="S84" s="89">
        <v>367</v>
      </c>
    </row>
    <row r="85" spans="1:19" x14ac:dyDescent="0.25">
      <c r="A85" s="3" t="s">
        <v>226</v>
      </c>
      <c r="B85" s="2" t="s">
        <v>328</v>
      </c>
      <c r="C85" s="2">
        <v>3079</v>
      </c>
      <c r="D85" s="2">
        <v>2076</v>
      </c>
      <c r="H85" s="135"/>
      <c r="I85" s="129" t="s">
        <v>469</v>
      </c>
      <c r="J85" s="130">
        <v>2983</v>
      </c>
      <c r="K85" s="130">
        <v>2069</v>
      </c>
      <c r="L85" s="133"/>
      <c r="M85" t="s">
        <v>499</v>
      </c>
      <c r="N85" s="11">
        <v>7927</v>
      </c>
      <c r="O85" s="11">
        <v>639</v>
      </c>
      <c r="P85" s="135"/>
      <c r="Q85" s="129" t="s">
        <v>598</v>
      </c>
      <c r="R85" s="130">
        <v>6877</v>
      </c>
      <c r="S85" s="134">
        <v>350</v>
      </c>
    </row>
    <row r="86" spans="1:19" x14ac:dyDescent="0.25">
      <c r="A86" s="3" t="s">
        <v>226</v>
      </c>
      <c r="B86" s="2" t="s">
        <v>329</v>
      </c>
      <c r="C86" s="2">
        <v>3384</v>
      </c>
      <c r="D86" s="2">
        <v>2460</v>
      </c>
      <c r="H86" s="132" t="s">
        <v>233</v>
      </c>
      <c r="I86" t="s">
        <v>475</v>
      </c>
      <c r="J86" s="11">
        <v>0</v>
      </c>
      <c r="K86" s="11">
        <v>3279</v>
      </c>
      <c r="L86" s="133"/>
      <c r="M86" t="s">
        <v>1074</v>
      </c>
      <c r="N86" s="11">
        <v>6857</v>
      </c>
      <c r="O86" s="11">
        <v>744</v>
      </c>
      <c r="P86" s="132" t="s">
        <v>241</v>
      </c>
      <c r="Q86" t="s">
        <v>585</v>
      </c>
      <c r="R86" s="11">
        <v>4631</v>
      </c>
      <c r="S86" s="89">
        <v>1237</v>
      </c>
    </row>
    <row r="87" spans="1:19" x14ac:dyDescent="0.25">
      <c r="A87" s="3" t="s">
        <v>226</v>
      </c>
      <c r="B87" s="2" t="s">
        <v>330</v>
      </c>
      <c r="C87" s="2">
        <v>4327</v>
      </c>
      <c r="D87" s="2">
        <v>1669</v>
      </c>
      <c r="H87" s="133"/>
      <c r="I87" t="s">
        <v>476</v>
      </c>
      <c r="J87" s="11">
        <v>0</v>
      </c>
      <c r="K87" s="11">
        <v>4561</v>
      </c>
      <c r="L87" s="133"/>
      <c r="M87" t="s">
        <v>500</v>
      </c>
      <c r="N87" s="11">
        <v>6206</v>
      </c>
      <c r="O87" s="11">
        <v>1026</v>
      </c>
      <c r="P87" s="133"/>
      <c r="Q87" t="s">
        <v>584</v>
      </c>
      <c r="R87" s="11">
        <v>4652</v>
      </c>
      <c r="S87" s="89">
        <v>1178</v>
      </c>
    </row>
    <row r="88" spans="1:19" x14ac:dyDescent="0.25">
      <c r="A88" s="3" t="s">
        <v>226</v>
      </c>
      <c r="B88" s="2" t="s">
        <v>331</v>
      </c>
      <c r="C88" s="2">
        <v>3868</v>
      </c>
      <c r="D88" s="2">
        <v>1637</v>
      </c>
      <c r="H88" s="133"/>
      <c r="I88" t="s">
        <v>477</v>
      </c>
      <c r="J88" s="11">
        <v>0</v>
      </c>
      <c r="K88" s="11">
        <v>3999</v>
      </c>
      <c r="L88" s="133"/>
      <c r="M88" t="s">
        <v>1075</v>
      </c>
      <c r="N88" s="11">
        <v>6207</v>
      </c>
      <c r="O88" s="11">
        <v>816</v>
      </c>
      <c r="P88" s="133"/>
      <c r="Q88" t="s">
        <v>586</v>
      </c>
      <c r="R88" s="11">
        <v>4867</v>
      </c>
      <c r="S88" s="89">
        <v>1079</v>
      </c>
    </row>
    <row r="89" spans="1:19" x14ac:dyDescent="0.25">
      <c r="A89" s="3" t="s">
        <v>226</v>
      </c>
      <c r="B89" s="2" t="s">
        <v>332</v>
      </c>
      <c r="C89" s="2">
        <v>3963</v>
      </c>
      <c r="D89" s="2">
        <v>1480</v>
      </c>
      <c r="H89" s="133"/>
      <c r="I89" t="s">
        <v>989</v>
      </c>
      <c r="J89" s="11">
        <v>0</v>
      </c>
      <c r="K89" s="11">
        <v>4325</v>
      </c>
      <c r="L89" s="133"/>
      <c r="M89" t="s">
        <v>501</v>
      </c>
      <c r="N89" s="11">
        <v>6483</v>
      </c>
      <c r="O89" s="11">
        <v>644</v>
      </c>
      <c r="P89" s="133"/>
      <c r="Q89" t="s">
        <v>1000</v>
      </c>
      <c r="R89" s="11">
        <v>3556</v>
      </c>
      <c r="S89" s="89">
        <v>1404</v>
      </c>
    </row>
    <row r="90" spans="1:19" x14ac:dyDescent="0.25">
      <c r="A90" s="3" t="s">
        <v>226</v>
      </c>
      <c r="B90" s="2" t="s">
        <v>333</v>
      </c>
      <c r="C90" s="2">
        <v>2833</v>
      </c>
      <c r="D90" s="2">
        <v>2120</v>
      </c>
      <c r="H90" s="133"/>
      <c r="I90" t="s">
        <v>478</v>
      </c>
      <c r="J90" s="11">
        <v>0</v>
      </c>
      <c r="K90" s="11">
        <v>4485</v>
      </c>
      <c r="L90" s="133"/>
      <c r="M90" t="s">
        <v>502</v>
      </c>
      <c r="N90" s="11">
        <v>6867</v>
      </c>
      <c r="O90" s="11">
        <v>865</v>
      </c>
      <c r="P90" s="135"/>
      <c r="Q90" s="129" t="s">
        <v>587</v>
      </c>
      <c r="R90" s="130">
        <v>3910</v>
      </c>
      <c r="S90" s="134">
        <v>1229</v>
      </c>
    </row>
    <row r="91" spans="1:19" x14ac:dyDescent="0.25">
      <c r="A91" s="3" t="s">
        <v>226</v>
      </c>
      <c r="B91" s="2" t="s">
        <v>334</v>
      </c>
      <c r="C91" s="2">
        <v>2471</v>
      </c>
      <c r="D91" s="2">
        <v>2486</v>
      </c>
      <c r="H91" s="133"/>
      <c r="I91" t="s">
        <v>479</v>
      </c>
      <c r="J91" s="11">
        <v>0</v>
      </c>
      <c r="K91" s="11">
        <v>3908</v>
      </c>
      <c r="L91" s="133"/>
      <c r="M91" t="s">
        <v>503</v>
      </c>
      <c r="N91" s="11">
        <v>6647</v>
      </c>
      <c r="O91" s="11">
        <v>875</v>
      </c>
      <c r="P91" s="132" t="s">
        <v>242</v>
      </c>
      <c r="Q91" t="s">
        <v>571</v>
      </c>
      <c r="R91" s="11">
        <v>6669</v>
      </c>
      <c r="S91" s="89">
        <v>492</v>
      </c>
    </row>
    <row r="92" spans="1:19" x14ac:dyDescent="0.25">
      <c r="A92" s="3" t="s">
        <v>226</v>
      </c>
      <c r="B92" s="2" t="s">
        <v>335</v>
      </c>
      <c r="C92" s="2">
        <v>3733</v>
      </c>
      <c r="D92" s="2">
        <v>1731</v>
      </c>
      <c r="H92" s="133"/>
      <c r="I92" t="s">
        <v>474</v>
      </c>
      <c r="J92" s="11">
        <v>12</v>
      </c>
      <c r="K92" s="11">
        <v>4410</v>
      </c>
      <c r="L92" s="133"/>
      <c r="M92" t="s">
        <v>504</v>
      </c>
      <c r="N92" s="11">
        <v>5959</v>
      </c>
      <c r="O92" s="11">
        <v>1203</v>
      </c>
      <c r="P92" s="133"/>
      <c r="Q92" t="s">
        <v>572</v>
      </c>
      <c r="R92" s="11">
        <v>5793</v>
      </c>
      <c r="S92" s="89">
        <v>734</v>
      </c>
    </row>
    <row r="93" spans="1:19" x14ac:dyDescent="0.25">
      <c r="A93" s="3" t="s">
        <v>227</v>
      </c>
      <c r="B93" s="2" t="s">
        <v>351</v>
      </c>
      <c r="C93" s="2">
        <v>6458</v>
      </c>
      <c r="D93" s="2">
        <v>320</v>
      </c>
      <c r="H93" s="133"/>
      <c r="I93" t="s">
        <v>480</v>
      </c>
      <c r="J93" s="11">
        <v>22</v>
      </c>
      <c r="K93" s="11">
        <v>2590</v>
      </c>
      <c r="L93" s="133"/>
      <c r="M93" t="s">
        <v>505</v>
      </c>
      <c r="N93" s="11">
        <v>6939</v>
      </c>
      <c r="O93" s="11">
        <v>723</v>
      </c>
      <c r="P93" s="133"/>
      <c r="Q93" t="s">
        <v>573</v>
      </c>
      <c r="R93" s="11">
        <v>6354</v>
      </c>
      <c r="S93" s="89">
        <v>507</v>
      </c>
    </row>
    <row r="94" spans="1:19" x14ac:dyDescent="0.25">
      <c r="A94" s="3" t="s">
        <v>227</v>
      </c>
      <c r="B94" s="2" t="s">
        <v>353</v>
      </c>
      <c r="C94" s="2">
        <v>2013</v>
      </c>
      <c r="D94" s="2">
        <v>2240</v>
      </c>
      <c r="H94" s="133"/>
      <c r="I94" t="s">
        <v>481</v>
      </c>
      <c r="J94" s="11">
        <v>0</v>
      </c>
      <c r="K94" s="11">
        <v>3919</v>
      </c>
      <c r="L94" s="133"/>
      <c r="M94" t="s">
        <v>506</v>
      </c>
      <c r="N94" s="11">
        <v>6233</v>
      </c>
      <c r="O94" s="11">
        <v>1258</v>
      </c>
      <c r="P94" s="133"/>
      <c r="Q94" t="s">
        <v>570</v>
      </c>
      <c r="R94" s="11">
        <v>5749</v>
      </c>
      <c r="S94" s="89">
        <v>436</v>
      </c>
    </row>
    <row r="95" spans="1:19" x14ac:dyDescent="0.25">
      <c r="A95" s="3" t="s">
        <v>227</v>
      </c>
      <c r="B95" s="2" t="s">
        <v>354</v>
      </c>
      <c r="C95" s="2">
        <v>4053</v>
      </c>
      <c r="D95" s="2">
        <v>1087</v>
      </c>
      <c r="H95" s="135"/>
      <c r="I95" s="129" t="s">
        <v>482</v>
      </c>
      <c r="J95" s="130">
        <v>97</v>
      </c>
      <c r="K95" s="130">
        <v>3734</v>
      </c>
      <c r="L95" s="133"/>
      <c r="M95" t="s">
        <v>507</v>
      </c>
      <c r="N95" s="11">
        <v>6796</v>
      </c>
      <c r="O95" s="11">
        <v>936</v>
      </c>
      <c r="P95" s="133"/>
      <c r="Q95" t="s">
        <v>574</v>
      </c>
      <c r="R95" s="11">
        <v>5940</v>
      </c>
      <c r="S95" s="89">
        <v>559</v>
      </c>
    </row>
    <row r="96" spans="1:19" x14ac:dyDescent="0.25">
      <c r="A96" s="3" t="s">
        <v>227</v>
      </c>
      <c r="B96" s="2" t="s">
        <v>355</v>
      </c>
      <c r="C96" s="2">
        <v>5176</v>
      </c>
      <c r="D96" s="2">
        <v>465</v>
      </c>
      <c r="H96" s="132" t="s">
        <v>72</v>
      </c>
      <c r="I96" t="s">
        <v>92</v>
      </c>
      <c r="J96" s="11">
        <v>5395</v>
      </c>
      <c r="K96" s="11">
        <v>756</v>
      </c>
      <c r="L96" s="133"/>
      <c r="M96" t="s">
        <v>508</v>
      </c>
      <c r="N96" s="11">
        <v>8206</v>
      </c>
      <c r="O96" s="11">
        <v>592</v>
      </c>
      <c r="P96" s="133"/>
      <c r="Q96" t="s">
        <v>575</v>
      </c>
      <c r="R96" s="11">
        <v>5622</v>
      </c>
      <c r="S96" s="89">
        <v>361</v>
      </c>
    </row>
    <row r="97" spans="1:19" x14ac:dyDescent="0.25">
      <c r="A97" s="3" t="s">
        <v>227</v>
      </c>
      <c r="B97" s="2" t="s">
        <v>356</v>
      </c>
      <c r="C97" s="2">
        <v>826</v>
      </c>
      <c r="D97" s="2">
        <v>4527</v>
      </c>
      <c r="H97" s="133"/>
      <c r="I97" t="s">
        <v>512</v>
      </c>
      <c r="J97" s="11">
        <v>6225</v>
      </c>
      <c r="K97" s="11">
        <v>927</v>
      </c>
      <c r="L97" s="133"/>
      <c r="M97" t="s">
        <v>509</v>
      </c>
      <c r="N97" s="11">
        <v>6982</v>
      </c>
      <c r="O97" s="11">
        <v>821</v>
      </c>
      <c r="P97" s="133"/>
      <c r="Q97" t="s">
        <v>580</v>
      </c>
      <c r="R97" s="11">
        <v>6062</v>
      </c>
      <c r="S97" s="89">
        <v>565</v>
      </c>
    </row>
    <row r="98" spans="1:19" x14ac:dyDescent="0.25">
      <c r="A98" s="3" t="s">
        <v>227</v>
      </c>
      <c r="B98" s="2" t="s">
        <v>357</v>
      </c>
      <c r="C98" s="2">
        <v>1437</v>
      </c>
      <c r="D98" s="2">
        <v>1449</v>
      </c>
      <c r="H98" s="133"/>
      <c r="I98" t="s">
        <v>513</v>
      </c>
      <c r="J98" s="11">
        <v>5803</v>
      </c>
      <c r="K98" s="11">
        <v>636</v>
      </c>
      <c r="L98" s="133"/>
      <c r="M98" t="s">
        <v>1076</v>
      </c>
      <c r="N98" s="11">
        <v>6249</v>
      </c>
      <c r="O98" s="11">
        <v>991</v>
      </c>
      <c r="P98" s="133"/>
      <c r="Q98" t="s">
        <v>576</v>
      </c>
      <c r="R98" s="11">
        <v>5350</v>
      </c>
      <c r="S98" s="89">
        <v>298</v>
      </c>
    </row>
    <row r="99" spans="1:19" x14ac:dyDescent="0.25">
      <c r="A99" s="3" t="s">
        <v>227</v>
      </c>
      <c r="B99" s="2" t="s">
        <v>358</v>
      </c>
      <c r="C99" s="2">
        <v>1979</v>
      </c>
      <c r="D99" s="2">
        <v>342</v>
      </c>
      <c r="H99" s="133"/>
      <c r="I99" t="s">
        <v>90</v>
      </c>
      <c r="J99" s="11">
        <v>6897</v>
      </c>
      <c r="K99" s="11">
        <v>344</v>
      </c>
      <c r="L99" s="133"/>
      <c r="M99" t="s">
        <v>510</v>
      </c>
      <c r="N99" s="11">
        <v>7257</v>
      </c>
      <c r="O99" s="11">
        <v>827</v>
      </c>
      <c r="P99" s="133"/>
      <c r="Q99" t="s">
        <v>577</v>
      </c>
      <c r="R99" s="11">
        <v>5724</v>
      </c>
      <c r="S99" s="89">
        <v>577</v>
      </c>
    </row>
    <row r="100" spans="1:19" x14ac:dyDescent="0.25">
      <c r="A100" s="3" t="s">
        <v>227</v>
      </c>
      <c r="B100" s="2" t="s">
        <v>359</v>
      </c>
      <c r="C100" s="2">
        <v>2499</v>
      </c>
      <c r="D100" s="2">
        <v>731</v>
      </c>
      <c r="H100" s="133"/>
      <c r="I100" t="s">
        <v>515</v>
      </c>
      <c r="J100" s="11">
        <v>6105</v>
      </c>
      <c r="K100" s="11">
        <v>834</v>
      </c>
      <c r="L100" s="135"/>
      <c r="M100" s="129" t="s">
        <v>511</v>
      </c>
      <c r="N100" s="130">
        <v>6376</v>
      </c>
      <c r="O100" s="130">
        <v>1099</v>
      </c>
      <c r="P100" s="133"/>
      <c r="Q100" t="s">
        <v>578</v>
      </c>
      <c r="R100" s="11">
        <v>6626</v>
      </c>
      <c r="S100" s="89">
        <v>319</v>
      </c>
    </row>
    <row r="101" spans="1:19" x14ac:dyDescent="0.25">
      <c r="A101" s="3" t="s">
        <v>227</v>
      </c>
      <c r="B101" s="2" t="s">
        <v>1061</v>
      </c>
      <c r="C101" s="2">
        <v>1798</v>
      </c>
      <c r="D101" s="2">
        <v>272</v>
      </c>
      <c r="H101" s="133"/>
      <c r="I101" t="s">
        <v>107</v>
      </c>
      <c r="J101" s="11">
        <v>7160</v>
      </c>
      <c r="K101" s="11">
        <v>679</v>
      </c>
      <c r="L101" s="132" t="s">
        <v>237</v>
      </c>
      <c r="M101" t="s">
        <v>995</v>
      </c>
      <c r="N101" s="11">
        <v>4458</v>
      </c>
      <c r="O101" s="11">
        <v>1804</v>
      </c>
      <c r="P101" s="133"/>
      <c r="Q101" t="s">
        <v>579</v>
      </c>
      <c r="R101" s="11">
        <v>6177</v>
      </c>
      <c r="S101" s="89">
        <v>637</v>
      </c>
    </row>
    <row r="102" spans="1:19" x14ac:dyDescent="0.25">
      <c r="A102" s="3" t="s">
        <v>227</v>
      </c>
      <c r="B102" s="2" t="s">
        <v>360</v>
      </c>
      <c r="C102" s="2">
        <v>1609</v>
      </c>
      <c r="D102" s="2">
        <v>1330</v>
      </c>
      <c r="H102" s="133"/>
      <c r="I102" t="s">
        <v>94</v>
      </c>
      <c r="J102" s="11">
        <v>7769</v>
      </c>
      <c r="K102" s="11">
        <v>246</v>
      </c>
      <c r="L102" s="133"/>
      <c r="M102" t="s">
        <v>535</v>
      </c>
      <c r="N102" s="11">
        <v>4890</v>
      </c>
      <c r="O102" s="11">
        <v>1632</v>
      </c>
      <c r="P102" s="133"/>
      <c r="Q102" t="s">
        <v>581</v>
      </c>
      <c r="R102" s="11">
        <v>5889</v>
      </c>
      <c r="S102" s="89">
        <v>374</v>
      </c>
    </row>
    <row r="103" spans="1:19" x14ac:dyDescent="0.25">
      <c r="A103" s="3" t="s">
        <v>227</v>
      </c>
      <c r="B103" s="2" t="s">
        <v>361</v>
      </c>
      <c r="C103" s="2">
        <v>1642</v>
      </c>
      <c r="D103" s="2">
        <v>410</v>
      </c>
      <c r="H103" s="133"/>
      <c r="I103" t="s">
        <v>91</v>
      </c>
      <c r="J103" s="11">
        <v>5457</v>
      </c>
      <c r="K103" s="11">
        <v>885</v>
      </c>
      <c r="L103" s="133"/>
      <c r="M103" t="s">
        <v>536</v>
      </c>
      <c r="N103" s="11">
        <v>4969</v>
      </c>
      <c r="O103" s="11">
        <v>1457</v>
      </c>
      <c r="P103" s="133"/>
      <c r="Q103" t="s">
        <v>999</v>
      </c>
      <c r="R103" s="11">
        <v>5705</v>
      </c>
      <c r="S103" s="89">
        <v>595</v>
      </c>
    </row>
    <row r="104" spans="1:19" x14ac:dyDescent="0.25">
      <c r="A104" s="3" t="s">
        <v>227</v>
      </c>
      <c r="B104" s="2" t="s">
        <v>1062</v>
      </c>
      <c r="C104" s="2">
        <v>2484</v>
      </c>
      <c r="D104" s="2">
        <v>785</v>
      </c>
      <c r="H104" s="133"/>
      <c r="I104" t="s">
        <v>514</v>
      </c>
      <c r="J104" s="11">
        <v>6681</v>
      </c>
      <c r="K104" s="11">
        <v>546</v>
      </c>
      <c r="L104" s="133"/>
      <c r="M104" t="s">
        <v>537</v>
      </c>
      <c r="N104" s="11">
        <v>5717</v>
      </c>
      <c r="O104" s="11">
        <v>1458</v>
      </c>
      <c r="P104" s="133"/>
      <c r="Q104" t="s">
        <v>582</v>
      </c>
      <c r="R104" s="11">
        <v>6623</v>
      </c>
      <c r="S104" s="89">
        <v>494</v>
      </c>
    </row>
    <row r="105" spans="1:19" x14ac:dyDescent="0.25">
      <c r="A105" s="3" t="s">
        <v>227</v>
      </c>
      <c r="B105" s="2" t="s">
        <v>362</v>
      </c>
      <c r="C105" s="2">
        <v>4884</v>
      </c>
      <c r="D105" s="189">
        <v>0</v>
      </c>
      <c r="H105" s="133"/>
      <c r="I105" t="s">
        <v>95</v>
      </c>
      <c r="J105" s="11">
        <v>7100</v>
      </c>
      <c r="K105" s="11">
        <v>393</v>
      </c>
      <c r="L105" s="133"/>
      <c r="M105" t="s">
        <v>539</v>
      </c>
      <c r="N105" s="11">
        <v>5180</v>
      </c>
      <c r="O105" s="11">
        <v>1240</v>
      </c>
      <c r="P105" s="135"/>
      <c r="Q105" s="129" t="s">
        <v>583</v>
      </c>
      <c r="R105" s="130">
        <v>7164</v>
      </c>
      <c r="S105" s="134">
        <v>346</v>
      </c>
    </row>
    <row r="106" spans="1:19" x14ac:dyDescent="0.25">
      <c r="A106" s="3" t="s">
        <v>227</v>
      </c>
      <c r="B106" s="2" t="s">
        <v>363</v>
      </c>
      <c r="C106" s="2">
        <v>1931</v>
      </c>
      <c r="D106" s="2">
        <v>3036</v>
      </c>
      <c r="H106" s="133"/>
      <c r="I106" t="s">
        <v>96</v>
      </c>
      <c r="J106" s="11">
        <v>7482</v>
      </c>
      <c r="K106" s="11">
        <v>309</v>
      </c>
      <c r="L106" s="133"/>
      <c r="M106" t="s">
        <v>540</v>
      </c>
      <c r="N106" s="11">
        <v>5915</v>
      </c>
      <c r="O106" s="11">
        <v>915</v>
      </c>
      <c r="P106" s="132" t="s">
        <v>243</v>
      </c>
      <c r="Q106" t="s">
        <v>599</v>
      </c>
      <c r="R106" s="11">
        <v>8250</v>
      </c>
      <c r="S106" s="89">
        <v>290</v>
      </c>
    </row>
    <row r="107" spans="1:19" x14ac:dyDescent="0.25">
      <c r="A107" s="3" t="s">
        <v>227</v>
      </c>
      <c r="B107" s="2" t="s">
        <v>1063</v>
      </c>
      <c r="C107" s="2">
        <v>2708</v>
      </c>
      <c r="D107" s="2">
        <v>1313</v>
      </c>
      <c r="H107" s="133"/>
      <c r="I107" t="s">
        <v>516</v>
      </c>
      <c r="J107" s="11">
        <v>8439</v>
      </c>
      <c r="K107" s="11">
        <v>198</v>
      </c>
      <c r="L107" s="133"/>
      <c r="M107" t="s">
        <v>541</v>
      </c>
      <c r="N107" s="11">
        <v>4891.5</v>
      </c>
      <c r="O107" s="11">
        <v>1417</v>
      </c>
      <c r="P107" s="133"/>
      <c r="Q107" t="s">
        <v>600</v>
      </c>
      <c r="R107" s="11">
        <v>6487</v>
      </c>
      <c r="S107" s="89">
        <v>492</v>
      </c>
    </row>
    <row r="108" spans="1:19" x14ac:dyDescent="0.25">
      <c r="A108" s="3" t="s">
        <v>227</v>
      </c>
      <c r="B108" s="2" t="s">
        <v>364</v>
      </c>
      <c r="C108" s="2">
        <v>2327</v>
      </c>
      <c r="D108" s="2">
        <v>2101</v>
      </c>
      <c r="H108" s="135"/>
      <c r="I108" s="129" t="s">
        <v>93</v>
      </c>
      <c r="J108" s="130">
        <v>6148</v>
      </c>
      <c r="K108" s="130">
        <v>733</v>
      </c>
      <c r="L108" s="133"/>
      <c r="M108" t="s">
        <v>542</v>
      </c>
      <c r="N108" s="11">
        <v>5021</v>
      </c>
      <c r="O108" s="11">
        <v>1558</v>
      </c>
      <c r="P108" s="133"/>
      <c r="Q108" t="s">
        <v>601</v>
      </c>
      <c r="R108" s="11">
        <v>6210</v>
      </c>
      <c r="S108" s="89">
        <v>639</v>
      </c>
    </row>
    <row r="109" spans="1:19" x14ac:dyDescent="0.25">
      <c r="A109" s="3" t="s">
        <v>227</v>
      </c>
      <c r="B109" s="2" t="s">
        <v>365</v>
      </c>
      <c r="C109" s="2">
        <v>1312</v>
      </c>
      <c r="D109" s="2">
        <v>1187</v>
      </c>
      <c r="H109" s="132" t="s">
        <v>234</v>
      </c>
      <c r="I109" t="s">
        <v>1053</v>
      </c>
      <c r="J109" s="11">
        <v>6790</v>
      </c>
      <c r="K109" s="11">
        <v>683</v>
      </c>
      <c r="L109" s="133"/>
      <c r="M109" t="s">
        <v>543</v>
      </c>
      <c r="N109" s="11">
        <v>5597</v>
      </c>
      <c r="O109" s="11">
        <v>1192</v>
      </c>
      <c r="P109" s="133"/>
      <c r="Q109" t="s">
        <v>602</v>
      </c>
      <c r="R109" s="11">
        <v>6588</v>
      </c>
      <c r="S109" s="89">
        <v>810</v>
      </c>
    </row>
    <row r="110" spans="1:19" x14ac:dyDescent="0.25">
      <c r="A110" s="3" t="s">
        <v>227</v>
      </c>
      <c r="B110" s="2" t="s">
        <v>367</v>
      </c>
      <c r="C110" s="2">
        <v>1299</v>
      </c>
      <c r="D110" s="2">
        <v>570</v>
      </c>
      <c r="H110" s="133"/>
      <c r="I110" t="s">
        <v>517</v>
      </c>
      <c r="J110" s="11">
        <v>5320</v>
      </c>
      <c r="K110" s="11">
        <v>1245</v>
      </c>
      <c r="L110" s="133"/>
      <c r="M110" t="s">
        <v>1082</v>
      </c>
      <c r="N110" s="11">
        <v>4591</v>
      </c>
      <c r="O110" s="11">
        <v>1552</v>
      </c>
      <c r="P110" s="133"/>
      <c r="Q110" t="s">
        <v>603</v>
      </c>
      <c r="R110" s="11">
        <v>7905</v>
      </c>
      <c r="S110" s="89">
        <v>373</v>
      </c>
    </row>
    <row r="111" spans="1:19" x14ac:dyDescent="0.25">
      <c r="A111" s="3" t="s">
        <v>227</v>
      </c>
      <c r="B111" s="2" t="s">
        <v>366</v>
      </c>
      <c r="C111" s="2">
        <v>2327</v>
      </c>
      <c r="D111" s="2">
        <v>131</v>
      </c>
      <c r="H111" s="133"/>
      <c r="I111" t="s">
        <v>1077</v>
      </c>
      <c r="J111" s="11">
        <v>6112</v>
      </c>
      <c r="K111" s="11">
        <v>847</v>
      </c>
      <c r="L111" s="133"/>
      <c r="M111" t="s">
        <v>538</v>
      </c>
      <c r="N111" s="11">
        <v>4528</v>
      </c>
      <c r="O111" s="11">
        <v>1600</v>
      </c>
      <c r="P111" s="133"/>
      <c r="Q111" t="s">
        <v>608</v>
      </c>
      <c r="R111" s="11">
        <v>8988</v>
      </c>
      <c r="S111" s="89">
        <v>239</v>
      </c>
    </row>
    <row r="112" spans="1:19" x14ac:dyDescent="0.25">
      <c r="A112" s="3" t="s">
        <v>227</v>
      </c>
      <c r="B112" s="2" t="s">
        <v>1064</v>
      </c>
      <c r="C112" s="2">
        <v>837</v>
      </c>
      <c r="D112" s="2">
        <v>4228</v>
      </c>
      <c r="H112" s="133"/>
      <c r="I112" t="s">
        <v>993</v>
      </c>
      <c r="J112" s="11">
        <v>5747</v>
      </c>
      <c r="K112" s="11">
        <v>1021</v>
      </c>
      <c r="L112" s="133"/>
      <c r="M112" t="s">
        <v>545</v>
      </c>
      <c r="N112" s="11">
        <v>4810</v>
      </c>
      <c r="O112" s="11">
        <v>1410</v>
      </c>
      <c r="P112" s="133"/>
      <c r="Q112" t="s">
        <v>605</v>
      </c>
      <c r="R112" s="11">
        <v>6621</v>
      </c>
      <c r="S112" s="89">
        <v>679</v>
      </c>
    </row>
    <row r="113" spans="1:19" x14ac:dyDescent="0.25">
      <c r="A113" s="3" t="s">
        <v>227</v>
      </c>
      <c r="B113" s="2" t="s">
        <v>1065</v>
      </c>
      <c r="C113" s="2">
        <v>2871</v>
      </c>
      <c r="D113" s="2">
        <v>1983</v>
      </c>
      <c r="H113" s="133"/>
      <c r="I113" t="s">
        <v>518</v>
      </c>
      <c r="J113" s="11">
        <v>6399</v>
      </c>
      <c r="K113" s="11">
        <v>830</v>
      </c>
      <c r="L113" s="133"/>
      <c r="M113" t="s">
        <v>546</v>
      </c>
      <c r="N113" s="11">
        <v>5013</v>
      </c>
      <c r="O113" s="11">
        <v>1652</v>
      </c>
      <c r="P113" s="133"/>
      <c r="Q113" t="s">
        <v>606</v>
      </c>
      <c r="R113" s="11">
        <v>8796</v>
      </c>
      <c r="S113" s="89">
        <v>131</v>
      </c>
    </row>
    <row r="114" spans="1:19" x14ac:dyDescent="0.25">
      <c r="A114" s="3" t="s">
        <v>227</v>
      </c>
      <c r="B114" s="2" t="s">
        <v>368</v>
      </c>
      <c r="C114" s="2">
        <v>1654</v>
      </c>
      <c r="D114" s="2">
        <v>1754</v>
      </c>
      <c r="H114" s="133"/>
      <c r="I114" t="s">
        <v>519</v>
      </c>
      <c r="J114" s="11">
        <v>5546</v>
      </c>
      <c r="K114" s="11">
        <v>1166</v>
      </c>
      <c r="L114" s="133"/>
      <c r="M114" t="s">
        <v>1083</v>
      </c>
      <c r="N114" s="11">
        <v>5023</v>
      </c>
      <c r="O114" s="11">
        <v>1400</v>
      </c>
      <c r="P114" s="133"/>
      <c r="Q114" t="s">
        <v>607</v>
      </c>
      <c r="R114" s="11">
        <v>6977</v>
      </c>
      <c r="S114" s="89">
        <v>515</v>
      </c>
    </row>
    <row r="115" spans="1:19" x14ac:dyDescent="0.25">
      <c r="A115" s="3" t="s">
        <v>227</v>
      </c>
      <c r="B115" s="2" t="s">
        <v>369</v>
      </c>
      <c r="C115" s="2">
        <v>2933</v>
      </c>
      <c r="D115" s="2">
        <v>679</v>
      </c>
      <c r="H115" s="133"/>
      <c r="I115" t="s">
        <v>1078</v>
      </c>
      <c r="J115" s="11">
        <v>4674</v>
      </c>
      <c r="K115" s="11">
        <v>1330</v>
      </c>
      <c r="L115" s="133"/>
      <c r="M115" t="s">
        <v>548</v>
      </c>
      <c r="N115" s="11">
        <v>4598</v>
      </c>
      <c r="O115" s="11">
        <v>1437</v>
      </c>
      <c r="P115" s="133"/>
      <c r="Q115" t="s">
        <v>622</v>
      </c>
      <c r="R115" s="11">
        <v>7059</v>
      </c>
      <c r="S115" s="89">
        <v>524</v>
      </c>
    </row>
    <row r="116" spans="1:19" x14ac:dyDescent="0.25">
      <c r="A116" s="3" t="s">
        <v>227</v>
      </c>
      <c r="B116" s="2" t="s">
        <v>370</v>
      </c>
      <c r="C116" s="2">
        <v>3256</v>
      </c>
      <c r="D116" s="2">
        <v>27</v>
      </c>
      <c r="H116" s="133"/>
      <c r="I116" t="s">
        <v>520</v>
      </c>
      <c r="J116" s="11">
        <v>6459</v>
      </c>
      <c r="K116" s="11">
        <v>980</v>
      </c>
      <c r="L116" s="133"/>
      <c r="M116" t="s">
        <v>549</v>
      </c>
      <c r="N116" s="11">
        <v>5005</v>
      </c>
      <c r="O116" s="11">
        <v>1436</v>
      </c>
      <c r="P116" s="133"/>
      <c r="Q116" t="s">
        <v>1088</v>
      </c>
      <c r="R116" s="11">
        <v>6908</v>
      </c>
      <c r="S116" s="89">
        <v>579</v>
      </c>
    </row>
    <row r="117" spans="1:19" x14ac:dyDescent="0.25">
      <c r="A117" s="3" t="s">
        <v>227</v>
      </c>
      <c r="B117" s="2" t="s">
        <v>371</v>
      </c>
      <c r="C117" s="2">
        <v>1136</v>
      </c>
      <c r="D117" s="2">
        <v>995</v>
      </c>
      <c r="H117" s="133"/>
      <c r="I117" t="s">
        <v>521</v>
      </c>
      <c r="J117" s="11">
        <v>4817</v>
      </c>
      <c r="K117" s="11">
        <v>1412</v>
      </c>
      <c r="L117" s="133"/>
      <c r="M117" t="s">
        <v>550</v>
      </c>
      <c r="N117" s="11">
        <v>4660</v>
      </c>
      <c r="O117" s="11">
        <v>1787</v>
      </c>
      <c r="P117" s="133"/>
      <c r="Q117" t="s">
        <v>609</v>
      </c>
      <c r="R117" s="11">
        <v>8067</v>
      </c>
      <c r="S117" s="89">
        <v>316</v>
      </c>
    </row>
    <row r="118" spans="1:19" x14ac:dyDescent="0.25">
      <c r="A118" s="3" t="s">
        <v>227</v>
      </c>
      <c r="B118" s="2" t="s">
        <v>372</v>
      </c>
      <c r="C118" s="52">
        <v>1283</v>
      </c>
      <c r="D118" s="2">
        <v>617</v>
      </c>
      <c r="H118" s="133"/>
      <c r="I118" t="s">
        <v>525</v>
      </c>
      <c r="J118" s="11">
        <v>4380</v>
      </c>
      <c r="K118" s="11">
        <v>1633</v>
      </c>
      <c r="L118" s="133"/>
      <c r="M118" t="s">
        <v>996</v>
      </c>
      <c r="N118" s="11">
        <v>4953</v>
      </c>
      <c r="O118" s="11">
        <v>1315</v>
      </c>
      <c r="P118" s="133"/>
      <c r="Q118" t="s">
        <v>610</v>
      </c>
      <c r="R118" s="11">
        <v>6295</v>
      </c>
      <c r="S118" s="89">
        <v>899</v>
      </c>
    </row>
    <row r="119" spans="1:19" x14ac:dyDescent="0.25">
      <c r="A119" s="3" t="s">
        <v>227</v>
      </c>
      <c r="B119" s="2" t="s">
        <v>352</v>
      </c>
      <c r="C119" s="2">
        <v>4964</v>
      </c>
      <c r="D119" s="2">
        <v>4</v>
      </c>
      <c r="H119" s="133"/>
      <c r="I119" t="s">
        <v>522</v>
      </c>
      <c r="J119" s="11">
        <v>6229</v>
      </c>
      <c r="K119" s="11">
        <v>888</v>
      </c>
      <c r="L119" s="135"/>
      <c r="M119" s="129" t="s">
        <v>547</v>
      </c>
      <c r="N119" s="130">
        <v>4324</v>
      </c>
      <c r="O119" s="130">
        <v>1554</v>
      </c>
      <c r="P119" s="133"/>
      <c r="Q119" t="s">
        <v>612</v>
      </c>
      <c r="R119" s="11">
        <v>9090</v>
      </c>
      <c r="S119" s="89">
        <v>348</v>
      </c>
    </row>
    <row r="120" spans="1:19" x14ac:dyDescent="0.25">
      <c r="A120" s="3" t="s">
        <v>227</v>
      </c>
      <c r="B120" s="2" t="s">
        <v>373</v>
      </c>
      <c r="C120" s="2">
        <v>2268</v>
      </c>
      <c r="D120" s="2">
        <v>1389</v>
      </c>
      <c r="H120" s="133"/>
      <c r="I120" t="s">
        <v>523</v>
      </c>
      <c r="J120" s="11">
        <v>5233</v>
      </c>
      <c r="K120" s="11">
        <v>1067</v>
      </c>
      <c r="L120" s="132" t="s">
        <v>238</v>
      </c>
      <c r="M120" t="s">
        <v>551</v>
      </c>
      <c r="N120" s="11">
        <v>4380</v>
      </c>
      <c r="O120" s="11">
        <v>1410</v>
      </c>
      <c r="P120" s="133"/>
      <c r="Q120" t="s">
        <v>1089</v>
      </c>
      <c r="R120" s="11">
        <v>6385</v>
      </c>
      <c r="S120" s="89">
        <v>715</v>
      </c>
    </row>
    <row r="121" spans="1:19" x14ac:dyDescent="0.25">
      <c r="A121" s="3" t="s">
        <v>227</v>
      </c>
      <c r="B121" s="2" t="s">
        <v>374</v>
      </c>
      <c r="C121" s="2">
        <v>2211</v>
      </c>
      <c r="D121" s="2">
        <v>1445</v>
      </c>
      <c r="H121" s="133"/>
      <c r="I121" t="s">
        <v>526</v>
      </c>
      <c r="J121" s="11">
        <v>6269</v>
      </c>
      <c r="K121" s="11">
        <v>785</v>
      </c>
      <c r="L121" s="133"/>
      <c r="M121" t="s">
        <v>997</v>
      </c>
      <c r="N121" s="11">
        <v>4918</v>
      </c>
      <c r="O121" s="11">
        <v>1283</v>
      </c>
      <c r="P121" s="133"/>
      <c r="Q121" t="s">
        <v>613</v>
      </c>
      <c r="R121" s="11">
        <v>6196</v>
      </c>
      <c r="S121" s="89">
        <v>599</v>
      </c>
    </row>
    <row r="122" spans="1:19" x14ac:dyDescent="0.25">
      <c r="A122" s="3" t="s">
        <v>227</v>
      </c>
      <c r="B122" s="2" t="s">
        <v>375</v>
      </c>
      <c r="C122" s="2">
        <v>5097</v>
      </c>
      <c r="D122" s="2">
        <v>567</v>
      </c>
      <c r="H122" s="133"/>
      <c r="I122" t="s">
        <v>524</v>
      </c>
      <c r="J122" s="11">
        <v>7237</v>
      </c>
      <c r="K122" s="11">
        <v>778</v>
      </c>
      <c r="L122" s="133"/>
      <c r="M122" t="s">
        <v>552</v>
      </c>
      <c r="N122" s="11">
        <v>5288</v>
      </c>
      <c r="O122" s="11">
        <v>962</v>
      </c>
      <c r="P122" s="133"/>
      <c r="Q122" t="s">
        <v>604</v>
      </c>
      <c r="R122" s="11">
        <v>9193</v>
      </c>
      <c r="S122" s="89">
        <v>115</v>
      </c>
    </row>
    <row r="123" spans="1:19" x14ac:dyDescent="0.25">
      <c r="A123" s="3" t="s">
        <v>227</v>
      </c>
      <c r="B123" s="2" t="s">
        <v>376</v>
      </c>
      <c r="C123" s="2">
        <v>3218</v>
      </c>
      <c r="D123" s="2">
        <v>64</v>
      </c>
      <c r="H123" s="133"/>
      <c r="I123" t="s">
        <v>1079</v>
      </c>
      <c r="J123" s="11">
        <v>5527</v>
      </c>
      <c r="K123" s="11">
        <v>1166</v>
      </c>
      <c r="L123" s="133"/>
      <c r="M123" t="s">
        <v>554</v>
      </c>
      <c r="N123" s="11">
        <v>5049</v>
      </c>
      <c r="O123" s="11">
        <v>995</v>
      </c>
      <c r="P123" s="133"/>
      <c r="Q123" t="s">
        <v>611</v>
      </c>
      <c r="R123" s="11">
        <v>8327</v>
      </c>
      <c r="S123" s="89">
        <v>432</v>
      </c>
    </row>
    <row r="124" spans="1:19" x14ac:dyDescent="0.25">
      <c r="A124" s="3" t="s">
        <v>227</v>
      </c>
      <c r="B124" s="2" t="s">
        <v>377</v>
      </c>
      <c r="C124" s="2">
        <v>3186</v>
      </c>
      <c r="D124" s="2">
        <v>191</v>
      </c>
      <c r="H124" s="135"/>
      <c r="I124" s="129" t="s">
        <v>994</v>
      </c>
      <c r="J124" s="130">
        <v>6194</v>
      </c>
      <c r="K124" s="130">
        <v>830</v>
      </c>
      <c r="L124" s="133"/>
      <c r="M124" t="s">
        <v>553</v>
      </c>
      <c r="N124" s="11">
        <v>4484</v>
      </c>
      <c r="O124" s="11">
        <v>1620</v>
      </c>
      <c r="P124" s="133"/>
      <c r="Q124" t="s">
        <v>614</v>
      </c>
      <c r="R124" s="11">
        <v>7045</v>
      </c>
      <c r="S124" s="89">
        <v>597</v>
      </c>
    </row>
    <row r="125" spans="1:19" x14ac:dyDescent="0.25">
      <c r="A125" s="3" t="s">
        <v>227</v>
      </c>
      <c r="B125" s="2" t="s">
        <v>378</v>
      </c>
      <c r="C125" s="2">
        <v>944</v>
      </c>
      <c r="D125" s="2">
        <v>4672</v>
      </c>
      <c r="H125" s="132" t="s">
        <v>235</v>
      </c>
      <c r="I125" t="s">
        <v>1080</v>
      </c>
      <c r="J125" s="11">
        <v>5385</v>
      </c>
      <c r="K125" s="11">
        <v>1025</v>
      </c>
      <c r="L125" s="133"/>
      <c r="M125" t="s">
        <v>1084</v>
      </c>
      <c r="N125" s="11">
        <v>3869</v>
      </c>
      <c r="O125" s="11">
        <v>1098</v>
      </c>
      <c r="P125" s="133"/>
      <c r="Q125" t="s">
        <v>615</v>
      </c>
      <c r="R125" s="11">
        <v>7343</v>
      </c>
      <c r="S125" s="89">
        <v>582</v>
      </c>
    </row>
    <row r="126" spans="1:19" x14ac:dyDescent="0.25">
      <c r="A126" s="3" t="s">
        <v>227</v>
      </c>
      <c r="B126" s="2" t="s">
        <v>379</v>
      </c>
      <c r="C126" s="2">
        <v>2816</v>
      </c>
      <c r="D126" s="2">
        <v>128</v>
      </c>
      <c r="H126" s="133"/>
      <c r="I126" t="s">
        <v>528</v>
      </c>
      <c r="J126" s="11">
        <v>4474</v>
      </c>
      <c r="K126" s="11">
        <v>1376</v>
      </c>
      <c r="L126" s="133"/>
      <c r="M126" t="s">
        <v>998</v>
      </c>
      <c r="N126" s="11">
        <v>4856</v>
      </c>
      <c r="O126" s="11">
        <v>1104</v>
      </c>
      <c r="P126" s="133"/>
      <c r="Q126" t="s">
        <v>623</v>
      </c>
      <c r="R126" s="11">
        <v>9162</v>
      </c>
      <c r="S126" s="89">
        <v>113</v>
      </c>
    </row>
    <row r="127" spans="1:19" x14ac:dyDescent="0.25">
      <c r="A127" s="3" t="s">
        <v>227</v>
      </c>
      <c r="B127" s="2" t="s">
        <v>380</v>
      </c>
      <c r="C127" s="2">
        <v>2010</v>
      </c>
      <c r="D127" s="2">
        <v>186</v>
      </c>
      <c r="H127" s="133"/>
      <c r="I127" t="s">
        <v>529</v>
      </c>
      <c r="J127" s="11">
        <v>6471</v>
      </c>
      <c r="K127" s="11">
        <v>764</v>
      </c>
      <c r="L127" s="133"/>
      <c r="M127" t="s">
        <v>555</v>
      </c>
      <c r="N127" s="11">
        <v>4529</v>
      </c>
      <c r="O127" s="11">
        <v>988</v>
      </c>
      <c r="P127" s="133"/>
      <c r="Q127" t="s">
        <v>616</v>
      </c>
      <c r="R127" s="11">
        <v>7783</v>
      </c>
      <c r="S127" s="89">
        <v>452</v>
      </c>
    </row>
    <row r="128" spans="1:19" x14ac:dyDescent="0.25">
      <c r="A128" s="3" t="s">
        <v>227</v>
      </c>
      <c r="B128" s="2" t="s">
        <v>381</v>
      </c>
      <c r="C128" s="2">
        <v>668</v>
      </c>
      <c r="D128" s="2">
        <v>4333</v>
      </c>
      <c r="H128" s="133"/>
      <c r="I128" t="s">
        <v>531</v>
      </c>
      <c r="J128" s="11">
        <v>4223</v>
      </c>
      <c r="K128" s="11">
        <v>1448</v>
      </c>
      <c r="L128" s="133"/>
      <c r="M128" t="s">
        <v>556</v>
      </c>
      <c r="N128" s="11">
        <v>4521</v>
      </c>
      <c r="O128" s="11">
        <v>1449</v>
      </c>
      <c r="P128" s="133"/>
      <c r="Q128" t="s">
        <v>617</v>
      </c>
      <c r="R128" s="11">
        <v>6040</v>
      </c>
      <c r="S128" s="89">
        <v>597</v>
      </c>
    </row>
    <row r="129" spans="1:19" x14ac:dyDescent="0.25">
      <c r="A129" s="3" t="s">
        <v>227</v>
      </c>
      <c r="B129" s="2" t="s">
        <v>382</v>
      </c>
      <c r="C129" s="2">
        <v>2829</v>
      </c>
      <c r="D129" s="2">
        <v>1947</v>
      </c>
      <c r="H129" s="133"/>
      <c r="I129" t="s">
        <v>532</v>
      </c>
      <c r="J129" s="11">
        <v>5845</v>
      </c>
      <c r="K129" s="11">
        <v>1044</v>
      </c>
      <c r="L129" s="133"/>
      <c r="M129" t="s">
        <v>558</v>
      </c>
      <c r="N129" s="11">
        <v>3916</v>
      </c>
      <c r="O129" s="11">
        <v>1550</v>
      </c>
      <c r="P129" s="133"/>
      <c r="Q129" t="s">
        <v>618</v>
      </c>
      <c r="R129" s="11">
        <v>7018</v>
      </c>
      <c r="S129" s="89">
        <v>502</v>
      </c>
    </row>
    <row r="130" spans="1:19" x14ac:dyDescent="0.25">
      <c r="A130" s="3" t="s">
        <v>227</v>
      </c>
      <c r="B130" s="2" t="s">
        <v>383</v>
      </c>
      <c r="C130" s="2">
        <v>2558</v>
      </c>
      <c r="D130" s="2">
        <v>852</v>
      </c>
      <c r="H130" s="133"/>
      <c r="I130" t="s">
        <v>530</v>
      </c>
      <c r="J130" s="11">
        <v>5957</v>
      </c>
      <c r="K130" s="11">
        <v>822</v>
      </c>
      <c r="L130" s="135"/>
      <c r="M130" s="129" t="s">
        <v>557</v>
      </c>
      <c r="N130" s="130">
        <v>3811</v>
      </c>
      <c r="O130" s="130">
        <v>1439</v>
      </c>
      <c r="P130" s="133"/>
      <c r="Q130" t="s">
        <v>620</v>
      </c>
      <c r="R130" s="11">
        <v>7315</v>
      </c>
      <c r="S130" s="89">
        <v>455</v>
      </c>
    </row>
    <row r="131" spans="1:19" x14ac:dyDescent="0.25">
      <c r="A131" s="3" t="s">
        <v>227</v>
      </c>
      <c r="B131" s="2" t="s">
        <v>384</v>
      </c>
      <c r="C131" s="2">
        <v>2465</v>
      </c>
      <c r="D131" s="2">
        <v>1620</v>
      </c>
      <c r="H131" s="133"/>
      <c r="I131" t="s">
        <v>1081</v>
      </c>
      <c r="J131" s="11">
        <v>5967</v>
      </c>
      <c r="K131" s="11">
        <v>971</v>
      </c>
      <c r="L131" s="132" t="s">
        <v>239</v>
      </c>
      <c r="M131" t="s">
        <v>1047</v>
      </c>
      <c r="N131" s="11">
        <v>1136</v>
      </c>
      <c r="O131" s="11">
        <v>2477</v>
      </c>
      <c r="P131" s="133"/>
      <c r="Q131" t="s">
        <v>621</v>
      </c>
      <c r="R131" s="11">
        <v>7426</v>
      </c>
      <c r="S131" s="89">
        <v>360</v>
      </c>
    </row>
    <row r="132" spans="1:19" x14ac:dyDescent="0.25">
      <c r="A132" s="3" t="s">
        <v>227</v>
      </c>
      <c r="B132" s="2" t="s">
        <v>385</v>
      </c>
      <c r="C132" s="2">
        <v>2782</v>
      </c>
      <c r="D132" s="2">
        <v>1868</v>
      </c>
      <c r="H132" s="133"/>
      <c r="I132" t="s">
        <v>527</v>
      </c>
      <c r="J132" s="11">
        <v>5626</v>
      </c>
      <c r="K132" s="11">
        <v>1004</v>
      </c>
      <c r="L132" s="133"/>
      <c r="M132" t="s">
        <v>561</v>
      </c>
      <c r="N132" s="11">
        <v>1762</v>
      </c>
      <c r="O132" s="11">
        <v>2622</v>
      </c>
      <c r="P132" s="133"/>
      <c r="Q132" t="s">
        <v>624</v>
      </c>
      <c r="R132" s="11">
        <v>6522</v>
      </c>
      <c r="S132" s="89">
        <v>705</v>
      </c>
    </row>
    <row r="133" spans="1:19" x14ac:dyDescent="0.25">
      <c r="A133" s="3" t="s">
        <v>227</v>
      </c>
      <c r="B133" s="2" t="s">
        <v>386</v>
      </c>
      <c r="C133" s="2">
        <v>2694</v>
      </c>
      <c r="D133" s="2">
        <v>1688</v>
      </c>
      <c r="H133" s="133"/>
      <c r="I133" t="s">
        <v>533</v>
      </c>
      <c r="J133" s="11">
        <v>5956</v>
      </c>
      <c r="K133" s="11">
        <v>860</v>
      </c>
      <c r="L133" s="133"/>
      <c r="M133" t="s">
        <v>560</v>
      </c>
      <c r="N133" s="11">
        <v>2562</v>
      </c>
      <c r="O133" s="11">
        <v>2270</v>
      </c>
      <c r="P133" s="133"/>
      <c r="Q133" t="s">
        <v>625</v>
      </c>
      <c r="R133" s="11">
        <v>7754</v>
      </c>
      <c r="S133" s="89">
        <v>370</v>
      </c>
    </row>
    <row r="134" spans="1:19" x14ac:dyDescent="0.25">
      <c r="A134" s="3" t="s">
        <v>227</v>
      </c>
      <c r="B134" s="2" t="s">
        <v>473</v>
      </c>
      <c r="C134" s="2">
        <v>2782</v>
      </c>
      <c r="D134" s="2">
        <v>3004</v>
      </c>
      <c r="H134" s="135"/>
      <c r="I134" s="129" t="s">
        <v>534</v>
      </c>
      <c r="J134" s="130">
        <v>5135</v>
      </c>
      <c r="K134" s="130">
        <v>1290</v>
      </c>
      <c r="L134" s="133"/>
      <c r="M134" t="s">
        <v>563</v>
      </c>
      <c r="N134" s="11">
        <v>1677</v>
      </c>
      <c r="O134" s="11">
        <v>2848</v>
      </c>
      <c r="P134" s="135"/>
      <c r="Q134" s="129" t="s">
        <v>619</v>
      </c>
      <c r="R134" s="130">
        <v>6152</v>
      </c>
      <c r="S134" s="134">
        <v>772</v>
      </c>
    </row>
    <row r="135" spans="1:19" x14ac:dyDescent="0.25">
      <c r="A135" s="3" t="s">
        <v>227</v>
      </c>
      <c r="B135" s="2" t="s">
        <v>387</v>
      </c>
      <c r="C135" s="2">
        <v>1609</v>
      </c>
      <c r="D135" s="2">
        <v>1413</v>
      </c>
      <c r="H135" s="132" t="s">
        <v>236</v>
      </c>
      <c r="I135" t="s">
        <v>990</v>
      </c>
      <c r="J135" s="11">
        <v>6847</v>
      </c>
      <c r="K135" s="11">
        <v>707</v>
      </c>
      <c r="L135" s="133"/>
      <c r="M135" t="s">
        <v>1085</v>
      </c>
      <c r="N135" s="11">
        <v>1590</v>
      </c>
      <c r="O135" s="11">
        <v>2699</v>
      </c>
      <c r="P135" s="132" t="s">
        <v>268</v>
      </c>
      <c r="Q135" t="s">
        <v>626</v>
      </c>
      <c r="R135" s="11">
        <v>9304</v>
      </c>
      <c r="S135" s="89">
        <v>194</v>
      </c>
    </row>
    <row r="136" spans="1:19" x14ac:dyDescent="0.25">
      <c r="A136" s="3" t="s">
        <v>227</v>
      </c>
      <c r="B136" s="2" t="s">
        <v>388</v>
      </c>
      <c r="C136" s="2">
        <v>2581</v>
      </c>
      <c r="D136" s="2">
        <v>1281</v>
      </c>
      <c r="H136" s="133"/>
      <c r="I136" t="s">
        <v>991</v>
      </c>
      <c r="J136" s="11">
        <v>6656</v>
      </c>
      <c r="K136" s="11">
        <v>865</v>
      </c>
      <c r="L136" s="133"/>
      <c r="M136" t="s">
        <v>564</v>
      </c>
      <c r="N136" s="11">
        <v>1635</v>
      </c>
      <c r="O136" s="11">
        <v>2596</v>
      </c>
      <c r="P136" s="133"/>
      <c r="Q136" t="s">
        <v>627</v>
      </c>
      <c r="R136" s="11">
        <v>7196</v>
      </c>
      <c r="S136" s="89">
        <v>920</v>
      </c>
    </row>
    <row r="137" spans="1:19" x14ac:dyDescent="0.25">
      <c r="A137" s="3" t="s">
        <v>227</v>
      </c>
      <c r="B137" s="2" t="s">
        <v>389</v>
      </c>
      <c r="C137" s="2">
        <v>2852</v>
      </c>
      <c r="D137" s="2">
        <v>84</v>
      </c>
      <c r="H137" s="133"/>
      <c r="I137" t="s">
        <v>992</v>
      </c>
      <c r="J137" s="11">
        <v>6699</v>
      </c>
      <c r="K137" s="11">
        <v>897</v>
      </c>
      <c r="L137" s="133"/>
      <c r="M137" t="s">
        <v>562</v>
      </c>
      <c r="N137" s="11">
        <v>2197</v>
      </c>
      <c r="O137" s="11">
        <v>2514</v>
      </c>
      <c r="P137" s="133"/>
      <c r="Q137" t="s">
        <v>1048</v>
      </c>
      <c r="R137" s="11">
        <v>8895</v>
      </c>
      <c r="S137" s="89">
        <v>535</v>
      </c>
    </row>
    <row r="138" spans="1:19" x14ac:dyDescent="0.25">
      <c r="A138" s="3" t="s">
        <v>227</v>
      </c>
      <c r="B138" s="2" t="s">
        <v>390</v>
      </c>
      <c r="C138" s="2">
        <v>1019</v>
      </c>
      <c r="D138" s="2">
        <v>742</v>
      </c>
      <c r="H138" s="133"/>
      <c r="I138" t="s">
        <v>1070</v>
      </c>
      <c r="J138" s="11">
        <v>5680</v>
      </c>
      <c r="K138" s="11">
        <v>1465</v>
      </c>
      <c r="L138" s="133"/>
      <c r="M138" t="s">
        <v>565</v>
      </c>
      <c r="N138" s="11">
        <v>2229</v>
      </c>
      <c r="O138" s="11">
        <v>2270</v>
      </c>
      <c r="P138" s="133"/>
      <c r="Q138" t="s">
        <v>1055</v>
      </c>
      <c r="R138" s="11">
        <v>7892</v>
      </c>
      <c r="S138" s="89">
        <v>529</v>
      </c>
    </row>
    <row r="139" spans="1:19" x14ac:dyDescent="0.25">
      <c r="A139" s="3" t="s">
        <v>227</v>
      </c>
      <c r="B139" s="2" t="s">
        <v>391</v>
      </c>
      <c r="C139" s="2">
        <v>2737</v>
      </c>
      <c r="D139" s="2">
        <v>97</v>
      </c>
      <c r="H139" s="133"/>
      <c r="I139" t="s">
        <v>483</v>
      </c>
      <c r="J139" s="11">
        <v>6880</v>
      </c>
      <c r="K139" s="11">
        <v>899</v>
      </c>
      <c r="L139" s="133"/>
      <c r="M139" t="s">
        <v>566</v>
      </c>
      <c r="N139" s="11">
        <v>1717</v>
      </c>
      <c r="O139" s="11">
        <v>2559</v>
      </c>
      <c r="P139" s="133"/>
      <c r="Q139" t="s">
        <v>628</v>
      </c>
      <c r="R139" s="11">
        <v>8804</v>
      </c>
      <c r="S139" s="89">
        <v>112</v>
      </c>
    </row>
    <row r="140" spans="1:19" x14ac:dyDescent="0.25">
      <c r="A140" s="3" t="s">
        <v>227</v>
      </c>
      <c r="B140" s="2" t="s">
        <v>392</v>
      </c>
      <c r="C140" s="2">
        <v>2301</v>
      </c>
      <c r="D140" s="2">
        <v>395</v>
      </c>
      <c r="H140" s="133"/>
      <c r="I140" t="s">
        <v>484</v>
      </c>
      <c r="J140" s="11">
        <v>6900</v>
      </c>
      <c r="K140" s="11">
        <v>714</v>
      </c>
      <c r="L140" s="133"/>
      <c r="M140" t="s">
        <v>567</v>
      </c>
      <c r="N140" s="11">
        <v>1358</v>
      </c>
      <c r="O140" s="11">
        <v>2784</v>
      </c>
      <c r="P140" s="133"/>
      <c r="Q140" t="s">
        <v>629</v>
      </c>
      <c r="R140" s="11">
        <v>9161</v>
      </c>
      <c r="S140" s="89">
        <v>333</v>
      </c>
    </row>
    <row r="141" spans="1:19" x14ac:dyDescent="0.25">
      <c r="A141" s="3" t="s">
        <v>227</v>
      </c>
      <c r="B141" s="2" t="s">
        <v>393</v>
      </c>
      <c r="C141" s="2">
        <v>2325</v>
      </c>
      <c r="D141" s="2">
        <v>201</v>
      </c>
      <c r="H141" s="133"/>
      <c r="I141" t="s">
        <v>485</v>
      </c>
      <c r="J141" s="11">
        <v>6028</v>
      </c>
      <c r="K141" s="11">
        <v>1252</v>
      </c>
      <c r="L141" s="133"/>
      <c r="M141" t="s">
        <v>568</v>
      </c>
      <c r="N141" s="11">
        <v>1452</v>
      </c>
      <c r="O141" s="11">
        <v>2571</v>
      </c>
      <c r="P141" s="133"/>
      <c r="Q141" t="s">
        <v>630</v>
      </c>
      <c r="R141" s="11">
        <v>8676</v>
      </c>
      <c r="S141" s="89">
        <v>659</v>
      </c>
    </row>
    <row r="142" spans="1:19" x14ac:dyDescent="0.25">
      <c r="A142" s="3" t="s">
        <v>227</v>
      </c>
      <c r="B142" s="2" t="s">
        <v>394</v>
      </c>
      <c r="C142" s="2">
        <v>3610</v>
      </c>
      <c r="D142" s="2">
        <v>1089</v>
      </c>
      <c r="H142" s="133"/>
      <c r="I142" t="s">
        <v>486</v>
      </c>
      <c r="J142" s="11">
        <v>6765</v>
      </c>
      <c r="K142" s="11">
        <v>733</v>
      </c>
      <c r="L142" s="133"/>
      <c r="M142" t="s">
        <v>559</v>
      </c>
      <c r="N142" s="11">
        <v>2109</v>
      </c>
      <c r="O142" s="11">
        <v>2421</v>
      </c>
      <c r="P142" s="133"/>
      <c r="Q142" t="s">
        <v>631</v>
      </c>
      <c r="R142" s="11">
        <v>8713</v>
      </c>
      <c r="S142" s="89">
        <v>322</v>
      </c>
    </row>
    <row r="143" spans="1:19" x14ac:dyDescent="0.25">
      <c r="A143" s="3" t="s">
        <v>227</v>
      </c>
      <c r="B143" s="2" t="s">
        <v>395</v>
      </c>
      <c r="C143" s="2">
        <v>1106</v>
      </c>
      <c r="D143" s="2">
        <v>657</v>
      </c>
      <c r="H143" s="133"/>
      <c r="I143" t="s">
        <v>487</v>
      </c>
      <c r="J143" s="11">
        <v>6072</v>
      </c>
      <c r="K143" s="11">
        <v>1319</v>
      </c>
      <c r="L143" s="135"/>
      <c r="M143" s="129" t="s">
        <v>569</v>
      </c>
      <c r="N143" s="130">
        <v>2351</v>
      </c>
      <c r="O143" s="130">
        <v>2384</v>
      </c>
      <c r="P143" s="133"/>
      <c r="Q143" t="s">
        <v>632</v>
      </c>
      <c r="R143" s="11">
        <v>8823</v>
      </c>
      <c r="S143" s="89">
        <v>405</v>
      </c>
    </row>
    <row r="144" spans="1:19" x14ac:dyDescent="0.25">
      <c r="A144" s="3" t="s">
        <v>227</v>
      </c>
      <c r="B144" s="2" t="s">
        <v>396</v>
      </c>
      <c r="C144" s="2">
        <v>2433</v>
      </c>
      <c r="D144" s="2">
        <v>104</v>
      </c>
      <c r="H144" s="133"/>
      <c r="I144" t="s">
        <v>1071</v>
      </c>
      <c r="J144" s="11">
        <v>6895</v>
      </c>
      <c r="K144" s="11">
        <v>1019</v>
      </c>
      <c r="L144" s="132" t="s">
        <v>240</v>
      </c>
      <c r="M144" t="s">
        <v>1049</v>
      </c>
      <c r="N144" s="11">
        <v>7691</v>
      </c>
      <c r="O144" s="11">
        <v>303</v>
      </c>
      <c r="P144" s="133"/>
      <c r="Q144" t="s">
        <v>633</v>
      </c>
      <c r="R144" s="11">
        <v>9368</v>
      </c>
      <c r="S144" s="89">
        <v>258</v>
      </c>
    </row>
    <row r="145" spans="1:19" x14ac:dyDescent="0.25">
      <c r="A145" s="3" t="s">
        <v>227</v>
      </c>
      <c r="B145" s="2" t="s">
        <v>397</v>
      </c>
      <c r="C145" s="2">
        <v>2795</v>
      </c>
      <c r="D145" s="2">
        <v>32</v>
      </c>
      <c r="H145" s="133"/>
      <c r="I145" t="s">
        <v>488</v>
      </c>
      <c r="J145" s="11">
        <v>5864</v>
      </c>
      <c r="K145" s="11">
        <v>969</v>
      </c>
      <c r="L145" s="133"/>
      <c r="M145" t="s">
        <v>1050</v>
      </c>
      <c r="N145" s="11">
        <v>7495</v>
      </c>
      <c r="O145" s="11">
        <v>396</v>
      </c>
      <c r="P145" s="133"/>
      <c r="Q145" t="s">
        <v>634</v>
      </c>
      <c r="R145" s="11">
        <v>10240</v>
      </c>
      <c r="S145" s="89">
        <v>164</v>
      </c>
    </row>
    <row r="146" spans="1:19" x14ac:dyDescent="0.25">
      <c r="A146" s="3" t="s">
        <v>227</v>
      </c>
      <c r="B146" s="2" t="s">
        <v>398</v>
      </c>
      <c r="C146" s="2">
        <v>1388</v>
      </c>
      <c r="D146" s="2">
        <v>467</v>
      </c>
      <c r="H146" s="133"/>
      <c r="I146" t="s">
        <v>489</v>
      </c>
      <c r="J146" s="11">
        <v>6150</v>
      </c>
      <c r="K146" s="11">
        <v>983</v>
      </c>
      <c r="L146" s="133"/>
      <c r="M146" t="s">
        <v>588</v>
      </c>
      <c r="N146" s="11">
        <v>7671</v>
      </c>
      <c r="O146" s="11">
        <v>450</v>
      </c>
      <c r="P146" s="133"/>
      <c r="Q146" t="s">
        <v>635</v>
      </c>
      <c r="R146" s="11">
        <v>9095</v>
      </c>
      <c r="S146" s="89">
        <v>348</v>
      </c>
    </row>
    <row r="147" spans="1:19" x14ac:dyDescent="0.25">
      <c r="A147" s="3" t="s">
        <v>227</v>
      </c>
      <c r="B147" s="2" t="s">
        <v>399</v>
      </c>
      <c r="C147" s="2">
        <v>2859</v>
      </c>
      <c r="D147" s="2">
        <v>329</v>
      </c>
      <c r="H147" s="133"/>
      <c r="I147" t="s">
        <v>490</v>
      </c>
      <c r="J147" s="11">
        <v>6125</v>
      </c>
      <c r="K147" s="11">
        <v>978</v>
      </c>
      <c r="L147" s="133"/>
      <c r="M147" t="s">
        <v>589</v>
      </c>
      <c r="N147" s="11">
        <v>8037</v>
      </c>
      <c r="O147" s="11">
        <v>71</v>
      </c>
      <c r="P147" s="133"/>
      <c r="Q147" t="s">
        <v>636</v>
      </c>
      <c r="R147" s="11">
        <v>8704</v>
      </c>
      <c r="S147" s="89">
        <v>460</v>
      </c>
    </row>
    <row r="148" spans="1:19" x14ac:dyDescent="0.25">
      <c r="A148" s="3" t="s">
        <v>227</v>
      </c>
      <c r="B148" s="2" t="s">
        <v>400</v>
      </c>
      <c r="C148" s="2">
        <v>7847</v>
      </c>
      <c r="D148" s="2">
        <v>11</v>
      </c>
      <c r="H148" s="133"/>
      <c r="I148" t="s">
        <v>491</v>
      </c>
      <c r="J148" s="11">
        <v>6571</v>
      </c>
      <c r="K148" s="11">
        <v>1057</v>
      </c>
      <c r="L148" s="133"/>
      <c r="M148" t="s">
        <v>1086</v>
      </c>
      <c r="N148" s="11">
        <v>7456</v>
      </c>
      <c r="O148" s="11">
        <v>373</v>
      </c>
      <c r="P148" s="133"/>
      <c r="Q148" t="s">
        <v>637</v>
      </c>
      <c r="R148" s="11">
        <v>9620</v>
      </c>
      <c r="S148" s="89">
        <v>159</v>
      </c>
    </row>
    <row r="149" spans="1:19" x14ac:dyDescent="0.25">
      <c r="A149" s="3" t="s">
        <v>227</v>
      </c>
      <c r="B149" s="2" t="s">
        <v>401</v>
      </c>
      <c r="C149" s="2">
        <v>2494</v>
      </c>
      <c r="D149" s="2">
        <v>1296</v>
      </c>
      <c r="H149" s="133"/>
      <c r="I149" t="s">
        <v>492</v>
      </c>
      <c r="J149" s="11">
        <v>6493</v>
      </c>
      <c r="K149" s="11">
        <v>1121</v>
      </c>
      <c r="L149" s="133"/>
      <c r="M149" t="s">
        <v>590</v>
      </c>
      <c r="N149" s="11">
        <v>9841</v>
      </c>
      <c r="O149" s="11">
        <v>171</v>
      </c>
      <c r="P149" s="133"/>
      <c r="Q149" t="s">
        <v>638</v>
      </c>
      <c r="R149" s="11">
        <v>9501</v>
      </c>
      <c r="S149" s="89">
        <v>186</v>
      </c>
    </row>
    <row r="150" spans="1:19" x14ac:dyDescent="0.25">
      <c r="A150" s="3" t="s">
        <v>227</v>
      </c>
      <c r="B150" s="2" t="s">
        <v>402</v>
      </c>
      <c r="C150" s="2">
        <v>7884</v>
      </c>
      <c r="D150" s="2">
        <v>87</v>
      </c>
      <c r="H150" s="133"/>
      <c r="I150" t="s">
        <v>493</v>
      </c>
      <c r="J150" s="11">
        <v>7516</v>
      </c>
      <c r="K150" s="11">
        <v>525</v>
      </c>
      <c r="L150" s="133"/>
      <c r="M150" t="s">
        <v>593</v>
      </c>
      <c r="N150" s="11">
        <v>9765</v>
      </c>
      <c r="O150" s="11">
        <v>164</v>
      </c>
      <c r="P150" s="133"/>
      <c r="Q150" t="s">
        <v>639</v>
      </c>
      <c r="R150" s="11">
        <v>9987</v>
      </c>
      <c r="S150" s="89">
        <v>255</v>
      </c>
    </row>
    <row r="151" spans="1:19" x14ac:dyDescent="0.25">
      <c r="A151" s="3" t="s">
        <v>227</v>
      </c>
      <c r="B151" s="2" t="s">
        <v>403</v>
      </c>
      <c r="C151" s="2">
        <v>1788</v>
      </c>
      <c r="D151" s="2">
        <v>3297</v>
      </c>
      <c r="H151" s="135"/>
      <c r="I151" s="129" t="s">
        <v>494</v>
      </c>
      <c r="J151" s="130">
        <v>8458</v>
      </c>
      <c r="K151" s="130">
        <v>551</v>
      </c>
      <c r="L151" s="135"/>
      <c r="M151" s="129" t="s">
        <v>591</v>
      </c>
      <c r="N151" s="130">
        <v>9255</v>
      </c>
      <c r="O151" s="130">
        <v>206</v>
      </c>
      <c r="P151" s="140"/>
      <c r="Q151" s="129" t="s">
        <v>640</v>
      </c>
      <c r="R151" s="130">
        <v>7586</v>
      </c>
      <c r="S151" s="134">
        <v>652</v>
      </c>
    </row>
    <row r="152" spans="1:19" x14ac:dyDescent="0.25">
      <c r="A152" s="3" t="s">
        <v>227</v>
      </c>
      <c r="B152" s="2" t="s">
        <v>404</v>
      </c>
      <c r="C152" s="2">
        <v>2981</v>
      </c>
      <c r="D152" s="2">
        <v>874</v>
      </c>
    </row>
    <row r="153" spans="1:19" ht="15.75" x14ac:dyDescent="0.25">
      <c r="A153" s="3" t="s">
        <v>227</v>
      </c>
      <c r="B153" s="2" t="s">
        <v>405</v>
      </c>
      <c r="C153" s="2">
        <v>1214</v>
      </c>
      <c r="D153" s="2">
        <v>1507</v>
      </c>
      <c r="H153" s="146" t="s">
        <v>69</v>
      </c>
      <c r="I153" s="146" t="s">
        <v>1158</v>
      </c>
      <c r="J153" s="147" t="s">
        <v>4</v>
      </c>
      <c r="K153" s="147" t="s">
        <v>10</v>
      </c>
      <c r="L153" s="148" t="s">
        <v>69</v>
      </c>
      <c r="M153" s="149" t="s">
        <v>1158</v>
      </c>
      <c r="N153" s="147" t="s">
        <v>4</v>
      </c>
      <c r="O153" s="147" t="s">
        <v>10</v>
      </c>
      <c r="P153" s="148" t="s">
        <v>69</v>
      </c>
      <c r="Q153" s="149" t="s">
        <v>1158</v>
      </c>
      <c r="R153" s="147" t="s">
        <v>4</v>
      </c>
      <c r="S153" s="147" t="s">
        <v>10</v>
      </c>
    </row>
    <row r="154" spans="1:19" x14ac:dyDescent="0.25">
      <c r="A154" s="3" t="s">
        <v>227</v>
      </c>
      <c r="B154" s="2" t="s">
        <v>406</v>
      </c>
      <c r="C154" s="2">
        <v>3032</v>
      </c>
      <c r="D154" s="2">
        <v>1602</v>
      </c>
      <c r="H154" s="133"/>
      <c r="I154" t="s">
        <v>641</v>
      </c>
      <c r="J154" s="11">
        <v>7497</v>
      </c>
      <c r="K154" s="11">
        <v>504</v>
      </c>
      <c r="L154" s="150"/>
      <c r="M154" s="67" t="s">
        <v>698</v>
      </c>
      <c r="N154" s="11">
        <v>7111</v>
      </c>
      <c r="O154" s="11">
        <v>370</v>
      </c>
      <c r="P154" s="150"/>
      <c r="Q154" s="67" t="s">
        <v>779</v>
      </c>
      <c r="R154" s="11">
        <v>6612</v>
      </c>
      <c r="S154" s="89">
        <v>468</v>
      </c>
    </row>
    <row r="155" spans="1:19" x14ac:dyDescent="0.25">
      <c r="A155" s="3" t="s">
        <v>227</v>
      </c>
      <c r="B155" s="2" t="s">
        <v>987</v>
      </c>
      <c r="C155" s="2">
        <v>2533</v>
      </c>
      <c r="D155" s="2">
        <v>1476</v>
      </c>
      <c r="H155" s="133"/>
      <c r="I155" t="s">
        <v>642</v>
      </c>
      <c r="J155" s="11">
        <v>7838</v>
      </c>
      <c r="K155" s="11">
        <v>841</v>
      </c>
      <c r="L155" s="139"/>
      <c r="M155" s="67" t="s">
        <v>699</v>
      </c>
      <c r="N155" s="11">
        <v>7617</v>
      </c>
      <c r="O155" s="11">
        <v>648</v>
      </c>
      <c r="P155" s="139"/>
      <c r="Q155" s="67" t="s">
        <v>780</v>
      </c>
      <c r="R155" s="11">
        <v>6449</v>
      </c>
      <c r="S155" s="89">
        <v>297</v>
      </c>
    </row>
    <row r="156" spans="1:19" x14ac:dyDescent="0.25">
      <c r="A156" s="3" t="s">
        <v>228</v>
      </c>
      <c r="B156" s="2" t="s">
        <v>1017</v>
      </c>
      <c r="C156" s="2">
        <v>6087</v>
      </c>
      <c r="D156" s="2">
        <v>823</v>
      </c>
      <c r="H156" s="133"/>
      <c r="I156" t="s">
        <v>643</v>
      </c>
      <c r="J156" s="11">
        <v>7921</v>
      </c>
      <c r="K156" s="11">
        <v>958</v>
      </c>
      <c r="L156" s="139"/>
      <c r="M156" s="67" t="s">
        <v>98</v>
      </c>
      <c r="N156" s="11">
        <v>7323</v>
      </c>
      <c r="O156" s="11">
        <v>269</v>
      </c>
      <c r="P156" s="139"/>
      <c r="Q156" s="67" t="s">
        <v>781</v>
      </c>
      <c r="R156" s="11">
        <v>7158</v>
      </c>
      <c r="S156" s="89">
        <v>481</v>
      </c>
    </row>
    <row r="157" spans="1:19" x14ac:dyDescent="0.25">
      <c r="A157" s="3" t="s">
        <v>228</v>
      </c>
      <c r="B157" s="2" t="s">
        <v>407</v>
      </c>
      <c r="C157" s="2">
        <v>8528</v>
      </c>
      <c r="D157" s="2">
        <v>23</v>
      </c>
      <c r="H157" s="133"/>
      <c r="I157" t="s">
        <v>644</v>
      </c>
      <c r="J157" s="11">
        <v>9746</v>
      </c>
      <c r="K157" s="11">
        <v>252</v>
      </c>
      <c r="L157" s="139"/>
      <c r="M157" s="67" t="s">
        <v>1097</v>
      </c>
      <c r="N157" s="11">
        <v>9396</v>
      </c>
      <c r="O157" s="11">
        <v>411</v>
      </c>
      <c r="P157" s="139"/>
      <c r="Q157" s="67" t="s">
        <v>1113</v>
      </c>
      <c r="R157" s="11">
        <v>7188</v>
      </c>
      <c r="S157" s="89">
        <v>278</v>
      </c>
    </row>
    <row r="158" spans="1:19" x14ac:dyDescent="0.25">
      <c r="A158" s="3" t="s">
        <v>228</v>
      </c>
      <c r="B158" s="2" t="s">
        <v>408</v>
      </c>
      <c r="C158" s="2">
        <v>8294</v>
      </c>
      <c r="D158" s="2">
        <v>68</v>
      </c>
      <c r="H158" s="133"/>
      <c r="I158" t="s">
        <v>645</v>
      </c>
      <c r="J158" s="11">
        <v>8440</v>
      </c>
      <c r="K158" s="11">
        <v>528</v>
      </c>
      <c r="L158" s="140"/>
      <c r="M158" s="131" t="s">
        <v>700</v>
      </c>
      <c r="N158" s="130">
        <v>8983</v>
      </c>
      <c r="O158" s="130">
        <v>249</v>
      </c>
      <c r="P158" s="139"/>
      <c r="Q158" s="67" t="s">
        <v>783</v>
      </c>
      <c r="R158" s="11">
        <v>8046</v>
      </c>
      <c r="S158" s="89">
        <v>376</v>
      </c>
    </row>
    <row r="159" spans="1:19" x14ac:dyDescent="0.25">
      <c r="A159" s="3" t="s">
        <v>228</v>
      </c>
      <c r="B159" s="2" t="s">
        <v>1052</v>
      </c>
      <c r="C159" s="2">
        <v>6093</v>
      </c>
      <c r="D159" s="2">
        <v>825</v>
      </c>
      <c r="H159" s="133"/>
      <c r="I159" t="s">
        <v>1090</v>
      </c>
      <c r="J159" s="11">
        <v>9137</v>
      </c>
      <c r="K159" s="11">
        <v>306</v>
      </c>
      <c r="L159" s="138" t="s">
        <v>246</v>
      </c>
      <c r="M159" s="67" t="s">
        <v>723</v>
      </c>
      <c r="N159" s="11">
        <v>6118</v>
      </c>
      <c r="O159" s="11">
        <v>789</v>
      </c>
      <c r="P159" s="139"/>
      <c r="Q159" s="67" t="s">
        <v>1114</v>
      </c>
      <c r="R159" s="11">
        <v>7059</v>
      </c>
      <c r="S159" s="89">
        <v>428</v>
      </c>
    </row>
    <row r="160" spans="1:19" x14ac:dyDescent="0.25">
      <c r="A160" s="3" t="s">
        <v>228</v>
      </c>
      <c r="B160" s="2" t="s">
        <v>409</v>
      </c>
      <c r="C160" s="2">
        <v>5836</v>
      </c>
      <c r="D160" s="2">
        <v>637</v>
      </c>
      <c r="H160" s="133"/>
      <c r="I160" t="s">
        <v>646</v>
      </c>
      <c r="J160" s="11">
        <v>9445</v>
      </c>
      <c r="K160" s="11">
        <v>460</v>
      </c>
      <c r="L160" s="139"/>
      <c r="M160" s="67" t="s">
        <v>724</v>
      </c>
      <c r="N160" s="11">
        <v>7026</v>
      </c>
      <c r="O160" s="11">
        <v>736</v>
      </c>
      <c r="P160" s="139"/>
      <c r="Q160" s="67" t="s">
        <v>788</v>
      </c>
      <c r="R160" s="11">
        <v>6159</v>
      </c>
      <c r="S160" s="89">
        <v>756</v>
      </c>
    </row>
    <row r="161" spans="1:19" x14ac:dyDescent="0.25">
      <c r="A161" s="3" t="s">
        <v>228</v>
      </c>
      <c r="B161" s="2" t="s">
        <v>410</v>
      </c>
      <c r="C161" s="2">
        <v>6115</v>
      </c>
      <c r="D161" s="2">
        <v>481</v>
      </c>
      <c r="H161" s="133"/>
      <c r="I161" t="s">
        <v>647</v>
      </c>
      <c r="J161" s="11">
        <v>9987</v>
      </c>
      <c r="K161" s="11">
        <v>219</v>
      </c>
      <c r="L161" s="139"/>
      <c r="M161" s="67" t="s">
        <v>725</v>
      </c>
      <c r="N161" s="11">
        <v>5646</v>
      </c>
      <c r="O161" s="11">
        <v>1135</v>
      </c>
      <c r="P161" s="139"/>
      <c r="Q161" s="67" t="s">
        <v>251</v>
      </c>
      <c r="R161" s="11">
        <v>4885</v>
      </c>
      <c r="S161" s="89">
        <v>1133</v>
      </c>
    </row>
    <row r="162" spans="1:19" x14ac:dyDescent="0.25">
      <c r="A162" s="3" t="s">
        <v>228</v>
      </c>
      <c r="B162" s="2" t="s">
        <v>411</v>
      </c>
      <c r="C162" s="2">
        <v>5921</v>
      </c>
      <c r="D162" s="2">
        <v>523</v>
      </c>
      <c r="H162" s="133"/>
      <c r="I162" t="s">
        <v>1139</v>
      </c>
      <c r="J162" s="11">
        <v>8330</v>
      </c>
      <c r="K162" s="11">
        <v>620</v>
      </c>
      <c r="L162" s="139"/>
      <c r="M162" s="67" t="s">
        <v>726</v>
      </c>
      <c r="N162" s="11">
        <v>6309</v>
      </c>
      <c r="O162" s="11">
        <v>1139</v>
      </c>
      <c r="P162" s="139"/>
      <c r="Q162" s="67" t="s">
        <v>784</v>
      </c>
      <c r="R162" s="11">
        <v>6484</v>
      </c>
      <c r="S162" s="89">
        <v>602</v>
      </c>
    </row>
    <row r="163" spans="1:19" x14ac:dyDescent="0.25">
      <c r="A163" s="3" t="s">
        <v>228</v>
      </c>
      <c r="B163" s="2" t="s">
        <v>412</v>
      </c>
      <c r="C163" s="2">
        <v>8497</v>
      </c>
      <c r="D163" s="2">
        <v>74</v>
      </c>
      <c r="H163" s="133"/>
      <c r="I163" t="s">
        <v>648</v>
      </c>
      <c r="J163" s="11">
        <v>10382</v>
      </c>
      <c r="K163" s="11">
        <v>259</v>
      </c>
      <c r="L163" s="139"/>
      <c r="M163" s="67" t="s">
        <v>728</v>
      </c>
      <c r="N163" s="11">
        <v>6772</v>
      </c>
      <c r="O163" s="11">
        <v>790</v>
      </c>
      <c r="P163" s="139"/>
      <c r="Q163" s="67" t="s">
        <v>786</v>
      </c>
      <c r="R163" s="11">
        <v>4893</v>
      </c>
      <c r="S163" s="89">
        <v>983</v>
      </c>
    </row>
    <row r="164" spans="1:19" x14ac:dyDescent="0.25">
      <c r="A164" s="3" t="s">
        <v>228</v>
      </c>
      <c r="B164" s="2" t="s">
        <v>413</v>
      </c>
      <c r="C164" s="2">
        <v>5655</v>
      </c>
      <c r="D164" s="2">
        <v>923</v>
      </c>
      <c r="H164" s="133"/>
      <c r="I164" t="s">
        <v>649</v>
      </c>
      <c r="J164" s="11">
        <v>7734</v>
      </c>
      <c r="K164" s="11">
        <v>543</v>
      </c>
      <c r="L164" s="139"/>
      <c r="M164" s="67" t="s">
        <v>729</v>
      </c>
      <c r="N164" s="11">
        <v>6543</v>
      </c>
      <c r="O164" s="11">
        <v>812</v>
      </c>
      <c r="P164" s="139"/>
      <c r="Q164" s="67" t="s">
        <v>787</v>
      </c>
      <c r="R164" s="11">
        <v>6518</v>
      </c>
      <c r="S164" s="89">
        <v>627</v>
      </c>
    </row>
    <row r="165" spans="1:19" x14ac:dyDescent="0.25">
      <c r="A165" s="3" t="s">
        <v>228</v>
      </c>
      <c r="B165" s="2" t="s">
        <v>414</v>
      </c>
      <c r="C165" s="2">
        <v>7114</v>
      </c>
      <c r="D165" s="2">
        <v>312</v>
      </c>
      <c r="H165" s="133"/>
      <c r="I165" t="s">
        <v>650</v>
      </c>
      <c r="J165" s="11">
        <v>9240</v>
      </c>
      <c r="K165" s="11">
        <v>385</v>
      </c>
      <c r="L165" s="139"/>
      <c r="M165" s="67" t="s">
        <v>1141</v>
      </c>
      <c r="N165" s="11">
        <v>6670</v>
      </c>
      <c r="O165" s="11">
        <v>937</v>
      </c>
      <c r="P165" s="139"/>
      <c r="Q165" s="67" t="s">
        <v>782</v>
      </c>
      <c r="R165" s="11">
        <v>5005</v>
      </c>
      <c r="S165" s="89">
        <v>983</v>
      </c>
    </row>
    <row r="166" spans="1:19" x14ac:dyDescent="0.25">
      <c r="A166" s="3" t="s">
        <v>228</v>
      </c>
      <c r="B166" s="2" t="s">
        <v>416</v>
      </c>
      <c r="C166" s="2">
        <v>7048</v>
      </c>
      <c r="D166" s="2">
        <v>509</v>
      </c>
      <c r="H166" s="133"/>
      <c r="I166" t="s">
        <v>651</v>
      </c>
      <c r="J166" s="11">
        <v>7716</v>
      </c>
      <c r="K166" s="11">
        <v>645</v>
      </c>
      <c r="L166" s="139"/>
      <c r="M166" s="67" t="s">
        <v>730</v>
      </c>
      <c r="N166" s="11">
        <v>5775</v>
      </c>
      <c r="O166" s="11">
        <v>1039</v>
      </c>
      <c r="P166" s="139"/>
      <c r="Q166" s="67" t="s">
        <v>777</v>
      </c>
      <c r="R166" s="11">
        <v>9158</v>
      </c>
      <c r="S166" s="89">
        <v>149</v>
      </c>
    </row>
    <row r="167" spans="1:19" x14ac:dyDescent="0.25">
      <c r="A167" s="3" t="s">
        <v>228</v>
      </c>
      <c r="B167" s="2" t="s">
        <v>417</v>
      </c>
      <c r="C167" s="2">
        <v>5283</v>
      </c>
      <c r="D167" s="2">
        <v>1230</v>
      </c>
      <c r="H167" s="133"/>
      <c r="I167" t="s">
        <v>652</v>
      </c>
      <c r="J167" s="11">
        <v>7740</v>
      </c>
      <c r="K167" s="11">
        <v>688</v>
      </c>
      <c r="L167" s="139"/>
      <c r="M167" s="67" t="s">
        <v>731</v>
      </c>
      <c r="N167" s="11">
        <v>6953</v>
      </c>
      <c r="O167" s="11">
        <v>935</v>
      </c>
      <c r="P167" s="139"/>
      <c r="Q167" s="67" t="s">
        <v>789</v>
      </c>
      <c r="R167" s="11">
        <v>6609</v>
      </c>
      <c r="S167" s="89">
        <v>535</v>
      </c>
    </row>
    <row r="168" spans="1:19" x14ac:dyDescent="0.25">
      <c r="A168" s="3" t="s">
        <v>228</v>
      </c>
      <c r="B168" s="2" t="s">
        <v>418</v>
      </c>
      <c r="C168" s="2">
        <v>6792</v>
      </c>
      <c r="D168" s="2">
        <v>484</v>
      </c>
      <c r="H168" s="133"/>
      <c r="I168" t="s">
        <v>653</v>
      </c>
      <c r="J168" s="11">
        <v>7783</v>
      </c>
      <c r="K168" s="11">
        <v>731</v>
      </c>
      <c r="L168" s="139"/>
      <c r="M168" s="67" t="s">
        <v>732</v>
      </c>
      <c r="N168" s="11">
        <v>6654</v>
      </c>
      <c r="O168" s="11">
        <v>1041</v>
      </c>
      <c r="P168" s="139"/>
      <c r="Q168" s="67" t="s">
        <v>790</v>
      </c>
      <c r="R168" s="11">
        <v>6974</v>
      </c>
      <c r="S168" s="89">
        <v>414</v>
      </c>
    </row>
    <row r="169" spans="1:19" x14ac:dyDescent="0.25">
      <c r="A169" s="3" t="s">
        <v>228</v>
      </c>
      <c r="B169" s="2" t="s">
        <v>419</v>
      </c>
      <c r="C169" s="2">
        <v>9306</v>
      </c>
      <c r="D169" s="2">
        <v>13</v>
      </c>
      <c r="H169" s="133"/>
      <c r="I169" t="s">
        <v>654</v>
      </c>
      <c r="J169" s="11">
        <v>8665</v>
      </c>
      <c r="K169" s="11">
        <v>364</v>
      </c>
      <c r="L169" s="139"/>
      <c r="M169" s="67" t="s">
        <v>733</v>
      </c>
      <c r="N169" s="11">
        <v>6075</v>
      </c>
      <c r="O169" s="11">
        <v>1108</v>
      </c>
      <c r="P169" s="139"/>
      <c r="Q169" s="67" t="s">
        <v>785</v>
      </c>
      <c r="R169" s="11">
        <v>6030</v>
      </c>
      <c r="S169" s="89">
        <v>607</v>
      </c>
    </row>
    <row r="170" spans="1:19" x14ac:dyDescent="0.25">
      <c r="A170" s="3" t="s">
        <v>228</v>
      </c>
      <c r="B170" s="2" t="s">
        <v>415</v>
      </c>
      <c r="C170" s="2">
        <v>7853</v>
      </c>
      <c r="D170" s="2">
        <v>116</v>
      </c>
      <c r="H170" s="133"/>
      <c r="I170" t="s">
        <v>655</v>
      </c>
      <c r="J170" s="11">
        <v>8849</v>
      </c>
      <c r="K170" s="11">
        <v>375</v>
      </c>
      <c r="L170" s="139"/>
      <c r="M170" s="67" t="s">
        <v>727</v>
      </c>
      <c r="N170" s="11">
        <v>6510</v>
      </c>
      <c r="O170" s="11">
        <v>852</v>
      </c>
      <c r="P170" s="139"/>
      <c r="Q170" s="67" t="s">
        <v>1115</v>
      </c>
      <c r="R170" s="11">
        <v>7496</v>
      </c>
      <c r="S170" s="89">
        <v>330</v>
      </c>
    </row>
    <row r="171" spans="1:19" x14ac:dyDescent="0.25">
      <c r="A171" s="3" t="s">
        <v>228</v>
      </c>
      <c r="B171" s="2" t="s">
        <v>420</v>
      </c>
      <c r="C171" s="2">
        <v>8169</v>
      </c>
      <c r="D171" s="2">
        <v>211</v>
      </c>
      <c r="H171" s="133"/>
      <c r="I171" t="s">
        <v>656</v>
      </c>
      <c r="J171" s="11">
        <v>7646</v>
      </c>
      <c r="K171" s="11">
        <v>641</v>
      </c>
      <c r="L171" s="139"/>
      <c r="M171" s="67" t="s">
        <v>1140</v>
      </c>
      <c r="N171" s="11">
        <v>5834</v>
      </c>
      <c r="O171" s="11">
        <v>1024</v>
      </c>
      <c r="P171" s="139"/>
      <c r="Q171" s="67" t="s">
        <v>791</v>
      </c>
      <c r="R171" s="11">
        <v>5741</v>
      </c>
      <c r="S171" s="89">
        <v>455</v>
      </c>
    </row>
    <row r="172" spans="1:19" x14ac:dyDescent="0.25">
      <c r="A172" s="3" t="s">
        <v>228</v>
      </c>
      <c r="B172" s="2" t="s">
        <v>421</v>
      </c>
      <c r="C172" s="2">
        <v>5194</v>
      </c>
      <c r="D172" s="2">
        <v>1318</v>
      </c>
      <c r="H172" s="133"/>
      <c r="I172" t="s">
        <v>657</v>
      </c>
      <c r="J172" s="11">
        <v>10534</v>
      </c>
      <c r="K172" s="11">
        <v>152</v>
      </c>
      <c r="L172" s="139"/>
      <c r="M172" s="67" t="s">
        <v>734</v>
      </c>
      <c r="N172" s="11">
        <v>6348</v>
      </c>
      <c r="O172" s="11">
        <v>843</v>
      </c>
      <c r="P172" s="140"/>
      <c r="Q172" s="131" t="s">
        <v>792</v>
      </c>
      <c r="R172" s="130">
        <v>5783</v>
      </c>
      <c r="S172" s="134">
        <v>595</v>
      </c>
    </row>
    <row r="173" spans="1:19" x14ac:dyDescent="0.25">
      <c r="A173" s="3" t="s">
        <v>228</v>
      </c>
      <c r="B173" s="277" t="s">
        <v>793</v>
      </c>
      <c r="C173" s="2">
        <v>6112</v>
      </c>
      <c r="D173" s="2">
        <v>582</v>
      </c>
      <c r="H173" s="133"/>
      <c r="I173" t="s">
        <v>658</v>
      </c>
      <c r="J173" s="11">
        <v>7788</v>
      </c>
      <c r="K173" s="11">
        <v>641</v>
      </c>
      <c r="L173" s="139"/>
      <c r="M173" s="67" t="s">
        <v>735</v>
      </c>
      <c r="N173" s="11">
        <v>5892</v>
      </c>
      <c r="O173" s="11">
        <v>1220</v>
      </c>
      <c r="P173" s="138" t="s">
        <v>252</v>
      </c>
      <c r="Q173" s="67" t="s">
        <v>701</v>
      </c>
      <c r="R173" s="11">
        <v>4273</v>
      </c>
      <c r="S173" s="89">
        <v>817</v>
      </c>
    </row>
    <row r="174" spans="1:19" x14ac:dyDescent="0.25">
      <c r="A174" s="3" t="s">
        <v>228</v>
      </c>
      <c r="B174" s="2" t="s">
        <v>422</v>
      </c>
      <c r="C174" s="2">
        <v>5635</v>
      </c>
      <c r="D174" s="2">
        <v>1305</v>
      </c>
      <c r="H174" s="133"/>
      <c r="I174" t="s">
        <v>659</v>
      </c>
      <c r="J174" s="11">
        <v>9215</v>
      </c>
      <c r="K174" s="11">
        <v>236</v>
      </c>
      <c r="L174" s="139"/>
      <c r="M174" s="67" t="s">
        <v>736</v>
      </c>
      <c r="N174" s="11">
        <v>5616</v>
      </c>
      <c r="O174" s="11">
        <v>1256</v>
      </c>
      <c r="P174" s="139"/>
      <c r="Q174" s="67" t="s">
        <v>702</v>
      </c>
      <c r="R174" s="11">
        <v>2563</v>
      </c>
      <c r="S174" s="89">
        <v>1729</v>
      </c>
    </row>
    <row r="175" spans="1:19" x14ac:dyDescent="0.25">
      <c r="A175" s="3" t="s">
        <v>228</v>
      </c>
      <c r="B175" s="2" t="s">
        <v>423</v>
      </c>
      <c r="C175" s="2">
        <v>10266</v>
      </c>
      <c r="D175" s="2">
        <v>0</v>
      </c>
      <c r="H175" s="133"/>
      <c r="I175" t="s">
        <v>660</v>
      </c>
      <c r="J175" s="11">
        <v>8624</v>
      </c>
      <c r="K175" s="11">
        <v>649</v>
      </c>
      <c r="L175" s="139"/>
      <c r="M175" s="67" t="s">
        <v>1105</v>
      </c>
      <c r="N175" s="11">
        <v>6943</v>
      </c>
      <c r="O175" s="11">
        <v>986</v>
      </c>
      <c r="P175" s="139"/>
      <c r="Q175" s="67" t="s">
        <v>703</v>
      </c>
      <c r="R175" s="11">
        <v>3153</v>
      </c>
      <c r="S175" s="89">
        <v>1675</v>
      </c>
    </row>
    <row r="176" spans="1:19" x14ac:dyDescent="0.25">
      <c r="A176" s="3" t="s">
        <v>228</v>
      </c>
      <c r="B176" s="2" t="s">
        <v>424</v>
      </c>
      <c r="C176" s="2">
        <v>6576</v>
      </c>
      <c r="D176" s="2">
        <v>373</v>
      </c>
      <c r="H176" s="133"/>
      <c r="I176" t="s">
        <v>661</v>
      </c>
      <c r="J176" s="11">
        <v>7935</v>
      </c>
      <c r="K176" s="11">
        <v>761</v>
      </c>
      <c r="L176" s="139"/>
      <c r="M176" s="67" t="s">
        <v>737</v>
      </c>
      <c r="N176" s="11">
        <v>6556</v>
      </c>
      <c r="O176" s="11">
        <v>802</v>
      </c>
      <c r="P176" s="139"/>
      <c r="Q176" s="67" t="s">
        <v>706</v>
      </c>
      <c r="R176" s="11">
        <v>2744</v>
      </c>
      <c r="S176" s="89">
        <v>1760</v>
      </c>
    </row>
    <row r="177" spans="1:19" x14ac:dyDescent="0.25">
      <c r="A177" s="3" t="s">
        <v>228</v>
      </c>
      <c r="B177" s="2" t="s">
        <v>425</v>
      </c>
      <c r="C177" s="2">
        <v>5984</v>
      </c>
      <c r="D177" s="2">
        <v>746</v>
      </c>
      <c r="H177" s="133"/>
      <c r="I177" t="s">
        <v>662</v>
      </c>
      <c r="J177" s="11">
        <v>7938</v>
      </c>
      <c r="K177" s="11">
        <v>609</v>
      </c>
      <c r="L177" s="139"/>
      <c r="M177" s="67" t="s">
        <v>739</v>
      </c>
      <c r="N177" s="11">
        <v>5954</v>
      </c>
      <c r="O177" s="11">
        <v>1275</v>
      </c>
      <c r="P177" s="139"/>
      <c r="Q177" s="67" t="s">
        <v>1098</v>
      </c>
      <c r="R177" s="11">
        <v>3489</v>
      </c>
      <c r="S177" s="89">
        <v>1576</v>
      </c>
    </row>
    <row r="178" spans="1:19" x14ac:dyDescent="0.25">
      <c r="A178" s="3" t="s">
        <v>228</v>
      </c>
      <c r="B178" s="2" t="s">
        <v>426</v>
      </c>
      <c r="C178" s="2">
        <v>5178</v>
      </c>
      <c r="D178" s="2">
        <v>936</v>
      </c>
      <c r="H178" s="133"/>
      <c r="I178" t="s">
        <v>663</v>
      </c>
      <c r="J178" s="11">
        <v>8386</v>
      </c>
      <c r="K178" s="11">
        <v>488</v>
      </c>
      <c r="L178" s="139"/>
      <c r="M178" s="67" t="s">
        <v>738</v>
      </c>
      <c r="N178" s="11">
        <v>7733</v>
      </c>
      <c r="O178" s="11">
        <v>847</v>
      </c>
      <c r="P178" s="139"/>
      <c r="Q178" s="67" t="s">
        <v>707</v>
      </c>
      <c r="R178" s="11">
        <v>3589</v>
      </c>
      <c r="S178" s="89">
        <v>1743</v>
      </c>
    </row>
    <row r="179" spans="1:19" x14ac:dyDescent="0.25">
      <c r="A179" s="3" t="s">
        <v>228</v>
      </c>
      <c r="B179" s="2" t="s">
        <v>427</v>
      </c>
      <c r="C179" s="2">
        <v>5943</v>
      </c>
      <c r="D179" s="2">
        <v>631</v>
      </c>
      <c r="H179" s="133"/>
      <c r="I179" t="s">
        <v>664</v>
      </c>
      <c r="J179" s="11">
        <v>9817</v>
      </c>
      <c r="K179" s="11">
        <v>162</v>
      </c>
      <c r="L179" s="139"/>
      <c r="M179" s="67" t="s">
        <v>740</v>
      </c>
      <c r="N179" s="11">
        <v>6279</v>
      </c>
      <c r="O179" s="11">
        <v>872</v>
      </c>
      <c r="P179" s="139"/>
      <c r="Q179" s="67" t="s">
        <v>708</v>
      </c>
      <c r="R179" s="11">
        <v>3868</v>
      </c>
      <c r="S179" s="89">
        <v>1371</v>
      </c>
    </row>
    <row r="180" spans="1:19" x14ac:dyDescent="0.25">
      <c r="A180" s="3" t="s">
        <v>228</v>
      </c>
      <c r="B180" s="2" t="s">
        <v>428</v>
      </c>
      <c r="C180" s="2">
        <v>5266</v>
      </c>
      <c r="D180" s="2">
        <v>798</v>
      </c>
      <c r="H180" s="133"/>
      <c r="I180" t="s">
        <v>665</v>
      </c>
      <c r="J180" s="11">
        <v>10453</v>
      </c>
      <c r="K180" s="11">
        <v>59</v>
      </c>
      <c r="L180" s="139"/>
      <c r="M180" s="67" t="s">
        <v>741</v>
      </c>
      <c r="N180" s="11">
        <v>6560</v>
      </c>
      <c r="O180" s="11">
        <v>760</v>
      </c>
      <c r="P180" s="139"/>
      <c r="Q180" s="67" t="s">
        <v>1099</v>
      </c>
      <c r="R180" s="11">
        <v>3040</v>
      </c>
      <c r="S180" s="89">
        <v>1603</v>
      </c>
    </row>
    <row r="181" spans="1:19" x14ac:dyDescent="0.25">
      <c r="A181" s="3" t="s">
        <v>229</v>
      </c>
      <c r="B181" s="2" t="s">
        <v>430</v>
      </c>
      <c r="C181" s="2">
        <v>6218</v>
      </c>
      <c r="D181" s="2">
        <v>503</v>
      </c>
      <c r="H181" s="133"/>
      <c r="I181" t="s">
        <v>666</v>
      </c>
      <c r="J181" s="11">
        <v>9020</v>
      </c>
      <c r="K181" s="11">
        <v>444</v>
      </c>
      <c r="L181" s="139"/>
      <c r="M181" s="67" t="s">
        <v>1104</v>
      </c>
      <c r="N181" s="11">
        <v>6864</v>
      </c>
      <c r="O181" s="11">
        <v>494</v>
      </c>
      <c r="P181" s="139"/>
      <c r="Q181" s="67" t="s">
        <v>704</v>
      </c>
      <c r="R181" s="11">
        <v>3345</v>
      </c>
      <c r="S181" s="89">
        <v>1701</v>
      </c>
    </row>
    <row r="182" spans="1:19" x14ac:dyDescent="0.25">
      <c r="A182" s="3" t="s">
        <v>229</v>
      </c>
      <c r="B182" s="2" t="s">
        <v>431</v>
      </c>
      <c r="C182" s="2">
        <v>5700</v>
      </c>
      <c r="D182" s="2">
        <v>418</v>
      </c>
      <c r="H182" s="133"/>
      <c r="I182" t="s">
        <v>667</v>
      </c>
      <c r="J182" s="11">
        <v>8019</v>
      </c>
      <c r="K182" s="11">
        <v>587</v>
      </c>
      <c r="L182" s="139"/>
      <c r="M182" s="67" t="s">
        <v>742</v>
      </c>
      <c r="N182" s="11">
        <v>6650</v>
      </c>
      <c r="O182" s="11">
        <v>1005</v>
      </c>
      <c r="P182" s="139"/>
      <c r="Q182" s="67" t="s">
        <v>709</v>
      </c>
      <c r="R182" s="11">
        <v>3457</v>
      </c>
      <c r="S182" s="89">
        <v>1416</v>
      </c>
    </row>
    <row r="183" spans="1:19" x14ac:dyDescent="0.25">
      <c r="A183" s="3" t="s">
        <v>229</v>
      </c>
      <c r="B183" s="2" t="s">
        <v>432</v>
      </c>
      <c r="C183" s="2">
        <v>5969</v>
      </c>
      <c r="D183" s="2">
        <v>731</v>
      </c>
      <c r="H183" s="133"/>
      <c r="I183" t="s">
        <v>668</v>
      </c>
      <c r="J183" s="11">
        <v>9328</v>
      </c>
      <c r="K183" s="11">
        <v>341</v>
      </c>
      <c r="L183" s="140"/>
      <c r="M183" s="131" t="s">
        <v>743</v>
      </c>
      <c r="N183" s="130">
        <v>6453</v>
      </c>
      <c r="O183" s="130">
        <v>811</v>
      </c>
      <c r="P183" s="139"/>
      <c r="Q183" s="67" t="s">
        <v>1100</v>
      </c>
      <c r="R183" s="11">
        <v>3814</v>
      </c>
      <c r="S183" s="89">
        <v>1370</v>
      </c>
    </row>
    <row r="184" spans="1:19" x14ac:dyDescent="0.25">
      <c r="A184" s="3" t="s">
        <v>229</v>
      </c>
      <c r="B184" s="2" t="s">
        <v>433</v>
      </c>
      <c r="C184" s="2">
        <v>5524</v>
      </c>
      <c r="D184" s="2">
        <v>625</v>
      </c>
      <c r="H184" s="133"/>
      <c r="I184" t="s">
        <v>669</v>
      </c>
      <c r="J184" s="11">
        <v>9412</v>
      </c>
      <c r="K184" s="11">
        <v>190</v>
      </c>
      <c r="L184" s="138" t="s">
        <v>247</v>
      </c>
      <c r="M184" s="67" t="s">
        <v>770</v>
      </c>
      <c r="N184" s="11">
        <v>7070</v>
      </c>
      <c r="O184" s="11">
        <v>407</v>
      </c>
      <c r="P184" s="139"/>
      <c r="Q184" s="67" t="s">
        <v>710</v>
      </c>
      <c r="R184" s="11">
        <v>3397</v>
      </c>
      <c r="S184" s="89">
        <v>1818</v>
      </c>
    </row>
    <row r="185" spans="1:19" x14ac:dyDescent="0.25">
      <c r="A185" s="3" t="s">
        <v>229</v>
      </c>
      <c r="B185" s="2" t="s">
        <v>434</v>
      </c>
      <c r="C185" s="2">
        <v>6425</v>
      </c>
      <c r="D185" s="2">
        <v>551</v>
      </c>
      <c r="H185" s="133"/>
      <c r="I185" t="s">
        <v>670</v>
      </c>
      <c r="J185" s="11">
        <v>8713</v>
      </c>
      <c r="K185" s="11">
        <v>496</v>
      </c>
      <c r="L185" s="139"/>
      <c r="M185" s="67" t="s">
        <v>638</v>
      </c>
      <c r="N185" s="11">
        <v>7267</v>
      </c>
      <c r="O185" s="11">
        <v>154</v>
      </c>
      <c r="P185" s="139"/>
      <c r="Q185" s="67" t="s">
        <v>705</v>
      </c>
      <c r="R185" s="11">
        <v>3053</v>
      </c>
      <c r="S185" s="89">
        <v>1617</v>
      </c>
    </row>
    <row r="186" spans="1:19" x14ac:dyDescent="0.25">
      <c r="A186" s="3" t="s">
        <v>229</v>
      </c>
      <c r="B186" s="2" t="s">
        <v>429</v>
      </c>
      <c r="C186" s="2">
        <v>5530</v>
      </c>
      <c r="D186" s="2">
        <v>738</v>
      </c>
      <c r="H186" s="133"/>
      <c r="I186" t="s">
        <v>671</v>
      </c>
      <c r="J186" s="11">
        <v>7649</v>
      </c>
      <c r="K186" s="11">
        <v>581</v>
      </c>
      <c r="L186" s="139"/>
      <c r="M186" s="67" t="s">
        <v>771</v>
      </c>
      <c r="N186" s="11">
        <v>5163</v>
      </c>
      <c r="O186" s="11">
        <v>1010</v>
      </c>
      <c r="P186" s="139"/>
      <c r="Q186" s="67" t="s">
        <v>711</v>
      </c>
      <c r="R186" s="11">
        <v>2276</v>
      </c>
      <c r="S186" s="89">
        <v>1874</v>
      </c>
    </row>
    <row r="187" spans="1:19" x14ac:dyDescent="0.25">
      <c r="A187" s="3" t="s">
        <v>230</v>
      </c>
      <c r="B187" s="2" t="s">
        <v>435</v>
      </c>
      <c r="C187" s="2">
        <v>4987</v>
      </c>
      <c r="D187" s="2">
        <v>1010</v>
      </c>
      <c r="H187" s="133"/>
      <c r="I187" t="s">
        <v>672</v>
      </c>
      <c r="J187" s="11">
        <v>7711</v>
      </c>
      <c r="K187" s="11">
        <v>633</v>
      </c>
      <c r="L187" s="139"/>
      <c r="M187" s="67" t="s">
        <v>1112</v>
      </c>
      <c r="N187" s="11">
        <v>2301</v>
      </c>
      <c r="O187" s="11">
        <v>3187</v>
      </c>
      <c r="P187" s="139"/>
      <c r="Q187" s="67" t="s">
        <v>712</v>
      </c>
      <c r="R187" s="11">
        <v>3465</v>
      </c>
      <c r="S187" s="89">
        <v>1566</v>
      </c>
    </row>
    <row r="188" spans="1:19" x14ac:dyDescent="0.25">
      <c r="A188" s="3" t="s">
        <v>230</v>
      </c>
      <c r="B188" s="2" t="s">
        <v>1066</v>
      </c>
      <c r="C188" s="2">
        <v>5087</v>
      </c>
      <c r="D188" s="2">
        <v>1088</v>
      </c>
      <c r="H188" s="135"/>
      <c r="I188" s="129" t="s">
        <v>673</v>
      </c>
      <c r="J188" s="130">
        <v>7750</v>
      </c>
      <c r="K188" s="130">
        <v>644</v>
      </c>
      <c r="L188" s="139"/>
      <c r="M188" s="67" t="s">
        <v>772</v>
      </c>
      <c r="N188" s="11">
        <v>5351</v>
      </c>
      <c r="O188" s="11">
        <v>836</v>
      </c>
      <c r="P188" s="139"/>
      <c r="Q188" s="67" t="s">
        <v>713</v>
      </c>
      <c r="R188" s="11">
        <v>2878</v>
      </c>
      <c r="S188" s="89">
        <v>1435</v>
      </c>
    </row>
    <row r="189" spans="1:19" x14ac:dyDescent="0.25">
      <c r="A189" s="3" t="s">
        <v>231</v>
      </c>
      <c r="B189" s="2" t="s">
        <v>436</v>
      </c>
      <c r="C189" s="2">
        <v>1672</v>
      </c>
      <c r="D189" s="2">
        <v>2354</v>
      </c>
      <c r="H189" s="138" t="s">
        <v>244</v>
      </c>
      <c r="I189" s="67" t="s">
        <v>688</v>
      </c>
      <c r="J189" s="11">
        <v>1928</v>
      </c>
      <c r="K189" s="11">
        <v>2606</v>
      </c>
      <c r="L189" s="139"/>
      <c r="M189" s="67" t="s">
        <v>773</v>
      </c>
      <c r="N189" s="11">
        <v>3001</v>
      </c>
      <c r="O189" s="11">
        <v>2396</v>
      </c>
      <c r="P189" s="139"/>
      <c r="Q189" s="67" t="s">
        <v>714</v>
      </c>
      <c r="R189" s="11">
        <v>3570</v>
      </c>
      <c r="S189" s="89">
        <v>1496</v>
      </c>
    </row>
    <row r="190" spans="1:19" x14ac:dyDescent="0.25">
      <c r="A190" s="3" t="s">
        <v>231</v>
      </c>
      <c r="B190" s="2" t="s">
        <v>437</v>
      </c>
      <c r="C190" s="2">
        <v>789</v>
      </c>
      <c r="D190" s="2">
        <v>2857</v>
      </c>
      <c r="H190" s="139"/>
      <c r="I190" s="67" t="s">
        <v>1094</v>
      </c>
      <c r="J190" s="11">
        <v>3394</v>
      </c>
      <c r="K190" s="11">
        <v>2077</v>
      </c>
      <c r="L190" s="139"/>
      <c r="M190" s="67" t="s">
        <v>774</v>
      </c>
      <c r="N190" s="11">
        <v>5488</v>
      </c>
      <c r="O190" s="11">
        <v>620</v>
      </c>
      <c r="P190" s="139"/>
      <c r="Q190" s="67" t="s">
        <v>1101</v>
      </c>
      <c r="R190" s="11">
        <v>2401</v>
      </c>
      <c r="S190" s="89">
        <v>1928</v>
      </c>
    </row>
    <row r="191" spans="1:19" x14ac:dyDescent="0.25">
      <c r="A191" s="3" t="s">
        <v>231</v>
      </c>
      <c r="B191" s="2" t="s">
        <v>438</v>
      </c>
      <c r="C191" s="2">
        <v>322</v>
      </c>
      <c r="D191" s="2">
        <v>4114</v>
      </c>
      <c r="H191" s="139"/>
      <c r="I191" s="67" t="s">
        <v>1095</v>
      </c>
      <c r="J191" s="11">
        <v>2432</v>
      </c>
      <c r="K191" s="11">
        <v>2468</v>
      </c>
      <c r="L191" s="139"/>
      <c r="M191" s="67" t="s">
        <v>775</v>
      </c>
      <c r="N191" s="11">
        <v>5431</v>
      </c>
      <c r="O191" s="11">
        <v>747</v>
      </c>
      <c r="P191" s="140"/>
      <c r="Q191" s="131" t="s">
        <v>715</v>
      </c>
      <c r="R191" s="130">
        <v>3214</v>
      </c>
      <c r="S191" s="134">
        <v>1244</v>
      </c>
    </row>
    <row r="192" spans="1:19" x14ac:dyDescent="0.25">
      <c r="A192" s="3" t="s">
        <v>231</v>
      </c>
      <c r="B192" s="2" t="s">
        <v>439</v>
      </c>
      <c r="C192" s="2">
        <v>205</v>
      </c>
      <c r="D192" s="2">
        <v>4113</v>
      </c>
      <c r="H192" s="139"/>
      <c r="I192" s="67" t="s">
        <v>685</v>
      </c>
      <c r="J192" s="11">
        <v>2552</v>
      </c>
      <c r="K192" s="11">
        <v>2164</v>
      </c>
      <c r="L192" s="140"/>
      <c r="M192" s="131" t="s">
        <v>776</v>
      </c>
      <c r="N192" s="130">
        <v>6158</v>
      </c>
      <c r="O192" s="130">
        <v>567</v>
      </c>
      <c r="P192" s="138" t="s">
        <v>253</v>
      </c>
      <c r="Q192" s="67" t="s">
        <v>716</v>
      </c>
      <c r="R192" s="11">
        <v>8452</v>
      </c>
      <c r="S192" s="89">
        <v>453</v>
      </c>
    </row>
    <row r="193" spans="1:19" x14ac:dyDescent="0.25">
      <c r="A193" s="3" t="s">
        <v>231</v>
      </c>
      <c r="B193" s="2" t="s">
        <v>454</v>
      </c>
      <c r="C193" s="2">
        <v>722</v>
      </c>
      <c r="D193" s="2">
        <v>2959</v>
      </c>
      <c r="H193" s="139"/>
      <c r="I193" s="67" t="s">
        <v>686</v>
      </c>
      <c r="J193" s="11">
        <v>1619</v>
      </c>
      <c r="K193" s="11">
        <v>2565</v>
      </c>
      <c r="L193" s="138" t="s">
        <v>248</v>
      </c>
      <c r="M193" s="67" t="s">
        <v>744</v>
      </c>
      <c r="N193" s="11">
        <v>8891</v>
      </c>
      <c r="O193" s="11">
        <v>145</v>
      </c>
      <c r="P193" s="139"/>
      <c r="Q193" s="67" t="s">
        <v>717</v>
      </c>
      <c r="R193" s="11">
        <v>9251</v>
      </c>
      <c r="S193" s="89">
        <v>288</v>
      </c>
    </row>
    <row r="194" spans="1:19" x14ac:dyDescent="0.25">
      <c r="A194" s="3" t="s">
        <v>231</v>
      </c>
      <c r="B194" s="2" t="s">
        <v>440</v>
      </c>
      <c r="C194" s="2">
        <v>1306</v>
      </c>
      <c r="D194" s="2">
        <v>2659</v>
      </c>
      <c r="H194" s="139"/>
      <c r="I194" s="67" t="s">
        <v>687</v>
      </c>
      <c r="J194" s="11">
        <v>2274</v>
      </c>
      <c r="K194" s="11">
        <v>2071</v>
      </c>
      <c r="L194" s="139"/>
      <c r="M194" s="67" t="s">
        <v>1107</v>
      </c>
      <c r="N194" s="11">
        <v>7479</v>
      </c>
      <c r="O194" s="11">
        <v>397</v>
      </c>
      <c r="P194" s="139"/>
      <c r="Q194" s="67" t="s">
        <v>718</v>
      </c>
      <c r="R194" s="11">
        <v>9028</v>
      </c>
      <c r="S194" s="89">
        <v>417</v>
      </c>
    </row>
    <row r="195" spans="1:19" x14ac:dyDescent="0.25">
      <c r="A195" s="3" t="s">
        <v>231</v>
      </c>
      <c r="B195" s="2" t="s">
        <v>441</v>
      </c>
      <c r="C195" s="2">
        <v>318</v>
      </c>
      <c r="D195" s="2">
        <v>4117</v>
      </c>
      <c r="H195" s="139"/>
      <c r="I195" s="67" t="s">
        <v>1096</v>
      </c>
      <c r="J195" s="11">
        <v>2428</v>
      </c>
      <c r="K195" s="11">
        <v>2237</v>
      </c>
      <c r="L195" s="139"/>
      <c r="M195" s="67" t="s">
        <v>745</v>
      </c>
      <c r="N195" s="11">
        <v>7169</v>
      </c>
      <c r="O195" s="11">
        <v>470</v>
      </c>
      <c r="P195" s="139"/>
      <c r="Q195" s="67" t="s">
        <v>719</v>
      </c>
      <c r="R195" s="11">
        <v>9211</v>
      </c>
      <c r="S195" s="89">
        <v>491</v>
      </c>
    </row>
    <row r="196" spans="1:19" x14ac:dyDescent="0.25">
      <c r="A196" s="3" t="s">
        <v>231</v>
      </c>
      <c r="B196" s="2" t="s">
        <v>1067</v>
      </c>
      <c r="C196" s="2">
        <v>1281</v>
      </c>
      <c r="D196" s="2">
        <v>2565</v>
      </c>
      <c r="H196" s="139"/>
      <c r="I196" s="67" t="s">
        <v>689</v>
      </c>
      <c r="J196" s="11">
        <v>2086</v>
      </c>
      <c r="K196" s="11">
        <v>2315</v>
      </c>
      <c r="L196" s="139"/>
      <c r="M196" s="67" t="s">
        <v>746</v>
      </c>
      <c r="N196" s="11">
        <v>7198</v>
      </c>
      <c r="O196" s="11">
        <v>396</v>
      </c>
      <c r="P196" s="139"/>
      <c r="Q196" s="67" t="s">
        <v>720</v>
      </c>
      <c r="R196" s="11">
        <v>9534</v>
      </c>
      <c r="S196" s="89">
        <v>486</v>
      </c>
    </row>
    <row r="197" spans="1:19" x14ac:dyDescent="0.25">
      <c r="A197" s="3" t="s">
        <v>231</v>
      </c>
      <c r="B197" s="2" t="s">
        <v>442</v>
      </c>
      <c r="C197" s="2">
        <v>67</v>
      </c>
      <c r="D197" s="2">
        <v>4906</v>
      </c>
      <c r="H197" s="139"/>
      <c r="I197" s="67" t="s">
        <v>690</v>
      </c>
      <c r="J197" s="11">
        <v>2417</v>
      </c>
      <c r="K197" s="11">
        <v>2038</v>
      </c>
      <c r="L197" s="139"/>
      <c r="M197" s="67" t="s">
        <v>747</v>
      </c>
      <c r="N197" s="11">
        <v>7349</v>
      </c>
      <c r="O197" s="11">
        <v>389</v>
      </c>
      <c r="P197" s="139"/>
      <c r="Q197" s="67" t="s">
        <v>1102</v>
      </c>
      <c r="R197" s="11">
        <v>9505</v>
      </c>
      <c r="S197" s="89">
        <v>519</v>
      </c>
    </row>
    <row r="198" spans="1:19" x14ac:dyDescent="0.25">
      <c r="A198" s="3" t="s">
        <v>231</v>
      </c>
      <c r="B198" s="2" t="s">
        <v>443</v>
      </c>
      <c r="C198" s="2">
        <v>973</v>
      </c>
      <c r="D198" s="2">
        <v>3374</v>
      </c>
      <c r="H198" s="139"/>
      <c r="I198" s="67" t="s">
        <v>691</v>
      </c>
      <c r="J198" s="11">
        <v>1915</v>
      </c>
      <c r="K198" s="11">
        <v>2060</v>
      </c>
      <c r="L198" s="139"/>
      <c r="M198" s="67" t="s">
        <v>748</v>
      </c>
      <c r="N198" s="11">
        <v>6322</v>
      </c>
      <c r="O198" s="11">
        <v>664</v>
      </c>
      <c r="P198" s="139"/>
      <c r="Q198" s="67" t="s">
        <v>721</v>
      </c>
      <c r="R198" s="11">
        <v>8972</v>
      </c>
      <c r="S198" s="89">
        <v>432</v>
      </c>
    </row>
    <row r="199" spans="1:19" x14ac:dyDescent="0.25">
      <c r="A199" s="3" t="s">
        <v>231</v>
      </c>
      <c r="B199" s="2" t="s">
        <v>444</v>
      </c>
      <c r="C199" s="2">
        <v>124</v>
      </c>
      <c r="D199" s="2">
        <v>5280</v>
      </c>
      <c r="H199" s="139"/>
      <c r="I199" s="67" t="s">
        <v>684</v>
      </c>
      <c r="J199" s="11">
        <v>3378</v>
      </c>
      <c r="K199" s="11">
        <v>1962</v>
      </c>
      <c r="L199" s="139"/>
      <c r="M199" s="67" t="s">
        <v>749</v>
      </c>
      <c r="N199" s="11">
        <v>13275</v>
      </c>
      <c r="O199" s="11">
        <v>0</v>
      </c>
      <c r="P199" s="140"/>
      <c r="Q199" s="131" t="s">
        <v>722</v>
      </c>
      <c r="R199" s="130">
        <v>8467</v>
      </c>
      <c r="S199" s="134">
        <v>404</v>
      </c>
    </row>
    <row r="200" spans="1:19" x14ac:dyDescent="0.25">
      <c r="A200" s="3" t="s">
        <v>231</v>
      </c>
      <c r="B200" s="2" t="s">
        <v>445</v>
      </c>
      <c r="C200" s="2">
        <v>1037</v>
      </c>
      <c r="D200" s="2">
        <v>2806</v>
      </c>
      <c r="H200" s="140"/>
      <c r="I200" s="131" t="s">
        <v>692</v>
      </c>
      <c r="J200" s="130">
        <v>3039</v>
      </c>
      <c r="K200" s="130">
        <v>1905</v>
      </c>
      <c r="L200" s="140"/>
      <c r="M200" s="131" t="s">
        <v>750</v>
      </c>
      <c r="N200" s="130">
        <v>6753</v>
      </c>
      <c r="O200" s="130">
        <v>527</v>
      </c>
      <c r="P200" s="138" t="s">
        <v>254</v>
      </c>
      <c r="Q200" s="67" t="s">
        <v>1044</v>
      </c>
      <c r="R200" s="11">
        <v>259</v>
      </c>
      <c r="S200" s="89">
        <v>654</v>
      </c>
    </row>
    <row r="201" spans="1:19" x14ac:dyDescent="0.25">
      <c r="A201" s="3" t="s">
        <v>231</v>
      </c>
      <c r="B201" s="2" t="s">
        <v>446</v>
      </c>
      <c r="C201" s="2">
        <v>369</v>
      </c>
      <c r="D201" s="2">
        <v>3269</v>
      </c>
      <c r="H201" s="138" t="s">
        <v>245</v>
      </c>
      <c r="I201" s="67" t="s">
        <v>674</v>
      </c>
      <c r="J201" s="11">
        <v>4506</v>
      </c>
      <c r="K201" s="11">
        <v>1289</v>
      </c>
      <c r="L201" s="138" t="s">
        <v>249</v>
      </c>
      <c r="M201" s="67" t="s">
        <v>751</v>
      </c>
      <c r="N201" s="11">
        <v>5073</v>
      </c>
      <c r="O201" s="11">
        <v>886</v>
      </c>
      <c r="P201" s="139"/>
      <c r="Q201" s="67" t="s">
        <v>794</v>
      </c>
      <c r="R201" s="11">
        <v>4911</v>
      </c>
      <c r="S201" s="89">
        <v>1039</v>
      </c>
    </row>
    <row r="202" spans="1:19" x14ac:dyDescent="0.25">
      <c r="A202" s="3" t="s">
        <v>231</v>
      </c>
      <c r="B202" s="2" t="s">
        <v>447</v>
      </c>
      <c r="C202" s="2">
        <v>150</v>
      </c>
      <c r="D202" s="2">
        <v>4292</v>
      </c>
      <c r="H202" s="139"/>
      <c r="I202" s="67" t="s">
        <v>1091</v>
      </c>
      <c r="J202" s="11">
        <v>5307</v>
      </c>
      <c r="K202" s="11">
        <v>1190</v>
      </c>
      <c r="L202" s="139"/>
      <c r="M202" s="67" t="s">
        <v>752</v>
      </c>
      <c r="N202" s="11">
        <v>5280</v>
      </c>
      <c r="O202" s="11">
        <v>890</v>
      </c>
      <c r="P202" s="139"/>
      <c r="Q202" s="67" t="s">
        <v>795</v>
      </c>
      <c r="R202" s="11">
        <v>6160</v>
      </c>
      <c r="S202" s="89">
        <v>760</v>
      </c>
    </row>
    <row r="203" spans="1:19" x14ac:dyDescent="0.25">
      <c r="A203" s="3" t="s">
        <v>231</v>
      </c>
      <c r="B203" s="2" t="s">
        <v>460</v>
      </c>
      <c r="C203" s="2">
        <v>1728</v>
      </c>
      <c r="D203" s="2">
        <v>2305</v>
      </c>
      <c r="H203" s="139"/>
      <c r="I203" s="67" t="s">
        <v>1092</v>
      </c>
      <c r="J203" s="11">
        <v>4527</v>
      </c>
      <c r="K203" s="11">
        <v>1190</v>
      </c>
      <c r="L203" s="139"/>
      <c r="M203" s="67" t="s">
        <v>1108</v>
      </c>
      <c r="N203" s="11">
        <v>5060</v>
      </c>
      <c r="O203" s="11">
        <v>654</v>
      </c>
      <c r="P203" s="139"/>
      <c r="Q203" s="67" t="s">
        <v>1116</v>
      </c>
      <c r="R203" s="11">
        <v>5599</v>
      </c>
      <c r="S203" s="89">
        <v>747</v>
      </c>
    </row>
    <row r="204" spans="1:19" x14ac:dyDescent="0.25">
      <c r="A204" s="3" t="s">
        <v>231</v>
      </c>
      <c r="B204" s="2" t="s">
        <v>448</v>
      </c>
      <c r="C204" s="2">
        <v>289</v>
      </c>
      <c r="D204" s="2">
        <v>3443</v>
      </c>
      <c r="H204" s="139"/>
      <c r="I204" s="67" t="s">
        <v>1001</v>
      </c>
      <c r="J204" s="11">
        <v>4675</v>
      </c>
      <c r="K204" s="11">
        <v>1496</v>
      </c>
      <c r="L204" s="139"/>
      <c r="M204" s="67" t="s">
        <v>754</v>
      </c>
      <c r="N204" s="11">
        <v>4680</v>
      </c>
      <c r="O204" s="11">
        <v>1011</v>
      </c>
      <c r="P204" s="139"/>
      <c r="Q204" s="67" t="s">
        <v>796</v>
      </c>
      <c r="R204" s="11">
        <v>5945</v>
      </c>
      <c r="S204" s="89">
        <v>905</v>
      </c>
    </row>
    <row r="205" spans="1:19" x14ac:dyDescent="0.25">
      <c r="A205" s="3" t="s">
        <v>231</v>
      </c>
      <c r="B205" s="2" t="s">
        <v>449</v>
      </c>
      <c r="C205" s="2">
        <v>1144</v>
      </c>
      <c r="D205" s="2">
        <v>2724</v>
      </c>
      <c r="H205" s="139"/>
      <c r="I205" s="67" t="s">
        <v>675</v>
      </c>
      <c r="J205" s="11">
        <v>4504</v>
      </c>
      <c r="K205" s="11">
        <v>1469</v>
      </c>
      <c r="L205" s="139"/>
      <c r="M205" s="67" t="s">
        <v>755</v>
      </c>
      <c r="N205" s="11">
        <v>5057</v>
      </c>
      <c r="O205" s="11">
        <v>1237</v>
      </c>
      <c r="P205" s="139"/>
      <c r="Q205" s="67" t="s">
        <v>797</v>
      </c>
      <c r="R205" s="11">
        <v>5590</v>
      </c>
      <c r="S205" s="89">
        <v>541</v>
      </c>
    </row>
    <row r="206" spans="1:19" x14ac:dyDescent="0.25">
      <c r="A206" s="3" t="s">
        <v>231</v>
      </c>
      <c r="B206" s="2" t="s">
        <v>450</v>
      </c>
      <c r="C206" s="2">
        <v>526</v>
      </c>
      <c r="D206" s="2">
        <v>3234</v>
      </c>
      <c r="H206" s="139"/>
      <c r="I206" s="67" t="s">
        <v>676</v>
      </c>
      <c r="J206" s="11">
        <v>3663</v>
      </c>
      <c r="K206" s="11">
        <v>1949</v>
      </c>
      <c r="L206" s="139"/>
      <c r="M206" s="67" t="s">
        <v>753</v>
      </c>
      <c r="N206" s="11">
        <v>4286</v>
      </c>
      <c r="O206" s="11">
        <v>1028</v>
      </c>
      <c r="P206" s="139"/>
      <c r="Q206" s="67" t="s">
        <v>798</v>
      </c>
      <c r="R206" s="11">
        <v>6615</v>
      </c>
      <c r="S206" s="89">
        <v>620</v>
      </c>
    </row>
    <row r="207" spans="1:19" x14ac:dyDescent="0.25">
      <c r="A207" s="3" t="s">
        <v>231</v>
      </c>
      <c r="B207" s="2" t="s">
        <v>451</v>
      </c>
      <c r="C207" s="2">
        <v>1269</v>
      </c>
      <c r="D207" s="2">
        <v>2877</v>
      </c>
      <c r="H207" s="139"/>
      <c r="I207" s="67" t="s">
        <v>677</v>
      </c>
      <c r="J207" s="11">
        <v>4634</v>
      </c>
      <c r="K207" s="11">
        <v>1528</v>
      </c>
      <c r="L207" s="139"/>
      <c r="M207" s="67" t="s">
        <v>756</v>
      </c>
      <c r="N207" s="11">
        <v>4868</v>
      </c>
      <c r="O207" s="11">
        <v>695</v>
      </c>
      <c r="P207" s="139"/>
      <c r="Q207" s="67" t="s">
        <v>1117</v>
      </c>
      <c r="R207" s="11">
        <v>6515</v>
      </c>
      <c r="S207" s="89">
        <v>610</v>
      </c>
    </row>
    <row r="208" spans="1:19" x14ac:dyDescent="0.25">
      <c r="A208" s="3" t="s">
        <v>231</v>
      </c>
      <c r="B208" s="2" t="s">
        <v>452</v>
      </c>
      <c r="C208" s="2">
        <v>1174</v>
      </c>
      <c r="D208" s="2">
        <v>2711</v>
      </c>
      <c r="H208" s="139"/>
      <c r="I208" s="67" t="s">
        <v>678</v>
      </c>
      <c r="J208" s="11">
        <v>5434</v>
      </c>
      <c r="K208" s="11">
        <v>1316</v>
      </c>
      <c r="L208" s="140"/>
      <c r="M208" s="131" t="s">
        <v>757</v>
      </c>
      <c r="N208" s="130">
        <v>5040</v>
      </c>
      <c r="O208" s="130">
        <v>1177</v>
      </c>
      <c r="P208" s="139"/>
      <c r="Q208" s="67" t="s">
        <v>799</v>
      </c>
      <c r="R208" s="11">
        <v>6628</v>
      </c>
      <c r="S208" s="89">
        <v>531</v>
      </c>
    </row>
    <row r="209" spans="1:19" x14ac:dyDescent="0.25">
      <c r="A209" s="3" t="s">
        <v>231</v>
      </c>
      <c r="B209" s="2" t="s">
        <v>453</v>
      </c>
      <c r="C209" s="2">
        <v>604</v>
      </c>
      <c r="D209" s="2">
        <v>3266</v>
      </c>
      <c r="H209" s="139"/>
      <c r="I209" s="67" t="s">
        <v>679</v>
      </c>
      <c r="J209" s="11">
        <v>6397</v>
      </c>
      <c r="K209" s="11">
        <v>1047</v>
      </c>
      <c r="L209" s="138" t="s">
        <v>250</v>
      </c>
      <c r="M209" s="67" t="s">
        <v>763</v>
      </c>
      <c r="N209" s="11">
        <v>3327</v>
      </c>
      <c r="O209" s="11">
        <v>1793</v>
      </c>
      <c r="P209" s="140"/>
      <c r="Q209" s="131" t="s">
        <v>800</v>
      </c>
      <c r="R209" s="130">
        <v>4941</v>
      </c>
      <c r="S209" s="134">
        <v>702</v>
      </c>
    </row>
    <row r="210" spans="1:19" x14ac:dyDescent="0.25">
      <c r="A210" s="3" t="s">
        <v>231</v>
      </c>
      <c r="B210" s="2" t="s">
        <v>455</v>
      </c>
      <c r="C210" s="2">
        <v>429</v>
      </c>
      <c r="D210" s="2">
        <v>3824</v>
      </c>
      <c r="H210" s="139"/>
      <c r="I210" s="67" t="s">
        <v>680</v>
      </c>
      <c r="J210" s="11">
        <v>4108</v>
      </c>
      <c r="K210" s="11">
        <v>1592</v>
      </c>
      <c r="L210" s="139"/>
      <c r="M210" s="67" t="s">
        <v>758</v>
      </c>
      <c r="N210" s="11">
        <v>4157</v>
      </c>
      <c r="O210" s="11">
        <v>1269</v>
      </c>
      <c r="P210" s="138" t="s">
        <v>255</v>
      </c>
      <c r="Q210" s="67" t="s">
        <v>801</v>
      </c>
      <c r="R210" s="11">
        <v>3164</v>
      </c>
      <c r="S210" s="89">
        <v>2563</v>
      </c>
    </row>
    <row r="211" spans="1:19" x14ac:dyDescent="0.25">
      <c r="A211" s="3" t="s">
        <v>231</v>
      </c>
      <c r="B211" s="2" t="s">
        <v>456</v>
      </c>
      <c r="C211" s="2">
        <v>1545</v>
      </c>
      <c r="D211" s="2">
        <v>2370</v>
      </c>
      <c r="H211" s="139"/>
      <c r="I211" s="67" t="s">
        <v>1093</v>
      </c>
      <c r="J211" s="11">
        <v>4629</v>
      </c>
      <c r="K211" s="11">
        <v>1307</v>
      </c>
      <c r="L211" s="139"/>
      <c r="M211" s="67" t="s">
        <v>1109</v>
      </c>
      <c r="N211" s="11">
        <v>2764</v>
      </c>
      <c r="O211" s="11">
        <v>2298</v>
      </c>
      <c r="P211" s="139"/>
      <c r="Q211" s="67" t="s">
        <v>802</v>
      </c>
      <c r="R211" s="11">
        <v>4266</v>
      </c>
      <c r="S211" s="89">
        <v>1654</v>
      </c>
    </row>
    <row r="212" spans="1:19" x14ac:dyDescent="0.25">
      <c r="A212" s="3" t="s">
        <v>231</v>
      </c>
      <c r="B212" s="2" t="s">
        <v>457</v>
      </c>
      <c r="C212" s="2">
        <v>646</v>
      </c>
      <c r="D212" s="2">
        <v>3442</v>
      </c>
      <c r="H212" s="139"/>
      <c r="I212" s="67" t="s">
        <v>681</v>
      </c>
      <c r="J212" s="11">
        <v>5495</v>
      </c>
      <c r="K212" s="11">
        <v>1379</v>
      </c>
      <c r="L212" s="139"/>
      <c r="M212" s="67" t="s">
        <v>759</v>
      </c>
      <c r="N212" s="11">
        <v>4765</v>
      </c>
      <c r="O212" s="11">
        <v>1156</v>
      </c>
      <c r="P212" s="139"/>
      <c r="Q212" s="67" t="s">
        <v>1118</v>
      </c>
      <c r="R212" s="11">
        <v>4175</v>
      </c>
      <c r="S212" s="89">
        <v>2023</v>
      </c>
    </row>
    <row r="213" spans="1:19" x14ac:dyDescent="0.25">
      <c r="A213" s="3" t="s">
        <v>231</v>
      </c>
      <c r="B213" s="2" t="s">
        <v>988</v>
      </c>
      <c r="C213" s="2">
        <v>2072</v>
      </c>
      <c r="D213" s="2">
        <v>2339</v>
      </c>
      <c r="H213" s="139"/>
      <c r="I213" s="67" t="s">
        <v>682</v>
      </c>
      <c r="J213" s="11">
        <v>4846</v>
      </c>
      <c r="K213" s="11">
        <v>1555</v>
      </c>
      <c r="L213" s="139"/>
      <c r="M213" s="67" t="s">
        <v>760</v>
      </c>
      <c r="N213" s="11">
        <v>4467</v>
      </c>
      <c r="O213" s="11">
        <v>1396</v>
      </c>
      <c r="P213" s="139"/>
      <c r="Q213" s="67" t="s">
        <v>812</v>
      </c>
      <c r="R213" s="11">
        <v>4466</v>
      </c>
      <c r="S213" s="89">
        <v>2034</v>
      </c>
    </row>
    <row r="214" spans="1:19" x14ac:dyDescent="0.25">
      <c r="A214" s="3" t="s">
        <v>231</v>
      </c>
      <c r="B214" s="2" t="s">
        <v>458</v>
      </c>
      <c r="C214" s="2">
        <v>299</v>
      </c>
      <c r="D214" s="2">
        <v>3489</v>
      </c>
      <c r="H214" s="139"/>
      <c r="I214" s="67" t="s">
        <v>1002</v>
      </c>
      <c r="J214" s="11">
        <v>4729</v>
      </c>
      <c r="K214" s="11">
        <v>924</v>
      </c>
      <c r="L214" s="139"/>
      <c r="M214" s="67" t="s">
        <v>761</v>
      </c>
      <c r="N214" s="11">
        <v>2878</v>
      </c>
      <c r="O214" s="11">
        <v>1891</v>
      </c>
      <c r="P214" s="139"/>
      <c r="Q214" s="67" t="s">
        <v>803</v>
      </c>
      <c r="R214" s="11">
        <v>3421</v>
      </c>
      <c r="S214" s="89">
        <v>2392</v>
      </c>
    </row>
    <row r="215" spans="1:19" x14ac:dyDescent="0.25">
      <c r="A215" s="3" t="s">
        <v>231</v>
      </c>
      <c r="B215" s="2" t="s">
        <v>459</v>
      </c>
      <c r="C215" s="2">
        <v>316</v>
      </c>
      <c r="D215" s="2">
        <v>3787</v>
      </c>
      <c r="H215" s="140"/>
      <c r="I215" s="131" t="s">
        <v>683</v>
      </c>
      <c r="J215" s="130">
        <v>4803</v>
      </c>
      <c r="K215" s="130">
        <v>1344</v>
      </c>
      <c r="L215" s="139"/>
      <c r="M215" s="67" t="s">
        <v>1110</v>
      </c>
      <c r="N215" s="11">
        <v>5199</v>
      </c>
      <c r="O215" s="11">
        <v>1022</v>
      </c>
      <c r="P215" s="139"/>
      <c r="Q215" s="67" t="s">
        <v>804</v>
      </c>
      <c r="R215" s="11">
        <v>4103</v>
      </c>
      <c r="S215" s="89">
        <v>2013</v>
      </c>
    </row>
    <row r="216" spans="1:19" x14ac:dyDescent="0.25">
      <c r="A216" s="3" t="s">
        <v>232</v>
      </c>
      <c r="B216" s="2" t="s">
        <v>1045</v>
      </c>
      <c r="C216" s="2">
        <v>1739</v>
      </c>
      <c r="D216" s="2">
        <v>2456</v>
      </c>
      <c r="H216" s="138" t="s">
        <v>73</v>
      </c>
      <c r="I216" s="67" t="s">
        <v>102</v>
      </c>
      <c r="J216" s="11">
        <v>6731</v>
      </c>
      <c r="K216" s="11">
        <v>548</v>
      </c>
      <c r="L216" s="139"/>
      <c r="M216" s="67" t="s">
        <v>762</v>
      </c>
      <c r="N216" s="11">
        <v>6002</v>
      </c>
      <c r="O216" s="11">
        <v>388</v>
      </c>
      <c r="P216" s="139"/>
      <c r="Q216" s="67" t="s">
        <v>805</v>
      </c>
      <c r="R216" s="11">
        <v>3600</v>
      </c>
      <c r="S216" s="89">
        <v>2377</v>
      </c>
    </row>
    <row r="217" spans="1:19" x14ac:dyDescent="0.25">
      <c r="A217" s="3" t="s">
        <v>232</v>
      </c>
      <c r="B217" s="2" t="s">
        <v>461</v>
      </c>
      <c r="C217" s="2">
        <v>2097</v>
      </c>
      <c r="D217" s="2">
        <v>2316</v>
      </c>
      <c r="H217" s="139"/>
      <c r="I217" s="67" t="s">
        <v>101</v>
      </c>
      <c r="J217" s="11">
        <v>8354</v>
      </c>
      <c r="K217" s="11">
        <v>282</v>
      </c>
      <c r="L217" s="139"/>
      <c r="M217" s="67" t="s">
        <v>764</v>
      </c>
      <c r="N217" s="11">
        <v>2876</v>
      </c>
      <c r="O217" s="11">
        <v>2146</v>
      </c>
      <c r="P217" s="139"/>
      <c r="Q217" s="67" t="s">
        <v>806</v>
      </c>
      <c r="R217" s="11">
        <v>3055</v>
      </c>
      <c r="S217" s="89">
        <v>1979</v>
      </c>
    </row>
    <row r="218" spans="1:19" x14ac:dyDescent="0.25">
      <c r="A218" s="3" t="s">
        <v>232</v>
      </c>
      <c r="B218" s="2" t="s">
        <v>462</v>
      </c>
      <c r="C218" s="2">
        <v>2730</v>
      </c>
      <c r="D218" s="2">
        <v>1702</v>
      </c>
      <c r="H218" s="139"/>
      <c r="I218" s="67" t="s">
        <v>100</v>
      </c>
      <c r="J218" s="11">
        <v>9089</v>
      </c>
      <c r="K218" s="11">
        <v>101</v>
      </c>
      <c r="L218" s="151"/>
      <c r="M218" s="67" t="s">
        <v>1111</v>
      </c>
      <c r="N218" s="11">
        <v>5180</v>
      </c>
      <c r="O218" s="11">
        <v>307</v>
      </c>
      <c r="P218" s="139"/>
      <c r="Q218" s="67" t="s">
        <v>807</v>
      </c>
      <c r="R218" s="11">
        <v>3081</v>
      </c>
      <c r="S218" s="89">
        <v>2086</v>
      </c>
    </row>
    <row r="219" spans="1:19" x14ac:dyDescent="0.25">
      <c r="A219" s="3" t="s">
        <v>232</v>
      </c>
      <c r="B219" s="2" t="s">
        <v>463</v>
      </c>
      <c r="C219" s="2">
        <v>2773</v>
      </c>
      <c r="D219" s="2">
        <v>1809</v>
      </c>
      <c r="H219" s="139"/>
      <c r="I219" s="67" t="s">
        <v>693</v>
      </c>
      <c r="J219" s="11">
        <v>8186</v>
      </c>
      <c r="K219" s="11">
        <v>86</v>
      </c>
      <c r="L219" s="151"/>
      <c r="M219" s="67" t="s">
        <v>765</v>
      </c>
      <c r="N219" s="11">
        <v>2735</v>
      </c>
      <c r="O219" s="11">
        <v>1932</v>
      </c>
      <c r="P219" s="139"/>
      <c r="Q219" s="67" t="s">
        <v>808</v>
      </c>
      <c r="R219" s="11">
        <v>3556</v>
      </c>
      <c r="S219" s="89">
        <v>2038</v>
      </c>
    </row>
    <row r="220" spans="1:19" x14ac:dyDescent="0.25">
      <c r="A220" s="3" t="s">
        <v>232</v>
      </c>
      <c r="B220" s="2" t="s">
        <v>1051</v>
      </c>
      <c r="C220" s="2">
        <v>2512</v>
      </c>
      <c r="D220" s="2">
        <v>2023</v>
      </c>
      <c r="H220" s="139"/>
      <c r="I220" s="67" t="s">
        <v>694</v>
      </c>
      <c r="J220" s="11">
        <v>8163</v>
      </c>
      <c r="K220" s="11">
        <v>504</v>
      </c>
      <c r="L220" s="139"/>
      <c r="M220" s="67" t="s">
        <v>1003</v>
      </c>
      <c r="N220" s="11">
        <v>4095</v>
      </c>
      <c r="O220" s="11">
        <v>604</v>
      </c>
      <c r="P220" s="139"/>
      <c r="Q220" s="67" t="s">
        <v>809</v>
      </c>
      <c r="R220" s="11">
        <v>3887</v>
      </c>
      <c r="S220" s="89">
        <v>2437</v>
      </c>
    </row>
    <row r="221" spans="1:19" x14ac:dyDescent="0.25">
      <c r="A221" s="3" t="s">
        <v>232</v>
      </c>
      <c r="B221" s="2" t="s">
        <v>1068</v>
      </c>
      <c r="C221" s="2">
        <v>2102</v>
      </c>
      <c r="D221" s="2">
        <v>2568</v>
      </c>
      <c r="H221" s="139"/>
      <c r="I221" s="67" t="s">
        <v>695</v>
      </c>
      <c r="J221" s="11">
        <v>8667</v>
      </c>
      <c r="K221" s="11">
        <v>555</v>
      </c>
      <c r="L221" s="139"/>
      <c r="M221" s="67" t="s">
        <v>766</v>
      </c>
      <c r="N221" s="11">
        <v>5449</v>
      </c>
      <c r="O221" s="11">
        <v>589</v>
      </c>
      <c r="P221" s="139"/>
      <c r="Q221" s="67" t="s">
        <v>810</v>
      </c>
      <c r="R221" s="11">
        <v>3799</v>
      </c>
      <c r="S221" s="89">
        <v>2185</v>
      </c>
    </row>
    <row r="222" spans="1:19" x14ac:dyDescent="0.25">
      <c r="A222" s="3" t="s">
        <v>232</v>
      </c>
      <c r="B222" s="2" t="s">
        <v>1069</v>
      </c>
      <c r="C222" s="2">
        <v>2063</v>
      </c>
      <c r="D222" s="2">
        <v>2407</v>
      </c>
      <c r="H222" s="139"/>
      <c r="I222" s="67" t="s">
        <v>103</v>
      </c>
      <c r="J222" s="11">
        <v>7854</v>
      </c>
      <c r="K222" s="11">
        <v>344</v>
      </c>
      <c r="L222" s="139"/>
      <c r="M222" s="67" t="s">
        <v>767</v>
      </c>
      <c r="N222" s="11">
        <v>6904</v>
      </c>
      <c r="O222" s="11">
        <v>198</v>
      </c>
      <c r="P222" s="140"/>
      <c r="Q222" s="131" t="s">
        <v>811</v>
      </c>
      <c r="R222" s="130">
        <v>3844</v>
      </c>
      <c r="S222" s="134">
        <v>2066</v>
      </c>
    </row>
    <row r="223" spans="1:19" x14ac:dyDescent="0.25">
      <c r="A223" s="3" t="s">
        <v>232</v>
      </c>
      <c r="B223" s="2" t="s">
        <v>465</v>
      </c>
      <c r="C223" s="2">
        <v>2400</v>
      </c>
      <c r="D223" s="2">
        <v>2182</v>
      </c>
      <c r="H223" s="139"/>
      <c r="I223" s="67" t="s">
        <v>696</v>
      </c>
      <c r="J223" s="11">
        <v>8213</v>
      </c>
      <c r="K223" s="11">
        <v>432</v>
      </c>
      <c r="L223" s="139"/>
      <c r="M223" s="67" t="s">
        <v>768</v>
      </c>
      <c r="N223" s="11">
        <v>3102</v>
      </c>
      <c r="O223" s="11">
        <v>1742</v>
      </c>
      <c r="P223" s="138" t="s">
        <v>70</v>
      </c>
      <c r="Q223" s="67" t="s">
        <v>61</v>
      </c>
      <c r="R223" s="11">
        <v>4933</v>
      </c>
      <c r="S223" s="89">
        <v>48</v>
      </c>
    </row>
    <row r="224" spans="1:19" x14ac:dyDescent="0.25">
      <c r="A224" s="3" t="s">
        <v>232</v>
      </c>
      <c r="B224" s="2" t="s">
        <v>466</v>
      </c>
      <c r="C224" s="2">
        <v>3734</v>
      </c>
      <c r="D224" s="2">
        <v>1401</v>
      </c>
      <c r="H224" s="139"/>
      <c r="I224" s="67" t="s">
        <v>99</v>
      </c>
      <c r="J224" s="11">
        <v>7587</v>
      </c>
      <c r="K224" s="11">
        <v>320</v>
      </c>
      <c r="L224" s="140"/>
      <c r="M224" s="131" t="s">
        <v>769</v>
      </c>
      <c r="N224" s="130">
        <v>4109</v>
      </c>
      <c r="O224" s="130">
        <v>1423</v>
      </c>
      <c r="P224" s="139"/>
      <c r="Q224" s="67" t="s">
        <v>1054</v>
      </c>
      <c r="R224" s="11">
        <v>4277</v>
      </c>
      <c r="S224" s="89">
        <v>327</v>
      </c>
    </row>
    <row r="225" spans="1:19" x14ac:dyDescent="0.25">
      <c r="A225" s="3" t="s">
        <v>232</v>
      </c>
      <c r="B225" s="2" t="s">
        <v>468</v>
      </c>
      <c r="C225" s="2">
        <v>3331</v>
      </c>
      <c r="D225" s="2">
        <v>1895</v>
      </c>
      <c r="H225" s="139"/>
      <c r="I225" s="67" t="s">
        <v>97</v>
      </c>
      <c r="J225" s="11">
        <v>7928</v>
      </c>
      <c r="K225" s="11">
        <v>126</v>
      </c>
      <c r="L225" s="138" t="s">
        <v>251</v>
      </c>
      <c r="M225" s="67" t="s">
        <v>1046</v>
      </c>
      <c r="N225" s="11">
        <v>6773</v>
      </c>
      <c r="O225" s="11">
        <v>489</v>
      </c>
      <c r="P225" s="139"/>
      <c r="Q225" s="67" t="s">
        <v>80</v>
      </c>
      <c r="R225" s="11">
        <v>7142</v>
      </c>
      <c r="S225" s="89">
        <v>231</v>
      </c>
    </row>
    <row r="226" spans="1:19" x14ac:dyDescent="0.25">
      <c r="A226" s="3" t="s">
        <v>232</v>
      </c>
      <c r="B226" s="2" t="s">
        <v>464</v>
      </c>
      <c r="C226" s="2">
        <v>1759</v>
      </c>
      <c r="D226" s="2">
        <v>2474</v>
      </c>
      <c r="H226" s="140"/>
      <c r="I226" s="131" t="s">
        <v>697</v>
      </c>
      <c r="J226" s="130">
        <v>8014</v>
      </c>
      <c r="K226" s="130">
        <v>107</v>
      </c>
      <c r="L226" s="140"/>
      <c r="M226" s="131" t="s">
        <v>778</v>
      </c>
      <c r="N226" s="130">
        <v>7015</v>
      </c>
      <c r="O226" s="130">
        <v>404</v>
      </c>
      <c r="P226" s="140"/>
      <c r="Q226" s="131" t="s">
        <v>79</v>
      </c>
      <c r="R226" s="130">
        <v>7201</v>
      </c>
      <c r="S226" s="134">
        <v>230</v>
      </c>
    </row>
    <row r="227" spans="1:19" x14ac:dyDescent="0.25">
      <c r="A227" s="3" t="s">
        <v>232</v>
      </c>
      <c r="B227" s="2" t="s">
        <v>467</v>
      </c>
      <c r="C227" s="2">
        <v>1525</v>
      </c>
      <c r="D227" s="2">
        <v>2860</v>
      </c>
      <c r="H227" s="11"/>
      <c r="I227" s="67"/>
    </row>
    <row r="228" spans="1:19" ht="15.75" x14ac:dyDescent="0.25">
      <c r="A228" s="3" t="s">
        <v>232</v>
      </c>
      <c r="B228" s="2" t="s">
        <v>469</v>
      </c>
      <c r="C228" s="2">
        <v>2983</v>
      </c>
      <c r="D228" s="2">
        <v>2069</v>
      </c>
      <c r="H228" s="146" t="s">
        <v>69</v>
      </c>
      <c r="I228" s="146" t="s">
        <v>1158</v>
      </c>
      <c r="J228" s="147" t="s">
        <v>4</v>
      </c>
      <c r="K228" s="147" t="s">
        <v>10</v>
      </c>
      <c r="L228" s="148" t="s">
        <v>69</v>
      </c>
      <c r="M228" s="149" t="s">
        <v>1158</v>
      </c>
      <c r="N228" s="147" t="s">
        <v>4</v>
      </c>
      <c r="O228" s="147" t="s">
        <v>10</v>
      </c>
      <c r="P228" s="148" t="s">
        <v>69</v>
      </c>
      <c r="Q228" s="149" t="s">
        <v>1158</v>
      </c>
      <c r="R228" s="147" t="s">
        <v>4</v>
      </c>
      <c r="S228" s="147" t="s">
        <v>10</v>
      </c>
    </row>
    <row r="229" spans="1:19" x14ac:dyDescent="0.25">
      <c r="A229" s="3" t="s">
        <v>233</v>
      </c>
      <c r="B229" s="2" t="s">
        <v>475</v>
      </c>
      <c r="C229" s="2">
        <v>0</v>
      </c>
      <c r="D229" s="2">
        <v>3279</v>
      </c>
      <c r="H229" s="139"/>
      <c r="I229" s="67" t="s">
        <v>813</v>
      </c>
      <c r="J229" s="11">
        <v>4257</v>
      </c>
      <c r="K229" s="11">
        <v>405</v>
      </c>
      <c r="L229" s="150"/>
      <c r="M229" s="67" t="s">
        <v>869</v>
      </c>
      <c r="N229" s="11">
        <v>1340</v>
      </c>
      <c r="O229" s="11">
        <v>3187</v>
      </c>
      <c r="P229" s="150"/>
      <c r="Q229" s="67" t="s">
        <v>1010</v>
      </c>
      <c r="R229" s="11">
        <v>4878</v>
      </c>
      <c r="S229" s="89">
        <v>1102</v>
      </c>
    </row>
    <row r="230" spans="1:19" x14ac:dyDescent="0.25">
      <c r="A230" s="3" t="s">
        <v>233</v>
      </c>
      <c r="B230" s="2" t="s">
        <v>476</v>
      </c>
      <c r="C230" s="2">
        <v>0</v>
      </c>
      <c r="D230" s="2">
        <v>4561</v>
      </c>
      <c r="H230" s="139"/>
      <c r="I230" s="67" t="s">
        <v>76</v>
      </c>
      <c r="J230" s="11">
        <v>4803</v>
      </c>
      <c r="K230" s="11">
        <v>295</v>
      </c>
      <c r="L230" s="139"/>
      <c r="M230" s="67" t="s">
        <v>871</v>
      </c>
      <c r="N230" s="11">
        <v>2499</v>
      </c>
      <c r="O230" s="11">
        <v>2171</v>
      </c>
      <c r="P230" s="139"/>
      <c r="Q230" s="67" t="s">
        <v>932</v>
      </c>
      <c r="R230" s="11">
        <v>5193</v>
      </c>
      <c r="S230" s="89">
        <v>1196</v>
      </c>
    </row>
    <row r="231" spans="1:19" x14ac:dyDescent="0.25">
      <c r="A231" s="3" t="s">
        <v>233</v>
      </c>
      <c r="B231" s="2" t="s">
        <v>477</v>
      </c>
      <c r="C231" s="2">
        <v>0</v>
      </c>
      <c r="D231" s="2">
        <v>3999</v>
      </c>
      <c r="H231" s="139"/>
      <c r="I231" s="67" t="s">
        <v>105</v>
      </c>
      <c r="J231" s="11">
        <v>6765</v>
      </c>
      <c r="K231" s="11">
        <v>185</v>
      </c>
      <c r="L231" s="139"/>
      <c r="M231" s="67" t="s">
        <v>873</v>
      </c>
      <c r="N231" s="11">
        <v>1096</v>
      </c>
      <c r="O231" s="11">
        <v>3116</v>
      </c>
      <c r="P231" s="140"/>
      <c r="Q231" s="131" t="s">
        <v>911</v>
      </c>
      <c r="R231" s="130">
        <v>4910</v>
      </c>
      <c r="S231" s="134">
        <v>747</v>
      </c>
    </row>
    <row r="232" spans="1:19" x14ac:dyDescent="0.25">
      <c r="A232" s="3" t="s">
        <v>233</v>
      </c>
      <c r="B232" s="2" t="s">
        <v>989</v>
      </c>
      <c r="C232" s="2">
        <v>0</v>
      </c>
      <c r="D232" s="2">
        <v>4325</v>
      </c>
      <c r="H232" s="139"/>
      <c r="I232" s="67" t="s">
        <v>814</v>
      </c>
      <c r="J232" s="11">
        <v>6152</v>
      </c>
      <c r="K232" s="11">
        <v>329</v>
      </c>
      <c r="L232" s="139"/>
      <c r="M232" s="67" t="s">
        <v>874</v>
      </c>
      <c r="N232" s="11">
        <v>2070</v>
      </c>
      <c r="O232" s="11">
        <v>2683</v>
      </c>
      <c r="P232" s="138" t="s">
        <v>71</v>
      </c>
      <c r="Q232" s="67" t="s">
        <v>1043</v>
      </c>
      <c r="R232" s="141"/>
      <c r="S232" s="142"/>
    </row>
    <row r="233" spans="1:19" x14ac:dyDescent="0.25">
      <c r="A233" s="3" t="s">
        <v>233</v>
      </c>
      <c r="B233" s="2" t="s">
        <v>478</v>
      </c>
      <c r="C233" s="2">
        <v>0</v>
      </c>
      <c r="D233" s="2">
        <v>4485</v>
      </c>
      <c r="H233" s="139"/>
      <c r="I233" s="67" t="s">
        <v>815</v>
      </c>
      <c r="J233" s="11">
        <v>7091</v>
      </c>
      <c r="K233" s="11">
        <v>199</v>
      </c>
      <c r="L233" s="139"/>
      <c r="M233" s="67" t="s">
        <v>1128</v>
      </c>
      <c r="N233" s="11">
        <v>2717</v>
      </c>
      <c r="O233" s="11">
        <v>2445</v>
      </c>
      <c r="P233" s="139"/>
      <c r="Q233" s="67" t="s">
        <v>84</v>
      </c>
      <c r="R233" s="11">
        <v>5768</v>
      </c>
      <c r="S233" s="89">
        <v>24</v>
      </c>
    </row>
    <row r="234" spans="1:19" x14ac:dyDescent="0.25">
      <c r="A234" s="3" t="s">
        <v>233</v>
      </c>
      <c r="B234" s="2" t="s">
        <v>479</v>
      </c>
      <c r="C234" s="2">
        <v>0</v>
      </c>
      <c r="D234" s="2">
        <v>3908</v>
      </c>
      <c r="H234" s="139"/>
      <c r="I234" s="67" t="s">
        <v>58</v>
      </c>
      <c r="J234" s="11">
        <v>4530</v>
      </c>
      <c r="K234" s="11">
        <v>602</v>
      </c>
      <c r="L234" s="139"/>
      <c r="M234" s="67" t="s">
        <v>875</v>
      </c>
      <c r="N234" s="11">
        <v>518</v>
      </c>
      <c r="O234" s="11">
        <v>3816</v>
      </c>
      <c r="P234" s="139"/>
      <c r="Q234" s="67" t="s">
        <v>933</v>
      </c>
      <c r="R234" s="11">
        <v>5533</v>
      </c>
      <c r="S234" s="89">
        <v>112</v>
      </c>
    </row>
    <row r="235" spans="1:19" x14ac:dyDescent="0.25">
      <c r="A235" s="3" t="s">
        <v>233</v>
      </c>
      <c r="B235" s="2" t="s">
        <v>474</v>
      </c>
      <c r="C235" s="2">
        <v>12</v>
      </c>
      <c r="D235" s="2">
        <v>4410</v>
      </c>
      <c r="H235" s="139"/>
      <c r="I235" s="67" t="s">
        <v>816</v>
      </c>
      <c r="J235" s="11">
        <v>4525</v>
      </c>
      <c r="K235" s="11">
        <v>0</v>
      </c>
      <c r="L235" s="139"/>
      <c r="M235" s="67" t="s">
        <v>876</v>
      </c>
      <c r="N235" s="11">
        <v>1694</v>
      </c>
      <c r="O235" s="11">
        <v>2825</v>
      </c>
      <c r="P235" s="139"/>
      <c r="Q235" s="67" t="s">
        <v>934</v>
      </c>
      <c r="R235" s="11">
        <v>5578</v>
      </c>
      <c r="S235" s="89">
        <v>882</v>
      </c>
    </row>
    <row r="236" spans="1:19" x14ac:dyDescent="0.25">
      <c r="A236" s="3" t="s">
        <v>233</v>
      </c>
      <c r="B236" s="2" t="s">
        <v>480</v>
      </c>
      <c r="C236" s="2">
        <v>22</v>
      </c>
      <c r="D236" s="2">
        <v>2590</v>
      </c>
      <c r="H236" s="139"/>
      <c r="I236" s="67" t="s">
        <v>817</v>
      </c>
      <c r="J236" s="11">
        <v>5204</v>
      </c>
      <c r="K236" s="11">
        <v>585</v>
      </c>
      <c r="L236" s="139"/>
      <c r="M236" s="67" t="s">
        <v>877</v>
      </c>
      <c r="N236" s="11">
        <v>1439</v>
      </c>
      <c r="O236" s="11">
        <v>2974</v>
      </c>
      <c r="P236" s="139"/>
      <c r="Q236" s="67" t="s">
        <v>941</v>
      </c>
      <c r="R236" s="11">
        <v>5097</v>
      </c>
      <c r="S236" s="89">
        <v>69</v>
      </c>
    </row>
    <row r="237" spans="1:19" x14ac:dyDescent="0.25">
      <c r="A237" s="3" t="s">
        <v>233</v>
      </c>
      <c r="B237" s="2" t="s">
        <v>481</v>
      </c>
      <c r="C237" s="2">
        <v>0</v>
      </c>
      <c r="D237" s="2">
        <v>3919</v>
      </c>
      <c r="H237" s="139"/>
      <c r="I237" s="67" t="s">
        <v>1119</v>
      </c>
      <c r="J237" s="11">
        <v>4187</v>
      </c>
      <c r="K237" s="11">
        <v>367</v>
      </c>
      <c r="L237" s="139"/>
      <c r="M237" s="67" t="s">
        <v>872</v>
      </c>
      <c r="N237" s="11">
        <v>2087</v>
      </c>
      <c r="O237" s="11">
        <v>2721</v>
      </c>
      <c r="P237" s="139"/>
      <c r="Q237" s="67" t="s">
        <v>939</v>
      </c>
      <c r="R237" s="11">
        <v>5682</v>
      </c>
      <c r="S237" s="89">
        <v>19</v>
      </c>
    </row>
    <row r="238" spans="1:19" x14ac:dyDescent="0.25">
      <c r="A238" s="3" t="s">
        <v>233</v>
      </c>
      <c r="B238" s="2" t="s">
        <v>482</v>
      </c>
      <c r="C238" s="2">
        <v>97</v>
      </c>
      <c r="D238" s="2">
        <v>3734</v>
      </c>
      <c r="H238" s="139"/>
      <c r="I238" s="67" t="s">
        <v>818</v>
      </c>
      <c r="J238" s="11">
        <v>6583</v>
      </c>
      <c r="K238" s="11">
        <v>204</v>
      </c>
      <c r="L238" s="139"/>
      <c r="M238" s="67" t="s">
        <v>878</v>
      </c>
      <c r="N238" s="11">
        <v>895</v>
      </c>
      <c r="O238" s="11">
        <v>3419</v>
      </c>
      <c r="P238" s="139"/>
      <c r="Q238" s="67" t="s">
        <v>935</v>
      </c>
      <c r="R238" s="11">
        <v>5669</v>
      </c>
      <c r="S238" s="89">
        <v>1007</v>
      </c>
    </row>
    <row r="239" spans="1:19" x14ac:dyDescent="0.25">
      <c r="A239" s="3" t="s">
        <v>72</v>
      </c>
      <c r="B239" s="2" t="s">
        <v>92</v>
      </c>
      <c r="C239" s="2">
        <v>5395</v>
      </c>
      <c r="D239" s="2">
        <v>756</v>
      </c>
      <c r="H239" s="139"/>
      <c r="I239" s="67" t="s">
        <v>77</v>
      </c>
      <c r="J239" s="11">
        <v>3798</v>
      </c>
      <c r="K239" s="11">
        <v>405</v>
      </c>
      <c r="L239" s="139"/>
      <c r="M239" s="67" t="s">
        <v>879</v>
      </c>
      <c r="N239" s="11">
        <v>1164</v>
      </c>
      <c r="O239" s="11">
        <v>4080</v>
      </c>
      <c r="P239" s="139"/>
      <c r="Q239" s="67" t="s">
        <v>936</v>
      </c>
      <c r="R239" s="11">
        <v>5240</v>
      </c>
      <c r="S239" s="89">
        <v>21</v>
      </c>
    </row>
    <row r="240" spans="1:19" x14ac:dyDescent="0.25">
      <c r="A240" s="3" t="s">
        <v>72</v>
      </c>
      <c r="B240" s="2" t="s">
        <v>512</v>
      </c>
      <c r="C240" s="2">
        <v>6225</v>
      </c>
      <c r="D240" s="2">
        <v>927</v>
      </c>
      <c r="H240" s="139"/>
      <c r="I240" s="67" t="s">
        <v>75</v>
      </c>
      <c r="J240" s="11">
        <v>4583</v>
      </c>
      <c r="K240" s="11">
        <v>275</v>
      </c>
      <c r="L240" s="139"/>
      <c r="M240" s="67" t="s">
        <v>880</v>
      </c>
      <c r="N240" s="11">
        <v>2131</v>
      </c>
      <c r="O240" s="11">
        <v>2437</v>
      </c>
      <c r="P240" s="139"/>
      <c r="Q240" s="67" t="s">
        <v>106</v>
      </c>
      <c r="R240" s="11">
        <v>4682</v>
      </c>
      <c r="S240" s="89">
        <v>115</v>
      </c>
    </row>
    <row r="241" spans="1:19" x14ac:dyDescent="0.25">
      <c r="A241" s="3" t="s">
        <v>72</v>
      </c>
      <c r="B241" s="2" t="s">
        <v>513</v>
      </c>
      <c r="C241" s="2">
        <v>5803</v>
      </c>
      <c r="D241" s="2">
        <v>636</v>
      </c>
      <c r="H241" s="140"/>
      <c r="I241" s="131" t="s">
        <v>819</v>
      </c>
      <c r="J241" s="130">
        <v>5657</v>
      </c>
      <c r="K241" s="130">
        <v>362</v>
      </c>
      <c r="L241" s="139"/>
      <c r="M241" s="67" t="s">
        <v>881</v>
      </c>
      <c r="N241" s="11">
        <v>3436</v>
      </c>
      <c r="O241" s="11">
        <v>1699</v>
      </c>
      <c r="P241" s="139"/>
      <c r="Q241" s="67" t="s">
        <v>937</v>
      </c>
      <c r="R241" s="11">
        <v>5431</v>
      </c>
      <c r="S241" s="89">
        <v>641</v>
      </c>
    </row>
    <row r="242" spans="1:19" x14ac:dyDescent="0.25">
      <c r="A242" s="3" t="s">
        <v>72</v>
      </c>
      <c r="B242" s="2" t="s">
        <v>90</v>
      </c>
      <c r="C242" s="2">
        <v>6897</v>
      </c>
      <c r="D242" s="2">
        <v>344</v>
      </c>
      <c r="H242" s="138" t="s">
        <v>1004</v>
      </c>
      <c r="I242" s="67" t="s">
        <v>820</v>
      </c>
      <c r="J242" s="11">
        <v>5651</v>
      </c>
      <c r="K242" s="11">
        <v>773</v>
      </c>
      <c r="L242" s="139"/>
      <c r="M242" s="67" t="s">
        <v>882</v>
      </c>
      <c r="N242" s="11">
        <v>1823</v>
      </c>
      <c r="O242" s="11">
        <v>2479</v>
      </c>
      <c r="P242" s="139"/>
      <c r="Q242" s="67" t="s">
        <v>82</v>
      </c>
      <c r="R242" s="11">
        <v>5331</v>
      </c>
      <c r="S242" s="89">
        <v>118</v>
      </c>
    </row>
    <row r="243" spans="1:19" x14ac:dyDescent="0.25">
      <c r="A243" s="3" t="s">
        <v>72</v>
      </c>
      <c r="B243" s="2" t="s">
        <v>515</v>
      </c>
      <c r="C243" s="2">
        <v>6105</v>
      </c>
      <c r="D243" s="2">
        <v>834</v>
      </c>
      <c r="H243" s="139"/>
      <c r="I243" s="67" t="s">
        <v>1005</v>
      </c>
      <c r="J243" s="11">
        <v>5917</v>
      </c>
      <c r="K243" s="11">
        <v>595</v>
      </c>
      <c r="L243" s="139"/>
      <c r="M243" s="67" t="s">
        <v>883</v>
      </c>
      <c r="N243" s="11">
        <v>3117</v>
      </c>
      <c r="O243" s="11">
        <v>1044</v>
      </c>
      <c r="P243" s="139"/>
      <c r="Q243" s="67" t="s">
        <v>88</v>
      </c>
      <c r="R243" s="11">
        <v>4921</v>
      </c>
      <c r="S243" s="89">
        <v>711</v>
      </c>
    </row>
    <row r="244" spans="1:19" x14ac:dyDescent="0.25">
      <c r="A244" s="3" t="s">
        <v>72</v>
      </c>
      <c r="B244" s="2" t="s">
        <v>107</v>
      </c>
      <c r="C244" s="2">
        <v>7160</v>
      </c>
      <c r="D244" s="2">
        <v>679</v>
      </c>
      <c r="H244" s="139"/>
      <c r="I244" s="67" t="s">
        <v>822</v>
      </c>
      <c r="J244" s="11">
        <v>8204</v>
      </c>
      <c r="K244" s="11">
        <v>204</v>
      </c>
      <c r="L244" s="139"/>
      <c r="M244" s="67" t="s">
        <v>885</v>
      </c>
      <c r="N244" s="11">
        <v>729</v>
      </c>
      <c r="O244" s="11">
        <v>3903</v>
      </c>
      <c r="P244" s="139"/>
      <c r="Q244" s="67" t="s">
        <v>81</v>
      </c>
      <c r="R244" s="11">
        <v>5945</v>
      </c>
      <c r="S244" s="89">
        <v>13</v>
      </c>
    </row>
    <row r="245" spans="1:19" x14ac:dyDescent="0.25">
      <c r="A245" s="3" t="s">
        <v>72</v>
      </c>
      <c r="B245" s="2" t="s">
        <v>94</v>
      </c>
      <c r="C245" s="2">
        <v>7769</v>
      </c>
      <c r="D245" s="2">
        <v>246</v>
      </c>
      <c r="H245" s="139"/>
      <c r="I245" s="67" t="s">
        <v>823</v>
      </c>
      <c r="J245" s="11">
        <v>6575</v>
      </c>
      <c r="K245" s="11">
        <v>481</v>
      </c>
      <c r="L245" s="139"/>
      <c r="M245" s="67" t="s">
        <v>884</v>
      </c>
      <c r="N245" s="11">
        <v>2334</v>
      </c>
      <c r="O245" s="11">
        <v>2614</v>
      </c>
      <c r="P245" s="139"/>
      <c r="Q245" s="67" t="s">
        <v>938</v>
      </c>
      <c r="R245" s="11">
        <v>6483</v>
      </c>
      <c r="S245" s="89">
        <v>234</v>
      </c>
    </row>
    <row r="246" spans="1:19" x14ac:dyDescent="0.25">
      <c r="A246" s="3" t="s">
        <v>72</v>
      </c>
      <c r="B246" s="2" t="s">
        <v>91</v>
      </c>
      <c r="C246" s="2">
        <v>5457</v>
      </c>
      <c r="D246" s="2">
        <v>885</v>
      </c>
      <c r="H246" s="139"/>
      <c r="I246" s="67" t="s">
        <v>824</v>
      </c>
      <c r="J246" s="11">
        <v>6942</v>
      </c>
      <c r="K246" s="11">
        <v>386</v>
      </c>
      <c r="L246" s="139"/>
      <c r="M246" s="67" t="s">
        <v>886</v>
      </c>
      <c r="N246" s="11">
        <v>2482</v>
      </c>
      <c r="O246" s="11">
        <v>2057</v>
      </c>
      <c r="P246" s="139"/>
      <c r="Q246" s="67" t="s">
        <v>940</v>
      </c>
      <c r="R246" s="11">
        <v>4378</v>
      </c>
      <c r="S246" s="89">
        <v>216</v>
      </c>
    </row>
    <row r="247" spans="1:19" x14ac:dyDescent="0.25">
      <c r="A247" s="3" t="s">
        <v>72</v>
      </c>
      <c r="B247" s="2" t="s">
        <v>514</v>
      </c>
      <c r="C247" s="2">
        <v>6681</v>
      </c>
      <c r="D247" s="2">
        <v>546</v>
      </c>
      <c r="H247" s="139"/>
      <c r="I247" s="67" t="s">
        <v>825</v>
      </c>
      <c r="J247" s="11">
        <v>6460</v>
      </c>
      <c r="K247" s="11">
        <v>579</v>
      </c>
      <c r="L247" s="139"/>
      <c r="M247" s="67" t="s">
        <v>887</v>
      </c>
      <c r="N247" s="11">
        <v>2363</v>
      </c>
      <c r="O247" s="11">
        <v>2495</v>
      </c>
      <c r="P247" s="139"/>
      <c r="Q247" s="67" t="s">
        <v>83</v>
      </c>
      <c r="R247" s="11">
        <v>4372</v>
      </c>
      <c r="S247" s="89">
        <v>169</v>
      </c>
    </row>
    <row r="248" spans="1:19" x14ac:dyDescent="0.25">
      <c r="A248" s="3" t="s">
        <v>72</v>
      </c>
      <c r="B248" s="2" t="s">
        <v>95</v>
      </c>
      <c r="C248" s="2">
        <v>7100</v>
      </c>
      <c r="D248" s="2">
        <v>393</v>
      </c>
      <c r="H248" s="139"/>
      <c r="I248" s="67" t="s">
        <v>1120</v>
      </c>
      <c r="J248" s="11">
        <v>6830</v>
      </c>
      <c r="K248" s="11">
        <v>327</v>
      </c>
      <c r="L248" s="139"/>
      <c r="M248" s="67" t="s">
        <v>888</v>
      </c>
      <c r="N248" s="11">
        <v>2305</v>
      </c>
      <c r="O248" s="11">
        <v>2313</v>
      </c>
      <c r="P248" s="139"/>
      <c r="Q248" s="67" t="s">
        <v>89</v>
      </c>
      <c r="R248" s="11">
        <v>6716</v>
      </c>
      <c r="S248" s="89">
        <v>341</v>
      </c>
    </row>
    <row r="249" spans="1:19" x14ac:dyDescent="0.25">
      <c r="A249" s="3" t="s">
        <v>72</v>
      </c>
      <c r="B249" s="2" t="s">
        <v>96</v>
      </c>
      <c r="C249" s="2">
        <v>7482</v>
      </c>
      <c r="D249" s="2">
        <v>309</v>
      </c>
      <c r="H249" s="139"/>
      <c r="I249" s="67" t="s">
        <v>1006</v>
      </c>
      <c r="J249" s="11">
        <v>5409</v>
      </c>
      <c r="K249" s="11">
        <v>927</v>
      </c>
      <c r="L249" s="139"/>
      <c r="M249" s="67" t="s">
        <v>889</v>
      </c>
      <c r="N249" s="11">
        <v>1346</v>
      </c>
      <c r="O249" s="11">
        <v>3024</v>
      </c>
      <c r="P249" s="139"/>
      <c r="Q249" s="67" t="s">
        <v>942</v>
      </c>
      <c r="R249" s="11">
        <v>8898</v>
      </c>
      <c r="S249" s="89">
        <v>81</v>
      </c>
    </row>
    <row r="250" spans="1:19" x14ac:dyDescent="0.25">
      <c r="A250" s="3" t="s">
        <v>72</v>
      </c>
      <c r="B250" s="2" t="s">
        <v>516</v>
      </c>
      <c r="C250" s="2">
        <v>8439</v>
      </c>
      <c r="D250" s="2">
        <v>198</v>
      </c>
      <c r="H250" s="139"/>
      <c r="I250" s="67" t="s">
        <v>826</v>
      </c>
      <c r="J250" s="11">
        <v>6516</v>
      </c>
      <c r="K250" s="11">
        <v>482</v>
      </c>
      <c r="L250" s="139"/>
      <c r="M250" s="67" t="s">
        <v>866</v>
      </c>
      <c r="N250" s="11">
        <v>3100</v>
      </c>
      <c r="O250" s="11">
        <v>2057</v>
      </c>
      <c r="P250" s="139"/>
      <c r="Q250" s="67" t="s">
        <v>1011</v>
      </c>
      <c r="R250" s="11">
        <v>5664</v>
      </c>
      <c r="S250" s="89">
        <v>142</v>
      </c>
    </row>
    <row r="251" spans="1:19" x14ac:dyDescent="0.25">
      <c r="A251" s="3" t="s">
        <v>72</v>
      </c>
      <c r="B251" s="2" t="s">
        <v>93</v>
      </c>
      <c r="C251" s="2">
        <v>6148</v>
      </c>
      <c r="D251" s="2">
        <v>733</v>
      </c>
      <c r="H251" s="139"/>
      <c r="I251" s="67" t="s">
        <v>1041</v>
      </c>
      <c r="J251" s="11">
        <v>4955</v>
      </c>
      <c r="K251" s="11">
        <v>877</v>
      </c>
      <c r="L251" s="139"/>
      <c r="M251" s="67" t="s">
        <v>890</v>
      </c>
      <c r="N251" s="11">
        <v>1422</v>
      </c>
      <c r="O251" s="11">
        <v>2904</v>
      </c>
      <c r="P251" s="139"/>
      <c r="Q251" s="67" t="s">
        <v>78</v>
      </c>
      <c r="R251" s="11">
        <v>4501</v>
      </c>
      <c r="S251" s="89">
        <v>879</v>
      </c>
    </row>
    <row r="252" spans="1:19" x14ac:dyDescent="0.25">
      <c r="A252" s="3" t="s">
        <v>234</v>
      </c>
      <c r="B252" s="2" t="s">
        <v>1053</v>
      </c>
      <c r="C252" s="2">
        <v>6790</v>
      </c>
      <c r="D252" s="2">
        <v>683</v>
      </c>
      <c r="H252" s="139"/>
      <c r="I252" s="67" t="s">
        <v>827</v>
      </c>
      <c r="J252" s="11">
        <v>6105</v>
      </c>
      <c r="K252" s="11">
        <v>1123</v>
      </c>
      <c r="L252" s="139"/>
      <c r="M252" s="67" t="s">
        <v>891</v>
      </c>
      <c r="N252" s="11">
        <v>691</v>
      </c>
      <c r="O252" s="11">
        <v>3576</v>
      </c>
      <c r="P252" s="139"/>
      <c r="Q252" s="67" t="s">
        <v>1136</v>
      </c>
      <c r="R252" s="11">
        <v>5853</v>
      </c>
      <c r="S252" s="89">
        <v>82</v>
      </c>
    </row>
    <row r="253" spans="1:19" x14ac:dyDescent="0.25">
      <c r="A253" s="3" t="s">
        <v>234</v>
      </c>
      <c r="B253" s="2" t="s">
        <v>517</v>
      </c>
      <c r="C253" s="2">
        <v>5320</v>
      </c>
      <c r="D253" s="2">
        <v>1245</v>
      </c>
      <c r="H253" s="139"/>
      <c r="I253" s="67" t="s">
        <v>828</v>
      </c>
      <c r="J253" s="11">
        <v>4824</v>
      </c>
      <c r="K253" s="11">
        <v>1184</v>
      </c>
      <c r="L253" s="139"/>
      <c r="M253" s="67" t="s">
        <v>892</v>
      </c>
      <c r="N253" s="11">
        <v>2485</v>
      </c>
      <c r="O253" s="11">
        <v>2259</v>
      </c>
      <c r="P253" s="139"/>
      <c r="Q253" s="67" t="s">
        <v>87</v>
      </c>
      <c r="R253" s="11">
        <v>4836</v>
      </c>
      <c r="S253" s="89">
        <v>839</v>
      </c>
    </row>
    <row r="254" spans="1:19" x14ac:dyDescent="0.25">
      <c r="A254" s="3" t="s">
        <v>234</v>
      </c>
      <c r="B254" s="2" t="s">
        <v>1077</v>
      </c>
      <c r="C254" s="2">
        <v>6112</v>
      </c>
      <c r="D254" s="2">
        <v>847</v>
      </c>
      <c r="H254" s="139"/>
      <c r="I254" s="67" t="s">
        <v>829</v>
      </c>
      <c r="J254" s="11">
        <v>5925</v>
      </c>
      <c r="K254" s="11">
        <v>726</v>
      </c>
      <c r="L254" s="139"/>
      <c r="M254" s="67" t="s">
        <v>893</v>
      </c>
      <c r="N254" s="11">
        <v>1548</v>
      </c>
      <c r="O254" s="11">
        <v>2992</v>
      </c>
      <c r="P254" s="139"/>
      <c r="Q254" s="67" t="s">
        <v>85</v>
      </c>
      <c r="R254" s="11">
        <v>5748</v>
      </c>
      <c r="S254" s="89">
        <v>867</v>
      </c>
    </row>
    <row r="255" spans="1:19" x14ac:dyDescent="0.25">
      <c r="A255" s="3" t="s">
        <v>234</v>
      </c>
      <c r="B255" s="2" t="s">
        <v>993</v>
      </c>
      <c r="C255" s="2">
        <v>5747</v>
      </c>
      <c r="D255" s="2">
        <v>1021</v>
      </c>
      <c r="H255" s="139"/>
      <c r="I255" s="67" t="s">
        <v>830</v>
      </c>
      <c r="J255" s="11">
        <v>5067</v>
      </c>
      <c r="K255" s="11">
        <v>900</v>
      </c>
      <c r="L255" s="139"/>
      <c r="M255" s="67" t="s">
        <v>870</v>
      </c>
      <c r="N255" s="11">
        <v>2260</v>
      </c>
      <c r="O255" s="11">
        <v>2717</v>
      </c>
      <c r="P255" s="139"/>
      <c r="Q255" s="67" t="s">
        <v>1012</v>
      </c>
      <c r="R255" s="11">
        <v>5510</v>
      </c>
      <c r="S255" s="89">
        <v>0</v>
      </c>
    </row>
    <row r="256" spans="1:19" x14ac:dyDescent="0.25">
      <c r="A256" s="3" t="s">
        <v>234</v>
      </c>
      <c r="B256" s="2" t="s">
        <v>518</v>
      </c>
      <c r="C256" s="2">
        <v>6399</v>
      </c>
      <c r="D256" s="2">
        <v>830</v>
      </c>
      <c r="H256" s="139"/>
      <c r="I256" s="67" t="s">
        <v>832</v>
      </c>
      <c r="J256" s="11">
        <v>5216</v>
      </c>
      <c r="K256" s="11">
        <v>608</v>
      </c>
      <c r="L256" s="139"/>
      <c r="M256" s="67" t="s">
        <v>894</v>
      </c>
      <c r="N256" s="11">
        <v>2339</v>
      </c>
      <c r="O256" s="11">
        <v>2363</v>
      </c>
      <c r="P256" s="140"/>
      <c r="Q256" s="131" t="s">
        <v>86</v>
      </c>
      <c r="R256" s="130">
        <v>6041</v>
      </c>
      <c r="S256" s="134">
        <v>430</v>
      </c>
    </row>
    <row r="257" spans="1:19" x14ac:dyDescent="0.25">
      <c r="A257" s="3" t="s">
        <v>234</v>
      </c>
      <c r="B257" s="2" t="s">
        <v>519</v>
      </c>
      <c r="C257" s="2">
        <v>5546</v>
      </c>
      <c r="D257" s="2">
        <v>1166</v>
      </c>
      <c r="H257" s="139"/>
      <c r="I257" s="67" t="s">
        <v>831</v>
      </c>
      <c r="J257" s="11">
        <v>6188</v>
      </c>
      <c r="K257" s="11">
        <v>585</v>
      </c>
      <c r="L257" s="139"/>
      <c r="M257" s="67" t="s">
        <v>895</v>
      </c>
      <c r="N257" s="11">
        <v>1309</v>
      </c>
      <c r="O257" s="11">
        <v>3042</v>
      </c>
      <c r="P257" s="138" t="s">
        <v>265</v>
      </c>
      <c r="Q257" s="67" t="s">
        <v>962</v>
      </c>
      <c r="R257" s="11">
        <v>5361</v>
      </c>
      <c r="S257" s="89">
        <v>631</v>
      </c>
    </row>
    <row r="258" spans="1:19" x14ac:dyDescent="0.25">
      <c r="A258" s="3" t="s">
        <v>234</v>
      </c>
      <c r="B258" s="2" t="s">
        <v>1078</v>
      </c>
      <c r="C258" s="2">
        <v>4674</v>
      </c>
      <c r="D258" s="2">
        <v>1330</v>
      </c>
      <c r="H258" s="139"/>
      <c r="I258" s="67" t="s">
        <v>1121</v>
      </c>
      <c r="J258" s="11">
        <v>5727</v>
      </c>
      <c r="K258" s="11">
        <v>528</v>
      </c>
      <c r="L258" s="139"/>
      <c r="M258" s="67" t="s">
        <v>896</v>
      </c>
      <c r="N258" s="11">
        <v>2251</v>
      </c>
      <c r="O258" s="11">
        <v>2699</v>
      </c>
      <c r="P258" s="139"/>
      <c r="Q258" s="67" t="s">
        <v>963</v>
      </c>
      <c r="R258" s="11">
        <v>4451</v>
      </c>
      <c r="S258" s="89">
        <v>597</v>
      </c>
    </row>
    <row r="259" spans="1:19" x14ac:dyDescent="0.25">
      <c r="A259" s="3" t="s">
        <v>234</v>
      </c>
      <c r="B259" s="2" t="s">
        <v>520</v>
      </c>
      <c r="C259" s="2">
        <v>6459</v>
      </c>
      <c r="D259" s="2">
        <v>980</v>
      </c>
      <c r="H259" s="140"/>
      <c r="I259" s="131" t="s">
        <v>833</v>
      </c>
      <c r="J259" s="130">
        <v>5761</v>
      </c>
      <c r="K259" s="130">
        <v>759</v>
      </c>
      <c r="L259" s="139"/>
      <c r="M259" s="67" t="s">
        <v>897</v>
      </c>
      <c r="N259" s="11">
        <v>2838</v>
      </c>
      <c r="O259" s="11">
        <v>2350</v>
      </c>
      <c r="P259" s="139"/>
      <c r="Q259" s="67" t="s">
        <v>965</v>
      </c>
      <c r="R259" s="11">
        <v>5137</v>
      </c>
      <c r="S259" s="89">
        <v>855</v>
      </c>
    </row>
    <row r="260" spans="1:19" x14ac:dyDescent="0.25">
      <c r="A260" s="3" t="s">
        <v>234</v>
      </c>
      <c r="B260" s="2" t="s">
        <v>521</v>
      </c>
      <c r="C260" s="2">
        <v>4817</v>
      </c>
      <c r="D260" s="2">
        <v>1412</v>
      </c>
      <c r="H260" s="138" t="s">
        <v>257</v>
      </c>
      <c r="I260" s="67" t="s">
        <v>834</v>
      </c>
      <c r="J260" s="11">
        <v>5221</v>
      </c>
      <c r="K260" s="11">
        <v>435</v>
      </c>
      <c r="L260" s="140"/>
      <c r="M260" s="131" t="s">
        <v>898</v>
      </c>
      <c r="N260" s="130">
        <v>2423</v>
      </c>
      <c r="O260" s="130">
        <v>2932</v>
      </c>
      <c r="P260" s="139"/>
      <c r="Q260" s="67" t="s">
        <v>1138</v>
      </c>
      <c r="R260" s="11">
        <v>4708</v>
      </c>
      <c r="S260" s="89">
        <v>1015</v>
      </c>
    </row>
    <row r="261" spans="1:19" x14ac:dyDescent="0.25">
      <c r="A261" s="3" t="s">
        <v>234</v>
      </c>
      <c r="B261" s="2" t="s">
        <v>525</v>
      </c>
      <c r="C261" s="2">
        <v>4380</v>
      </c>
      <c r="D261" s="2">
        <v>1633</v>
      </c>
      <c r="H261" s="139"/>
      <c r="I261" s="67" t="s">
        <v>835</v>
      </c>
      <c r="J261" s="11">
        <v>6466</v>
      </c>
      <c r="K261" s="11">
        <v>504</v>
      </c>
      <c r="L261" s="138" t="s">
        <v>262</v>
      </c>
      <c r="M261" s="67" t="s">
        <v>856</v>
      </c>
      <c r="N261" s="11">
        <v>5535</v>
      </c>
      <c r="O261" s="11">
        <v>1171</v>
      </c>
      <c r="P261" s="139"/>
      <c r="Q261" s="67" t="s">
        <v>964</v>
      </c>
      <c r="R261" s="11">
        <v>6050</v>
      </c>
      <c r="S261" s="89">
        <v>368</v>
      </c>
    </row>
    <row r="262" spans="1:19" x14ac:dyDescent="0.25">
      <c r="A262" s="3" t="s">
        <v>234</v>
      </c>
      <c r="B262" s="2" t="s">
        <v>522</v>
      </c>
      <c r="C262" s="2">
        <v>6229</v>
      </c>
      <c r="D262" s="2">
        <v>888</v>
      </c>
      <c r="H262" s="140"/>
      <c r="I262" s="131" t="s">
        <v>836</v>
      </c>
      <c r="J262" s="130">
        <v>5870</v>
      </c>
      <c r="K262" s="130">
        <v>735</v>
      </c>
      <c r="L262" s="139"/>
      <c r="M262" s="67" t="s">
        <v>857</v>
      </c>
      <c r="N262" s="11">
        <v>8955</v>
      </c>
      <c r="O262" s="11">
        <v>33</v>
      </c>
      <c r="P262" s="139"/>
      <c r="Q262" s="67" t="s">
        <v>966</v>
      </c>
      <c r="R262" s="11">
        <v>4642</v>
      </c>
      <c r="S262" s="89">
        <v>1077</v>
      </c>
    </row>
    <row r="263" spans="1:19" x14ac:dyDescent="0.25">
      <c r="A263" s="3" t="s">
        <v>234</v>
      </c>
      <c r="B263" s="2" t="s">
        <v>523</v>
      </c>
      <c r="C263" s="2">
        <v>5233</v>
      </c>
      <c r="D263" s="2">
        <v>1067</v>
      </c>
      <c r="H263" s="138" t="s">
        <v>258</v>
      </c>
      <c r="I263" s="67" t="s">
        <v>837</v>
      </c>
      <c r="J263" s="11">
        <v>3436</v>
      </c>
      <c r="K263" s="11">
        <v>1037</v>
      </c>
      <c r="L263" s="139"/>
      <c r="M263" s="67" t="s">
        <v>899</v>
      </c>
      <c r="N263" s="11">
        <v>5776</v>
      </c>
      <c r="O263" s="11">
        <v>747</v>
      </c>
      <c r="P263" s="139"/>
      <c r="Q263" s="67" t="s">
        <v>967</v>
      </c>
      <c r="R263" s="11">
        <v>6270</v>
      </c>
      <c r="S263" s="89">
        <v>432</v>
      </c>
    </row>
    <row r="264" spans="1:19" x14ac:dyDescent="0.25">
      <c r="A264" s="3" t="s">
        <v>234</v>
      </c>
      <c r="B264" s="2" t="s">
        <v>526</v>
      </c>
      <c r="C264" s="2">
        <v>6269</v>
      </c>
      <c r="D264" s="2">
        <v>785</v>
      </c>
      <c r="H264" s="139"/>
      <c r="I264" s="67" t="s">
        <v>838</v>
      </c>
      <c r="J264" s="11">
        <v>2096</v>
      </c>
      <c r="K264" s="11">
        <v>2158</v>
      </c>
      <c r="L264" s="139"/>
      <c r="M264" s="67" t="s">
        <v>900</v>
      </c>
      <c r="N264" s="11">
        <v>6021</v>
      </c>
      <c r="O264" s="11">
        <v>799</v>
      </c>
      <c r="P264" s="139"/>
      <c r="Q264" s="67" t="s">
        <v>821</v>
      </c>
      <c r="R264" s="11">
        <v>4345</v>
      </c>
      <c r="S264" s="89">
        <v>761</v>
      </c>
    </row>
    <row r="265" spans="1:19" x14ac:dyDescent="0.25">
      <c r="A265" s="3" t="s">
        <v>234</v>
      </c>
      <c r="B265" s="2" t="s">
        <v>524</v>
      </c>
      <c r="C265" s="2">
        <v>7237</v>
      </c>
      <c r="D265" s="2">
        <v>778</v>
      </c>
      <c r="H265" s="139"/>
      <c r="I265" s="67" t="s">
        <v>1122</v>
      </c>
      <c r="J265" s="11">
        <v>2051</v>
      </c>
      <c r="K265" s="11">
        <v>2302</v>
      </c>
      <c r="L265" s="139"/>
      <c r="M265" s="67" t="s">
        <v>901</v>
      </c>
      <c r="N265" s="11">
        <v>5354</v>
      </c>
      <c r="O265" s="11">
        <v>1445</v>
      </c>
      <c r="P265" s="139"/>
      <c r="Q265" s="67" t="s">
        <v>968</v>
      </c>
      <c r="R265" s="11">
        <v>5020</v>
      </c>
      <c r="S265" s="89">
        <v>669</v>
      </c>
    </row>
    <row r="266" spans="1:19" x14ac:dyDescent="0.25">
      <c r="A266" s="3" t="s">
        <v>234</v>
      </c>
      <c r="B266" s="2" t="s">
        <v>1079</v>
      </c>
      <c r="C266" s="2">
        <v>5527</v>
      </c>
      <c r="D266" s="2">
        <v>1166</v>
      </c>
      <c r="H266" s="139"/>
      <c r="I266" s="67" t="s">
        <v>1123</v>
      </c>
      <c r="J266" s="11">
        <v>2593</v>
      </c>
      <c r="K266" s="11">
        <v>2020</v>
      </c>
      <c r="L266" s="139"/>
      <c r="M266" s="67" t="s">
        <v>902</v>
      </c>
      <c r="N266" s="11">
        <v>5106</v>
      </c>
      <c r="O266" s="11">
        <v>1301</v>
      </c>
      <c r="P266" s="139"/>
      <c r="Q266" s="67" t="s">
        <v>1014</v>
      </c>
      <c r="R266" s="11">
        <v>4979</v>
      </c>
      <c r="S266" s="89">
        <v>1101</v>
      </c>
    </row>
    <row r="267" spans="1:19" x14ac:dyDescent="0.25">
      <c r="A267" s="3" t="s">
        <v>234</v>
      </c>
      <c r="B267" s="2" t="s">
        <v>994</v>
      </c>
      <c r="C267" s="2">
        <v>6194</v>
      </c>
      <c r="D267" s="2">
        <v>830</v>
      </c>
      <c r="H267" s="139"/>
      <c r="I267" s="67" t="s">
        <v>839</v>
      </c>
      <c r="J267" s="11">
        <v>2316</v>
      </c>
      <c r="K267" s="11">
        <v>2202</v>
      </c>
      <c r="L267" s="139"/>
      <c r="M267" s="67" t="s">
        <v>903</v>
      </c>
      <c r="N267" s="11">
        <v>5831</v>
      </c>
      <c r="O267" s="11">
        <v>1092</v>
      </c>
      <c r="P267" s="140"/>
      <c r="Q267" s="131" t="s">
        <v>970</v>
      </c>
      <c r="R267" s="130">
        <v>5793</v>
      </c>
      <c r="S267" s="134">
        <v>639</v>
      </c>
    </row>
    <row r="268" spans="1:19" x14ac:dyDescent="0.25">
      <c r="A268" s="3" t="s">
        <v>235</v>
      </c>
      <c r="B268" s="2" t="s">
        <v>1080</v>
      </c>
      <c r="C268" s="2">
        <v>5385</v>
      </c>
      <c r="D268" s="2">
        <v>1025</v>
      </c>
      <c r="H268" s="139"/>
      <c r="I268" s="67" t="s">
        <v>1124</v>
      </c>
      <c r="J268" s="11">
        <v>3652</v>
      </c>
      <c r="K268" s="11">
        <v>1409</v>
      </c>
      <c r="L268" s="139"/>
      <c r="M268" s="67" t="s">
        <v>904</v>
      </c>
      <c r="N268" s="11">
        <v>5836</v>
      </c>
      <c r="O268" s="11">
        <v>858</v>
      </c>
      <c r="P268" s="138" t="s">
        <v>266</v>
      </c>
      <c r="Q268" s="67" t="s">
        <v>943</v>
      </c>
      <c r="R268" s="11">
        <v>8664</v>
      </c>
      <c r="S268" s="89">
        <v>440</v>
      </c>
    </row>
    <row r="269" spans="1:19" x14ac:dyDescent="0.25">
      <c r="A269" s="3" t="s">
        <v>235</v>
      </c>
      <c r="B269" s="2" t="s">
        <v>528</v>
      </c>
      <c r="C269" s="2">
        <v>4474</v>
      </c>
      <c r="D269" s="2">
        <v>1376</v>
      </c>
      <c r="H269" s="139"/>
      <c r="I269" s="67" t="s">
        <v>1007</v>
      </c>
      <c r="J269" s="11">
        <v>3244</v>
      </c>
      <c r="K269" s="11">
        <v>1553</v>
      </c>
      <c r="L269" s="139"/>
      <c r="M269" s="67" t="s">
        <v>905</v>
      </c>
      <c r="N269" s="11">
        <v>2729</v>
      </c>
      <c r="O269" s="11">
        <v>2936</v>
      </c>
      <c r="P269" s="139"/>
      <c r="Q269" s="67" t="s">
        <v>944</v>
      </c>
      <c r="R269" s="11">
        <v>7022</v>
      </c>
      <c r="S269" s="89">
        <v>517</v>
      </c>
    </row>
    <row r="270" spans="1:19" x14ac:dyDescent="0.25">
      <c r="A270" s="3" t="s">
        <v>235</v>
      </c>
      <c r="B270" s="2" t="s">
        <v>529</v>
      </c>
      <c r="C270" s="2">
        <v>6471</v>
      </c>
      <c r="D270" s="2">
        <v>764</v>
      </c>
      <c r="H270" s="139"/>
      <c r="I270" s="67" t="s">
        <v>840</v>
      </c>
      <c r="J270" s="11">
        <v>2379</v>
      </c>
      <c r="K270" s="11">
        <v>1870</v>
      </c>
      <c r="L270" s="139"/>
      <c r="M270" s="67" t="s">
        <v>906</v>
      </c>
      <c r="N270" s="11">
        <v>5350</v>
      </c>
      <c r="O270" s="11">
        <v>1118</v>
      </c>
      <c r="P270" s="139"/>
      <c r="Q270" s="67" t="s">
        <v>945</v>
      </c>
      <c r="R270" s="11">
        <v>8475</v>
      </c>
      <c r="S270" s="89">
        <v>600</v>
      </c>
    </row>
    <row r="271" spans="1:19" x14ac:dyDescent="0.25">
      <c r="A271" s="3" t="s">
        <v>235</v>
      </c>
      <c r="B271" s="2" t="s">
        <v>531</v>
      </c>
      <c r="C271" s="2">
        <v>4223</v>
      </c>
      <c r="D271" s="2">
        <v>1448</v>
      </c>
      <c r="H271" s="139"/>
      <c r="I271" s="67" t="s">
        <v>1008</v>
      </c>
      <c r="J271" s="11">
        <v>2470</v>
      </c>
      <c r="K271" s="11">
        <v>1727</v>
      </c>
      <c r="L271" s="139"/>
      <c r="M271" s="67" t="s">
        <v>907</v>
      </c>
      <c r="N271" s="11">
        <v>6661</v>
      </c>
      <c r="O271" s="11">
        <v>525</v>
      </c>
      <c r="P271" s="139"/>
      <c r="Q271" s="67" t="s">
        <v>946</v>
      </c>
      <c r="R271" s="11">
        <v>7853</v>
      </c>
      <c r="S271" s="89">
        <v>496</v>
      </c>
    </row>
    <row r="272" spans="1:19" x14ac:dyDescent="0.25">
      <c r="A272" s="3" t="s">
        <v>235</v>
      </c>
      <c r="B272" s="2" t="s">
        <v>532</v>
      </c>
      <c r="C272" s="2">
        <v>5845</v>
      </c>
      <c r="D272" s="2">
        <v>1044</v>
      </c>
      <c r="H272" s="140"/>
      <c r="I272" s="131" t="s">
        <v>841</v>
      </c>
      <c r="J272" s="130">
        <v>3072</v>
      </c>
      <c r="K272" s="130">
        <v>1706</v>
      </c>
      <c r="L272" s="140"/>
      <c r="M272" s="131" t="s">
        <v>908</v>
      </c>
      <c r="N272" s="130">
        <v>5970</v>
      </c>
      <c r="O272" s="130">
        <v>1221</v>
      </c>
      <c r="P272" s="139"/>
      <c r="Q272" s="67" t="s">
        <v>947</v>
      </c>
      <c r="R272" s="11">
        <v>6713</v>
      </c>
      <c r="S272" s="89">
        <v>295</v>
      </c>
    </row>
    <row r="273" spans="1:19" x14ac:dyDescent="0.25">
      <c r="A273" s="3" t="s">
        <v>235</v>
      </c>
      <c r="B273" s="2" t="s">
        <v>530</v>
      </c>
      <c r="C273" s="2">
        <v>5957</v>
      </c>
      <c r="D273" s="2">
        <v>822</v>
      </c>
      <c r="H273" s="138" t="s">
        <v>259</v>
      </c>
      <c r="I273" s="67" t="s">
        <v>1042</v>
      </c>
      <c r="J273" s="11">
        <v>7968</v>
      </c>
      <c r="K273" s="11">
        <v>657</v>
      </c>
      <c r="L273" s="138" t="s">
        <v>263</v>
      </c>
      <c r="M273" s="67" t="s">
        <v>1134</v>
      </c>
      <c r="N273" s="11">
        <v>7491</v>
      </c>
      <c r="O273" s="11">
        <v>420</v>
      </c>
      <c r="P273" s="139"/>
      <c r="Q273" s="67" t="s">
        <v>1013</v>
      </c>
      <c r="R273" s="11">
        <v>7445</v>
      </c>
      <c r="S273" s="89">
        <v>748</v>
      </c>
    </row>
    <row r="274" spans="1:19" x14ac:dyDescent="0.25">
      <c r="A274" s="3" t="s">
        <v>235</v>
      </c>
      <c r="B274" s="2" t="s">
        <v>1081</v>
      </c>
      <c r="C274" s="2">
        <v>5967</v>
      </c>
      <c r="D274" s="2">
        <v>971</v>
      </c>
      <c r="H274" s="139"/>
      <c r="I274" s="67" t="s">
        <v>842</v>
      </c>
      <c r="J274" s="11">
        <v>7926</v>
      </c>
      <c r="K274" s="11">
        <v>449</v>
      </c>
      <c r="L274" s="139"/>
      <c r="M274" s="67" t="s">
        <v>909</v>
      </c>
      <c r="N274" s="11">
        <v>7662</v>
      </c>
      <c r="O274" s="11">
        <v>249</v>
      </c>
      <c r="P274" s="139"/>
      <c r="Q274" s="67" t="s">
        <v>949</v>
      </c>
      <c r="R274" s="11">
        <v>6651</v>
      </c>
      <c r="S274" s="89">
        <v>543</v>
      </c>
    </row>
    <row r="275" spans="1:19" x14ac:dyDescent="0.25">
      <c r="A275" s="3" t="s">
        <v>235</v>
      </c>
      <c r="B275" s="2" t="s">
        <v>527</v>
      </c>
      <c r="C275" s="2">
        <v>5626</v>
      </c>
      <c r="D275" s="2">
        <v>1004</v>
      </c>
      <c r="H275" s="139"/>
      <c r="I275" s="67" t="s">
        <v>844</v>
      </c>
      <c r="J275" s="11">
        <v>8196</v>
      </c>
      <c r="K275" s="11">
        <v>638</v>
      </c>
      <c r="L275" s="139"/>
      <c r="M275" s="67" t="s">
        <v>910</v>
      </c>
      <c r="N275" s="11">
        <v>7563</v>
      </c>
      <c r="O275" s="11">
        <v>485</v>
      </c>
      <c r="P275" s="139"/>
      <c r="Q275" s="67" t="s">
        <v>950</v>
      </c>
      <c r="R275" s="11">
        <v>7724</v>
      </c>
      <c r="S275" s="89">
        <v>604</v>
      </c>
    </row>
    <row r="276" spans="1:19" x14ac:dyDescent="0.25">
      <c r="A276" s="3" t="s">
        <v>235</v>
      </c>
      <c r="B276" s="2" t="s">
        <v>533</v>
      </c>
      <c r="C276" s="2">
        <v>5956</v>
      </c>
      <c r="D276" s="2">
        <v>860</v>
      </c>
      <c r="H276" s="139"/>
      <c r="I276" s="67" t="s">
        <v>845</v>
      </c>
      <c r="J276" s="11">
        <v>7879</v>
      </c>
      <c r="K276" s="11">
        <v>909</v>
      </c>
      <c r="L276" s="140"/>
      <c r="M276" s="131" t="s">
        <v>1135</v>
      </c>
      <c r="N276" s="130">
        <v>7264</v>
      </c>
      <c r="O276" s="130">
        <v>281</v>
      </c>
      <c r="P276" s="139"/>
      <c r="Q276" s="67" t="s">
        <v>951</v>
      </c>
      <c r="R276" s="11">
        <v>7231</v>
      </c>
      <c r="S276" s="89">
        <v>322</v>
      </c>
    </row>
    <row r="277" spans="1:19" x14ac:dyDescent="0.25">
      <c r="A277" s="3" t="s">
        <v>235</v>
      </c>
      <c r="B277" s="2" t="s">
        <v>534</v>
      </c>
      <c r="C277" s="2">
        <v>5135</v>
      </c>
      <c r="D277" s="2">
        <v>1290</v>
      </c>
      <c r="H277" s="139"/>
      <c r="I277" s="67" t="s">
        <v>846</v>
      </c>
      <c r="J277" s="11">
        <v>8474</v>
      </c>
      <c r="K277" s="11">
        <v>735</v>
      </c>
      <c r="L277" s="138" t="s">
        <v>264</v>
      </c>
      <c r="M277" s="67" t="s">
        <v>912</v>
      </c>
      <c r="N277" s="11">
        <v>4953</v>
      </c>
      <c r="O277" s="11">
        <v>1011</v>
      </c>
      <c r="P277" s="139"/>
      <c r="Q277" s="67" t="s">
        <v>952</v>
      </c>
      <c r="R277" s="11">
        <v>7449</v>
      </c>
      <c r="S277" s="89">
        <v>432</v>
      </c>
    </row>
    <row r="278" spans="1:19" x14ac:dyDescent="0.25">
      <c r="A278" s="3" t="s">
        <v>236</v>
      </c>
      <c r="B278" s="2" t="s">
        <v>990</v>
      </c>
      <c r="C278" s="2">
        <v>6847</v>
      </c>
      <c r="D278" s="2">
        <v>707</v>
      </c>
      <c r="H278" s="139"/>
      <c r="I278" s="67" t="s">
        <v>847</v>
      </c>
      <c r="J278" s="11">
        <v>7079</v>
      </c>
      <c r="K278" s="11">
        <v>818</v>
      </c>
      <c r="L278" s="139"/>
      <c r="M278" s="67" t="s">
        <v>930</v>
      </c>
      <c r="N278" s="11">
        <v>5081</v>
      </c>
      <c r="O278" s="11">
        <v>754</v>
      </c>
      <c r="P278" s="139"/>
      <c r="Q278" s="67" t="s">
        <v>953</v>
      </c>
      <c r="R278" s="11">
        <v>7348</v>
      </c>
      <c r="S278" s="89">
        <v>545</v>
      </c>
    </row>
    <row r="279" spans="1:19" x14ac:dyDescent="0.25">
      <c r="A279" s="3" t="s">
        <v>236</v>
      </c>
      <c r="B279" s="2" t="s">
        <v>991</v>
      </c>
      <c r="C279" s="2">
        <v>6656</v>
      </c>
      <c r="D279" s="2">
        <v>865</v>
      </c>
      <c r="H279" s="139"/>
      <c r="I279" s="67" t="s">
        <v>848</v>
      </c>
      <c r="J279" s="11">
        <v>7203</v>
      </c>
      <c r="K279" s="11">
        <v>675</v>
      </c>
      <c r="L279" s="139"/>
      <c r="M279" s="67" t="s">
        <v>913</v>
      </c>
      <c r="N279" s="11">
        <v>3697</v>
      </c>
      <c r="O279" s="11">
        <v>1122</v>
      </c>
      <c r="P279" s="139"/>
      <c r="Q279" s="67" t="s">
        <v>954</v>
      </c>
      <c r="R279" s="11">
        <v>8772</v>
      </c>
      <c r="S279" s="89">
        <v>410</v>
      </c>
    </row>
    <row r="280" spans="1:19" x14ac:dyDescent="0.25">
      <c r="A280" s="3" t="s">
        <v>236</v>
      </c>
      <c r="B280" s="2" t="s">
        <v>992</v>
      </c>
      <c r="C280" s="2">
        <v>6699</v>
      </c>
      <c r="D280" s="2">
        <v>897</v>
      </c>
      <c r="H280" s="139"/>
      <c r="I280" s="67" t="s">
        <v>849</v>
      </c>
      <c r="J280" s="11">
        <v>7680</v>
      </c>
      <c r="K280" s="11">
        <v>680</v>
      </c>
      <c r="L280" s="139"/>
      <c r="M280" s="67" t="s">
        <v>914</v>
      </c>
      <c r="N280" s="11">
        <v>3707</v>
      </c>
      <c r="O280" s="11">
        <v>1678</v>
      </c>
      <c r="P280" s="139"/>
      <c r="Q280" s="67" t="s">
        <v>955</v>
      </c>
      <c r="R280" s="11">
        <v>8719</v>
      </c>
      <c r="S280" s="89">
        <v>401</v>
      </c>
    </row>
    <row r="281" spans="1:19" x14ac:dyDescent="0.25">
      <c r="A281" s="3" t="s">
        <v>236</v>
      </c>
      <c r="B281" s="2" t="s">
        <v>1070</v>
      </c>
      <c r="C281" s="2">
        <v>5680</v>
      </c>
      <c r="D281" s="2">
        <v>1465</v>
      </c>
      <c r="H281" s="139"/>
      <c r="I281" s="67" t="s">
        <v>1125</v>
      </c>
      <c r="J281" s="11">
        <v>8803</v>
      </c>
      <c r="K281" s="11">
        <v>422</v>
      </c>
      <c r="L281" s="139"/>
      <c r="M281" s="67" t="s">
        <v>915</v>
      </c>
      <c r="N281" s="11">
        <v>4084</v>
      </c>
      <c r="O281" s="11">
        <v>1323</v>
      </c>
      <c r="P281" s="139"/>
      <c r="Q281" s="67" t="s">
        <v>961</v>
      </c>
      <c r="R281" s="11">
        <v>8013</v>
      </c>
      <c r="S281" s="89">
        <v>380</v>
      </c>
    </row>
    <row r="282" spans="1:19" x14ac:dyDescent="0.25">
      <c r="A282" s="3" t="s">
        <v>236</v>
      </c>
      <c r="B282" s="2" t="s">
        <v>483</v>
      </c>
      <c r="C282" s="2">
        <v>6880</v>
      </c>
      <c r="D282" s="2">
        <v>899</v>
      </c>
      <c r="H282" s="140"/>
      <c r="I282" s="131" t="s">
        <v>843</v>
      </c>
      <c r="J282" s="130">
        <v>7058</v>
      </c>
      <c r="K282" s="130">
        <v>996</v>
      </c>
      <c r="L282" s="139"/>
      <c r="M282" s="67" t="s">
        <v>1129</v>
      </c>
      <c r="N282" s="11">
        <v>3096</v>
      </c>
      <c r="O282" s="11">
        <v>1557</v>
      </c>
      <c r="P282" s="139"/>
      <c r="Q282" s="67" t="s">
        <v>956</v>
      </c>
      <c r="R282" s="11">
        <v>8638</v>
      </c>
      <c r="S282" s="89">
        <v>337</v>
      </c>
    </row>
    <row r="283" spans="1:19" x14ac:dyDescent="0.25">
      <c r="A283" s="3" t="s">
        <v>236</v>
      </c>
      <c r="B283" s="2" t="s">
        <v>484</v>
      </c>
      <c r="C283" s="2">
        <v>6900</v>
      </c>
      <c r="D283" s="2">
        <v>714</v>
      </c>
      <c r="H283" s="138" t="s">
        <v>1009</v>
      </c>
      <c r="I283" s="67" t="s">
        <v>850</v>
      </c>
      <c r="J283" s="11">
        <v>4439</v>
      </c>
      <c r="K283" s="11">
        <v>971</v>
      </c>
      <c r="L283" s="139"/>
      <c r="M283" s="67" t="s">
        <v>929</v>
      </c>
      <c r="N283" s="11">
        <v>4531</v>
      </c>
      <c r="O283" s="11">
        <v>1420</v>
      </c>
      <c r="P283" s="139"/>
      <c r="Q283" s="67" t="s">
        <v>957</v>
      </c>
      <c r="R283" s="11">
        <v>8823</v>
      </c>
      <c r="S283" s="89">
        <v>437</v>
      </c>
    </row>
    <row r="284" spans="1:19" x14ac:dyDescent="0.25">
      <c r="A284" s="3" t="s">
        <v>236</v>
      </c>
      <c r="B284" s="2" t="s">
        <v>485</v>
      </c>
      <c r="C284" s="2">
        <v>6028</v>
      </c>
      <c r="D284" s="2">
        <v>1252</v>
      </c>
      <c r="H284" s="139"/>
      <c r="I284" s="67" t="s">
        <v>851</v>
      </c>
      <c r="J284" s="11">
        <v>3224</v>
      </c>
      <c r="K284" s="11">
        <v>1657</v>
      </c>
      <c r="L284" s="139"/>
      <c r="M284" s="67" t="s">
        <v>917</v>
      </c>
      <c r="N284" s="11">
        <v>4195</v>
      </c>
      <c r="O284" s="11">
        <v>1437</v>
      </c>
      <c r="P284" s="139"/>
      <c r="Q284" s="67" t="s">
        <v>958</v>
      </c>
      <c r="R284" s="11">
        <v>8706</v>
      </c>
      <c r="S284" s="89">
        <v>420</v>
      </c>
    </row>
    <row r="285" spans="1:19" x14ac:dyDescent="0.25">
      <c r="A285" s="3" t="s">
        <v>236</v>
      </c>
      <c r="B285" s="2" t="s">
        <v>486</v>
      </c>
      <c r="C285" s="2">
        <v>6765</v>
      </c>
      <c r="D285" s="2">
        <v>733</v>
      </c>
      <c r="H285" s="139"/>
      <c r="I285" s="67" t="s">
        <v>852</v>
      </c>
      <c r="J285" s="11">
        <v>3976</v>
      </c>
      <c r="K285" s="11">
        <v>933</v>
      </c>
      <c r="L285" s="139"/>
      <c r="M285" s="67" t="s">
        <v>916</v>
      </c>
      <c r="N285" s="11">
        <v>5459</v>
      </c>
      <c r="O285" s="11">
        <v>604</v>
      </c>
      <c r="P285" s="139"/>
      <c r="Q285" s="67" t="s">
        <v>959</v>
      </c>
      <c r="R285" s="11">
        <v>7301</v>
      </c>
      <c r="S285" s="89">
        <v>424</v>
      </c>
    </row>
    <row r="286" spans="1:19" x14ac:dyDescent="0.25">
      <c r="A286" s="3" t="s">
        <v>236</v>
      </c>
      <c r="B286" s="2" t="s">
        <v>487</v>
      </c>
      <c r="C286" s="2">
        <v>6072</v>
      </c>
      <c r="D286" s="2">
        <v>1319</v>
      </c>
      <c r="H286" s="139"/>
      <c r="I286" s="67" t="s">
        <v>853</v>
      </c>
      <c r="J286" s="11">
        <v>3723</v>
      </c>
      <c r="K286" s="11">
        <v>1896</v>
      </c>
      <c r="L286" s="139"/>
      <c r="M286" s="67" t="s">
        <v>1131</v>
      </c>
      <c r="N286" s="11">
        <v>6585</v>
      </c>
      <c r="O286" s="11">
        <v>254</v>
      </c>
      <c r="P286" s="139"/>
      <c r="Q286" s="67" t="s">
        <v>1137</v>
      </c>
      <c r="R286" s="11">
        <v>6864</v>
      </c>
      <c r="S286" s="89">
        <v>674</v>
      </c>
    </row>
    <row r="287" spans="1:19" x14ac:dyDescent="0.25">
      <c r="A287" s="3" t="s">
        <v>236</v>
      </c>
      <c r="B287" s="2" t="s">
        <v>1071</v>
      </c>
      <c r="C287" s="2">
        <v>6895</v>
      </c>
      <c r="D287" s="2">
        <v>1019</v>
      </c>
      <c r="H287" s="139"/>
      <c r="I287" s="67" t="s">
        <v>1127</v>
      </c>
      <c r="J287" s="11">
        <v>3339</v>
      </c>
      <c r="K287" s="11">
        <v>1404</v>
      </c>
      <c r="L287" s="139"/>
      <c r="M287" s="67" t="s">
        <v>918</v>
      </c>
      <c r="N287" s="11">
        <v>5242</v>
      </c>
      <c r="O287" s="11">
        <v>1189</v>
      </c>
      <c r="P287" s="140"/>
      <c r="Q287" s="131" t="s">
        <v>960</v>
      </c>
      <c r="R287" s="130">
        <v>7821</v>
      </c>
      <c r="S287" s="134">
        <v>658</v>
      </c>
    </row>
    <row r="288" spans="1:19" x14ac:dyDescent="0.25">
      <c r="A288" s="3" t="s">
        <v>236</v>
      </c>
      <c r="B288" s="2" t="s">
        <v>488</v>
      </c>
      <c r="C288" s="2">
        <v>5864</v>
      </c>
      <c r="D288" s="2">
        <v>969</v>
      </c>
      <c r="H288" s="139"/>
      <c r="I288" s="67" t="s">
        <v>1126</v>
      </c>
      <c r="J288" s="11">
        <v>3959</v>
      </c>
      <c r="K288" s="11">
        <v>1482</v>
      </c>
      <c r="L288" s="139"/>
      <c r="M288" s="67" t="s">
        <v>919</v>
      </c>
      <c r="N288" s="11">
        <v>4239</v>
      </c>
      <c r="O288" s="11">
        <v>1305</v>
      </c>
      <c r="P288" s="138" t="s">
        <v>267</v>
      </c>
      <c r="Q288" s="67" t="s">
        <v>971</v>
      </c>
      <c r="R288" s="11">
        <v>7409</v>
      </c>
      <c r="S288" s="89">
        <v>440</v>
      </c>
    </row>
    <row r="289" spans="1:19" x14ac:dyDescent="0.25">
      <c r="A289" s="3" t="s">
        <v>236</v>
      </c>
      <c r="B289" s="2" t="s">
        <v>489</v>
      </c>
      <c r="C289" s="2">
        <v>6150</v>
      </c>
      <c r="D289" s="2">
        <v>983</v>
      </c>
      <c r="H289" s="139"/>
      <c r="I289" s="67" t="s">
        <v>854</v>
      </c>
      <c r="J289" s="11">
        <v>2999</v>
      </c>
      <c r="K289" s="11">
        <v>2134</v>
      </c>
      <c r="L289" s="139"/>
      <c r="M289" s="67" t="s">
        <v>920</v>
      </c>
      <c r="N289" s="11">
        <v>5160</v>
      </c>
      <c r="O289" s="11">
        <v>935</v>
      </c>
      <c r="P289" s="139"/>
      <c r="Q289" s="67" t="s">
        <v>972</v>
      </c>
      <c r="R289" s="11">
        <v>7362</v>
      </c>
      <c r="S289" s="89">
        <v>265</v>
      </c>
    </row>
    <row r="290" spans="1:19" x14ac:dyDescent="0.25">
      <c r="A290" s="3" t="s">
        <v>236</v>
      </c>
      <c r="B290" s="2" t="s">
        <v>490</v>
      </c>
      <c r="C290" s="2">
        <v>6125</v>
      </c>
      <c r="D290" s="2">
        <v>978</v>
      </c>
      <c r="H290" s="140"/>
      <c r="I290" s="131" t="s">
        <v>855</v>
      </c>
      <c r="J290" s="130">
        <v>3737</v>
      </c>
      <c r="K290" s="130">
        <v>1751</v>
      </c>
      <c r="L290" s="139"/>
      <c r="M290" s="67" t="s">
        <v>1130</v>
      </c>
      <c r="N290" s="11">
        <v>4817</v>
      </c>
      <c r="O290" s="11">
        <v>744</v>
      </c>
      <c r="P290" s="139"/>
      <c r="Q290" s="67" t="s">
        <v>973</v>
      </c>
      <c r="R290" s="11">
        <v>7131</v>
      </c>
      <c r="S290" s="89">
        <v>436</v>
      </c>
    </row>
    <row r="291" spans="1:19" x14ac:dyDescent="0.25">
      <c r="A291" s="3" t="s">
        <v>236</v>
      </c>
      <c r="B291" s="2" t="s">
        <v>491</v>
      </c>
      <c r="C291" s="2">
        <v>6571</v>
      </c>
      <c r="D291" s="2">
        <v>1057</v>
      </c>
      <c r="H291" s="138" t="s">
        <v>261</v>
      </c>
      <c r="I291" s="67" t="s">
        <v>858</v>
      </c>
      <c r="J291" s="11">
        <v>2968</v>
      </c>
      <c r="K291" s="11">
        <v>2302</v>
      </c>
      <c r="L291" s="139"/>
      <c r="M291" s="67" t="s">
        <v>921</v>
      </c>
      <c r="N291" s="11">
        <v>4496</v>
      </c>
      <c r="O291" s="11">
        <v>1133</v>
      </c>
      <c r="P291" s="139"/>
      <c r="Q291" s="67" t="s">
        <v>974</v>
      </c>
      <c r="R291" s="11">
        <v>8339</v>
      </c>
      <c r="S291" s="89">
        <v>188</v>
      </c>
    </row>
    <row r="292" spans="1:19" x14ac:dyDescent="0.25">
      <c r="A292" s="3" t="s">
        <v>236</v>
      </c>
      <c r="B292" s="2" t="s">
        <v>492</v>
      </c>
      <c r="C292" s="2">
        <v>6493</v>
      </c>
      <c r="D292" s="2">
        <v>1121</v>
      </c>
      <c r="H292" s="139"/>
      <c r="I292" s="67" t="s">
        <v>859</v>
      </c>
      <c r="J292" s="11">
        <v>912</v>
      </c>
      <c r="K292" s="11">
        <v>4033</v>
      </c>
      <c r="L292" s="139"/>
      <c r="M292" s="67" t="s">
        <v>922</v>
      </c>
      <c r="N292" s="11">
        <v>3857</v>
      </c>
      <c r="O292" s="11">
        <v>1387</v>
      </c>
      <c r="P292" s="139"/>
      <c r="Q292" s="67" t="s">
        <v>975</v>
      </c>
      <c r="R292" s="11">
        <v>6992</v>
      </c>
      <c r="S292" s="89">
        <v>767</v>
      </c>
    </row>
    <row r="293" spans="1:19" x14ac:dyDescent="0.25">
      <c r="A293" s="3" t="s">
        <v>236</v>
      </c>
      <c r="B293" s="2" t="s">
        <v>493</v>
      </c>
      <c r="C293" s="2">
        <v>7516</v>
      </c>
      <c r="D293" s="2">
        <v>525</v>
      </c>
      <c r="H293" s="139"/>
      <c r="I293" s="67" t="s">
        <v>860</v>
      </c>
      <c r="J293" s="11">
        <v>4130</v>
      </c>
      <c r="K293" s="11">
        <v>1412</v>
      </c>
      <c r="L293" s="139"/>
      <c r="M293" s="67" t="s">
        <v>923</v>
      </c>
      <c r="N293" s="11">
        <v>3436</v>
      </c>
      <c r="O293" s="11">
        <v>1705</v>
      </c>
      <c r="P293" s="139"/>
      <c r="Q293" s="67" t="s">
        <v>976</v>
      </c>
      <c r="R293" s="11">
        <v>9670</v>
      </c>
      <c r="S293" s="89">
        <v>15</v>
      </c>
    </row>
    <row r="294" spans="1:19" x14ac:dyDescent="0.25">
      <c r="A294" s="3" t="s">
        <v>236</v>
      </c>
      <c r="B294" s="2" t="s">
        <v>494</v>
      </c>
      <c r="C294" s="2">
        <v>8458</v>
      </c>
      <c r="D294" s="2">
        <v>551</v>
      </c>
      <c r="H294" s="139"/>
      <c r="I294" s="67" t="s">
        <v>1056</v>
      </c>
      <c r="J294" s="11">
        <v>1269</v>
      </c>
      <c r="K294" s="11">
        <v>2884</v>
      </c>
      <c r="L294" s="139"/>
      <c r="M294" s="67" t="s">
        <v>1132</v>
      </c>
      <c r="N294" s="11">
        <v>3411</v>
      </c>
      <c r="O294" s="11">
        <v>1630</v>
      </c>
      <c r="P294" s="139"/>
      <c r="Q294" s="67" t="s">
        <v>977</v>
      </c>
      <c r="R294" s="11">
        <v>7477</v>
      </c>
      <c r="S294" s="89">
        <v>432</v>
      </c>
    </row>
    <row r="295" spans="1:19" x14ac:dyDescent="0.25">
      <c r="A295" s="3" t="s">
        <v>236</v>
      </c>
      <c r="B295" s="2" t="s">
        <v>1072</v>
      </c>
      <c r="C295" s="2">
        <v>6031</v>
      </c>
      <c r="D295" s="2">
        <v>1093</v>
      </c>
      <c r="H295" s="139"/>
      <c r="I295" s="67" t="s">
        <v>861</v>
      </c>
      <c r="J295" s="11">
        <v>750</v>
      </c>
      <c r="K295" s="11">
        <v>3867</v>
      </c>
      <c r="L295" s="139"/>
      <c r="M295" s="67" t="s">
        <v>1133</v>
      </c>
      <c r="N295" s="11">
        <v>3557</v>
      </c>
      <c r="O295" s="11">
        <v>1400</v>
      </c>
      <c r="P295" s="139"/>
      <c r="Q295" s="67" t="s">
        <v>978</v>
      </c>
      <c r="R295" s="11">
        <v>7799</v>
      </c>
      <c r="S295" s="89">
        <v>111</v>
      </c>
    </row>
    <row r="296" spans="1:19" x14ac:dyDescent="0.25">
      <c r="A296" s="3" t="s">
        <v>236</v>
      </c>
      <c r="B296" s="2" t="s">
        <v>495</v>
      </c>
      <c r="C296" s="2">
        <v>7177</v>
      </c>
      <c r="D296" s="2">
        <v>825</v>
      </c>
      <c r="H296" s="139"/>
      <c r="I296" s="67" t="s">
        <v>862</v>
      </c>
      <c r="J296" s="11">
        <v>3258</v>
      </c>
      <c r="K296" s="11">
        <v>2007</v>
      </c>
      <c r="L296" s="139"/>
      <c r="M296" s="67" t="s">
        <v>925</v>
      </c>
      <c r="N296" s="11">
        <v>3336</v>
      </c>
      <c r="O296" s="11">
        <v>1539</v>
      </c>
      <c r="P296" s="139"/>
      <c r="Q296" s="67" t="s">
        <v>979</v>
      </c>
      <c r="R296" s="11">
        <v>7392</v>
      </c>
      <c r="S296" s="89">
        <v>289</v>
      </c>
    </row>
    <row r="297" spans="1:19" x14ac:dyDescent="0.25">
      <c r="A297" s="3" t="s">
        <v>236</v>
      </c>
      <c r="B297" s="2" t="s">
        <v>496</v>
      </c>
      <c r="C297" s="2">
        <v>5277</v>
      </c>
      <c r="D297" s="2">
        <v>1148</v>
      </c>
      <c r="H297" s="139"/>
      <c r="I297" s="67" t="s">
        <v>863</v>
      </c>
      <c r="J297" s="11">
        <v>1646</v>
      </c>
      <c r="K297" s="11">
        <v>2670</v>
      </c>
      <c r="L297" s="139"/>
      <c r="M297" s="67" t="s">
        <v>926</v>
      </c>
      <c r="N297" s="11">
        <v>4109</v>
      </c>
      <c r="O297" s="11">
        <v>1232</v>
      </c>
      <c r="P297" s="139"/>
      <c r="Q297" s="67" t="s">
        <v>980</v>
      </c>
      <c r="R297" s="11">
        <v>7579</v>
      </c>
      <c r="S297" s="89">
        <v>708</v>
      </c>
    </row>
    <row r="298" spans="1:19" x14ac:dyDescent="0.25">
      <c r="A298" s="3" t="s">
        <v>236</v>
      </c>
      <c r="B298" s="2" t="s">
        <v>497</v>
      </c>
      <c r="C298" s="2">
        <v>5496</v>
      </c>
      <c r="D298" s="2">
        <v>1208</v>
      </c>
      <c r="H298" s="139"/>
      <c r="I298" s="67" t="s">
        <v>864</v>
      </c>
      <c r="J298" s="11">
        <v>934</v>
      </c>
      <c r="K298" s="11">
        <v>3313</v>
      </c>
      <c r="L298" s="139"/>
      <c r="M298" s="67" t="s">
        <v>927</v>
      </c>
      <c r="N298" s="11">
        <v>3883</v>
      </c>
      <c r="O298" s="11">
        <v>1493</v>
      </c>
      <c r="P298" s="139"/>
      <c r="Q298" s="67" t="s">
        <v>981</v>
      </c>
      <c r="R298" s="11">
        <v>7971</v>
      </c>
      <c r="S298" s="89">
        <v>191</v>
      </c>
    </row>
    <row r="299" spans="1:19" x14ac:dyDescent="0.25">
      <c r="A299" s="3" t="s">
        <v>236</v>
      </c>
      <c r="B299" s="2" t="s">
        <v>1073</v>
      </c>
      <c r="C299" s="2">
        <v>5891</v>
      </c>
      <c r="D299" s="2">
        <v>1265</v>
      </c>
      <c r="H299" s="139"/>
      <c r="I299" s="67" t="s">
        <v>865</v>
      </c>
      <c r="J299" s="11">
        <v>918</v>
      </c>
      <c r="K299" s="11">
        <v>3848</v>
      </c>
      <c r="L299" s="139"/>
      <c r="M299" s="67" t="s">
        <v>928</v>
      </c>
      <c r="N299" s="11">
        <v>4246</v>
      </c>
      <c r="O299" s="11">
        <v>1552</v>
      </c>
      <c r="P299" s="139"/>
      <c r="Q299" s="67" t="s">
        <v>982</v>
      </c>
      <c r="R299" s="11">
        <v>7215</v>
      </c>
      <c r="S299" s="89">
        <v>399</v>
      </c>
    </row>
    <row r="300" spans="1:19" x14ac:dyDescent="0.25">
      <c r="A300" s="3" t="s">
        <v>236</v>
      </c>
      <c r="B300" s="2" t="s">
        <v>498</v>
      </c>
      <c r="C300" s="2">
        <v>6122</v>
      </c>
      <c r="D300" s="2">
        <v>871</v>
      </c>
      <c r="H300" s="139"/>
      <c r="I300" s="67" t="s">
        <v>867</v>
      </c>
      <c r="J300" s="11">
        <v>5029</v>
      </c>
      <c r="K300" s="11">
        <v>1041</v>
      </c>
      <c r="L300" s="139"/>
      <c r="M300" s="67" t="s">
        <v>924</v>
      </c>
      <c r="N300" s="11">
        <v>3336</v>
      </c>
      <c r="O300" s="11">
        <v>1539</v>
      </c>
      <c r="P300" s="139"/>
      <c r="Q300" s="67" t="s">
        <v>1015</v>
      </c>
      <c r="R300" s="11">
        <v>7285</v>
      </c>
      <c r="S300" s="89">
        <v>611</v>
      </c>
    </row>
    <row r="301" spans="1:19" x14ac:dyDescent="0.25">
      <c r="A301" s="3" t="s">
        <v>236</v>
      </c>
      <c r="B301" s="2" t="s">
        <v>499</v>
      </c>
      <c r="C301" s="2">
        <v>7927</v>
      </c>
      <c r="D301" s="2">
        <v>639</v>
      </c>
      <c r="H301" s="140"/>
      <c r="I301" s="131" t="s">
        <v>868</v>
      </c>
      <c r="J301" s="130">
        <v>2333</v>
      </c>
      <c r="K301" s="130">
        <v>2678</v>
      </c>
      <c r="L301" s="140"/>
      <c r="M301" s="143" t="s">
        <v>931</v>
      </c>
      <c r="N301" s="130">
        <v>4921</v>
      </c>
      <c r="O301" s="130">
        <v>1113</v>
      </c>
      <c r="P301" s="135"/>
      <c r="Q301" s="129"/>
      <c r="R301" s="129"/>
      <c r="S301" s="107"/>
    </row>
    <row r="302" spans="1:19" x14ac:dyDescent="0.25">
      <c r="A302" s="3" t="s">
        <v>236</v>
      </c>
      <c r="B302" s="2" t="s">
        <v>1074</v>
      </c>
      <c r="C302" s="2">
        <v>6857</v>
      </c>
      <c r="D302" s="2">
        <v>744</v>
      </c>
      <c r="H302" s="11"/>
      <c r="I302" s="67"/>
    </row>
    <row r="303" spans="1:19" x14ac:dyDescent="0.25">
      <c r="A303" s="3" t="s">
        <v>236</v>
      </c>
      <c r="B303" s="2" t="s">
        <v>500</v>
      </c>
      <c r="C303" s="2">
        <v>6206</v>
      </c>
      <c r="D303" s="2">
        <v>1026</v>
      </c>
      <c r="H303" s="11"/>
      <c r="I303" s="67"/>
    </row>
    <row r="304" spans="1:19" x14ac:dyDescent="0.25">
      <c r="A304" s="3" t="s">
        <v>236</v>
      </c>
      <c r="B304" s="2" t="s">
        <v>1075</v>
      </c>
      <c r="C304" s="2">
        <v>6207</v>
      </c>
      <c r="D304" s="2">
        <v>816</v>
      </c>
      <c r="H304" s="1"/>
    </row>
    <row r="305" spans="1:8" x14ac:dyDescent="0.25">
      <c r="A305" s="3" t="s">
        <v>236</v>
      </c>
      <c r="B305" s="2" t="s">
        <v>501</v>
      </c>
      <c r="C305" s="2">
        <v>6483</v>
      </c>
      <c r="D305" s="2">
        <v>644</v>
      </c>
    </row>
    <row r="306" spans="1:8" x14ac:dyDescent="0.25">
      <c r="A306" s="3" t="s">
        <v>236</v>
      </c>
      <c r="B306" s="2" t="s">
        <v>502</v>
      </c>
      <c r="C306" s="2">
        <v>6867</v>
      </c>
      <c r="D306" s="2">
        <v>865</v>
      </c>
    </row>
    <row r="307" spans="1:8" x14ac:dyDescent="0.25">
      <c r="A307" s="3" t="s">
        <v>236</v>
      </c>
      <c r="B307" s="2" t="s">
        <v>503</v>
      </c>
      <c r="C307" s="2">
        <v>6647</v>
      </c>
      <c r="D307" s="2">
        <v>875</v>
      </c>
    </row>
    <row r="308" spans="1:8" x14ac:dyDescent="0.25">
      <c r="A308" s="3" t="s">
        <v>236</v>
      </c>
      <c r="B308" s="2" t="s">
        <v>504</v>
      </c>
      <c r="C308" s="2">
        <v>5959</v>
      </c>
      <c r="D308" s="2">
        <v>1203</v>
      </c>
    </row>
    <row r="309" spans="1:8" x14ac:dyDescent="0.25">
      <c r="A309" s="3" t="s">
        <v>236</v>
      </c>
      <c r="B309" s="2" t="s">
        <v>505</v>
      </c>
      <c r="C309" s="2">
        <v>6939</v>
      </c>
      <c r="D309" s="2">
        <v>723</v>
      </c>
    </row>
    <row r="310" spans="1:8" x14ac:dyDescent="0.25">
      <c r="A310" s="3" t="s">
        <v>236</v>
      </c>
      <c r="B310" s="2" t="s">
        <v>506</v>
      </c>
      <c r="C310" s="2">
        <v>6233</v>
      </c>
      <c r="D310" s="2">
        <v>1258</v>
      </c>
    </row>
    <row r="311" spans="1:8" x14ac:dyDescent="0.25">
      <c r="A311" s="3" t="s">
        <v>236</v>
      </c>
      <c r="B311" s="2" t="s">
        <v>507</v>
      </c>
      <c r="C311" s="2">
        <v>6796</v>
      </c>
      <c r="D311" s="2">
        <v>936</v>
      </c>
    </row>
    <row r="312" spans="1:8" x14ac:dyDescent="0.25">
      <c r="A312" s="3" t="s">
        <v>236</v>
      </c>
      <c r="B312" s="2" t="s">
        <v>508</v>
      </c>
      <c r="C312" s="2">
        <v>8206</v>
      </c>
      <c r="D312" s="2">
        <v>592</v>
      </c>
    </row>
    <row r="313" spans="1:8" x14ac:dyDescent="0.25">
      <c r="A313" s="3" t="s">
        <v>236</v>
      </c>
      <c r="B313" s="2" t="s">
        <v>509</v>
      </c>
      <c r="C313" s="2">
        <v>6982</v>
      </c>
      <c r="D313" s="2">
        <v>821</v>
      </c>
    </row>
    <row r="314" spans="1:8" x14ac:dyDescent="0.25">
      <c r="A314" s="3" t="s">
        <v>236</v>
      </c>
      <c r="B314" s="2" t="s">
        <v>1076</v>
      </c>
      <c r="C314" s="2">
        <v>6249</v>
      </c>
      <c r="D314" s="2">
        <v>991</v>
      </c>
    </row>
    <row r="315" spans="1:8" x14ac:dyDescent="0.25">
      <c r="A315" s="3" t="s">
        <v>236</v>
      </c>
      <c r="B315" s="2" t="s">
        <v>510</v>
      </c>
      <c r="C315" s="2">
        <v>7257</v>
      </c>
      <c r="D315" s="2">
        <v>827</v>
      </c>
    </row>
    <row r="316" spans="1:8" x14ac:dyDescent="0.25">
      <c r="A316" s="3" t="s">
        <v>236</v>
      </c>
      <c r="B316" s="2" t="s">
        <v>511</v>
      </c>
      <c r="C316" s="2">
        <v>6376</v>
      </c>
      <c r="D316" s="2">
        <v>1099</v>
      </c>
      <c r="H316" s="1"/>
    </row>
    <row r="317" spans="1:8" x14ac:dyDescent="0.25">
      <c r="A317" s="3" t="s">
        <v>237</v>
      </c>
      <c r="B317" s="2" t="s">
        <v>995</v>
      </c>
      <c r="C317" s="2">
        <v>4458</v>
      </c>
      <c r="D317" s="2">
        <v>1804</v>
      </c>
    </row>
    <row r="318" spans="1:8" x14ac:dyDescent="0.25">
      <c r="A318" s="3" t="s">
        <v>237</v>
      </c>
      <c r="B318" s="2" t="s">
        <v>535</v>
      </c>
      <c r="C318" s="2">
        <v>4890</v>
      </c>
      <c r="D318" s="2">
        <v>1632</v>
      </c>
    </row>
    <row r="319" spans="1:8" x14ac:dyDescent="0.25">
      <c r="A319" s="3" t="s">
        <v>237</v>
      </c>
      <c r="B319" s="2" t="s">
        <v>536</v>
      </c>
      <c r="C319" s="2">
        <v>4969</v>
      </c>
      <c r="D319" s="2">
        <v>1457</v>
      </c>
    </row>
    <row r="320" spans="1:8" x14ac:dyDescent="0.25">
      <c r="A320" s="3" t="s">
        <v>237</v>
      </c>
      <c r="B320" s="2" t="s">
        <v>537</v>
      </c>
      <c r="C320" s="2">
        <v>5717</v>
      </c>
      <c r="D320" s="2">
        <v>1458</v>
      </c>
    </row>
    <row r="321" spans="1:8" x14ac:dyDescent="0.25">
      <c r="A321" s="3" t="s">
        <v>237</v>
      </c>
      <c r="B321" s="2" t="s">
        <v>539</v>
      </c>
      <c r="C321" s="2">
        <v>5180</v>
      </c>
      <c r="D321" s="2">
        <v>1240</v>
      </c>
    </row>
    <row r="322" spans="1:8" x14ac:dyDescent="0.25">
      <c r="A322" s="3" t="s">
        <v>237</v>
      </c>
      <c r="B322" s="2" t="s">
        <v>540</v>
      </c>
      <c r="C322" s="2">
        <v>5915</v>
      </c>
      <c r="D322" s="2">
        <v>915</v>
      </c>
    </row>
    <row r="323" spans="1:8" x14ac:dyDescent="0.25">
      <c r="A323" s="3" t="s">
        <v>237</v>
      </c>
      <c r="B323" s="2" t="s">
        <v>541</v>
      </c>
      <c r="C323" s="2">
        <v>4891.5</v>
      </c>
      <c r="D323" s="2">
        <v>1417</v>
      </c>
    </row>
    <row r="324" spans="1:8" x14ac:dyDescent="0.25">
      <c r="A324" s="3" t="s">
        <v>237</v>
      </c>
      <c r="B324" s="2" t="s">
        <v>542</v>
      </c>
      <c r="C324" s="2">
        <v>5021</v>
      </c>
      <c r="D324" s="2">
        <v>1558</v>
      </c>
    </row>
    <row r="325" spans="1:8" x14ac:dyDescent="0.25">
      <c r="A325" s="3" t="s">
        <v>237</v>
      </c>
      <c r="B325" s="2" t="s">
        <v>543</v>
      </c>
      <c r="C325" s="2">
        <v>5597</v>
      </c>
      <c r="D325" s="2">
        <v>1192</v>
      </c>
    </row>
    <row r="326" spans="1:8" x14ac:dyDescent="0.25">
      <c r="A326" s="3" t="s">
        <v>237</v>
      </c>
      <c r="B326" s="2" t="s">
        <v>1082</v>
      </c>
      <c r="C326" s="2">
        <v>4591</v>
      </c>
      <c r="D326" s="2">
        <v>1552</v>
      </c>
    </row>
    <row r="327" spans="1:8" x14ac:dyDescent="0.25">
      <c r="A327" s="3" t="s">
        <v>237</v>
      </c>
      <c r="B327" s="2" t="s">
        <v>538</v>
      </c>
      <c r="C327" s="2">
        <v>4528</v>
      </c>
      <c r="D327" s="2">
        <v>1600</v>
      </c>
    </row>
    <row r="328" spans="1:8" x14ac:dyDescent="0.25">
      <c r="A328" s="3" t="s">
        <v>237</v>
      </c>
      <c r="B328" s="2" t="s">
        <v>545</v>
      </c>
      <c r="C328" s="2">
        <v>4810</v>
      </c>
      <c r="D328" s="2">
        <v>1410</v>
      </c>
    </row>
    <row r="329" spans="1:8" x14ac:dyDescent="0.25">
      <c r="A329" s="3" t="s">
        <v>237</v>
      </c>
      <c r="B329" s="2" t="s">
        <v>546</v>
      </c>
      <c r="C329" s="2">
        <v>5013</v>
      </c>
      <c r="D329" s="2">
        <v>1652</v>
      </c>
    </row>
    <row r="330" spans="1:8" x14ac:dyDescent="0.25">
      <c r="A330" s="3" t="s">
        <v>237</v>
      </c>
      <c r="B330" s="2" t="s">
        <v>1083</v>
      </c>
      <c r="C330" s="2">
        <v>5023</v>
      </c>
      <c r="D330" s="2">
        <v>1400</v>
      </c>
    </row>
    <row r="331" spans="1:8" x14ac:dyDescent="0.25">
      <c r="A331" s="3" t="s">
        <v>237</v>
      </c>
      <c r="B331" s="2" t="s">
        <v>548</v>
      </c>
      <c r="C331" s="2">
        <v>4598</v>
      </c>
      <c r="D331" s="2">
        <v>1437</v>
      </c>
      <c r="H331" s="1"/>
    </row>
    <row r="332" spans="1:8" x14ac:dyDescent="0.25">
      <c r="A332" s="3" t="s">
        <v>237</v>
      </c>
      <c r="B332" s="2" t="s">
        <v>549</v>
      </c>
      <c r="C332" s="2">
        <v>5005</v>
      </c>
      <c r="D332" s="2">
        <v>1436</v>
      </c>
    </row>
    <row r="333" spans="1:8" x14ac:dyDescent="0.25">
      <c r="A333" s="3" t="s">
        <v>237</v>
      </c>
      <c r="B333" s="2" t="s">
        <v>550</v>
      </c>
      <c r="C333" s="2">
        <v>4660</v>
      </c>
      <c r="D333" s="2">
        <v>1787</v>
      </c>
    </row>
    <row r="334" spans="1:8" x14ac:dyDescent="0.25">
      <c r="A334" s="3" t="s">
        <v>237</v>
      </c>
      <c r="B334" s="2" t="s">
        <v>996</v>
      </c>
      <c r="C334" s="2">
        <v>4953</v>
      </c>
      <c r="D334" s="2">
        <v>1315</v>
      </c>
    </row>
    <row r="335" spans="1:8" x14ac:dyDescent="0.25">
      <c r="A335" s="3" t="s">
        <v>237</v>
      </c>
      <c r="B335" s="2" t="s">
        <v>547</v>
      </c>
      <c r="C335" s="2">
        <v>4324</v>
      </c>
      <c r="D335" s="2">
        <v>1554</v>
      </c>
    </row>
    <row r="336" spans="1:8" x14ac:dyDescent="0.25">
      <c r="A336" s="3" t="s">
        <v>238</v>
      </c>
      <c r="B336" s="2" t="s">
        <v>551</v>
      </c>
      <c r="C336" s="2">
        <v>4380</v>
      </c>
      <c r="D336" s="2">
        <v>1410</v>
      </c>
    </row>
    <row r="337" spans="1:8" x14ac:dyDescent="0.25">
      <c r="A337" s="3" t="s">
        <v>238</v>
      </c>
      <c r="B337" s="2" t="s">
        <v>997</v>
      </c>
      <c r="C337" s="2">
        <v>4918</v>
      </c>
      <c r="D337" s="2">
        <v>1283</v>
      </c>
    </row>
    <row r="338" spans="1:8" x14ac:dyDescent="0.25">
      <c r="A338" s="3" t="s">
        <v>238</v>
      </c>
      <c r="B338" s="2" t="s">
        <v>552</v>
      </c>
      <c r="C338" s="2">
        <v>5288</v>
      </c>
      <c r="D338" s="2">
        <v>962</v>
      </c>
    </row>
    <row r="339" spans="1:8" x14ac:dyDescent="0.25">
      <c r="A339" s="3" t="s">
        <v>238</v>
      </c>
      <c r="B339" s="2" t="s">
        <v>554</v>
      </c>
      <c r="C339" s="2">
        <v>5049</v>
      </c>
      <c r="D339" s="2">
        <v>995</v>
      </c>
    </row>
    <row r="340" spans="1:8" x14ac:dyDescent="0.25">
      <c r="A340" s="3" t="s">
        <v>238</v>
      </c>
      <c r="B340" s="2" t="s">
        <v>553</v>
      </c>
      <c r="C340" s="2">
        <v>4484</v>
      </c>
      <c r="D340" s="2">
        <v>1620</v>
      </c>
    </row>
    <row r="341" spans="1:8" x14ac:dyDescent="0.25">
      <c r="A341" s="3" t="s">
        <v>238</v>
      </c>
      <c r="B341" s="2" t="s">
        <v>1084</v>
      </c>
      <c r="C341" s="2">
        <v>3869</v>
      </c>
      <c r="D341" s="2">
        <v>1098</v>
      </c>
    </row>
    <row r="342" spans="1:8" x14ac:dyDescent="0.25">
      <c r="A342" s="3" t="s">
        <v>238</v>
      </c>
      <c r="B342" s="2" t="s">
        <v>998</v>
      </c>
      <c r="C342" s="2">
        <v>4856</v>
      </c>
      <c r="D342" s="2">
        <v>1104</v>
      </c>
    </row>
    <row r="343" spans="1:8" x14ac:dyDescent="0.25">
      <c r="A343" s="3" t="s">
        <v>238</v>
      </c>
      <c r="B343" s="2" t="s">
        <v>555</v>
      </c>
      <c r="C343" s="2">
        <v>4529</v>
      </c>
      <c r="D343" s="2">
        <v>988</v>
      </c>
    </row>
    <row r="344" spans="1:8" x14ac:dyDescent="0.25">
      <c r="A344" s="3" t="s">
        <v>238</v>
      </c>
      <c r="B344" s="2" t="s">
        <v>556</v>
      </c>
      <c r="C344" s="2">
        <v>4521</v>
      </c>
      <c r="D344" s="2">
        <v>1449</v>
      </c>
    </row>
    <row r="345" spans="1:8" x14ac:dyDescent="0.25">
      <c r="A345" s="3" t="s">
        <v>238</v>
      </c>
      <c r="B345" s="2" t="s">
        <v>558</v>
      </c>
      <c r="C345" s="2">
        <v>3916</v>
      </c>
      <c r="D345" s="2">
        <v>1550</v>
      </c>
    </row>
    <row r="346" spans="1:8" x14ac:dyDescent="0.25">
      <c r="A346" s="3" t="s">
        <v>238</v>
      </c>
      <c r="B346" s="2" t="s">
        <v>557</v>
      </c>
      <c r="C346" s="2">
        <v>3811</v>
      </c>
      <c r="D346" s="2">
        <v>1439</v>
      </c>
    </row>
    <row r="347" spans="1:8" x14ac:dyDescent="0.25">
      <c r="A347" s="3" t="s">
        <v>239</v>
      </c>
      <c r="B347" s="2" t="s">
        <v>1047</v>
      </c>
      <c r="C347" s="2">
        <v>1136</v>
      </c>
      <c r="D347" s="2">
        <v>2477</v>
      </c>
      <c r="H347" s="1"/>
    </row>
    <row r="348" spans="1:8" x14ac:dyDescent="0.25">
      <c r="A348" s="3" t="s">
        <v>239</v>
      </c>
      <c r="B348" s="2" t="s">
        <v>561</v>
      </c>
      <c r="C348" s="2">
        <v>1762</v>
      </c>
      <c r="D348" s="2">
        <v>2622</v>
      </c>
    </row>
    <row r="349" spans="1:8" x14ac:dyDescent="0.25">
      <c r="A349" s="3" t="s">
        <v>239</v>
      </c>
      <c r="B349" s="2" t="s">
        <v>560</v>
      </c>
      <c r="C349" s="2">
        <v>2562</v>
      </c>
      <c r="D349" s="2">
        <v>2270</v>
      </c>
    </row>
    <row r="350" spans="1:8" x14ac:dyDescent="0.25">
      <c r="A350" s="3" t="s">
        <v>239</v>
      </c>
      <c r="B350" s="2" t="s">
        <v>563</v>
      </c>
      <c r="C350" s="2">
        <v>1677</v>
      </c>
      <c r="D350" s="2">
        <v>2848</v>
      </c>
    </row>
    <row r="351" spans="1:8" x14ac:dyDescent="0.25">
      <c r="A351" s="3" t="s">
        <v>239</v>
      </c>
      <c r="B351" s="2" t="s">
        <v>1085</v>
      </c>
      <c r="C351" s="2">
        <v>1590</v>
      </c>
      <c r="D351" s="2">
        <v>2699</v>
      </c>
    </row>
    <row r="352" spans="1:8" x14ac:dyDescent="0.25">
      <c r="A352" s="3" t="s">
        <v>239</v>
      </c>
      <c r="B352" s="2" t="s">
        <v>564</v>
      </c>
      <c r="C352" s="2">
        <v>1635</v>
      </c>
      <c r="D352" s="2">
        <v>2596</v>
      </c>
    </row>
    <row r="353" spans="1:4" x14ac:dyDescent="0.25">
      <c r="A353" s="3" t="s">
        <v>239</v>
      </c>
      <c r="B353" s="2" t="s">
        <v>562</v>
      </c>
      <c r="C353" s="2">
        <v>2197</v>
      </c>
      <c r="D353" s="2">
        <v>2514</v>
      </c>
    </row>
    <row r="354" spans="1:4" x14ac:dyDescent="0.25">
      <c r="A354" s="3" t="s">
        <v>239</v>
      </c>
      <c r="B354" s="2" t="s">
        <v>565</v>
      </c>
      <c r="C354" s="2">
        <v>2229</v>
      </c>
      <c r="D354" s="2">
        <v>2270</v>
      </c>
    </row>
    <row r="355" spans="1:4" x14ac:dyDescent="0.25">
      <c r="A355" s="3" t="s">
        <v>239</v>
      </c>
      <c r="B355" s="2" t="s">
        <v>566</v>
      </c>
      <c r="C355" s="2">
        <v>1717</v>
      </c>
      <c r="D355" s="2">
        <v>2559</v>
      </c>
    </row>
    <row r="356" spans="1:4" x14ac:dyDescent="0.25">
      <c r="A356" s="3" t="s">
        <v>239</v>
      </c>
      <c r="B356" s="2" t="s">
        <v>567</v>
      </c>
      <c r="C356" s="2">
        <v>1358</v>
      </c>
      <c r="D356" s="2">
        <v>2784</v>
      </c>
    </row>
    <row r="357" spans="1:4" x14ac:dyDescent="0.25">
      <c r="A357" s="3" t="s">
        <v>239</v>
      </c>
      <c r="B357" s="2" t="s">
        <v>568</v>
      </c>
      <c r="C357" s="2">
        <v>1452</v>
      </c>
      <c r="D357" s="2">
        <v>2571</v>
      </c>
    </row>
    <row r="358" spans="1:4" x14ac:dyDescent="0.25">
      <c r="A358" s="3" t="s">
        <v>239</v>
      </c>
      <c r="B358" s="2" t="s">
        <v>559</v>
      </c>
      <c r="C358" s="2">
        <v>2109</v>
      </c>
      <c r="D358" s="2">
        <v>2421</v>
      </c>
    </row>
    <row r="359" spans="1:4" x14ac:dyDescent="0.25">
      <c r="A359" s="3" t="s">
        <v>239</v>
      </c>
      <c r="B359" s="2" t="s">
        <v>569</v>
      </c>
      <c r="C359" s="2">
        <v>2351</v>
      </c>
      <c r="D359" s="2">
        <v>2384</v>
      </c>
    </row>
    <row r="360" spans="1:4" x14ac:dyDescent="0.25">
      <c r="A360" s="3" t="s">
        <v>240</v>
      </c>
      <c r="B360" s="2" t="s">
        <v>1049</v>
      </c>
      <c r="C360" s="2">
        <v>7691</v>
      </c>
      <c r="D360" s="2">
        <v>303</v>
      </c>
    </row>
    <row r="361" spans="1:4" x14ac:dyDescent="0.25">
      <c r="A361" s="3" t="s">
        <v>240</v>
      </c>
      <c r="B361" s="2" t="s">
        <v>1050</v>
      </c>
      <c r="C361" s="2">
        <v>7495</v>
      </c>
      <c r="D361" s="2">
        <v>396</v>
      </c>
    </row>
    <row r="362" spans="1:4" x14ac:dyDescent="0.25">
      <c r="A362" s="3" t="s">
        <v>240</v>
      </c>
      <c r="B362" s="2" t="s">
        <v>588</v>
      </c>
      <c r="C362" s="2">
        <v>7671</v>
      </c>
      <c r="D362" s="2">
        <v>450</v>
      </c>
    </row>
    <row r="363" spans="1:4" x14ac:dyDescent="0.25">
      <c r="A363" s="3" t="s">
        <v>240</v>
      </c>
      <c r="B363" s="2" t="s">
        <v>589</v>
      </c>
      <c r="C363" s="2">
        <v>8037</v>
      </c>
      <c r="D363" s="2">
        <v>71</v>
      </c>
    </row>
    <row r="364" spans="1:4" x14ac:dyDescent="0.25">
      <c r="A364" s="3" t="s">
        <v>240</v>
      </c>
      <c r="B364" s="2" t="s">
        <v>1086</v>
      </c>
      <c r="C364" s="2">
        <v>7456</v>
      </c>
      <c r="D364" s="2">
        <v>373</v>
      </c>
    </row>
    <row r="365" spans="1:4" x14ac:dyDescent="0.25">
      <c r="A365" s="3" t="s">
        <v>240</v>
      </c>
      <c r="B365" s="2" t="s">
        <v>590</v>
      </c>
      <c r="C365" s="2">
        <v>9841</v>
      </c>
      <c r="D365" s="2">
        <v>171</v>
      </c>
    </row>
    <row r="366" spans="1:4" x14ac:dyDescent="0.25">
      <c r="A366" s="3" t="s">
        <v>240</v>
      </c>
      <c r="B366" s="2" t="s">
        <v>593</v>
      </c>
      <c r="C366" s="2">
        <v>9765</v>
      </c>
      <c r="D366" s="2">
        <v>164</v>
      </c>
    </row>
    <row r="367" spans="1:4" x14ac:dyDescent="0.25">
      <c r="A367" s="3" t="s">
        <v>240</v>
      </c>
      <c r="B367" s="2" t="s">
        <v>591</v>
      </c>
      <c r="C367" s="2">
        <v>9255</v>
      </c>
      <c r="D367" s="2">
        <v>206</v>
      </c>
    </row>
    <row r="368" spans="1:4" x14ac:dyDescent="0.25">
      <c r="A368" s="3" t="s">
        <v>240</v>
      </c>
      <c r="B368" s="2" t="s">
        <v>592</v>
      </c>
      <c r="C368" s="2">
        <v>7921</v>
      </c>
      <c r="D368" s="2">
        <v>323</v>
      </c>
    </row>
    <row r="369" spans="1:8" x14ac:dyDescent="0.25">
      <c r="A369" s="3" t="s">
        <v>240</v>
      </c>
      <c r="B369" s="2" t="s">
        <v>1087</v>
      </c>
      <c r="C369" s="2">
        <v>7679</v>
      </c>
      <c r="D369" s="2">
        <v>335</v>
      </c>
    </row>
    <row r="370" spans="1:8" x14ac:dyDescent="0.25">
      <c r="A370" s="3" t="s">
        <v>240</v>
      </c>
      <c r="B370" s="2" t="s">
        <v>594</v>
      </c>
      <c r="C370" s="2">
        <v>9295</v>
      </c>
      <c r="D370" s="2">
        <v>168</v>
      </c>
    </row>
    <row r="371" spans="1:8" x14ac:dyDescent="0.25">
      <c r="A371" s="3" t="s">
        <v>240</v>
      </c>
      <c r="B371" s="2" t="s">
        <v>595</v>
      </c>
      <c r="C371" s="2">
        <v>7451</v>
      </c>
      <c r="D371" s="2">
        <v>194</v>
      </c>
    </row>
    <row r="372" spans="1:8" x14ac:dyDescent="0.25">
      <c r="A372" s="3" t="s">
        <v>240</v>
      </c>
      <c r="B372" s="2" t="s">
        <v>596</v>
      </c>
      <c r="C372" s="2">
        <v>7774</v>
      </c>
      <c r="D372" s="2">
        <v>259</v>
      </c>
      <c r="H372" s="1"/>
    </row>
    <row r="373" spans="1:8" x14ac:dyDescent="0.25">
      <c r="A373" s="3" t="s">
        <v>240</v>
      </c>
      <c r="B373" s="2" t="s">
        <v>597</v>
      </c>
      <c r="C373" s="2">
        <v>7926</v>
      </c>
      <c r="D373" s="2">
        <v>367</v>
      </c>
    </row>
    <row r="374" spans="1:8" x14ac:dyDescent="0.25">
      <c r="A374" s="3" t="s">
        <v>240</v>
      </c>
      <c r="B374" s="2" t="s">
        <v>598</v>
      </c>
      <c r="C374" s="2">
        <v>6877</v>
      </c>
      <c r="D374" s="2">
        <v>350</v>
      </c>
    </row>
    <row r="375" spans="1:8" x14ac:dyDescent="0.25">
      <c r="A375" s="3" t="s">
        <v>241</v>
      </c>
      <c r="B375" s="2" t="s">
        <v>585</v>
      </c>
      <c r="C375" s="2">
        <v>4631</v>
      </c>
      <c r="D375" s="2">
        <v>1237</v>
      </c>
    </row>
    <row r="376" spans="1:8" x14ac:dyDescent="0.25">
      <c r="A376" s="3" t="s">
        <v>241</v>
      </c>
      <c r="B376" s="2" t="s">
        <v>584</v>
      </c>
      <c r="C376" s="2">
        <v>4652</v>
      </c>
      <c r="D376" s="2">
        <v>1178</v>
      </c>
    </row>
    <row r="377" spans="1:8" x14ac:dyDescent="0.25">
      <c r="A377" s="3" t="s">
        <v>241</v>
      </c>
      <c r="B377" s="2" t="s">
        <v>586</v>
      </c>
      <c r="C377" s="2">
        <v>4867</v>
      </c>
      <c r="D377" s="2">
        <v>1079</v>
      </c>
    </row>
    <row r="378" spans="1:8" x14ac:dyDescent="0.25">
      <c r="A378" s="3" t="s">
        <v>241</v>
      </c>
      <c r="B378" s="2" t="s">
        <v>1000</v>
      </c>
      <c r="C378" s="2">
        <v>3556</v>
      </c>
      <c r="D378" s="2">
        <v>1404</v>
      </c>
    </row>
    <row r="379" spans="1:8" x14ac:dyDescent="0.25">
      <c r="A379" s="3" t="s">
        <v>241</v>
      </c>
      <c r="B379" s="2" t="s">
        <v>587</v>
      </c>
      <c r="C379" s="2">
        <v>3910</v>
      </c>
      <c r="D379" s="2">
        <v>1229</v>
      </c>
    </row>
    <row r="380" spans="1:8" x14ac:dyDescent="0.25">
      <c r="A380" s="3" t="s">
        <v>242</v>
      </c>
      <c r="B380" s="2" t="s">
        <v>571</v>
      </c>
      <c r="C380" s="2">
        <v>6669</v>
      </c>
      <c r="D380" s="2">
        <v>492</v>
      </c>
    </row>
    <row r="381" spans="1:8" x14ac:dyDescent="0.25">
      <c r="A381" s="3" t="s">
        <v>242</v>
      </c>
      <c r="B381" s="2" t="s">
        <v>572</v>
      </c>
      <c r="C381" s="2">
        <v>5793</v>
      </c>
      <c r="D381" s="2">
        <v>734</v>
      </c>
      <c r="H381" s="1"/>
    </row>
    <row r="382" spans="1:8" x14ac:dyDescent="0.25">
      <c r="A382" s="3" t="s">
        <v>242</v>
      </c>
      <c r="B382" s="2" t="s">
        <v>573</v>
      </c>
      <c r="C382" s="2">
        <v>6354</v>
      </c>
      <c r="D382" s="2">
        <v>507</v>
      </c>
    </row>
    <row r="383" spans="1:8" x14ac:dyDescent="0.25">
      <c r="A383" s="3" t="s">
        <v>242</v>
      </c>
      <c r="B383" s="2" t="s">
        <v>570</v>
      </c>
      <c r="C383" s="2">
        <v>5749</v>
      </c>
      <c r="D383" s="2">
        <v>436</v>
      </c>
    </row>
    <row r="384" spans="1:8" x14ac:dyDescent="0.25">
      <c r="A384" s="3" t="s">
        <v>242</v>
      </c>
      <c r="B384" s="2" t="s">
        <v>574</v>
      </c>
      <c r="C384" s="2">
        <v>5940</v>
      </c>
      <c r="D384" s="2">
        <v>559</v>
      </c>
    </row>
    <row r="385" spans="1:8" x14ac:dyDescent="0.25">
      <c r="A385" s="3" t="s">
        <v>242</v>
      </c>
      <c r="B385" s="2" t="s">
        <v>575</v>
      </c>
      <c r="C385" s="2">
        <v>5622</v>
      </c>
      <c r="D385" s="2">
        <v>361</v>
      </c>
    </row>
    <row r="386" spans="1:8" x14ac:dyDescent="0.25">
      <c r="A386" s="3" t="s">
        <v>242</v>
      </c>
      <c r="B386" s="2" t="s">
        <v>580</v>
      </c>
      <c r="C386" s="2">
        <v>6062</v>
      </c>
      <c r="D386" s="2">
        <v>565</v>
      </c>
    </row>
    <row r="387" spans="1:8" x14ac:dyDescent="0.25">
      <c r="A387" s="3" t="s">
        <v>242</v>
      </c>
      <c r="B387" s="2" t="s">
        <v>576</v>
      </c>
      <c r="C387" s="2">
        <v>5350</v>
      </c>
      <c r="D387" s="2">
        <v>298</v>
      </c>
    </row>
    <row r="388" spans="1:8" x14ac:dyDescent="0.25">
      <c r="A388" s="3" t="s">
        <v>242</v>
      </c>
      <c r="B388" s="2" t="s">
        <v>577</v>
      </c>
      <c r="C388" s="2">
        <v>5724</v>
      </c>
      <c r="D388" s="2">
        <v>577</v>
      </c>
    </row>
    <row r="389" spans="1:8" x14ac:dyDescent="0.25">
      <c r="A389" s="3" t="s">
        <v>242</v>
      </c>
      <c r="B389" s="2" t="s">
        <v>578</v>
      </c>
      <c r="C389" s="2">
        <v>6626</v>
      </c>
      <c r="D389" s="2">
        <v>319</v>
      </c>
      <c r="H389" s="1"/>
    </row>
    <row r="390" spans="1:8" x14ac:dyDescent="0.25">
      <c r="A390" s="3" t="s">
        <v>242</v>
      </c>
      <c r="B390" s="2" t="s">
        <v>579</v>
      </c>
      <c r="C390" s="2">
        <v>6177</v>
      </c>
      <c r="D390" s="2">
        <v>637</v>
      </c>
    </row>
    <row r="391" spans="1:8" x14ac:dyDescent="0.25">
      <c r="A391" s="3" t="s">
        <v>242</v>
      </c>
      <c r="B391" s="2" t="s">
        <v>581</v>
      </c>
      <c r="C391" s="2">
        <v>5889</v>
      </c>
      <c r="D391" s="2">
        <v>374</v>
      </c>
    </row>
    <row r="392" spans="1:8" x14ac:dyDescent="0.25">
      <c r="A392" s="3" t="s">
        <v>242</v>
      </c>
      <c r="B392" s="189" t="s">
        <v>999</v>
      </c>
      <c r="C392" s="2">
        <v>5705</v>
      </c>
      <c r="D392" s="2">
        <v>595</v>
      </c>
    </row>
    <row r="393" spans="1:8" x14ac:dyDescent="0.25">
      <c r="A393" s="3" t="s">
        <v>242</v>
      </c>
      <c r="B393" s="2" t="s">
        <v>582</v>
      </c>
      <c r="C393" s="2">
        <v>6623</v>
      </c>
      <c r="D393" s="2">
        <v>494</v>
      </c>
    </row>
    <row r="394" spans="1:8" x14ac:dyDescent="0.25">
      <c r="A394" s="3" t="s">
        <v>242</v>
      </c>
      <c r="B394" s="2" t="s">
        <v>583</v>
      </c>
      <c r="C394" s="2">
        <v>7164</v>
      </c>
      <c r="D394" s="2">
        <v>346</v>
      </c>
    </row>
    <row r="395" spans="1:8" x14ac:dyDescent="0.25">
      <c r="A395" s="3" t="s">
        <v>243</v>
      </c>
      <c r="B395" s="2" t="s">
        <v>599</v>
      </c>
      <c r="C395" s="2">
        <v>8250</v>
      </c>
      <c r="D395" s="2">
        <v>290</v>
      </c>
    </row>
    <row r="396" spans="1:8" x14ac:dyDescent="0.25">
      <c r="A396" s="3" t="s">
        <v>243</v>
      </c>
      <c r="B396" s="2" t="s">
        <v>600</v>
      </c>
      <c r="C396" s="2">
        <v>6487</v>
      </c>
      <c r="D396" s="2">
        <v>492</v>
      </c>
    </row>
    <row r="397" spans="1:8" x14ac:dyDescent="0.25">
      <c r="A397" s="3" t="s">
        <v>243</v>
      </c>
      <c r="B397" s="2" t="s">
        <v>601</v>
      </c>
      <c r="C397" s="2">
        <v>6210</v>
      </c>
      <c r="D397" s="2">
        <v>639</v>
      </c>
      <c r="H397" s="1"/>
    </row>
    <row r="398" spans="1:8" x14ac:dyDescent="0.25">
      <c r="A398" s="3" t="s">
        <v>243</v>
      </c>
      <c r="B398" s="2" t="s">
        <v>602</v>
      </c>
      <c r="C398" s="2">
        <v>6588</v>
      </c>
      <c r="D398" s="2">
        <v>810</v>
      </c>
    </row>
    <row r="399" spans="1:8" x14ac:dyDescent="0.25">
      <c r="A399" s="3" t="s">
        <v>243</v>
      </c>
      <c r="B399" s="2" t="s">
        <v>603</v>
      </c>
      <c r="C399" s="2">
        <v>7905</v>
      </c>
      <c r="D399" s="2">
        <v>373</v>
      </c>
    </row>
    <row r="400" spans="1:8" x14ac:dyDescent="0.25">
      <c r="A400" s="3" t="s">
        <v>243</v>
      </c>
      <c r="B400" s="2" t="s">
        <v>608</v>
      </c>
      <c r="C400" s="2">
        <v>8988</v>
      </c>
      <c r="D400" s="2">
        <v>239</v>
      </c>
    </row>
    <row r="401" spans="1:8" x14ac:dyDescent="0.25">
      <c r="A401" s="3" t="s">
        <v>243</v>
      </c>
      <c r="B401" s="2" t="s">
        <v>605</v>
      </c>
      <c r="C401" s="2">
        <v>6621</v>
      </c>
      <c r="D401" s="2">
        <v>679</v>
      </c>
    </row>
    <row r="402" spans="1:8" x14ac:dyDescent="0.25">
      <c r="A402" s="3" t="s">
        <v>243</v>
      </c>
      <c r="B402" s="2" t="s">
        <v>606</v>
      </c>
      <c r="C402" s="2">
        <v>8796</v>
      </c>
      <c r="D402" s="2">
        <v>131</v>
      </c>
    </row>
    <row r="403" spans="1:8" x14ac:dyDescent="0.25">
      <c r="A403" s="3" t="s">
        <v>243</v>
      </c>
      <c r="B403" s="2" t="s">
        <v>607</v>
      </c>
      <c r="C403" s="2">
        <v>6977</v>
      </c>
      <c r="D403" s="2">
        <v>515</v>
      </c>
    </row>
    <row r="404" spans="1:8" x14ac:dyDescent="0.25">
      <c r="A404" s="3" t="s">
        <v>243</v>
      </c>
      <c r="B404" s="2" t="s">
        <v>622</v>
      </c>
      <c r="C404" s="2">
        <v>7059</v>
      </c>
      <c r="D404" s="2">
        <v>524</v>
      </c>
    </row>
    <row r="405" spans="1:8" x14ac:dyDescent="0.25">
      <c r="A405" s="3" t="s">
        <v>243</v>
      </c>
      <c r="B405" s="2" t="s">
        <v>1088</v>
      </c>
      <c r="C405" s="2">
        <v>6908</v>
      </c>
      <c r="D405" s="2">
        <v>579</v>
      </c>
    </row>
    <row r="406" spans="1:8" x14ac:dyDescent="0.25">
      <c r="A406" s="3" t="s">
        <v>243</v>
      </c>
      <c r="B406" s="2" t="s">
        <v>609</v>
      </c>
      <c r="C406" s="2">
        <v>8067</v>
      </c>
      <c r="D406" s="2">
        <v>316</v>
      </c>
      <c r="H406" s="8"/>
    </row>
    <row r="407" spans="1:8" x14ac:dyDescent="0.25">
      <c r="A407" s="3" t="s">
        <v>243</v>
      </c>
      <c r="B407" s="2" t="s">
        <v>610</v>
      </c>
      <c r="C407" s="2">
        <v>6295</v>
      </c>
      <c r="D407" s="2">
        <v>899</v>
      </c>
      <c r="H407" s="8"/>
    </row>
    <row r="408" spans="1:8" x14ac:dyDescent="0.25">
      <c r="A408" s="3" t="s">
        <v>243</v>
      </c>
      <c r="B408" s="2" t="s">
        <v>612</v>
      </c>
      <c r="C408" s="2">
        <v>9090</v>
      </c>
      <c r="D408" s="2">
        <v>348</v>
      </c>
    </row>
    <row r="409" spans="1:8" x14ac:dyDescent="0.25">
      <c r="A409" s="3" t="s">
        <v>243</v>
      </c>
      <c r="B409" s="2" t="s">
        <v>1089</v>
      </c>
      <c r="C409" s="2">
        <v>6385</v>
      </c>
      <c r="D409" s="2">
        <v>715</v>
      </c>
    </row>
    <row r="410" spans="1:8" x14ac:dyDescent="0.25">
      <c r="A410" s="3" t="s">
        <v>243</v>
      </c>
      <c r="B410" s="2" t="s">
        <v>613</v>
      </c>
      <c r="C410" s="2">
        <v>6196</v>
      </c>
      <c r="D410" s="2">
        <v>599</v>
      </c>
    </row>
    <row r="411" spans="1:8" x14ac:dyDescent="0.25">
      <c r="A411" s="3" t="s">
        <v>243</v>
      </c>
      <c r="B411" s="2" t="s">
        <v>604</v>
      </c>
      <c r="C411" s="2">
        <v>9193</v>
      </c>
      <c r="D411" s="2">
        <v>115</v>
      </c>
    </row>
    <row r="412" spans="1:8" x14ac:dyDescent="0.25">
      <c r="A412" s="3" t="s">
        <v>243</v>
      </c>
      <c r="B412" s="2" t="s">
        <v>611</v>
      </c>
      <c r="C412" s="2">
        <v>8327</v>
      </c>
      <c r="D412" s="2">
        <v>432</v>
      </c>
    </row>
    <row r="413" spans="1:8" x14ac:dyDescent="0.25">
      <c r="A413" s="3" t="s">
        <v>243</v>
      </c>
      <c r="B413" s="2" t="s">
        <v>614</v>
      </c>
      <c r="C413" s="2">
        <v>7045</v>
      </c>
      <c r="D413" s="2">
        <v>597</v>
      </c>
      <c r="H413" s="1"/>
    </row>
    <row r="414" spans="1:8" x14ac:dyDescent="0.25">
      <c r="A414" s="3" t="s">
        <v>243</v>
      </c>
      <c r="B414" s="2" t="s">
        <v>615</v>
      </c>
      <c r="C414" s="2">
        <v>7343</v>
      </c>
      <c r="D414" s="2">
        <v>582</v>
      </c>
    </row>
    <row r="415" spans="1:8" x14ac:dyDescent="0.25">
      <c r="A415" s="3" t="s">
        <v>243</v>
      </c>
      <c r="B415" s="2" t="s">
        <v>623</v>
      </c>
      <c r="C415" s="2">
        <v>9162</v>
      </c>
      <c r="D415" s="2">
        <v>113</v>
      </c>
    </row>
    <row r="416" spans="1:8" x14ac:dyDescent="0.25">
      <c r="A416" s="3" t="s">
        <v>243</v>
      </c>
      <c r="B416" s="2" t="s">
        <v>616</v>
      </c>
      <c r="C416" s="2">
        <v>7783</v>
      </c>
      <c r="D416" s="2">
        <v>452</v>
      </c>
    </row>
    <row r="417" spans="1:4" x14ac:dyDescent="0.25">
      <c r="A417" s="3" t="s">
        <v>243</v>
      </c>
      <c r="B417" s="2" t="s">
        <v>617</v>
      </c>
      <c r="C417" s="2">
        <v>6040</v>
      </c>
      <c r="D417" s="2">
        <v>597</v>
      </c>
    </row>
    <row r="418" spans="1:4" x14ac:dyDescent="0.25">
      <c r="A418" s="3" t="s">
        <v>243</v>
      </c>
      <c r="B418" s="2" t="s">
        <v>618</v>
      </c>
      <c r="C418" s="2">
        <v>7018</v>
      </c>
      <c r="D418" s="2">
        <v>502</v>
      </c>
    </row>
    <row r="419" spans="1:4" x14ac:dyDescent="0.25">
      <c r="A419" s="3" t="s">
        <v>243</v>
      </c>
      <c r="B419" s="2" t="s">
        <v>620</v>
      </c>
      <c r="C419" s="2">
        <v>7315</v>
      </c>
      <c r="D419" s="2">
        <v>455</v>
      </c>
    </row>
    <row r="420" spans="1:4" x14ac:dyDescent="0.25">
      <c r="A420" s="3" t="s">
        <v>243</v>
      </c>
      <c r="B420" s="2" t="s">
        <v>621</v>
      </c>
      <c r="C420" s="2">
        <v>7426</v>
      </c>
      <c r="D420" s="2">
        <v>360</v>
      </c>
    </row>
    <row r="421" spans="1:4" x14ac:dyDescent="0.25">
      <c r="A421" s="3" t="s">
        <v>243</v>
      </c>
      <c r="B421" s="2" t="s">
        <v>624</v>
      </c>
      <c r="C421" s="2">
        <v>6522</v>
      </c>
      <c r="D421" s="2">
        <v>705</v>
      </c>
    </row>
    <row r="422" spans="1:4" x14ac:dyDescent="0.25">
      <c r="A422" s="3" t="s">
        <v>243</v>
      </c>
      <c r="B422" s="2" t="s">
        <v>625</v>
      </c>
      <c r="C422" s="2">
        <v>7754</v>
      </c>
      <c r="D422" s="2">
        <v>370</v>
      </c>
    </row>
    <row r="423" spans="1:4" x14ac:dyDescent="0.25">
      <c r="A423" s="3" t="s">
        <v>243</v>
      </c>
      <c r="B423" s="2" t="s">
        <v>619</v>
      </c>
      <c r="C423" s="2">
        <v>6152</v>
      </c>
      <c r="D423" s="2">
        <v>772</v>
      </c>
    </row>
    <row r="424" spans="1:4" x14ac:dyDescent="0.25">
      <c r="A424" s="3" t="s">
        <v>268</v>
      </c>
      <c r="B424" s="2" t="s">
        <v>626</v>
      </c>
      <c r="C424" s="2">
        <v>9304</v>
      </c>
      <c r="D424" s="2">
        <v>194</v>
      </c>
    </row>
    <row r="425" spans="1:4" x14ac:dyDescent="0.25">
      <c r="A425" s="3" t="s">
        <v>268</v>
      </c>
      <c r="B425" s="2" t="s">
        <v>627</v>
      </c>
      <c r="C425" s="2">
        <v>7196</v>
      </c>
      <c r="D425" s="2">
        <v>920</v>
      </c>
    </row>
    <row r="426" spans="1:4" x14ac:dyDescent="0.25">
      <c r="A426" s="3" t="s">
        <v>268</v>
      </c>
      <c r="B426" s="2" t="s">
        <v>1048</v>
      </c>
      <c r="C426" s="2">
        <v>8895</v>
      </c>
      <c r="D426" s="2">
        <v>535</v>
      </c>
    </row>
    <row r="427" spans="1:4" x14ac:dyDescent="0.25">
      <c r="A427" s="3" t="s">
        <v>268</v>
      </c>
      <c r="B427" s="2" t="s">
        <v>1055</v>
      </c>
      <c r="C427" s="2">
        <v>7892</v>
      </c>
      <c r="D427" s="2">
        <v>529</v>
      </c>
    </row>
    <row r="428" spans="1:4" x14ac:dyDescent="0.25">
      <c r="A428" s="3" t="s">
        <v>268</v>
      </c>
      <c r="B428" s="2" t="s">
        <v>628</v>
      </c>
      <c r="C428" s="2">
        <v>8804</v>
      </c>
      <c r="D428" s="2">
        <v>112</v>
      </c>
    </row>
    <row r="429" spans="1:4" x14ac:dyDescent="0.25">
      <c r="A429" s="3" t="s">
        <v>268</v>
      </c>
      <c r="B429" s="2" t="s">
        <v>629</v>
      </c>
      <c r="C429" s="2">
        <v>9161</v>
      </c>
      <c r="D429" s="2">
        <v>333</v>
      </c>
    </row>
    <row r="430" spans="1:4" x14ac:dyDescent="0.25">
      <c r="A430" s="3" t="s">
        <v>268</v>
      </c>
      <c r="B430" s="2" t="s">
        <v>630</v>
      </c>
      <c r="C430" s="2">
        <v>8676</v>
      </c>
      <c r="D430" s="2">
        <v>659</v>
      </c>
    </row>
    <row r="431" spans="1:4" x14ac:dyDescent="0.25">
      <c r="A431" s="3" t="s">
        <v>268</v>
      </c>
      <c r="B431" s="2" t="s">
        <v>631</v>
      </c>
      <c r="C431" s="2">
        <v>8713</v>
      </c>
      <c r="D431" s="2">
        <v>322</v>
      </c>
    </row>
    <row r="432" spans="1:4" x14ac:dyDescent="0.25">
      <c r="A432" s="3" t="s">
        <v>268</v>
      </c>
      <c r="B432" s="2" t="s">
        <v>632</v>
      </c>
      <c r="C432" s="2">
        <v>8823</v>
      </c>
      <c r="D432" s="2">
        <v>405</v>
      </c>
    </row>
    <row r="433" spans="1:8" x14ac:dyDescent="0.25">
      <c r="A433" s="3" t="s">
        <v>268</v>
      </c>
      <c r="B433" s="2" t="s">
        <v>633</v>
      </c>
      <c r="C433" s="2">
        <v>9368</v>
      </c>
      <c r="D433" s="2">
        <v>258</v>
      </c>
    </row>
    <row r="434" spans="1:8" x14ac:dyDescent="0.25">
      <c r="A434" s="3" t="s">
        <v>268</v>
      </c>
      <c r="B434" s="2" t="s">
        <v>634</v>
      </c>
      <c r="C434" s="2">
        <v>10240</v>
      </c>
      <c r="D434" s="2">
        <v>164</v>
      </c>
      <c r="H434" s="1"/>
    </row>
    <row r="435" spans="1:8" x14ac:dyDescent="0.25">
      <c r="A435" s="3" t="s">
        <v>268</v>
      </c>
      <c r="B435" s="2" t="s">
        <v>635</v>
      </c>
      <c r="C435" s="2">
        <v>9095</v>
      </c>
      <c r="D435" s="2">
        <v>348</v>
      </c>
    </row>
    <row r="436" spans="1:8" x14ac:dyDescent="0.25">
      <c r="A436" s="3" t="s">
        <v>268</v>
      </c>
      <c r="B436" s="2" t="s">
        <v>636</v>
      </c>
      <c r="C436" s="2">
        <v>8704</v>
      </c>
      <c r="D436" s="2">
        <v>460</v>
      </c>
    </row>
    <row r="437" spans="1:8" x14ac:dyDescent="0.25">
      <c r="A437" s="3" t="s">
        <v>268</v>
      </c>
      <c r="B437" s="2" t="s">
        <v>637</v>
      </c>
      <c r="C437" s="2">
        <v>9620</v>
      </c>
      <c r="D437" s="2">
        <v>159</v>
      </c>
    </row>
    <row r="438" spans="1:8" x14ac:dyDescent="0.25">
      <c r="A438" s="3" t="s">
        <v>268</v>
      </c>
      <c r="B438" s="2" t="s">
        <v>638</v>
      </c>
      <c r="C438" s="2">
        <v>9501</v>
      </c>
      <c r="D438" s="2">
        <v>186</v>
      </c>
    </row>
    <row r="439" spans="1:8" x14ac:dyDescent="0.25">
      <c r="A439" s="3" t="s">
        <v>268</v>
      </c>
      <c r="B439" s="2" t="s">
        <v>639</v>
      </c>
      <c r="C439" s="2">
        <v>9987</v>
      </c>
      <c r="D439" s="2">
        <v>255</v>
      </c>
    </row>
    <row r="440" spans="1:8" x14ac:dyDescent="0.25">
      <c r="A440" s="3" t="s">
        <v>268</v>
      </c>
      <c r="B440" s="2" t="s">
        <v>640</v>
      </c>
      <c r="C440" s="2">
        <v>7586</v>
      </c>
      <c r="D440" s="2">
        <v>652</v>
      </c>
    </row>
    <row r="441" spans="1:8" x14ac:dyDescent="0.25">
      <c r="A441" s="3" t="s">
        <v>268</v>
      </c>
      <c r="B441" s="2" t="s">
        <v>641</v>
      </c>
      <c r="C441" s="2">
        <v>7497</v>
      </c>
      <c r="D441" s="2">
        <v>504</v>
      </c>
    </row>
    <row r="442" spans="1:8" x14ac:dyDescent="0.25">
      <c r="A442" s="3" t="s">
        <v>268</v>
      </c>
      <c r="B442" s="2" t="s">
        <v>642</v>
      </c>
      <c r="C442" s="2">
        <v>7838</v>
      </c>
      <c r="D442" s="2">
        <v>841</v>
      </c>
    </row>
    <row r="443" spans="1:8" x14ac:dyDescent="0.25">
      <c r="A443" s="3" t="s">
        <v>268</v>
      </c>
      <c r="B443" s="2" t="s">
        <v>643</v>
      </c>
      <c r="C443" s="2">
        <v>7921</v>
      </c>
      <c r="D443" s="2">
        <v>958</v>
      </c>
    </row>
    <row r="444" spans="1:8" x14ac:dyDescent="0.25">
      <c r="A444" s="3" t="s">
        <v>268</v>
      </c>
      <c r="B444" s="2" t="s">
        <v>644</v>
      </c>
      <c r="C444" s="2">
        <v>9746</v>
      </c>
      <c r="D444" s="2">
        <v>252</v>
      </c>
    </row>
    <row r="445" spans="1:8" x14ac:dyDescent="0.25">
      <c r="A445" s="3" t="s">
        <v>268</v>
      </c>
      <c r="B445" s="2" t="s">
        <v>645</v>
      </c>
      <c r="C445" s="2">
        <v>8440</v>
      </c>
      <c r="D445" s="2">
        <v>528</v>
      </c>
    </row>
    <row r="446" spans="1:8" x14ac:dyDescent="0.25">
      <c r="A446" s="3" t="s">
        <v>268</v>
      </c>
      <c r="B446" s="2" t="s">
        <v>1090</v>
      </c>
      <c r="C446" s="2">
        <v>9137</v>
      </c>
      <c r="D446" s="2">
        <v>306</v>
      </c>
    </row>
    <row r="447" spans="1:8" x14ac:dyDescent="0.25">
      <c r="A447" s="3" t="s">
        <v>268</v>
      </c>
      <c r="B447" s="2" t="s">
        <v>646</v>
      </c>
      <c r="C447" s="2">
        <v>9445</v>
      </c>
      <c r="D447" s="2">
        <v>460</v>
      </c>
    </row>
    <row r="448" spans="1:8" x14ac:dyDescent="0.25">
      <c r="A448" s="3" t="s">
        <v>268</v>
      </c>
      <c r="B448" s="2" t="s">
        <v>647</v>
      </c>
      <c r="C448" s="2">
        <v>9987</v>
      </c>
      <c r="D448" s="2">
        <v>219</v>
      </c>
    </row>
    <row r="449" spans="1:8" x14ac:dyDescent="0.25">
      <c r="A449" s="3" t="s">
        <v>268</v>
      </c>
      <c r="B449" s="2" t="s">
        <v>1139</v>
      </c>
      <c r="C449" s="2">
        <v>8330</v>
      </c>
      <c r="D449" s="2">
        <v>620</v>
      </c>
    </row>
    <row r="450" spans="1:8" x14ac:dyDescent="0.25">
      <c r="A450" s="3" t="s">
        <v>268</v>
      </c>
      <c r="B450" s="2" t="s">
        <v>648</v>
      </c>
      <c r="C450" s="2">
        <v>10382</v>
      </c>
      <c r="D450" s="2">
        <v>259</v>
      </c>
    </row>
    <row r="451" spans="1:8" x14ac:dyDescent="0.25">
      <c r="A451" s="3" t="s">
        <v>268</v>
      </c>
      <c r="B451" s="2" t="s">
        <v>649</v>
      </c>
      <c r="C451" s="2">
        <v>7734</v>
      </c>
      <c r="D451" s="2">
        <v>543</v>
      </c>
    </row>
    <row r="452" spans="1:8" x14ac:dyDescent="0.25">
      <c r="A452" s="3" t="s">
        <v>268</v>
      </c>
      <c r="B452" s="2" t="s">
        <v>650</v>
      </c>
      <c r="C452" s="2">
        <v>9240</v>
      </c>
      <c r="D452" s="2">
        <v>385</v>
      </c>
    </row>
    <row r="453" spans="1:8" x14ac:dyDescent="0.25">
      <c r="A453" s="3" t="s">
        <v>268</v>
      </c>
      <c r="B453" s="2" t="s">
        <v>651</v>
      </c>
      <c r="C453" s="2">
        <v>7716</v>
      </c>
      <c r="D453" s="2">
        <v>645</v>
      </c>
      <c r="H453" s="1"/>
    </row>
    <row r="454" spans="1:8" x14ac:dyDescent="0.25">
      <c r="A454" s="3" t="s">
        <v>268</v>
      </c>
      <c r="B454" s="2" t="s">
        <v>652</v>
      </c>
      <c r="C454" s="2">
        <v>7740</v>
      </c>
      <c r="D454" s="2">
        <v>688</v>
      </c>
    </row>
    <row r="455" spans="1:8" x14ac:dyDescent="0.25">
      <c r="A455" s="3" t="s">
        <v>268</v>
      </c>
      <c r="B455" s="2" t="s">
        <v>653</v>
      </c>
      <c r="C455" s="2">
        <v>7783</v>
      </c>
      <c r="D455" s="2">
        <v>731</v>
      </c>
    </row>
    <row r="456" spans="1:8" x14ac:dyDescent="0.25">
      <c r="A456" s="3" t="s">
        <v>268</v>
      </c>
      <c r="B456" s="2" t="s">
        <v>654</v>
      </c>
      <c r="C456" s="2">
        <v>8665</v>
      </c>
      <c r="D456" s="2">
        <v>364</v>
      </c>
    </row>
    <row r="457" spans="1:8" x14ac:dyDescent="0.25">
      <c r="A457" s="3" t="s">
        <v>268</v>
      </c>
      <c r="B457" s="2" t="s">
        <v>655</v>
      </c>
      <c r="C457" s="2">
        <v>8849</v>
      </c>
      <c r="D457" s="2">
        <v>375</v>
      </c>
    </row>
    <row r="458" spans="1:8" x14ac:dyDescent="0.25">
      <c r="A458" s="3" t="s">
        <v>268</v>
      </c>
      <c r="B458" s="2" t="s">
        <v>656</v>
      </c>
      <c r="C458" s="2">
        <v>7646</v>
      </c>
      <c r="D458" s="2">
        <v>641</v>
      </c>
    </row>
    <row r="459" spans="1:8" x14ac:dyDescent="0.25">
      <c r="A459" s="3" t="s">
        <v>268</v>
      </c>
      <c r="B459" s="2" t="s">
        <v>657</v>
      </c>
      <c r="C459" s="2">
        <v>10534</v>
      </c>
      <c r="D459" s="2">
        <v>152</v>
      </c>
    </row>
    <row r="460" spans="1:8" x14ac:dyDescent="0.25">
      <c r="A460" s="3" t="s">
        <v>268</v>
      </c>
      <c r="B460" s="2" t="s">
        <v>658</v>
      </c>
      <c r="C460" s="2">
        <v>7788</v>
      </c>
      <c r="D460" s="2">
        <v>641</v>
      </c>
    </row>
    <row r="461" spans="1:8" x14ac:dyDescent="0.25">
      <c r="A461" s="3" t="s">
        <v>268</v>
      </c>
      <c r="B461" s="2" t="s">
        <v>659</v>
      </c>
      <c r="C461" s="2">
        <v>9215</v>
      </c>
      <c r="D461" s="2">
        <v>236</v>
      </c>
      <c r="H461" s="1"/>
    </row>
    <row r="462" spans="1:8" x14ac:dyDescent="0.25">
      <c r="A462" s="3" t="s">
        <v>268</v>
      </c>
      <c r="B462" s="2" t="s">
        <v>660</v>
      </c>
      <c r="C462" s="2">
        <v>8624</v>
      </c>
      <c r="D462" s="2">
        <v>649</v>
      </c>
    </row>
    <row r="463" spans="1:8" x14ac:dyDescent="0.25">
      <c r="A463" s="3" t="s">
        <v>268</v>
      </c>
      <c r="B463" s="2" t="s">
        <v>661</v>
      </c>
      <c r="C463" s="2">
        <v>7935</v>
      </c>
      <c r="D463" s="2">
        <v>761</v>
      </c>
    </row>
    <row r="464" spans="1:8" x14ac:dyDescent="0.25">
      <c r="A464" s="3" t="s">
        <v>268</v>
      </c>
      <c r="B464" s="2" t="s">
        <v>662</v>
      </c>
      <c r="C464" s="2">
        <v>7938</v>
      </c>
      <c r="D464" s="2">
        <v>609</v>
      </c>
    </row>
    <row r="465" spans="1:8" x14ac:dyDescent="0.25">
      <c r="A465" s="3" t="s">
        <v>268</v>
      </c>
      <c r="B465" s="2" t="s">
        <v>663</v>
      </c>
      <c r="C465" s="2">
        <v>8386</v>
      </c>
      <c r="D465" s="2">
        <v>488</v>
      </c>
    </row>
    <row r="466" spans="1:8" x14ac:dyDescent="0.25">
      <c r="A466" s="3" t="s">
        <v>268</v>
      </c>
      <c r="B466" s="2" t="s">
        <v>664</v>
      </c>
      <c r="C466" s="2">
        <v>9817</v>
      </c>
      <c r="D466" s="2">
        <v>162</v>
      </c>
    </row>
    <row r="467" spans="1:8" x14ac:dyDescent="0.25">
      <c r="A467" s="3" t="s">
        <v>268</v>
      </c>
      <c r="B467" s="2" t="s">
        <v>665</v>
      </c>
      <c r="C467" s="2">
        <v>10453</v>
      </c>
      <c r="D467" s="2">
        <v>59</v>
      </c>
    </row>
    <row r="468" spans="1:8" x14ac:dyDescent="0.25">
      <c r="A468" s="3" t="s">
        <v>268</v>
      </c>
      <c r="B468" s="2" t="s">
        <v>666</v>
      </c>
      <c r="C468" s="2">
        <v>9020</v>
      </c>
      <c r="D468" s="2">
        <v>444</v>
      </c>
    </row>
    <row r="469" spans="1:8" x14ac:dyDescent="0.25">
      <c r="A469" s="3" t="s">
        <v>268</v>
      </c>
      <c r="B469" s="2" t="s">
        <v>667</v>
      </c>
      <c r="C469" s="2">
        <v>8019</v>
      </c>
      <c r="D469" s="2">
        <v>587</v>
      </c>
    </row>
    <row r="470" spans="1:8" x14ac:dyDescent="0.25">
      <c r="A470" s="3" t="s">
        <v>268</v>
      </c>
      <c r="B470" s="2" t="s">
        <v>668</v>
      </c>
      <c r="C470" s="2">
        <v>9328</v>
      </c>
      <c r="D470" s="2">
        <v>341</v>
      </c>
    </row>
    <row r="471" spans="1:8" x14ac:dyDescent="0.25">
      <c r="A471" s="3" t="s">
        <v>268</v>
      </c>
      <c r="B471" s="2" t="s">
        <v>669</v>
      </c>
      <c r="C471" s="2">
        <v>9412</v>
      </c>
      <c r="D471" s="2">
        <v>190</v>
      </c>
      <c r="H471" s="1"/>
    </row>
    <row r="472" spans="1:8" x14ac:dyDescent="0.25">
      <c r="A472" s="3" t="s">
        <v>268</v>
      </c>
      <c r="B472" s="2" t="s">
        <v>670</v>
      </c>
      <c r="C472" s="2">
        <v>8713</v>
      </c>
      <c r="D472" s="2">
        <v>496</v>
      </c>
    </row>
    <row r="473" spans="1:8" x14ac:dyDescent="0.25">
      <c r="A473" s="3" t="s">
        <v>268</v>
      </c>
      <c r="B473" s="2" t="s">
        <v>671</v>
      </c>
      <c r="C473" s="2">
        <v>7649</v>
      </c>
      <c r="D473" s="2">
        <v>581</v>
      </c>
    </row>
    <row r="474" spans="1:8" x14ac:dyDescent="0.25">
      <c r="A474" s="3" t="s">
        <v>268</v>
      </c>
      <c r="B474" s="2" t="s">
        <v>672</v>
      </c>
      <c r="C474" s="2">
        <v>7711</v>
      </c>
      <c r="D474" s="2">
        <v>633</v>
      </c>
    </row>
    <row r="475" spans="1:8" x14ac:dyDescent="0.25">
      <c r="A475" s="3" t="s">
        <v>268</v>
      </c>
      <c r="B475" s="2" t="s">
        <v>673</v>
      </c>
      <c r="C475" s="2">
        <v>7750</v>
      </c>
      <c r="D475" s="2">
        <v>644</v>
      </c>
    </row>
    <row r="476" spans="1:8" x14ac:dyDescent="0.25">
      <c r="A476" s="3" t="s">
        <v>244</v>
      </c>
      <c r="B476" s="2" t="s">
        <v>688</v>
      </c>
      <c r="C476" s="2">
        <v>1928</v>
      </c>
      <c r="D476" s="2">
        <v>2606</v>
      </c>
    </row>
    <row r="477" spans="1:8" x14ac:dyDescent="0.25">
      <c r="A477" s="3" t="s">
        <v>244</v>
      </c>
      <c r="B477" s="2" t="s">
        <v>1094</v>
      </c>
      <c r="C477" s="2">
        <v>3394</v>
      </c>
      <c r="D477" s="2">
        <v>2077</v>
      </c>
    </row>
    <row r="478" spans="1:8" x14ac:dyDescent="0.25">
      <c r="A478" s="3" t="s">
        <v>244</v>
      </c>
      <c r="B478" s="2" t="s">
        <v>1095</v>
      </c>
      <c r="C478" s="2">
        <v>2432</v>
      </c>
      <c r="D478" s="2">
        <v>2468</v>
      </c>
    </row>
    <row r="479" spans="1:8" x14ac:dyDescent="0.25">
      <c r="A479" s="3" t="s">
        <v>244</v>
      </c>
      <c r="B479" s="2" t="s">
        <v>685</v>
      </c>
      <c r="C479" s="2">
        <v>2552</v>
      </c>
      <c r="D479" s="2">
        <v>2164</v>
      </c>
    </row>
    <row r="480" spans="1:8" x14ac:dyDescent="0.25">
      <c r="A480" s="3" t="s">
        <v>244</v>
      </c>
      <c r="B480" s="2" t="s">
        <v>686</v>
      </c>
      <c r="C480" s="2">
        <v>1619</v>
      </c>
      <c r="D480" s="2">
        <v>2565</v>
      </c>
    </row>
    <row r="481" spans="1:8" x14ac:dyDescent="0.25">
      <c r="A481" s="3" t="s">
        <v>244</v>
      </c>
      <c r="B481" s="2" t="s">
        <v>687</v>
      </c>
      <c r="C481" s="2">
        <v>2274</v>
      </c>
      <c r="D481" s="2">
        <v>2071</v>
      </c>
    </row>
    <row r="482" spans="1:8" x14ac:dyDescent="0.25">
      <c r="A482" s="3" t="s">
        <v>244</v>
      </c>
      <c r="B482" s="2" t="s">
        <v>1096</v>
      </c>
      <c r="C482" s="2">
        <v>2428</v>
      </c>
      <c r="D482" s="2">
        <v>2237</v>
      </c>
    </row>
    <row r="483" spans="1:8" x14ac:dyDescent="0.25">
      <c r="A483" s="3" t="s">
        <v>244</v>
      </c>
      <c r="B483" s="2" t="s">
        <v>689</v>
      </c>
      <c r="C483" s="2">
        <v>2086</v>
      </c>
      <c r="D483" s="2">
        <v>2315</v>
      </c>
    </row>
    <row r="484" spans="1:8" x14ac:dyDescent="0.25">
      <c r="A484" s="3" t="s">
        <v>244</v>
      </c>
      <c r="B484" s="2" t="s">
        <v>690</v>
      </c>
      <c r="C484" s="2">
        <v>2417</v>
      </c>
      <c r="D484" s="2">
        <v>2038</v>
      </c>
      <c r="H484" s="1"/>
    </row>
    <row r="485" spans="1:8" x14ac:dyDescent="0.25">
      <c r="A485" s="3" t="s">
        <v>244</v>
      </c>
      <c r="B485" s="2" t="s">
        <v>691</v>
      </c>
      <c r="C485" s="2">
        <v>1915</v>
      </c>
      <c r="D485" s="2">
        <v>2060</v>
      </c>
    </row>
    <row r="486" spans="1:8" x14ac:dyDescent="0.25">
      <c r="A486" s="3" t="s">
        <v>244</v>
      </c>
      <c r="B486" s="2" t="s">
        <v>684</v>
      </c>
      <c r="C486" s="2">
        <v>3378</v>
      </c>
      <c r="D486" s="2">
        <v>1962</v>
      </c>
    </row>
    <row r="487" spans="1:8" x14ac:dyDescent="0.25">
      <c r="A487" s="3" t="s">
        <v>244</v>
      </c>
      <c r="B487" s="2" t="s">
        <v>692</v>
      </c>
      <c r="C487" s="2">
        <v>3039</v>
      </c>
      <c r="D487" s="2">
        <v>1905</v>
      </c>
    </row>
    <row r="488" spans="1:8" x14ac:dyDescent="0.25">
      <c r="A488" s="3" t="s">
        <v>245</v>
      </c>
      <c r="B488" s="2" t="s">
        <v>674</v>
      </c>
      <c r="C488" s="2">
        <v>4506</v>
      </c>
      <c r="D488" s="2">
        <v>1289</v>
      </c>
    </row>
    <row r="489" spans="1:8" x14ac:dyDescent="0.25">
      <c r="A489" s="3" t="s">
        <v>245</v>
      </c>
      <c r="B489" s="2" t="s">
        <v>1091</v>
      </c>
      <c r="C489" s="2">
        <v>5307</v>
      </c>
      <c r="D489" s="2">
        <v>1190</v>
      </c>
    </row>
    <row r="490" spans="1:8" x14ac:dyDescent="0.25">
      <c r="A490" s="3" t="s">
        <v>245</v>
      </c>
      <c r="B490" s="2" t="s">
        <v>1092</v>
      </c>
      <c r="C490" s="2">
        <v>4527</v>
      </c>
      <c r="D490" s="2">
        <v>1190</v>
      </c>
    </row>
    <row r="491" spans="1:8" x14ac:dyDescent="0.25">
      <c r="A491" s="3" t="s">
        <v>245</v>
      </c>
      <c r="B491" s="2" t="s">
        <v>1001</v>
      </c>
      <c r="C491" s="2">
        <v>4675</v>
      </c>
      <c r="D491" s="2">
        <v>1496</v>
      </c>
    </row>
    <row r="492" spans="1:8" x14ac:dyDescent="0.25">
      <c r="A492" s="3" t="s">
        <v>245</v>
      </c>
      <c r="B492" s="2" t="s">
        <v>675</v>
      </c>
      <c r="C492" s="2">
        <v>4504</v>
      </c>
      <c r="D492" s="2">
        <v>1469</v>
      </c>
    </row>
    <row r="493" spans="1:8" x14ac:dyDescent="0.25">
      <c r="A493" s="3" t="s">
        <v>245</v>
      </c>
      <c r="B493" s="2" t="s">
        <v>676</v>
      </c>
      <c r="C493" s="2">
        <v>3663</v>
      </c>
      <c r="D493" s="2">
        <v>1949</v>
      </c>
    </row>
    <row r="494" spans="1:8" x14ac:dyDescent="0.25">
      <c r="A494" s="3" t="s">
        <v>245</v>
      </c>
      <c r="B494" s="2" t="s">
        <v>677</v>
      </c>
      <c r="C494" s="2">
        <v>4634</v>
      </c>
      <c r="D494" s="2">
        <v>1528</v>
      </c>
    </row>
    <row r="495" spans="1:8" x14ac:dyDescent="0.25">
      <c r="A495" s="3" t="s">
        <v>245</v>
      </c>
      <c r="B495" s="2" t="s">
        <v>678</v>
      </c>
      <c r="C495" s="2">
        <v>5434</v>
      </c>
      <c r="D495" s="2">
        <v>1316</v>
      </c>
    </row>
    <row r="496" spans="1:8" x14ac:dyDescent="0.25">
      <c r="A496" s="3" t="s">
        <v>245</v>
      </c>
      <c r="B496" s="2" t="s">
        <v>679</v>
      </c>
      <c r="C496" s="2">
        <v>6397</v>
      </c>
      <c r="D496" s="2">
        <v>1047</v>
      </c>
    </row>
    <row r="497" spans="1:8" x14ac:dyDescent="0.25">
      <c r="A497" s="3" t="s">
        <v>245</v>
      </c>
      <c r="B497" s="2" t="s">
        <v>680</v>
      </c>
      <c r="C497" s="2">
        <v>4108</v>
      </c>
      <c r="D497" s="2">
        <v>1592</v>
      </c>
    </row>
    <row r="498" spans="1:8" x14ac:dyDescent="0.25">
      <c r="A498" s="3" t="s">
        <v>245</v>
      </c>
      <c r="B498" s="2" t="s">
        <v>1093</v>
      </c>
      <c r="C498" s="2">
        <v>4629</v>
      </c>
      <c r="D498" s="2">
        <v>1307</v>
      </c>
    </row>
    <row r="499" spans="1:8" x14ac:dyDescent="0.25">
      <c r="A499" s="3" t="s">
        <v>245</v>
      </c>
      <c r="B499" s="2" t="s">
        <v>681</v>
      </c>
      <c r="C499" s="2">
        <v>5495</v>
      </c>
      <c r="D499" s="2">
        <v>1379</v>
      </c>
    </row>
    <row r="500" spans="1:8" x14ac:dyDescent="0.25">
      <c r="A500" s="3" t="s">
        <v>245</v>
      </c>
      <c r="B500" s="2" t="s">
        <v>682</v>
      </c>
      <c r="C500" s="2">
        <v>4846</v>
      </c>
      <c r="D500" s="2">
        <v>1555</v>
      </c>
    </row>
    <row r="501" spans="1:8" x14ac:dyDescent="0.25">
      <c r="A501" s="3" t="s">
        <v>245</v>
      </c>
      <c r="B501" s="2" t="s">
        <v>1002</v>
      </c>
      <c r="C501" s="2">
        <v>4729</v>
      </c>
      <c r="D501" s="2">
        <v>924</v>
      </c>
      <c r="H501" s="1"/>
    </row>
    <row r="502" spans="1:8" x14ac:dyDescent="0.25">
      <c r="A502" s="3" t="s">
        <v>245</v>
      </c>
      <c r="B502" s="2" t="s">
        <v>683</v>
      </c>
      <c r="C502" s="2">
        <v>4803</v>
      </c>
      <c r="D502" s="2">
        <v>1344</v>
      </c>
    </row>
    <row r="503" spans="1:8" x14ac:dyDescent="0.25">
      <c r="A503" s="3" t="s">
        <v>73</v>
      </c>
      <c r="B503" s="2" t="s">
        <v>102</v>
      </c>
      <c r="C503" s="2">
        <v>6731</v>
      </c>
      <c r="D503" s="2">
        <v>548</v>
      </c>
    </row>
    <row r="504" spans="1:8" x14ac:dyDescent="0.25">
      <c r="A504" s="3" t="s">
        <v>73</v>
      </c>
      <c r="B504" s="2" t="s">
        <v>101</v>
      </c>
      <c r="C504" s="2">
        <v>8354</v>
      </c>
      <c r="D504" s="2">
        <v>282</v>
      </c>
    </row>
    <row r="505" spans="1:8" x14ac:dyDescent="0.25">
      <c r="A505" s="3" t="s">
        <v>73</v>
      </c>
      <c r="B505" s="2" t="s">
        <v>100</v>
      </c>
      <c r="C505" s="2">
        <v>9089</v>
      </c>
      <c r="D505" s="2">
        <v>101</v>
      </c>
    </row>
    <row r="506" spans="1:8" x14ac:dyDescent="0.25">
      <c r="A506" s="3" t="s">
        <v>73</v>
      </c>
      <c r="B506" s="2" t="s">
        <v>693</v>
      </c>
      <c r="C506" s="2">
        <v>8186</v>
      </c>
      <c r="D506" s="2">
        <v>86</v>
      </c>
    </row>
    <row r="507" spans="1:8" x14ac:dyDescent="0.25">
      <c r="A507" s="3" t="s">
        <v>73</v>
      </c>
      <c r="B507" s="2" t="s">
        <v>694</v>
      </c>
      <c r="C507" s="2">
        <v>8163</v>
      </c>
      <c r="D507" s="2">
        <v>504</v>
      </c>
    </row>
    <row r="508" spans="1:8" x14ac:dyDescent="0.25">
      <c r="A508" s="3" t="s">
        <v>73</v>
      </c>
      <c r="B508" s="2" t="s">
        <v>695</v>
      </c>
      <c r="C508" s="2">
        <v>8667</v>
      </c>
      <c r="D508" s="2">
        <v>555</v>
      </c>
    </row>
    <row r="509" spans="1:8" x14ac:dyDescent="0.25">
      <c r="A509" s="3" t="s">
        <v>73</v>
      </c>
      <c r="B509" s="2" t="s">
        <v>103</v>
      </c>
      <c r="C509" s="2">
        <v>7854</v>
      </c>
      <c r="D509" s="2">
        <v>344</v>
      </c>
    </row>
    <row r="510" spans="1:8" x14ac:dyDescent="0.25">
      <c r="A510" s="3" t="s">
        <v>73</v>
      </c>
      <c r="B510" s="2" t="s">
        <v>696</v>
      </c>
      <c r="C510" s="2">
        <v>8213</v>
      </c>
      <c r="D510" s="2">
        <v>432</v>
      </c>
    </row>
    <row r="511" spans="1:8" x14ac:dyDescent="0.25">
      <c r="A511" s="3" t="s">
        <v>73</v>
      </c>
      <c r="B511" s="2" t="s">
        <v>99</v>
      </c>
      <c r="C511" s="2">
        <v>7587</v>
      </c>
      <c r="D511" s="2">
        <v>320</v>
      </c>
    </row>
    <row r="512" spans="1:8" x14ac:dyDescent="0.25">
      <c r="A512" s="3" t="s">
        <v>73</v>
      </c>
      <c r="B512" s="2" t="s">
        <v>97</v>
      </c>
      <c r="C512" s="2">
        <v>7928</v>
      </c>
      <c r="D512" s="2">
        <v>126</v>
      </c>
    </row>
    <row r="513" spans="1:8" x14ac:dyDescent="0.25">
      <c r="A513" s="3" t="s">
        <v>73</v>
      </c>
      <c r="B513" s="2" t="s">
        <v>697</v>
      </c>
      <c r="C513" s="2">
        <v>8014</v>
      </c>
      <c r="D513" s="2">
        <v>107</v>
      </c>
    </row>
    <row r="514" spans="1:8" x14ac:dyDescent="0.25">
      <c r="A514" s="3" t="s">
        <v>73</v>
      </c>
      <c r="B514" s="2" t="s">
        <v>698</v>
      </c>
      <c r="C514" s="2">
        <v>7111</v>
      </c>
      <c r="D514" s="2">
        <v>370</v>
      </c>
    </row>
    <row r="515" spans="1:8" x14ac:dyDescent="0.25">
      <c r="A515" s="3" t="s">
        <v>73</v>
      </c>
      <c r="B515" s="2" t="s">
        <v>699</v>
      </c>
      <c r="C515" s="2">
        <v>7617</v>
      </c>
      <c r="D515" s="2">
        <v>648</v>
      </c>
    </row>
    <row r="516" spans="1:8" x14ac:dyDescent="0.25">
      <c r="A516" s="3" t="s">
        <v>73</v>
      </c>
      <c r="B516" s="2" t="s">
        <v>98</v>
      </c>
      <c r="C516" s="2">
        <v>7323</v>
      </c>
      <c r="D516" s="2">
        <v>269</v>
      </c>
    </row>
    <row r="517" spans="1:8" x14ac:dyDescent="0.25">
      <c r="A517" s="3" t="s">
        <v>73</v>
      </c>
      <c r="B517" s="2" t="s">
        <v>1097</v>
      </c>
      <c r="C517" s="2">
        <v>9396</v>
      </c>
      <c r="D517" s="2">
        <v>411</v>
      </c>
    </row>
    <row r="518" spans="1:8" x14ac:dyDescent="0.25">
      <c r="A518" s="3" t="s">
        <v>73</v>
      </c>
      <c r="B518" s="2" t="s">
        <v>700</v>
      </c>
      <c r="C518" s="2">
        <v>8983</v>
      </c>
      <c r="D518" s="2">
        <v>249</v>
      </c>
    </row>
    <row r="519" spans="1:8" x14ac:dyDescent="0.25">
      <c r="A519" s="3" t="s">
        <v>246</v>
      </c>
      <c r="B519" s="2" t="s">
        <v>723</v>
      </c>
      <c r="C519" s="2">
        <v>6118</v>
      </c>
      <c r="D519" s="2">
        <v>789</v>
      </c>
      <c r="H519" s="1"/>
    </row>
    <row r="520" spans="1:8" x14ac:dyDescent="0.25">
      <c r="A520" s="3" t="s">
        <v>246</v>
      </c>
      <c r="B520" s="2" t="s">
        <v>724</v>
      </c>
      <c r="C520" s="2">
        <v>7026</v>
      </c>
      <c r="D520" s="2">
        <v>736</v>
      </c>
    </row>
    <row r="521" spans="1:8" x14ac:dyDescent="0.25">
      <c r="A521" s="3" t="s">
        <v>246</v>
      </c>
      <c r="B521" s="2" t="s">
        <v>725</v>
      </c>
      <c r="C521" s="2">
        <v>5646</v>
      </c>
      <c r="D521" s="2">
        <v>1135</v>
      </c>
    </row>
    <row r="522" spans="1:8" x14ac:dyDescent="0.25">
      <c r="A522" s="3" t="s">
        <v>246</v>
      </c>
      <c r="B522" s="2" t="s">
        <v>726</v>
      </c>
      <c r="C522" s="2">
        <v>6309</v>
      </c>
      <c r="D522" s="2">
        <v>1139</v>
      </c>
      <c r="H522" s="1"/>
    </row>
    <row r="523" spans="1:8" x14ac:dyDescent="0.25">
      <c r="A523" s="3" t="s">
        <v>246</v>
      </c>
      <c r="B523" s="2" t="s">
        <v>728</v>
      </c>
      <c r="C523" s="2">
        <v>6772</v>
      </c>
      <c r="D523" s="2">
        <v>790</v>
      </c>
    </row>
    <row r="524" spans="1:8" x14ac:dyDescent="0.25">
      <c r="A524" s="3" t="s">
        <v>246</v>
      </c>
      <c r="B524" s="2" t="s">
        <v>729</v>
      </c>
      <c r="C524" s="2">
        <v>6543</v>
      </c>
      <c r="D524" s="2">
        <v>812</v>
      </c>
    </row>
    <row r="525" spans="1:8" x14ac:dyDescent="0.25">
      <c r="A525" s="3" t="s">
        <v>246</v>
      </c>
      <c r="B525" s="2" t="s">
        <v>1141</v>
      </c>
      <c r="C525" s="2">
        <v>6670</v>
      </c>
      <c r="D525" s="2">
        <v>937</v>
      </c>
    </row>
    <row r="526" spans="1:8" x14ac:dyDescent="0.25">
      <c r="A526" s="3" t="s">
        <v>246</v>
      </c>
      <c r="B526" s="2" t="s">
        <v>730</v>
      </c>
      <c r="C526" s="2">
        <v>5775</v>
      </c>
      <c r="D526" s="2">
        <v>1039</v>
      </c>
    </row>
    <row r="527" spans="1:8" x14ac:dyDescent="0.25">
      <c r="A527" s="3" t="s">
        <v>246</v>
      </c>
      <c r="B527" s="2" t="s">
        <v>731</v>
      </c>
      <c r="C527" s="2">
        <v>6953</v>
      </c>
      <c r="D527" s="2">
        <v>935</v>
      </c>
    </row>
    <row r="528" spans="1:8" x14ac:dyDescent="0.25">
      <c r="A528" s="3" t="s">
        <v>246</v>
      </c>
      <c r="B528" s="2" t="s">
        <v>732</v>
      </c>
      <c r="C528" s="2">
        <v>6654</v>
      </c>
      <c r="D528" s="2">
        <v>1041</v>
      </c>
    </row>
    <row r="529" spans="1:8" x14ac:dyDescent="0.25">
      <c r="A529" s="3" t="s">
        <v>246</v>
      </c>
      <c r="B529" s="2" t="s">
        <v>733</v>
      </c>
      <c r="C529" s="2">
        <v>6075</v>
      </c>
      <c r="D529" s="2">
        <v>1108</v>
      </c>
    </row>
    <row r="530" spans="1:8" x14ac:dyDescent="0.25">
      <c r="A530" s="3" t="s">
        <v>246</v>
      </c>
      <c r="B530" s="2" t="s">
        <v>727</v>
      </c>
      <c r="C530" s="2">
        <v>6510</v>
      </c>
      <c r="D530" s="2">
        <v>852</v>
      </c>
    </row>
    <row r="531" spans="1:8" x14ac:dyDescent="0.25">
      <c r="A531" s="3" t="s">
        <v>246</v>
      </c>
      <c r="B531" s="2" t="s">
        <v>1140</v>
      </c>
      <c r="C531" s="2">
        <v>5834</v>
      </c>
      <c r="D531" s="2">
        <v>1024</v>
      </c>
    </row>
    <row r="532" spans="1:8" x14ac:dyDescent="0.25">
      <c r="A532" s="3" t="s">
        <v>246</v>
      </c>
      <c r="B532" s="2" t="s">
        <v>734</v>
      </c>
      <c r="C532" s="2">
        <v>6348</v>
      </c>
      <c r="D532" s="2">
        <v>843</v>
      </c>
      <c r="H532" s="1"/>
    </row>
    <row r="533" spans="1:8" x14ac:dyDescent="0.25">
      <c r="A533" s="3" t="s">
        <v>246</v>
      </c>
      <c r="B533" s="2" t="s">
        <v>735</v>
      </c>
      <c r="C533" s="2">
        <v>5892</v>
      </c>
      <c r="D533" s="2">
        <v>1220</v>
      </c>
    </row>
    <row r="534" spans="1:8" x14ac:dyDescent="0.25">
      <c r="A534" s="3" t="s">
        <v>246</v>
      </c>
      <c r="B534" s="2" t="s">
        <v>736</v>
      </c>
      <c r="C534" s="2">
        <v>5616</v>
      </c>
      <c r="D534" s="2">
        <v>1256</v>
      </c>
    </row>
    <row r="535" spans="1:8" x14ac:dyDescent="0.25">
      <c r="A535" s="3" t="s">
        <v>246</v>
      </c>
      <c r="B535" s="2" t="s">
        <v>1105</v>
      </c>
      <c r="C535" s="2">
        <v>6943</v>
      </c>
      <c r="D535" s="2">
        <v>986</v>
      </c>
    </row>
    <row r="536" spans="1:8" x14ac:dyDescent="0.25">
      <c r="A536" s="3" t="s">
        <v>246</v>
      </c>
      <c r="B536" s="2" t="s">
        <v>737</v>
      </c>
      <c r="C536" s="2">
        <v>6556</v>
      </c>
      <c r="D536" s="2">
        <v>802</v>
      </c>
    </row>
    <row r="537" spans="1:8" x14ac:dyDescent="0.25">
      <c r="A537" s="3" t="s">
        <v>246</v>
      </c>
      <c r="B537" s="2" t="s">
        <v>739</v>
      </c>
      <c r="C537" s="2">
        <v>5954</v>
      </c>
      <c r="D537" s="2">
        <v>1275</v>
      </c>
    </row>
    <row r="538" spans="1:8" x14ac:dyDescent="0.25">
      <c r="A538" s="3" t="s">
        <v>246</v>
      </c>
      <c r="B538" s="2" t="s">
        <v>738</v>
      </c>
      <c r="C538" s="2">
        <v>7733</v>
      </c>
      <c r="D538" s="2">
        <v>847</v>
      </c>
    </row>
    <row r="539" spans="1:8" x14ac:dyDescent="0.25">
      <c r="A539" s="3" t="s">
        <v>246</v>
      </c>
      <c r="B539" s="2" t="s">
        <v>740</v>
      </c>
      <c r="C539" s="2">
        <v>6279</v>
      </c>
      <c r="D539" s="2">
        <v>872</v>
      </c>
    </row>
    <row r="540" spans="1:8" x14ac:dyDescent="0.25">
      <c r="A540" s="3" t="s">
        <v>246</v>
      </c>
      <c r="B540" s="2" t="s">
        <v>741</v>
      </c>
      <c r="C540" s="2">
        <v>6560</v>
      </c>
      <c r="D540" s="2">
        <v>760</v>
      </c>
    </row>
    <row r="541" spans="1:8" x14ac:dyDescent="0.25">
      <c r="A541" s="3" t="s">
        <v>246</v>
      </c>
      <c r="B541" s="2" t="s">
        <v>1104</v>
      </c>
      <c r="C541" s="2">
        <v>6864</v>
      </c>
      <c r="D541" s="2">
        <v>494</v>
      </c>
    </row>
    <row r="542" spans="1:8" x14ac:dyDescent="0.25">
      <c r="A542" s="3" t="s">
        <v>246</v>
      </c>
      <c r="B542" s="2" t="s">
        <v>742</v>
      </c>
      <c r="C542" s="2">
        <v>6650</v>
      </c>
      <c r="D542" s="2">
        <v>1005</v>
      </c>
      <c r="H542" s="1"/>
    </row>
    <row r="543" spans="1:8" x14ac:dyDescent="0.25">
      <c r="A543" s="3" t="s">
        <v>246</v>
      </c>
      <c r="B543" s="2" t="s">
        <v>743</v>
      </c>
      <c r="C543" s="2">
        <v>6453</v>
      </c>
      <c r="D543" s="2">
        <v>811</v>
      </c>
    </row>
    <row r="544" spans="1:8" x14ac:dyDescent="0.25">
      <c r="A544" s="3" t="s">
        <v>247</v>
      </c>
      <c r="B544" s="2" t="s">
        <v>770</v>
      </c>
      <c r="C544" s="2">
        <v>7070</v>
      </c>
      <c r="D544" s="2">
        <v>407</v>
      </c>
    </row>
    <row r="545" spans="1:8" x14ac:dyDescent="0.25">
      <c r="A545" s="3" t="s">
        <v>247</v>
      </c>
      <c r="B545" s="2" t="s">
        <v>638</v>
      </c>
      <c r="C545" s="2">
        <v>7267</v>
      </c>
      <c r="D545" s="2">
        <v>154</v>
      </c>
    </row>
    <row r="546" spans="1:8" x14ac:dyDescent="0.25">
      <c r="A546" s="3" t="s">
        <v>247</v>
      </c>
      <c r="B546" s="2" t="s">
        <v>771</v>
      </c>
      <c r="C546" s="2">
        <v>5163</v>
      </c>
      <c r="D546" s="2">
        <v>1010</v>
      </c>
    </row>
    <row r="547" spans="1:8" x14ac:dyDescent="0.25">
      <c r="A547" s="3" t="s">
        <v>247</v>
      </c>
      <c r="B547" s="2" t="s">
        <v>1112</v>
      </c>
      <c r="C547" s="2">
        <v>2301</v>
      </c>
      <c r="D547" s="2">
        <v>3187</v>
      </c>
    </row>
    <row r="548" spans="1:8" x14ac:dyDescent="0.25">
      <c r="A548" s="3" t="s">
        <v>247</v>
      </c>
      <c r="B548" s="2" t="s">
        <v>772</v>
      </c>
      <c r="C548" s="2">
        <v>5351</v>
      </c>
      <c r="D548" s="2">
        <v>836</v>
      </c>
    </row>
    <row r="549" spans="1:8" x14ac:dyDescent="0.25">
      <c r="A549" s="3" t="s">
        <v>247</v>
      </c>
      <c r="B549" s="2" t="s">
        <v>773</v>
      </c>
      <c r="C549" s="2">
        <v>3001</v>
      </c>
      <c r="D549" s="2">
        <v>2396</v>
      </c>
    </row>
    <row r="550" spans="1:8" x14ac:dyDescent="0.25">
      <c r="A550" s="3" t="s">
        <v>247</v>
      </c>
      <c r="B550" s="2" t="s">
        <v>774</v>
      </c>
      <c r="C550" s="2">
        <v>5488</v>
      </c>
      <c r="D550" s="2">
        <v>620</v>
      </c>
      <c r="H550" s="1"/>
    </row>
    <row r="551" spans="1:8" x14ac:dyDescent="0.25">
      <c r="A551" s="3" t="s">
        <v>247</v>
      </c>
      <c r="B551" s="2" t="s">
        <v>775</v>
      </c>
      <c r="C551" s="2">
        <v>5431</v>
      </c>
      <c r="D551" s="2">
        <v>747</v>
      </c>
    </row>
    <row r="552" spans="1:8" x14ac:dyDescent="0.25">
      <c r="A552" s="3" t="s">
        <v>247</v>
      </c>
      <c r="B552" s="2" t="s">
        <v>776</v>
      </c>
      <c r="C552" s="2">
        <v>6158</v>
      </c>
      <c r="D552" s="2">
        <v>567</v>
      </c>
    </row>
    <row r="553" spans="1:8" x14ac:dyDescent="0.25">
      <c r="A553" s="3" t="s">
        <v>248</v>
      </c>
      <c r="B553" s="2" t="s">
        <v>744</v>
      </c>
      <c r="C553" s="2">
        <v>8891</v>
      </c>
      <c r="D553" s="2">
        <v>145</v>
      </c>
    </row>
    <row r="554" spans="1:8" x14ac:dyDescent="0.25">
      <c r="A554" s="3" t="s">
        <v>248</v>
      </c>
      <c r="B554" s="2" t="s">
        <v>1107</v>
      </c>
      <c r="C554" s="2">
        <v>7479</v>
      </c>
      <c r="D554" s="2">
        <v>397</v>
      </c>
    </row>
    <row r="555" spans="1:8" x14ac:dyDescent="0.25">
      <c r="A555" s="3" t="s">
        <v>248</v>
      </c>
      <c r="B555" s="2" t="s">
        <v>745</v>
      </c>
      <c r="C555" s="2">
        <v>7169</v>
      </c>
      <c r="D555" s="2">
        <v>470</v>
      </c>
    </row>
    <row r="556" spans="1:8" x14ac:dyDescent="0.25">
      <c r="A556" s="3" t="s">
        <v>248</v>
      </c>
      <c r="B556" s="2" t="s">
        <v>746</v>
      </c>
      <c r="C556" s="2">
        <v>7198</v>
      </c>
      <c r="D556" s="2">
        <v>396</v>
      </c>
    </row>
    <row r="557" spans="1:8" x14ac:dyDescent="0.25">
      <c r="A557" s="3" t="s">
        <v>248</v>
      </c>
      <c r="B557" s="2" t="s">
        <v>747</v>
      </c>
      <c r="C557" s="2">
        <v>7349</v>
      </c>
      <c r="D557" s="2">
        <v>389</v>
      </c>
    </row>
    <row r="558" spans="1:8" x14ac:dyDescent="0.25">
      <c r="A558" s="3" t="s">
        <v>248</v>
      </c>
      <c r="B558" s="2" t="s">
        <v>748</v>
      </c>
      <c r="C558" s="2">
        <v>6322</v>
      </c>
      <c r="D558" s="2">
        <v>664</v>
      </c>
    </row>
    <row r="559" spans="1:8" x14ac:dyDescent="0.25">
      <c r="A559" s="3" t="s">
        <v>248</v>
      </c>
      <c r="B559" s="2" t="s">
        <v>749</v>
      </c>
      <c r="C559" s="2">
        <v>13275</v>
      </c>
      <c r="D559" s="2">
        <v>0</v>
      </c>
    </row>
    <row r="560" spans="1:8" x14ac:dyDescent="0.25">
      <c r="A560" s="3" t="s">
        <v>248</v>
      </c>
      <c r="B560" s="2" t="s">
        <v>750</v>
      </c>
      <c r="C560" s="2">
        <v>6753</v>
      </c>
      <c r="D560" s="2">
        <v>527</v>
      </c>
    </row>
    <row r="561" spans="1:4" x14ac:dyDescent="0.25">
      <c r="A561" s="3" t="s">
        <v>249</v>
      </c>
      <c r="B561" s="2" t="s">
        <v>751</v>
      </c>
      <c r="C561" s="2">
        <v>5073</v>
      </c>
      <c r="D561" s="2">
        <v>886</v>
      </c>
    </row>
    <row r="562" spans="1:4" x14ac:dyDescent="0.25">
      <c r="A562" s="3" t="s">
        <v>249</v>
      </c>
      <c r="B562" s="2" t="s">
        <v>752</v>
      </c>
      <c r="C562" s="2">
        <v>5280</v>
      </c>
      <c r="D562" s="2">
        <v>890</v>
      </c>
    </row>
    <row r="563" spans="1:4" x14ac:dyDescent="0.25">
      <c r="A563" s="3" t="s">
        <v>249</v>
      </c>
      <c r="B563" s="2" t="s">
        <v>1108</v>
      </c>
      <c r="C563" s="2">
        <v>5060</v>
      </c>
      <c r="D563" s="2">
        <v>654</v>
      </c>
    </row>
    <row r="564" spans="1:4" x14ac:dyDescent="0.25">
      <c r="A564" s="3" t="s">
        <v>249</v>
      </c>
      <c r="B564" s="2" t="s">
        <v>754</v>
      </c>
      <c r="C564" s="2">
        <v>4680</v>
      </c>
      <c r="D564" s="2">
        <v>1011</v>
      </c>
    </row>
    <row r="565" spans="1:4" x14ac:dyDescent="0.25">
      <c r="A565" s="3" t="s">
        <v>249</v>
      </c>
      <c r="B565" s="2" t="s">
        <v>755</v>
      </c>
      <c r="C565" s="2">
        <v>5057</v>
      </c>
      <c r="D565" s="2">
        <v>1237</v>
      </c>
    </row>
    <row r="566" spans="1:4" x14ac:dyDescent="0.25">
      <c r="A566" s="3" t="s">
        <v>249</v>
      </c>
      <c r="B566" s="2" t="s">
        <v>753</v>
      </c>
      <c r="C566" s="2">
        <v>4286</v>
      </c>
      <c r="D566" s="2">
        <v>1028</v>
      </c>
    </row>
    <row r="567" spans="1:4" x14ac:dyDescent="0.25">
      <c r="A567" s="3" t="s">
        <v>249</v>
      </c>
      <c r="B567" s="2" t="s">
        <v>756</v>
      </c>
      <c r="C567" s="2">
        <v>4868</v>
      </c>
      <c r="D567" s="2">
        <v>695</v>
      </c>
    </row>
    <row r="568" spans="1:4" x14ac:dyDescent="0.25">
      <c r="A568" s="3" t="s">
        <v>249</v>
      </c>
      <c r="B568" s="2" t="s">
        <v>757</v>
      </c>
      <c r="C568" s="2">
        <v>5040</v>
      </c>
      <c r="D568" s="2">
        <v>1177</v>
      </c>
    </row>
    <row r="569" spans="1:4" x14ac:dyDescent="0.25">
      <c r="A569" s="3" t="s">
        <v>250</v>
      </c>
      <c r="B569" s="2" t="s">
        <v>763</v>
      </c>
      <c r="C569" s="2">
        <v>3327</v>
      </c>
      <c r="D569" s="2">
        <v>1793</v>
      </c>
    </row>
    <row r="570" spans="1:4" x14ac:dyDescent="0.25">
      <c r="A570" s="3" t="s">
        <v>250</v>
      </c>
      <c r="B570" s="2" t="s">
        <v>758</v>
      </c>
      <c r="C570" s="2">
        <v>4157</v>
      </c>
      <c r="D570" s="2">
        <v>1269</v>
      </c>
    </row>
    <row r="571" spans="1:4" x14ac:dyDescent="0.25">
      <c r="A571" s="3" t="s">
        <v>250</v>
      </c>
      <c r="B571" s="2" t="s">
        <v>1109</v>
      </c>
      <c r="C571" s="2">
        <v>2764</v>
      </c>
      <c r="D571" s="2">
        <v>2298</v>
      </c>
    </row>
    <row r="572" spans="1:4" x14ac:dyDescent="0.25">
      <c r="A572" s="3" t="s">
        <v>250</v>
      </c>
      <c r="B572" s="2" t="s">
        <v>759</v>
      </c>
      <c r="C572" s="2">
        <v>4765</v>
      </c>
      <c r="D572" s="2">
        <v>1156</v>
      </c>
    </row>
    <row r="573" spans="1:4" x14ac:dyDescent="0.25">
      <c r="A573" s="3" t="s">
        <v>250</v>
      </c>
      <c r="B573" s="2" t="s">
        <v>760</v>
      </c>
      <c r="C573" s="2">
        <v>4467</v>
      </c>
      <c r="D573" s="2">
        <v>1396</v>
      </c>
    </row>
    <row r="574" spans="1:4" x14ac:dyDescent="0.25">
      <c r="A574" s="3" t="s">
        <v>250</v>
      </c>
      <c r="B574" s="2" t="s">
        <v>761</v>
      </c>
      <c r="C574" s="2">
        <v>2878</v>
      </c>
      <c r="D574" s="2">
        <v>1891</v>
      </c>
    </row>
    <row r="575" spans="1:4" x14ac:dyDescent="0.25">
      <c r="A575" s="3" t="s">
        <v>250</v>
      </c>
      <c r="B575" s="2" t="s">
        <v>1110</v>
      </c>
      <c r="C575" s="2">
        <v>5199</v>
      </c>
      <c r="D575" s="2">
        <v>1022</v>
      </c>
    </row>
    <row r="576" spans="1:4" x14ac:dyDescent="0.25">
      <c r="A576" s="3" t="s">
        <v>250</v>
      </c>
      <c r="B576" s="2" t="s">
        <v>762</v>
      </c>
      <c r="C576" s="2">
        <v>6002</v>
      </c>
      <c r="D576" s="2">
        <v>388</v>
      </c>
    </row>
    <row r="577" spans="1:4" x14ac:dyDescent="0.25">
      <c r="A577" s="3" t="s">
        <v>250</v>
      </c>
      <c r="B577" s="2" t="s">
        <v>764</v>
      </c>
      <c r="C577" s="2">
        <v>2876</v>
      </c>
      <c r="D577" s="2">
        <v>2146</v>
      </c>
    </row>
    <row r="578" spans="1:4" x14ac:dyDescent="0.25">
      <c r="A578" s="3" t="s">
        <v>250</v>
      </c>
      <c r="B578" s="2" t="s">
        <v>1111</v>
      </c>
      <c r="C578" s="2">
        <v>5180</v>
      </c>
      <c r="D578" s="2">
        <v>307</v>
      </c>
    </row>
    <row r="579" spans="1:4" x14ac:dyDescent="0.25">
      <c r="A579" s="3" t="s">
        <v>250</v>
      </c>
      <c r="B579" s="2" t="s">
        <v>765</v>
      </c>
      <c r="C579" s="2">
        <v>2735</v>
      </c>
      <c r="D579" s="2">
        <v>1932</v>
      </c>
    </row>
    <row r="580" spans="1:4" x14ac:dyDescent="0.25">
      <c r="A580" s="3" t="s">
        <v>250</v>
      </c>
      <c r="B580" s="2" t="s">
        <v>1003</v>
      </c>
      <c r="C580" s="2">
        <v>4095</v>
      </c>
      <c r="D580" s="2">
        <v>604</v>
      </c>
    </row>
    <row r="581" spans="1:4" x14ac:dyDescent="0.25">
      <c r="A581" s="3" t="s">
        <v>250</v>
      </c>
      <c r="B581" s="2" t="s">
        <v>766</v>
      </c>
      <c r="C581" s="2">
        <v>5449</v>
      </c>
      <c r="D581" s="2">
        <v>589</v>
      </c>
    </row>
    <row r="582" spans="1:4" x14ac:dyDescent="0.25">
      <c r="A582" s="3" t="s">
        <v>250</v>
      </c>
      <c r="B582" s="2" t="s">
        <v>767</v>
      </c>
      <c r="C582" s="2">
        <v>6904</v>
      </c>
      <c r="D582" s="2">
        <v>198</v>
      </c>
    </row>
    <row r="583" spans="1:4" x14ac:dyDescent="0.25">
      <c r="A583" s="3" t="s">
        <v>250</v>
      </c>
      <c r="B583" s="2" t="s">
        <v>768</v>
      </c>
      <c r="C583" s="2">
        <v>3102</v>
      </c>
      <c r="D583" s="2">
        <v>1742</v>
      </c>
    </row>
    <row r="584" spans="1:4" x14ac:dyDescent="0.25">
      <c r="A584" s="3" t="s">
        <v>250</v>
      </c>
      <c r="B584" s="2" t="s">
        <v>769</v>
      </c>
      <c r="C584" s="2">
        <v>4109</v>
      </c>
      <c r="D584" s="2">
        <v>1423</v>
      </c>
    </row>
    <row r="585" spans="1:4" x14ac:dyDescent="0.25">
      <c r="A585" s="3" t="s">
        <v>251</v>
      </c>
      <c r="B585" s="2" t="s">
        <v>1046</v>
      </c>
      <c r="C585" s="2">
        <v>6773</v>
      </c>
      <c r="D585" s="2">
        <v>489</v>
      </c>
    </row>
    <row r="586" spans="1:4" x14ac:dyDescent="0.25">
      <c r="A586" s="3" t="s">
        <v>251</v>
      </c>
      <c r="B586" s="2" t="s">
        <v>778</v>
      </c>
      <c r="C586" s="2">
        <v>7015</v>
      </c>
      <c r="D586" s="2">
        <v>404</v>
      </c>
    </row>
    <row r="587" spans="1:4" x14ac:dyDescent="0.25">
      <c r="A587" s="3" t="s">
        <v>251</v>
      </c>
      <c r="B587" s="2" t="s">
        <v>779</v>
      </c>
      <c r="C587" s="2">
        <v>6612</v>
      </c>
      <c r="D587" s="2">
        <v>468</v>
      </c>
    </row>
    <row r="588" spans="1:4" x14ac:dyDescent="0.25">
      <c r="A588" s="3" t="s">
        <v>251</v>
      </c>
      <c r="B588" s="2" t="s">
        <v>780</v>
      </c>
      <c r="C588" s="2">
        <v>6449</v>
      </c>
      <c r="D588" s="2">
        <v>297</v>
      </c>
    </row>
    <row r="589" spans="1:4" x14ac:dyDescent="0.25">
      <c r="A589" s="3" t="s">
        <v>251</v>
      </c>
      <c r="B589" s="2" t="s">
        <v>781</v>
      </c>
      <c r="C589" s="2">
        <v>7158</v>
      </c>
      <c r="D589" s="2">
        <v>481</v>
      </c>
    </row>
    <row r="590" spans="1:4" x14ac:dyDescent="0.25">
      <c r="A590" s="3" t="s">
        <v>251</v>
      </c>
      <c r="B590" s="2" t="s">
        <v>1113</v>
      </c>
      <c r="C590" s="2">
        <v>7188</v>
      </c>
      <c r="D590" s="2">
        <v>278</v>
      </c>
    </row>
    <row r="591" spans="1:4" x14ac:dyDescent="0.25">
      <c r="A591" s="3" t="s">
        <v>251</v>
      </c>
      <c r="B591" s="2" t="s">
        <v>783</v>
      </c>
      <c r="C591" s="2">
        <v>8046</v>
      </c>
      <c r="D591" s="2">
        <v>376</v>
      </c>
    </row>
    <row r="592" spans="1:4" x14ac:dyDescent="0.25">
      <c r="A592" s="3" t="s">
        <v>251</v>
      </c>
      <c r="B592" s="2" t="s">
        <v>1114</v>
      </c>
      <c r="C592" s="2">
        <v>7059</v>
      </c>
      <c r="D592" s="2">
        <v>428</v>
      </c>
    </row>
    <row r="593" spans="1:8" x14ac:dyDescent="0.25">
      <c r="A593" s="3" t="s">
        <v>251</v>
      </c>
      <c r="B593" s="2" t="s">
        <v>788</v>
      </c>
      <c r="C593" s="2">
        <v>6159</v>
      </c>
      <c r="D593" s="2">
        <v>756</v>
      </c>
      <c r="H593" s="1"/>
    </row>
    <row r="594" spans="1:8" x14ac:dyDescent="0.25">
      <c r="A594" s="3" t="s">
        <v>251</v>
      </c>
      <c r="B594" s="2" t="s">
        <v>251</v>
      </c>
      <c r="C594" s="2">
        <v>4885</v>
      </c>
      <c r="D594" s="2">
        <v>1133</v>
      </c>
    </row>
    <row r="595" spans="1:8" x14ac:dyDescent="0.25">
      <c r="A595" s="3" t="s">
        <v>251</v>
      </c>
      <c r="B595" s="2" t="s">
        <v>784</v>
      </c>
      <c r="C595" s="2">
        <v>6484</v>
      </c>
      <c r="D595" s="2">
        <v>602</v>
      </c>
    </row>
    <row r="596" spans="1:8" x14ac:dyDescent="0.25">
      <c r="A596" s="3" t="s">
        <v>251</v>
      </c>
      <c r="B596" s="2" t="s">
        <v>786</v>
      </c>
      <c r="C596" s="2">
        <v>4893</v>
      </c>
      <c r="D596" s="2">
        <v>983</v>
      </c>
    </row>
    <row r="597" spans="1:8" x14ac:dyDescent="0.25">
      <c r="A597" s="3" t="s">
        <v>251</v>
      </c>
      <c r="B597" s="2" t="s">
        <v>787</v>
      </c>
      <c r="C597" s="2">
        <v>6518</v>
      </c>
      <c r="D597" s="2">
        <v>627</v>
      </c>
    </row>
    <row r="598" spans="1:8" x14ac:dyDescent="0.25">
      <c r="A598" s="3" t="s">
        <v>251</v>
      </c>
      <c r="B598" s="2" t="s">
        <v>782</v>
      </c>
      <c r="C598" s="2">
        <v>5005</v>
      </c>
      <c r="D598" s="2">
        <v>983</v>
      </c>
    </row>
    <row r="599" spans="1:8" x14ac:dyDescent="0.25">
      <c r="A599" s="3" t="s">
        <v>251</v>
      </c>
      <c r="B599" s="2" t="s">
        <v>777</v>
      </c>
      <c r="C599" s="2">
        <v>9158</v>
      </c>
      <c r="D599" s="2">
        <v>149</v>
      </c>
    </row>
    <row r="600" spans="1:8" x14ac:dyDescent="0.25">
      <c r="A600" s="3" t="s">
        <v>251</v>
      </c>
      <c r="B600" s="2" t="s">
        <v>789</v>
      </c>
      <c r="C600" s="2">
        <v>6609</v>
      </c>
      <c r="D600" s="2">
        <v>535</v>
      </c>
    </row>
    <row r="601" spans="1:8" x14ac:dyDescent="0.25">
      <c r="A601" s="3" t="s">
        <v>251</v>
      </c>
      <c r="B601" s="2" t="s">
        <v>790</v>
      </c>
      <c r="C601" s="2">
        <v>6974</v>
      </c>
      <c r="D601" s="2">
        <v>414</v>
      </c>
    </row>
    <row r="602" spans="1:8" x14ac:dyDescent="0.25">
      <c r="A602" s="3" t="s">
        <v>251</v>
      </c>
      <c r="B602" s="2" t="s">
        <v>785</v>
      </c>
      <c r="C602" s="2">
        <v>6030</v>
      </c>
      <c r="D602" s="2">
        <v>607</v>
      </c>
    </row>
    <row r="603" spans="1:8" x14ac:dyDescent="0.25">
      <c r="A603" s="3" t="s">
        <v>251</v>
      </c>
      <c r="B603" s="2" t="s">
        <v>1115</v>
      </c>
      <c r="C603" s="2">
        <v>7496</v>
      </c>
      <c r="D603" s="2">
        <v>330</v>
      </c>
    </row>
    <row r="604" spans="1:8" x14ac:dyDescent="0.25">
      <c r="A604" s="3" t="s">
        <v>251</v>
      </c>
      <c r="B604" s="2" t="s">
        <v>791</v>
      </c>
      <c r="C604" s="2">
        <v>5741</v>
      </c>
      <c r="D604" s="2">
        <v>455</v>
      </c>
    </row>
    <row r="605" spans="1:8" x14ac:dyDescent="0.25">
      <c r="A605" s="3" t="s">
        <v>251</v>
      </c>
      <c r="B605" s="2" t="s">
        <v>792</v>
      </c>
      <c r="C605" s="2">
        <v>5783</v>
      </c>
      <c r="D605" s="2">
        <v>595</v>
      </c>
      <c r="H605" s="1"/>
    </row>
    <row r="606" spans="1:8" x14ac:dyDescent="0.25">
      <c r="A606" s="3" t="s">
        <v>252</v>
      </c>
      <c r="B606" s="2" t="s">
        <v>701</v>
      </c>
      <c r="C606" s="2">
        <v>4273</v>
      </c>
      <c r="D606" s="2">
        <v>817</v>
      </c>
    </row>
    <row r="607" spans="1:8" x14ac:dyDescent="0.25">
      <c r="A607" s="3" t="s">
        <v>252</v>
      </c>
      <c r="B607" s="2" t="s">
        <v>702</v>
      </c>
      <c r="C607" s="2">
        <v>2563</v>
      </c>
      <c r="D607" s="2">
        <v>1729</v>
      </c>
    </row>
    <row r="608" spans="1:8" x14ac:dyDescent="0.25">
      <c r="A608" s="3" t="s">
        <v>252</v>
      </c>
      <c r="B608" s="2" t="s">
        <v>703</v>
      </c>
      <c r="C608" s="2">
        <v>3153</v>
      </c>
      <c r="D608" s="2">
        <v>1675</v>
      </c>
    </row>
    <row r="609" spans="1:8" x14ac:dyDescent="0.25">
      <c r="A609" s="3" t="s">
        <v>252</v>
      </c>
      <c r="B609" s="2" t="s">
        <v>706</v>
      </c>
      <c r="C609" s="2">
        <v>2744</v>
      </c>
      <c r="D609" s="2">
        <v>1760</v>
      </c>
      <c r="H609" s="1"/>
    </row>
    <row r="610" spans="1:8" x14ac:dyDescent="0.25">
      <c r="A610" s="3" t="s">
        <v>252</v>
      </c>
      <c r="B610" s="2" t="s">
        <v>1098</v>
      </c>
      <c r="C610" s="2">
        <v>3489</v>
      </c>
      <c r="D610" s="2">
        <v>1576</v>
      </c>
    </row>
    <row r="611" spans="1:8" x14ac:dyDescent="0.25">
      <c r="A611" s="3" t="s">
        <v>252</v>
      </c>
      <c r="B611" s="2" t="s">
        <v>707</v>
      </c>
      <c r="C611" s="2">
        <v>3589</v>
      </c>
      <c r="D611" s="2">
        <v>1743</v>
      </c>
    </row>
    <row r="612" spans="1:8" x14ac:dyDescent="0.25">
      <c r="A612" s="3" t="s">
        <v>252</v>
      </c>
      <c r="B612" s="2" t="s">
        <v>708</v>
      </c>
      <c r="C612" s="2">
        <v>3868</v>
      </c>
      <c r="D612" s="2">
        <v>1371</v>
      </c>
    </row>
    <row r="613" spans="1:8" x14ac:dyDescent="0.25">
      <c r="A613" s="3" t="s">
        <v>252</v>
      </c>
      <c r="B613" s="2" t="s">
        <v>1099</v>
      </c>
      <c r="C613" s="2">
        <v>3040</v>
      </c>
      <c r="D613" s="2">
        <v>1603</v>
      </c>
    </row>
    <row r="614" spans="1:8" x14ac:dyDescent="0.25">
      <c r="A614" s="3" t="s">
        <v>252</v>
      </c>
      <c r="B614" s="2" t="s">
        <v>704</v>
      </c>
      <c r="C614" s="2">
        <v>3345</v>
      </c>
      <c r="D614" s="2">
        <v>1701</v>
      </c>
    </row>
    <row r="615" spans="1:8" x14ac:dyDescent="0.25">
      <c r="A615" s="3" t="s">
        <v>252</v>
      </c>
      <c r="B615" s="2" t="s">
        <v>709</v>
      </c>
      <c r="C615" s="2">
        <v>3457</v>
      </c>
      <c r="D615" s="2">
        <v>1416</v>
      </c>
    </row>
    <row r="616" spans="1:8" x14ac:dyDescent="0.25">
      <c r="A616" s="3" t="s">
        <v>252</v>
      </c>
      <c r="B616" s="2" t="s">
        <v>1100</v>
      </c>
      <c r="C616" s="2">
        <v>3814</v>
      </c>
      <c r="D616" s="2">
        <v>1370</v>
      </c>
    </row>
    <row r="617" spans="1:8" x14ac:dyDescent="0.25">
      <c r="A617" s="3" t="s">
        <v>252</v>
      </c>
      <c r="B617" s="2" t="s">
        <v>710</v>
      </c>
      <c r="C617" s="2">
        <v>3397</v>
      </c>
      <c r="D617" s="2">
        <v>1818</v>
      </c>
    </row>
    <row r="618" spans="1:8" x14ac:dyDescent="0.25">
      <c r="A618" s="3" t="s">
        <v>252</v>
      </c>
      <c r="B618" s="2" t="s">
        <v>705</v>
      </c>
      <c r="C618" s="2">
        <v>3053</v>
      </c>
      <c r="D618" s="2">
        <v>1617</v>
      </c>
    </row>
    <row r="619" spans="1:8" x14ac:dyDescent="0.25">
      <c r="A619" s="3" t="s">
        <v>252</v>
      </c>
      <c r="B619" s="2" t="s">
        <v>711</v>
      </c>
      <c r="C619" s="2">
        <v>2276</v>
      </c>
      <c r="D619" s="2">
        <v>1874</v>
      </c>
    </row>
    <row r="620" spans="1:8" x14ac:dyDescent="0.25">
      <c r="A620" s="3" t="s">
        <v>252</v>
      </c>
      <c r="B620" s="2" t="s">
        <v>712</v>
      </c>
      <c r="C620" s="2">
        <v>3465</v>
      </c>
      <c r="D620" s="2">
        <v>1566</v>
      </c>
    </row>
    <row r="621" spans="1:8" x14ac:dyDescent="0.25">
      <c r="A621" s="3" t="s">
        <v>252</v>
      </c>
      <c r="B621" s="2" t="s">
        <v>713</v>
      </c>
      <c r="C621" s="2">
        <v>2878</v>
      </c>
      <c r="D621" s="2">
        <v>1435</v>
      </c>
    </row>
    <row r="622" spans="1:8" x14ac:dyDescent="0.25">
      <c r="A622" s="3" t="s">
        <v>252</v>
      </c>
      <c r="B622" s="2" t="s">
        <v>714</v>
      </c>
      <c r="C622" s="2">
        <v>3570</v>
      </c>
      <c r="D622" s="2">
        <v>1496</v>
      </c>
    </row>
    <row r="623" spans="1:8" x14ac:dyDescent="0.25">
      <c r="A623" s="3" t="s">
        <v>252</v>
      </c>
      <c r="B623" s="2" t="s">
        <v>1101</v>
      </c>
      <c r="C623" s="2">
        <v>2401</v>
      </c>
      <c r="D623" s="2">
        <v>1928</v>
      </c>
    </row>
    <row r="624" spans="1:8" x14ac:dyDescent="0.25">
      <c r="A624" s="3" t="s">
        <v>252</v>
      </c>
      <c r="B624" s="2" t="s">
        <v>715</v>
      </c>
      <c r="C624" s="2">
        <v>3214</v>
      </c>
      <c r="D624" s="2">
        <v>1244</v>
      </c>
    </row>
    <row r="625" spans="1:8" x14ac:dyDescent="0.25">
      <c r="A625" s="3" t="s">
        <v>253</v>
      </c>
      <c r="B625" s="2" t="s">
        <v>716</v>
      </c>
      <c r="C625" s="2">
        <v>8452</v>
      </c>
      <c r="D625" s="2">
        <v>453</v>
      </c>
    </row>
    <row r="626" spans="1:8" x14ac:dyDescent="0.25">
      <c r="A626" s="3" t="s">
        <v>253</v>
      </c>
      <c r="B626" s="2" t="s">
        <v>717</v>
      </c>
      <c r="C626" s="2">
        <v>9251</v>
      </c>
      <c r="D626" s="2">
        <v>288</v>
      </c>
    </row>
    <row r="627" spans="1:8" x14ac:dyDescent="0.25">
      <c r="A627" s="3" t="s">
        <v>253</v>
      </c>
      <c r="B627" s="2" t="s">
        <v>718</v>
      </c>
      <c r="C627" s="2">
        <v>9028</v>
      </c>
      <c r="D627" s="2">
        <v>417</v>
      </c>
    </row>
    <row r="628" spans="1:8" x14ac:dyDescent="0.25">
      <c r="A628" s="3" t="s">
        <v>253</v>
      </c>
      <c r="B628" s="2" t="s">
        <v>719</v>
      </c>
      <c r="C628" s="2">
        <v>9211</v>
      </c>
      <c r="D628" s="2">
        <v>491</v>
      </c>
    </row>
    <row r="629" spans="1:8" x14ac:dyDescent="0.25">
      <c r="A629" s="3" t="s">
        <v>253</v>
      </c>
      <c r="B629" s="2" t="s">
        <v>720</v>
      </c>
      <c r="C629" s="2">
        <v>9534</v>
      </c>
      <c r="D629" s="2">
        <v>486</v>
      </c>
    </row>
    <row r="630" spans="1:8" x14ac:dyDescent="0.25">
      <c r="A630" s="3" t="s">
        <v>253</v>
      </c>
      <c r="B630" s="2" t="s">
        <v>1102</v>
      </c>
      <c r="C630" s="2">
        <v>9505</v>
      </c>
      <c r="D630" s="2">
        <v>519</v>
      </c>
    </row>
    <row r="631" spans="1:8" x14ac:dyDescent="0.25">
      <c r="A631" s="3" t="s">
        <v>253</v>
      </c>
      <c r="B631" s="2" t="s">
        <v>721</v>
      </c>
      <c r="C631" s="2">
        <v>8972</v>
      </c>
      <c r="D631" s="2">
        <v>432</v>
      </c>
    </row>
    <row r="632" spans="1:8" x14ac:dyDescent="0.25">
      <c r="A632" s="3" t="s">
        <v>253</v>
      </c>
      <c r="B632" s="2" t="s">
        <v>722</v>
      </c>
      <c r="C632" s="2">
        <v>8467</v>
      </c>
      <c r="D632" s="2">
        <v>404</v>
      </c>
    </row>
    <row r="633" spans="1:8" x14ac:dyDescent="0.25">
      <c r="A633" s="3" t="s">
        <v>254</v>
      </c>
      <c r="B633" s="2" t="s">
        <v>1044</v>
      </c>
      <c r="C633" s="2">
        <v>259</v>
      </c>
      <c r="D633" s="2">
        <v>654</v>
      </c>
    </row>
    <row r="634" spans="1:8" x14ac:dyDescent="0.25">
      <c r="A634" s="3" t="s">
        <v>254</v>
      </c>
      <c r="B634" s="2" t="s">
        <v>794</v>
      </c>
      <c r="C634" s="2">
        <v>4911</v>
      </c>
      <c r="D634" s="2">
        <v>1039</v>
      </c>
    </row>
    <row r="635" spans="1:8" x14ac:dyDescent="0.25">
      <c r="A635" s="3" t="s">
        <v>254</v>
      </c>
      <c r="B635" s="2" t="s">
        <v>795</v>
      </c>
      <c r="C635" s="2">
        <v>6160</v>
      </c>
      <c r="D635" s="2">
        <v>760</v>
      </c>
    </row>
    <row r="636" spans="1:8" x14ac:dyDescent="0.25">
      <c r="A636" s="3" t="s">
        <v>254</v>
      </c>
      <c r="B636" s="2" t="s">
        <v>1116</v>
      </c>
      <c r="C636" s="2">
        <v>5599</v>
      </c>
      <c r="D636" s="2">
        <v>747</v>
      </c>
    </row>
    <row r="637" spans="1:8" x14ac:dyDescent="0.25">
      <c r="A637" s="3" t="s">
        <v>254</v>
      </c>
      <c r="B637" s="2" t="s">
        <v>796</v>
      </c>
      <c r="C637" s="2">
        <v>5945</v>
      </c>
      <c r="D637" s="2">
        <v>905</v>
      </c>
      <c r="H637" s="1"/>
    </row>
    <row r="638" spans="1:8" x14ac:dyDescent="0.25">
      <c r="A638" s="3" t="s">
        <v>254</v>
      </c>
      <c r="B638" s="2" t="s">
        <v>797</v>
      </c>
      <c r="C638" s="2">
        <v>5590</v>
      </c>
      <c r="D638" s="2">
        <v>541</v>
      </c>
    </row>
    <row r="639" spans="1:8" x14ac:dyDescent="0.25">
      <c r="A639" s="3" t="s">
        <v>254</v>
      </c>
      <c r="B639" s="2" t="s">
        <v>798</v>
      </c>
      <c r="C639" s="2">
        <v>6615</v>
      </c>
      <c r="D639" s="2">
        <v>620</v>
      </c>
    </row>
    <row r="640" spans="1:8" x14ac:dyDescent="0.25">
      <c r="A640" s="3" t="s">
        <v>254</v>
      </c>
      <c r="B640" s="2" t="s">
        <v>1117</v>
      </c>
      <c r="C640" s="2">
        <v>6515</v>
      </c>
      <c r="D640" s="2">
        <v>610</v>
      </c>
    </row>
    <row r="641" spans="1:4" x14ac:dyDescent="0.25">
      <c r="A641" s="3" t="s">
        <v>254</v>
      </c>
      <c r="B641" s="2" t="s">
        <v>799</v>
      </c>
      <c r="C641" s="2">
        <v>6628</v>
      </c>
      <c r="D641" s="2">
        <v>531</v>
      </c>
    </row>
    <row r="642" spans="1:4" x14ac:dyDescent="0.25">
      <c r="A642" s="3" t="s">
        <v>254</v>
      </c>
      <c r="B642" s="2" t="s">
        <v>800</v>
      </c>
      <c r="C642" s="2">
        <v>4941</v>
      </c>
      <c r="D642" s="2">
        <v>702</v>
      </c>
    </row>
    <row r="643" spans="1:4" x14ac:dyDescent="0.25">
      <c r="A643" s="3" t="s">
        <v>255</v>
      </c>
      <c r="B643" s="2" t="s">
        <v>801</v>
      </c>
      <c r="C643" s="2">
        <v>3164</v>
      </c>
      <c r="D643" s="2">
        <v>2563</v>
      </c>
    </row>
    <row r="644" spans="1:4" x14ac:dyDescent="0.25">
      <c r="A644" s="3" t="s">
        <v>255</v>
      </c>
      <c r="B644" s="2" t="s">
        <v>802</v>
      </c>
      <c r="C644" s="2">
        <v>4266</v>
      </c>
      <c r="D644" s="2">
        <v>1654</v>
      </c>
    </row>
    <row r="645" spans="1:4" x14ac:dyDescent="0.25">
      <c r="A645" s="3" t="s">
        <v>255</v>
      </c>
      <c r="B645" s="2" t="s">
        <v>1118</v>
      </c>
      <c r="C645" s="2">
        <v>4175</v>
      </c>
      <c r="D645" s="2">
        <v>2023</v>
      </c>
    </row>
    <row r="646" spans="1:4" x14ac:dyDescent="0.25">
      <c r="A646" s="3" t="s">
        <v>255</v>
      </c>
      <c r="B646" s="2" t="s">
        <v>812</v>
      </c>
      <c r="C646" s="2">
        <v>4466</v>
      </c>
      <c r="D646" s="2">
        <v>2034</v>
      </c>
    </row>
    <row r="647" spans="1:4" x14ac:dyDescent="0.25">
      <c r="A647" s="3" t="s">
        <v>255</v>
      </c>
      <c r="B647" s="2" t="s">
        <v>803</v>
      </c>
      <c r="C647" s="2">
        <v>3421</v>
      </c>
      <c r="D647" s="2">
        <v>2392</v>
      </c>
    </row>
    <row r="648" spans="1:4" x14ac:dyDescent="0.25">
      <c r="A648" s="3" t="s">
        <v>255</v>
      </c>
      <c r="B648" s="2" t="s">
        <v>804</v>
      </c>
      <c r="C648" s="2">
        <v>4103</v>
      </c>
      <c r="D648" s="2">
        <v>2013</v>
      </c>
    </row>
    <row r="649" spans="1:4" x14ac:dyDescent="0.25">
      <c r="A649" s="3" t="s">
        <v>255</v>
      </c>
      <c r="B649" s="2" t="s">
        <v>805</v>
      </c>
      <c r="C649" s="2">
        <v>3600</v>
      </c>
      <c r="D649" s="2">
        <v>2377</v>
      </c>
    </row>
    <row r="650" spans="1:4" x14ac:dyDescent="0.25">
      <c r="A650" s="3" t="s">
        <v>255</v>
      </c>
      <c r="B650" s="2" t="s">
        <v>806</v>
      </c>
      <c r="C650" s="2">
        <v>3055</v>
      </c>
      <c r="D650" s="2">
        <v>1979</v>
      </c>
    </row>
    <row r="651" spans="1:4" x14ac:dyDescent="0.25">
      <c r="A651" s="3" t="s">
        <v>255</v>
      </c>
      <c r="B651" s="2" t="s">
        <v>807</v>
      </c>
      <c r="C651" s="2">
        <v>3081</v>
      </c>
      <c r="D651" s="2">
        <v>2086</v>
      </c>
    </row>
    <row r="652" spans="1:4" x14ac:dyDescent="0.25">
      <c r="A652" s="3" t="s">
        <v>255</v>
      </c>
      <c r="B652" s="2" t="s">
        <v>808</v>
      </c>
      <c r="C652" s="2">
        <v>3556</v>
      </c>
      <c r="D652" s="2">
        <v>2038</v>
      </c>
    </row>
    <row r="653" spans="1:4" x14ac:dyDescent="0.25">
      <c r="A653" s="3" t="s">
        <v>255</v>
      </c>
      <c r="B653" s="2" t="s">
        <v>809</v>
      </c>
      <c r="C653" s="2">
        <v>3887</v>
      </c>
      <c r="D653" s="2">
        <v>2437</v>
      </c>
    </row>
    <row r="654" spans="1:4" x14ac:dyDescent="0.25">
      <c r="A654" s="3" t="s">
        <v>255</v>
      </c>
      <c r="B654" s="2" t="s">
        <v>810</v>
      </c>
      <c r="C654" s="2">
        <v>3799</v>
      </c>
      <c r="D654" s="2">
        <v>2185</v>
      </c>
    </row>
    <row r="655" spans="1:4" x14ac:dyDescent="0.25">
      <c r="A655" s="3" t="s">
        <v>255</v>
      </c>
      <c r="B655" s="2" t="s">
        <v>811</v>
      </c>
      <c r="C655" s="2">
        <v>3844</v>
      </c>
      <c r="D655" s="2">
        <v>2066</v>
      </c>
    </row>
    <row r="656" spans="1:4" x14ac:dyDescent="0.25">
      <c r="A656" s="3" t="s">
        <v>70</v>
      </c>
      <c r="B656" s="2" t="s">
        <v>61</v>
      </c>
      <c r="C656" s="2">
        <v>4933</v>
      </c>
      <c r="D656" s="2">
        <v>48</v>
      </c>
    </row>
    <row r="657" spans="1:8" x14ac:dyDescent="0.25">
      <c r="A657" s="3" t="s">
        <v>70</v>
      </c>
      <c r="B657" s="2" t="s">
        <v>1054</v>
      </c>
      <c r="C657" s="2">
        <v>4277</v>
      </c>
      <c r="D657" s="2">
        <v>327</v>
      </c>
    </row>
    <row r="658" spans="1:8" x14ac:dyDescent="0.25">
      <c r="A658" s="3" t="s">
        <v>70</v>
      </c>
      <c r="B658" s="2" t="s">
        <v>80</v>
      </c>
      <c r="C658" s="2">
        <v>7142</v>
      </c>
      <c r="D658" s="2">
        <v>231</v>
      </c>
    </row>
    <row r="659" spans="1:8" x14ac:dyDescent="0.25">
      <c r="A659" s="3" t="s">
        <v>70</v>
      </c>
      <c r="B659" s="2" t="s">
        <v>79</v>
      </c>
      <c r="C659" s="2">
        <v>7201</v>
      </c>
      <c r="D659" s="2">
        <v>230</v>
      </c>
    </row>
    <row r="660" spans="1:8" x14ac:dyDescent="0.25">
      <c r="A660" s="3" t="s">
        <v>70</v>
      </c>
      <c r="B660" s="2" t="s">
        <v>813</v>
      </c>
      <c r="C660" s="2">
        <v>4257</v>
      </c>
      <c r="D660" s="2">
        <v>405</v>
      </c>
    </row>
    <row r="661" spans="1:8" x14ac:dyDescent="0.25">
      <c r="A661" s="3" t="s">
        <v>70</v>
      </c>
      <c r="B661" s="2" t="s">
        <v>76</v>
      </c>
      <c r="C661" s="2">
        <v>4803</v>
      </c>
      <c r="D661" s="2">
        <v>295</v>
      </c>
    </row>
    <row r="662" spans="1:8" x14ac:dyDescent="0.25">
      <c r="A662" s="3" t="s">
        <v>70</v>
      </c>
      <c r="B662" s="2" t="s">
        <v>105</v>
      </c>
      <c r="C662" s="2">
        <v>6765</v>
      </c>
      <c r="D662" s="2">
        <v>185</v>
      </c>
      <c r="H662" s="1"/>
    </row>
    <row r="663" spans="1:8" x14ac:dyDescent="0.25">
      <c r="A663" s="3" t="s">
        <v>70</v>
      </c>
      <c r="B663" s="2" t="s">
        <v>814</v>
      </c>
      <c r="C663" s="2">
        <v>6152</v>
      </c>
      <c r="D663" s="2">
        <v>329</v>
      </c>
    </row>
    <row r="664" spans="1:8" x14ac:dyDescent="0.25">
      <c r="A664" s="3" t="s">
        <v>70</v>
      </c>
      <c r="B664" s="2" t="s">
        <v>815</v>
      </c>
      <c r="C664" s="2">
        <v>7091</v>
      </c>
      <c r="D664" s="2">
        <v>199</v>
      </c>
    </row>
    <row r="665" spans="1:8" x14ac:dyDescent="0.25">
      <c r="A665" s="3" t="s">
        <v>70</v>
      </c>
      <c r="B665" s="2" t="s">
        <v>58</v>
      </c>
      <c r="C665" s="2">
        <v>4530</v>
      </c>
      <c r="D665" s="2">
        <v>602</v>
      </c>
    </row>
    <row r="666" spans="1:8" x14ac:dyDescent="0.25">
      <c r="A666" s="3" t="s">
        <v>70</v>
      </c>
      <c r="B666" s="2" t="s">
        <v>816</v>
      </c>
      <c r="C666" s="2">
        <v>4525</v>
      </c>
      <c r="D666" s="2">
        <v>0</v>
      </c>
    </row>
    <row r="667" spans="1:8" x14ac:dyDescent="0.25">
      <c r="A667" s="3" t="s">
        <v>70</v>
      </c>
      <c r="B667" s="2" t="s">
        <v>817</v>
      </c>
      <c r="C667" s="2">
        <v>5204</v>
      </c>
      <c r="D667" s="2">
        <v>585</v>
      </c>
    </row>
    <row r="668" spans="1:8" x14ac:dyDescent="0.25">
      <c r="A668" s="3" t="s">
        <v>70</v>
      </c>
      <c r="B668" s="2" t="s">
        <v>1119</v>
      </c>
      <c r="C668" s="2">
        <v>4187</v>
      </c>
      <c r="D668" s="2">
        <v>367</v>
      </c>
    </row>
    <row r="669" spans="1:8" x14ac:dyDescent="0.25">
      <c r="A669" s="3" t="s">
        <v>70</v>
      </c>
      <c r="B669" s="2" t="s">
        <v>818</v>
      </c>
      <c r="C669" s="2">
        <v>6583</v>
      </c>
      <c r="D669" s="2">
        <v>204</v>
      </c>
    </row>
    <row r="670" spans="1:8" x14ac:dyDescent="0.25">
      <c r="A670" s="3" t="s">
        <v>70</v>
      </c>
      <c r="B670" s="2" t="s">
        <v>77</v>
      </c>
      <c r="C670" s="2">
        <v>3798</v>
      </c>
      <c r="D670" s="2">
        <v>405</v>
      </c>
    </row>
    <row r="671" spans="1:8" x14ac:dyDescent="0.25">
      <c r="A671" s="3" t="s">
        <v>70</v>
      </c>
      <c r="B671" s="2" t="s">
        <v>75</v>
      </c>
      <c r="C671" s="2">
        <v>4583</v>
      </c>
      <c r="D671" s="2">
        <v>275</v>
      </c>
    </row>
    <row r="672" spans="1:8" x14ac:dyDescent="0.25">
      <c r="A672" s="3" t="s">
        <v>70</v>
      </c>
      <c r="B672" s="2" t="s">
        <v>819</v>
      </c>
      <c r="C672" s="2">
        <v>5657</v>
      </c>
      <c r="D672" s="2">
        <v>362</v>
      </c>
    </row>
    <row r="673" spans="1:8" x14ac:dyDescent="0.25">
      <c r="A673" s="3" t="s">
        <v>1004</v>
      </c>
      <c r="B673" s="2" t="s">
        <v>820</v>
      </c>
      <c r="C673" s="2">
        <v>5651</v>
      </c>
      <c r="D673" s="2">
        <v>773</v>
      </c>
      <c r="H673" s="1"/>
    </row>
    <row r="674" spans="1:8" x14ac:dyDescent="0.25">
      <c r="A674" s="3" t="s">
        <v>1004</v>
      </c>
      <c r="B674" s="2" t="s">
        <v>1005</v>
      </c>
      <c r="C674" s="2">
        <v>5917</v>
      </c>
      <c r="D674" s="2">
        <v>595</v>
      </c>
    </row>
    <row r="675" spans="1:8" x14ac:dyDescent="0.25">
      <c r="A675" s="3" t="s">
        <v>1004</v>
      </c>
      <c r="B675" s="2" t="s">
        <v>822</v>
      </c>
      <c r="C675" s="2">
        <v>8204</v>
      </c>
      <c r="D675" s="2">
        <v>204</v>
      </c>
    </row>
    <row r="676" spans="1:8" x14ac:dyDescent="0.25">
      <c r="A676" s="3" t="s">
        <v>1004</v>
      </c>
      <c r="B676" s="2" t="s">
        <v>823</v>
      </c>
      <c r="C676" s="2">
        <v>6575</v>
      </c>
      <c r="D676" s="2">
        <v>481</v>
      </c>
    </row>
    <row r="677" spans="1:8" x14ac:dyDescent="0.25">
      <c r="A677" s="3" t="s">
        <v>1004</v>
      </c>
      <c r="B677" s="2" t="s">
        <v>824</v>
      </c>
      <c r="C677" s="2">
        <v>6942</v>
      </c>
      <c r="D677" s="2">
        <v>386</v>
      </c>
    </row>
    <row r="678" spans="1:8" x14ac:dyDescent="0.25">
      <c r="A678" s="3" t="s">
        <v>1004</v>
      </c>
      <c r="B678" s="2" t="s">
        <v>825</v>
      </c>
      <c r="C678" s="2">
        <v>6460</v>
      </c>
      <c r="D678" s="2">
        <v>579</v>
      </c>
    </row>
    <row r="679" spans="1:8" x14ac:dyDescent="0.25">
      <c r="A679" s="3" t="s">
        <v>1004</v>
      </c>
      <c r="B679" s="2" t="s">
        <v>1120</v>
      </c>
      <c r="C679" s="2">
        <v>6830</v>
      </c>
      <c r="D679" s="2">
        <v>327</v>
      </c>
    </row>
    <row r="680" spans="1:8" x14ac:dyDescent="0.25">
      <c r="A680" s="3" t="s">
        <v>1004</v>
      </c>
      <c r="B680" s="2" t="s">
        <v>1006</v>
      </c>
      <c r="C680" s="2">
        <v>5409</v>
      </c>
      <c r="D680" s="2">
        <v>927</v>
      </c>
    </row>
    <row r="681" spans="1:8" x14ac:dyDescent="0.25">
      <c r="A681" s="3" t="s">
        <v>1004</v>
      </c>
      <c r="B681" s="2" t="s">
        <v>826</v>
      </c>
      <c r="C681" s="2">
        <v>6516</v>
      </c>
      <c r="D681" s="2">
        <v>482</v>
      </c>
    </row>
    <row r="682" spans="1:8" x14ac:dyDescent="0.25">
      <c r="A682" s="3" t="s">
        <v>1004</v>
      </c>
      <c r="B682" s="2" t="s">
        <v>1041</v>
      </c>
      <c r="C682" s="2">
        <v>4955</v>
      </c>
      <c r="D682" s="2">
        <v>877</v>
      </c>
    </row>
    <row r="683" spans="1:8" x14ac:dyDescent="0.25">
      <c r="A683" s="3" t="s">
        <v>1004</v>
      </c>
      <c r="B683" s="2" t="s">
        <v>827</v>
      </c>
      <c r="C683" s="2">
        <v>6105</v>
      </c>
      <c r="D683" s="2">
        <v>1123</v>
      </c>
    </row>
    <row r="684" spans="1:8" x14ac:dyDescent="0.25">
      <c r="A684" s="3" t="s">
        <v>1004</v>
      </c>
      <c r="B684" s="2" t="s">
        <v>828</v>
      </c>
      <c r="C684" s="2">
        <v>4824</v>
      </c>
      <c r="D684" s="2">
        <v>1184</v>
      </c>
    </row>
    <row r="685" spans="1:8" x14ac:dyDescent="0.25">
      <c r="A685" s="3" t="s">
        <v>1004</v>
      </c>
      <c r="B685" s="2" t="s">
        <v>829</v>
      </c>
      <c r="C685" s="2">
        <v>5925</v>
      </c>
      <c r="D685" s="2">
        <v>726</v>
      </c>
    </row>
    <row r="686" spans="1:8" x14ac:dyDescent="0.25">
      <c r="A686" s="3" t="s">
        <v>1004</v>
      </c>
      <c r="B686" s="2" t="s">
        <v>830</v>
      </c>
      <c r="C686" s="2">
        <v>5067</v>
      </c>
      <c r="D686" s="2">
        <v>900</v>
      </c>
    </row>
    <row r="687" spans="1:8" x14ac:dyDescent="0.25">
      <c r="A687" s="3" t="s">
        <v>1004</v>
      </c>
      <c r="B687" s="2" t="s">
        <v>832</v>
      </c>
      <c r="C687" s="2">
        <v>5216</v>
      </c>
      <c r="D687" s="2">
        <v>608</v>
      </c>
    </row>
    <row r="688" spans="1:8" x14ac:dyDescent="0.25">
      <c r="A688" s="3" t="s">
        <v>1004</v>
      </c>
      <c r="B688" s="2" t="s">
        <v>831</v>
      </c>
      <c r="C688" s="2">
        <v>6188</v>
      </c>
      <c r="D688" s="2">
        <v>585</v>
      </c>
    </row>
    <row r="689" spans="1:8" x14ac:dyDescent="0.25">
      <c r="A689" s="3" t="s">
        <v>1004</v>
      </c>
      <c r="B689" s="2" t="s">
        <v>1121</v>
      </c>
      <c r="C689" s="2">
        <v>5727</v>
      </c>
      <c r="D689" s="2">
        <v>528</v>
      </c>
    </row>
    <row r="690" spans="1:8" x14ac:dyDescent="0.25">
      <c r="A690" s="3" t="s">
        <v>1004</v>
      </c>
      <c r="B690" s="2" t="s">
        <v>833</v>
      </c>
      <c r="C690" s="2">
        <v>5761</v>
      </c>
      <c r="D690" s="2">
        <v>759</v>
      </c>
    </row>
    <row r="691" spans="1:8" x14ac:dyDescent="0.25">
      <c r="A691" s="3" t="s">
        <v>257</v>
      </c>
      <c r="B691" s="2" t="s">
        <v>834</v>
      </c>
      <c r="C691" s="2">
        <v>5221</v>
      </c>
      <c r="D691" s="2">
        <v>435</v>
      </c>
    </row>
    <row r="692" spans="1:8" x14ac:dyDescent="0.25">
      <c r="A692" s="3" t="s">
        <v>257</v>
      </c>
      <c r="B692" s="2" t="s">
        <v>835</v>
      </c>
      <c r="C692" s="2">
        <v>6466</v>
      </c>
      <c r="D692" s="2">
        <v>504</v>
      </c>
    </row>
    <row r="693" spans="1:8" x14ac:dyDescent="0.25">
      <c r="A693" s="3" t="s">
        <v>257</v>
      </c>
      <c r="B693" s="2" t="s">
        <v>836</v>
      </c>
      <c r="C693" s="2">
        <v>5870</v>
      </c>
      <c r="D693" s="2">
        <v>735</v>
      </c>
      <c r="H693" s="1"/>
    </row>
    <row r="694" spans="1:8" x14ac:dyDescent="0.25">
      <c r="A694" s="3" t="s">
        <v>258</v>
      </c>
      <c r="B694" s="2" t="s">
        <v>837</v>
      </c>
      <c r="C694" s="2">
        <v>3436</v>
      </c>
      <c r="D694" s="2">
        <v>1037</v>
      </c>
    </row>
    <row r="695" spans="1:8" x14ac:dyDescent="0.25">
      <c r="A695" s="3" t="s">
        <v>258</v>
      </c>
      <c r="B695" s="2" t="s">
        <v>838</v>
      </c>
      <c r="C695" s="2">
        <v>2096</v>
      </c>
      <c r="D695" s="2">
        <v>2158</v>
      </c>
    </row>
    <row r="696" spans="1:8" x14ac:dyDescent="0.25">
      <c r="A696" s="3" t="s">
        <v>258</v>
      </c>
      <c r="B696" s="2" t="s">
        <v>1122</v>
      </c>
      <c r="C696" s="2">
        <v>2051</v>
      </c>
      <c r="D696" s="2">
        <v>2302</v>
      </c>
    </row>
    <row r="697" spans="1:8" x14ac:dyDescent="0.25">
      <c r="A697" s="3" t="s">
        <v>258</v>
      </c>
      <c r="B697" s="2" t="s">
        <v>1123</v>
      </c>
      <c r="C697" s="2">
        <v>2593</v>
      </c>
      <c r="D697" s="2">
        <v>2020</v>
      </c>
    </row>
    <row r="698" spans="1:8" x14ac:dyDescent="0.25">
      <c r="A698" s="3" t="s">
        <v>258</v>
      </c>
      <c r="B698" s="2" t="s">
        <v>839</v>
      </c>
      <c r="C698" s="2">
        <v>2316</v>
      </c>
      <c r="D698" s="2">
        <v>2202</v>
      </c>
    </row>
    <row r="699" spans="1:8" x14ac:dyDescent="0.25">
      <c r="A699" s="3" t="s">
        <v>258</v>
      </c>
      <c r="B699" s="2" t="s">
        <v>1124</v>
      </c>
      <c r="C699" s="2">
        <v>3652</v>
      </c>
      <c r="D699" s="2">
        <v>1409</v>
      </c>
    </row>
    <row r="700" spans="1:8" x14ac:dyDescent="0.25">
      <c r="A700" s="3" t="s">
        <v>258</v>
      </c>
      <c r="B700" s="2" t="s">
        <v>1007</v>
      </c>
      <c r="C700" s="2">
        <v>3244</v>
      </c>
      <c r="D700" s="2">
        <v>1553</v>
      </c>
    </row>
    <row r="701" spans="1:8" x14ac:dyDescent="0.25">
      <c r="A701" s="3" t="s">
        <v>258</v>
      </c>
      <c r="B701" s="2" t="s">
        <v>840</v>
      </c>
      <c r="C701" s="2">
        <v>2379</v>
      </c>
      <c r="D701" s="2">
        <v>1870</v>
      </c>
    </row>
    <row r="702" spans="1:8" x14ac:dyDescent="0.25">
      <c r="A702" s="3" t="s">
        <v>258</v>
      </c>
      <c r="B702" s="2" t="s">
        <v>1008</v>
      </c>
      <c r="C702" s="2">
        <v>2470</v>
      </c>
      <c r="D702" s="2">
        <v>1727</v>
      </c>
    </row>
    <row r="703" spans="1:8" x14ac:dyDescent="0.25">
      <c r="A703" s="3" t="s">
        <v>258</v>
      </c>
      <c r="B703" s="2" t="s">
        <v>841</v>
      </c>
      <c r="C703" s="2">
        <v>3072</v>
      </c>
      <c r="D703" s="2">
        <v>1706</v>
      </c>
    </row>
    <row r="704" spans="1:8" x14ac:dyDescent="0.25">
      <c r="A704" s="3" t="s">
        <v>259</v>
      </c>
      <c r="B704" s="2" t="s">
        <v>1042</v>
      </c>
      <c r="C704" s="2">
        <v>7968</v>
      </c>
      <c r="D704" s="2">
        <v>657</v>
      </c>
    </row>
    <row r="705" spans="1:4" x14ac:dyDescent="0.25">
      <c r="A705" s="3" t="s">
        <v>259</v>
      </c>
      <c r="B705" s="2" t="s">
        <v>842</v>
      </c>
      <c r="C705" s="2">
        <v>7926</v>
      </c>
      <c r="D705" s="2">
        <v>449</v>
      </c>
    </row>
    <row r="706" spans="1:4" x14ac:dyDescent="0.25">
      <c r="A706" s="3" t="s">
        <v>259</v>
      </c>
      <c r="B706" s="2" t="s">
        <v>844</v>
      </c>
      <c r="C706" s="2">
        <v>8196</v>
      </c>
      <c r="D706" s="2">
        <v>638</v>
      </c>
    </row>
    <row r="707" spans="1:4" x14ac:dyDescent="0.25">
      <c r="A707" s="3" t="s">
        <v>259</v>
      </c>
      <c r="B707" s="2" t="s">
        <v>845</v>
      </c>
      <c r="C707" s="2">
        <v>7879</v>
      </c>
      <c r="D707" s="2">
        <v>909</v>
      </c>
    </row>
    <row r="708" spans="1:4" x14ac:dyDescent="0.25">
      <c r="A708" s="3" t="s">
        <v>259</v>
      </c>
      <c r="B708" s="2" t="s">
        <v>846</v>
      </c>
      <c r="C708" s="2">
        <v>8474</v>
      </c>
      <c r="D708" s="2">
        <v>735</v>
      </c>
    </row>
    <row r="709" spans="1:4" x14ac:dyDescent="0.25">
      <c r="A709" s="3" t="s">
        <v>259</v>
      </c>
      <c r="B709" s="2" t="s">
        <v>847</v>
      </c>
      <c r="C709" s="2">
        <v>7079</v>
      </c>
      <c r="D709" s="2">
        <v>818</v>
      </c>
    </row>
    <row r="710" spans="1:4" x14ac:dyDescent="0.25">
      <c r="A710" s="3" t="s">
        <v>259</v>
      </c>
      <c r="B710" s="2" t="s">
        <v>848</v>
      </c>
      <c r="C710" s="2">
        <v>7203</v>
      </c>
      <c r="D710" s="2">
        <v>675</v>
      </c>
    </row>
    <row r="711" spans="1:4" x14ac:dyDescent="0.25">
      <c r="A711" s="3" t="s">
        <v>259</v>
      </c>
      <c r="B711" s="2" t="s">
        <v>849</v>
      </c>
      <c r="C711" s="2">
        <v>7680</v>
      </c>
      <c r="D711" s="2">
        <v>680</v>
      </c>
    </row>
    <row r="712" spans="1:4" x14ac:dyDescent="0.25">
      <c r="A712" s="3" t="s">
        <v>259</v>
      </c>
      <c r="B712" s="2" t="s">
        <v>1125</v>
      </c>
      <c r="C712" s="2">
        <v>8803</v>
      </c>
      <c r="D712" s="2">
        <v>422</v>
      </c>
    </row>
    <row r="713" spans="1:4" x14ac:dyDescent="0.25">
      <c r="A713" s="3" t="s">
        <v>259</v>
      </c>
      <c r="B713" s="2" t="s">
        <v>843</v>
      </c>
      <c r="C713" s="2">
        <v>7058</v>
      </c>
      <c r="D713" s="2">
        <v>996</v>
      </c>
    </row>
    <row r="714" spans="1:4" x14ac:dyDescent="0.25">
      <c r="A714" s="3" t="s">
        <v>1009</v>
      </c>
      <c r="B714" s="2" t="s">
        <v>850</v>
      </c>
      <c r="C714" s="2">
        <v>4439</v>
      </c>
      <c r="D714" s="2">
        <v>971</v>
      </c>
    </row>
    <row r="715" spans="1:4" x14ac:dyDescent="0.25">
      <c r="A715" s="3" t="s">
        <v>1009</v>
      </c>
      <c r="B715" s="2" t="s">
        <v>851</v>
      </c>
      <c r="C715" s="2">
        <v>3224</v>
      </c>
      <c r="D715" s="2">
        <v>1657</v>
      </c>
    </row>
    <row r="716" spans="1:4" x14ac:dyDescent="0.25">
      <c r="A716" s="3" t="s">
        <v>1009</v>
      </c>
      <c r="B716" s="2" t="s">
        <v>852</v>
      </c>
      <c r="C716" s="2">
        <v>3976</v>
      </c>
      <c r="D716" s="2">
        <v>933</v>
      </c>
    </row>
    <row r="717" spans="1:4" x14ac:dyDescent="0.25">
      <c r="A717" s="3" t="s">
        <v>1009</v>
      </c>
      <c r="B717" s="2" t="s">
        <v>853</v>
      </c>
      <c r="C717" s="2">
        <v>3723</v>
      </c>
      <c r="D717" s="2">
        <v>1896</v>
      </c>
    </row>
    <row r="718" spans="1:4" x14ac:dyDescent="0.25">
      <c r="A718" s="3" t="s">
        <v>1009</v>
      </c>
      <c r="B718" s="2" t="s">
        <v>1127</v>
      </c>
      <c r="C718" s="2">
        <v>3339</v>
      </c>
      <c r="D718" s="2">
        <v>1404</v>
      </c>
    </row>
    <row r="719" spans="1:4" x14ac:dyDescent="0.25">
      <c r="A719" s="3" t="s">
        <v>1009</v>
      </c>
      <c r="B719" s="2" t="s">
        <v>1126</v>
      </c>
      <c r="C719" s="2">
        <v>3959</v>
      </c>
      <c r="D719" s="2">
        <v>1482</v>
      </c>
    </row>
    <row r="720" spans="1:4" x14ac:dyDescent="0.25">
      <c r="A720" s="3" t="s">
        <v>1009</v>
      </c>
      <c r="B720" s="2" t="s">
        <v>854</v>
      </c>
      <c r="C720" s="2">
        <v>2999</v>
      </c>
      <c r="D720" s="2">
        <v>2134</v>
      </c>
    </row>
    <row r="721" spans="1:4" x14ac:dyDescent="0.25">
      <c r="A721" s="3" t="s">
        <v>1009</v>
      </c>
      <c r="B721" s="2" t="s">
        <v>855</v>
      </c>
      <c r="C721" s="2">
        <v>3737</v>
      </c>
      <c r="D721" s="2">
        <v>1751</v>
      </c>
    </row>
    <row r="722" spans="1:4" x14ac:dyDescent="0.25">
      <c r="A722" s="3" t="s">
        <v>261</v>
      </c>
      <c r="B722" s="2" t="s">
        <v>858</v>
      </c>
      <c r="C722" s="2">
        <v>2968</v>
      </c>
      <c r="D722" s="2">
        <v>2302</v>
      </c>
    </row>
    <row r="723" spans="1:4" x14ac:dyDescent="0.25">
      <c r="A723" s="3" t="s">
        <v>261</v>
      </c>
      <c r="B723" s="2" t="s">
        <v>859</v>
      </c>
      <c r="C723" s="2">
        <v>912</v>
      </c>
      <c r="D723" s="2">
        <v>4033</v>
      </c>
    </row>
    <row r="724" spans="1:4" x14ac:dyDescent="0.25">
      <c r="A724" s="3" t="s">
        <v>261</v>
      </c>
      <c r="B724" s="2" t="s">
        <v>860</v>
      </c>
      <c r="C724" s="2">
        <v>4130</v>
      </c>
      <c r="D724" s="2">
        <v>1412</v>
      </c>
    </row>
    <row r="725" spans="1:4" x14ac:dyDescent="0.25">
      <c r="A725" s="3" t="s">
        <v>261</v>
      </c>
      <c r="B725" s="2" t="s">
        <v>1056</v>
      </c>
      <c r="C725" s="2">
        <v>1269</v>
      </c>
      <c r="D725" s="2">
        <v>2884</v>
      </c>
    </row>
    <row r="726" spans="1:4" x14ac:dyDescent="0.25">
      <c r="A726" s="3" t="s">
        <v>261</v>
      </c>
      <c r="B726" s="2" t="s">
        <v>861</v>
      </c>
      <c r="C726" s="2">
        <v>750</v>
      </c>
      <c r="D726" s="2">
        <v>3867</v>
      </c>
    </row>
    <row r="727" spans="1:4" x14ac:dyDescent="0.25">
      <c r="A727" s="3" t="s">
        <v>261</v>
      </c>
      <c r="B727" s="2" t="s">
        <v>862</v>
      </c>
      <c r="C727" s="2">
        <v>3258</v>
      </c>
      <c r="D727" s="2">
        <v>2007</v>
      </c>
    </row>
    <row r="728" spans="1:4" x14ac:dyDescent="0.25">
      <c r="A728" s="3" t="s">
        <v>261</v>
      </c>
      <c r="B728" s="2" t="s">
        <v>863</v>
      </c>
      <c r="C728" s="2">
        <v>1646</v>
      </c>
      <c r="D728" s="2">
        <v>2670</v>
      </c>
    </row>
    <row r="729" spans="1:4" x14ac:dyDescent="0.25">
      <c r="A729" s="3" t="s">
        <v>261</v>
      </c>
      <c r="B729" s="2" t="s">
        <v>864</v>
      </c>
      <c r="C729" s="2">
        <v>934</v>
      </c>
      <c r="D729" s="2">
        <v>3313</v>
      </c>
    </row>
    <row r="730" spans="1:4" x14ac:dyDescent="0.25">
      <c r="A730" s="3" t="s">
        <v>261</v>
      </c>
      <c r="B730" s="2" t="s">
        <v>865</v>
      </c>
      <c r="C730" s="2">
        <v>918</v>
      </c>
      <c r="D730" s="2">
        <v>3848</v>
      </c>
    </row>
    <row r="731" spans="1:4" x14ac:dyDescent="0.25">
      <c r="A731" s="3" t="s">
        <v>261</v>
      </c>
      <c r="B731" s="2" t="s">
        <v>867</v>
      </c>
      <c r="C731" s="2">
        <v>5029</v>
      </c>
      <c r="D731" s="2">
        <v>1041</v>
      </c>
    </row>
    <row r="732" spans="1:4" x14ac:dyDescent="0.25">
      <c r="A732" s="3" t="s">
        <v>261</v>
      </c>
      <c r="B732" s="2" t="s">
        <v>868</v>
      </c>
      <c r="C732" s="2">
        <v>2333</v>
      </c>
      <c r="D732" s="2">
        <v>2678</v>
      </c>
    </row>
    <row r="733" spans="1:4" x14ac:dyDescent="0.25">
      <c r="A733" s="3" t="s">
        <v>261</v>
      </c>
      <c r="B733" s="2" t="s">
        <v>869</v>
      </c>
      <c r="C733" s="2">
        <v>1340</v>
      </c>
      <c r="D733" s="2">
        <v>3187</v>
      </c>
    </row>
    <row r="734" spans="1:4" x14ac:dyDescent="0.25">
      <c r="A734" s="3" t="s">
        <v>261</v>
      </c>
      <c r="B734" s="2" t="s">
        <v>871</v>
      </c>
      <c r="C734" s="2">
        <v>2499</v>
      </c>
      <c r="D734" s="2">
        <v>2171</v>
      </c>
    </row>
    <row r="735" spans="1:4" x14ac:dyDescent="0.25">
      <c r="A735" s="3" t="s">
        <v>261</v>
      </c>
      <c r="B735" s="2" t="s">
        <v>873</v>
      </c>
      <c r="C735" s="2">
        <v>1096</v>
      </c>
      <c r="D735" s="2">
        <v>3116</v>
      </c>
    </row>
    <row r="736" spans="1:4" x14ac:dyDescent="0.25">
      <c r="A736" s="3" t="s">
        <v>261</v>
      </c>
      <c r="B736" s="2" t="s">
        <v>874</v>
      </c>
      <c r="C736" s="2">
        <v>2070</v>
      </c>
      <c r="D736" s="2">
        <v>2683</v>
      </c>
    </row>
    <row r="737" spans="1:4" x14ac:dyDescent="0.25">
      <c r="A737" s="3" t="s">
        <v>261</v>
      </c>
      <c r="B737" s="2" t="s">
        <v>1128</v>
      </c>
      <c r="C737" s="2">
        <v>2717</v>
      </c>
      <c r="D737" s="2">
        <v>2445</v>
      </c>
    </row>
    <row r="738" spans="1:4" x14ac:dyDescent="0.25">
      <c r="A738" s="3" t="s">
        <v>261</v>
      </c>
      <c r="B738" s="2" t="s">
        <v>875</v>
      </c>
      <c r="C738" s="2">
        <v>518</v>
      </c>
      <c r="D738" s="2">
        <v>3816</v>
      </c>
    </row>
    <row r="739" spans="1:4" x14ac:dyDescent="0.25">
      <c r="A739" s="3" t="s">
        <v>261</v>
      </c>
      <c r="B739" s="2" t="s">
        <v>876</v>
      </c>
      <c r="C739" s="2">
        <v>1694</v>
      </c>
      <c r="D739" s="2">
        <v>2825</v>
      </c>
    </row>
    <row r="740" spans="1:4" x14ac:dyDescent="0.25">
      <c r="A740" s="3" t="s">
        <v>261</v>
      </c>
      <c r="B740" s="2" t="s">
        <v>877</v>
      </c>
      <c r="C740" s="2">
        <v>1439</v>
      </c>
      <c r="D740" s="2">
        <v>2974</v>
      </c>
    </row>
    <row r="741" spans="1:4" x14ac:dyDescent="0.25">
      <c r="A741" s="3" t="s">
        <v>261</v>
      </c>
      <c r="B741" s="2" t="s">
        <v>872</v>
      </c>
      <c r="C741" s="2">
        <v>2087</v>
      </c>
      <c r="D741" s="2">
        <v>2721</v>
      </c>
    </row>
    <row r="742" spans="1:4" x14ac:dyDescent="0.25">
      <c r="A742" s="3" t="s">
        <v>261</v>
      </c>
      <c r="B742" s="2" t="s">
        <v>878</v>
      </c>
      <c r="C742" s="2">
        <v>895</v>
      </c>
      <c r="D742" s="2">
        <v>3419</v>
      </c>
    </row>
    <row r="743" spans="1:4" x14ac:dyDescent="0.25">
      <c r="A743" s="3" t="s">
        <v>261</v>
      </c>
      <c r="B743" s="2" t="s">
        <v>879</v>
      </c>
      <c r="C743" s="2">
        <v>1164</v>
      </c>
      <c r="D743" s="2">
        <v>4080</v>
      </c>
    </row>
    <row r="744" spans="1:4" x14ac:dyDescent="0.25">
      <c r="A744" s="3" t="s">
        <v>261</v>
      </c>
      <c r="B744" s="2" t="s">
        <v>880</v>
      </c>
      <c r="C744" s="2">
        <v>2131</v>
      </c>
      <c r="D744" s="2">
        <v>2437</v>
      </c>
    </row>
    <row r="745" spans="1:4" x14ac:dyDescent="0.25">
      <c r="A745" s="3" t="s">
        <v>261</v>
      </c>
      <c r="B745" s="2" t="s">
        <v>881</v>
      </c>
      <c r="C745" s="2">
        <v>3436</v>
      </c>
      <c r="D745" s="2">
        <v>1699</v>
      </c>
    </row>
    <row r="746" spans="1:4" x14ac:dyDescent="0.25">
      <c r="A746" s="3" t="s">
        <v>261</v>
      </c>
      <c r="B746" s="2" t="s">
        <v>882</v>
      </c>
      <c r="C746" s="2">
        <v>1823</v>
      </c>
      <c r="D746" s="2">
        <v>2479</v>
      </c>
    </row>
    <row r="747" spans="1:4" x14ac:dyDescent="0.25">
      <c r="A747" s="3" t="s">
        <v>261</v>
      </c>
      <c r="B747" s="2" t="s">
        <v>883</v>
      </c>
      <c r="C747" s="2">
        <v>3117</v>
      </c>
      <c r="D747" s="2">
        <v>1044</v>
      </c>
    </row>
    <row r="748" spans="1:4" x14ac:dyDescent="0.25">
      <c r="A748" s="3" t="s">
        <v>261</v>
      </c>
      <c r="B748" s="2" t="s">
        <v>885</v>
      </c>
      <c r="C748" s="2">
        <v>729</v>
      </c>
      <c r="D748" s="2">
        <v>3903</v>
      </c>
    </row>
    <row r="749" spans="1:4" x14ac:dyDescent="0.25">
      <c r="A749" s="3" t="s">
        <v>261</v>
      </c>
      <c r="B749" s="2" t="s">
        <v>884</v>
      </c>
      <c r="C749" s="2">
        <v>2334</v>
      </c>
      <c r="D749" s="2">
        <v>2614</v>
      </c>
    </row>
    <row r="750" spans="1:4" x14ac:dyDescent="0.25">
      <c r="A750" s="3" t="s">
        <v>261</v>
      </c>
      <c r="B750" s="2" t="s">
        <v>886</v>
      </c>
      <c r="C750" s="2">
        <v>2482</v>
      </c>
      <c r="D750" s="2">
        <v>2057</v>
      </c>
    </row>
    <row r="751" spans="1:4" x14ac:dyDescent="0.25">
      <c r="A751" s="3" t="s">
        <v>261</v>
      </c>
      <c r="B751" s="2" t="s">
        <v>887</v>
      </c>
      <c r="C751" s="2">
        <v>2363</v>
      </c>
      <c r="D751" s="2">
        <v>2495</v>
      </c>
    </row>
    <row r="752" spans="1:4" x14ac:dyDescent="0.25">
      <c r="A752" s="3" t="s">
        <v>261</v>
      </c>
      <c r="B752" s="2" t="s">
        <v>888</v>
      </c>
      <c r="C752" s="2">
        <v>2305</v>
      </c>
      <c r="D752" s="2">
        <v>2313</v>
      </c>
    </row>
    <row r="753" spans="1:4" x14ac:dyDescent="0.25">
      <c r="A753" s="3" t="s">
        <v>261</v>
      </c>
      <c r="B753" s="2" t="s">
        <v>889</v>
      </c>
      <c r="C753" s="2">
        <v>1346</v>
      </c>
      <c r="D753" s="2">
        <v>3024</v>
      </c>
    </row>
    <row r="754" spans="1:4" x14ac:dyDescent="0.25">
      <c r="A754" s="3" t="s">
        <v>261</v>
      </c>
      <c r="B754" s="2" t="s">
        <v>866</v>
      </c>
      <c r="C754" s="2">
        <v>3100</v>
      </c>
      <c r="D754" s="2">
        <v>2057</v>
      </c>
    </row>
    <row r="755" spans="1:4" x14ac:dyDescent="0.25">
      <c r="A755" s="3" t="s">
        <v>261</v>
      </c>
      <c r="B755" s="2" t="s">
        <v>890</v>
      </c>
      <c r="C755" s="2">
        <v>1422</v>
      </c>
      <c r="D755" s="2">
        <v>2904</v>
      </c>
    </row>
    <row r="756" spans="1:4" x14ac:dyDescent="0.25">
      <c r="A756" s="3" t="s">
        <v>261</v>
      </c>
      <c r="B756" s="2" t="s">
        <v>891</v>
      </c>
      <c r="C756" s="2">
        <v>691</v>
      </c>
      <c r="D756" s="2">
        <v>3576</v>
      </c>
    </row>
    <row r="757" spans="1:4" x14ac:dyDescent="0.25">
      <c r="A757" s="3" t="s">
        <v>261</v>
      </c>
      <c r="B757" s="2" t="s">
        <v>892</v>
      </c>
      <c r="C757" s="2">
        <v>2485</v>
      </c>
      <c r="D757" s="2">
        <v>2259</v>
      </c>
    </row>
    <row r="758" spans="1:4" x14ac:dyDescent="0.25">
      <c r="A758" s="3" t="s">
        <v>261</v>
      </c>
      <c r="B758" s="2" t="s">
        <v>893</v>
      </c>
      <c r="C758" s="2">
        <v>1548</v>
      </c>
      <c r="D758" s="2">
        <v>2992</v>
      </c>
    </row>
    <row r="759" spans="1:4" x14ac:dyDescent="0.25">
      <c r="A759" s="3" t="s">
        <v>261</v>
      </c>
      <c r="B759" s="2" t="s">
        <v>870</v>
      </c>
      <c r="C759" s="2">
        <v>2260</v>
      </c>
      <c r="D759" s="2">
        <v>2717</v>
      </c>
    </row>
    <row r="760" spans="1:4" x14ac:dyDescent="0.25">
      <c r="A760" s="3" t="s">
        <v>261</v>
      </c>
      <c r="B760" s="2" t="s">
        <v>894</v>
      </c>
      <c r="C760" s="2">
        <v>2339</v>
      </c>
      <c r="D760" s="2">
        <v>2363</v>
      </c>
    </row>
    <row r="761" spans="1:4" x14ac:dyDescent="0.25">
      <c r="A761" s="3" t="s">
        <v>261</v>
      </c>
      <c r="B761" s="2" t="s">
        <v>895</v>
      </c>
      <c r="C761" s="2">
        <v>1309</v>
      </c>
      <c r="D761" s="2">
        <v>3042</v>
      </c>
    </row>
    <row r="762" spans="1:4" x14ac:dyDescent="0.25">
      <c r="A762" s="3" t="s">
        <v>261</v>
      </c>
      <c r="B762" s="2" t="s">
        <v>896</v>
      </c>
      <c r="C762" s="2">
        <v>2251</v>
      </c>
      <c r="D762" s="2">
        <v>2699</v>
      </c>
    </row>
    <row r="763" spans="1:4" x14ac:dyDescent="0.25">
      <c r="A763" s="3" t="s">
        <v>261</v>
      </c>
      <c r="B763" s="2" t="s">
        <v>897</v>
      </c>
      <c r="C763" s="2">
        <v>2838</v>
      </c>
      <c r="D763" s="2">
        <v>2350</v>
      </c>
    </row>
    <row r="764" spans="1:4" x14ac:dyDescent="0.25">
      <c r="A764" s="3" t="s">
        <v>261</v>
      </c>
      <c r="B764" s="2" t="s">
        <v>898</v>
      </c>
      <c r="C764" s="2">
        <v>2423</v>
      </c>
      <c r="D764" s="2">
        <v>2932</v>
      </c>
    </row>
    <row r="765" spans="1:4" x14ac:dyDescent="0.25">
      <c r="A765" s="3" t="s">
        <v>262</v>
      </c>
      <c r="B765" s="2" t="s">
        <v>856</v>
      </c>
      <c r="C765" s="2">
        <v>5535</v>
      </c>
      <c r="D765" s="2">
        <v>1171</v>
      </c>
    </row>
    <row r="766" spans="1:4" x14ac:dyDescent="0.25">
      <c r="A766" s="3" t="s">
        <v>262</v>
      </c>
      <c r="B766" s="2" t="s">
        <v>857</v>
      </c>
      <c r="C766" s="2">
        <v>8955</v>
      </c>
      <c r="D766" s="2">
        <v>33</v>
      </c>
    </row>
    <row r="767" spans="1:4" x14ac:dyDescent="0.25">
      <c r="A767" s="3" t="s">
        <v>262</v>
      </c>
      <c r="B767" s="2" t="s">
        <v>899</v>
      </c>
      <c r="C767" s="2">
        <v>5776</v>
      </c>
      <c r="D767" s="2">
        <v>747</v>
      </c>
    </row>
    <row r="768" spans="1:4" x14ac:dyDescent="0.25">
      <c r="A768" s="3" t="s">
        <v>262</v>
      </c>
      <c r="B768" s="2" t="s">
        <v>900</v>
      </c>
      <c r="C768" s="2">
        <v>6021</v>
      </c>
      <c r="D768" s="2">
        <v>799</v>
      </c>
    </row>
    <row r="769" spans="1:4" x14ac:dyDescent="0.25">
      <c r="A769" s="3" t="s">
        <v>262</v>
      </c>
      <c r="B769" s="2" t="s">
        <v>901</v>
      </c>
      <c r="C769" s="2">
        <v>5354</v>
      </c>
      <c r="D769" s="2">
        <v>1445</v>
      </c>
    </row>
    <row r="770" spans="1:4" x14ac:dyDescent="0.25">
      <c r="A770" s="3" t="s">
        <v>262</v>
      </c>
      <c r="B770" s="2" t="s">
        <v>902</v>
      </c>
      <c r="C770" s="2">
        <v>5106</v>
      </c>
      <c r="D770" s="2">
        <v>1301</v>
      </c>
    </row>
    <row r="771" spans="1:4" x14ac:dyDescent="0.25">
      <c r="A771" s="3" t="s">
        <v>262</v>
      </c>
      <c r="B771" s="2" t="s">
        <v>903</v>
      </c>
      <c r="C771" s="2">
        <v>5831</v>
      </c>
      <c r="D771" s="2">
        <v>1092</v>
      </c>
    </row>
    <row r="772" spans="1:4" x14ac:dyDescent="0.25">
      <c r="A772" s="3" t="s">
        <v>262</v>
      </c>
      <c r="B772" s="2" t="s">
        <v>904</v>
      </c>
      <c r="C772" s="2">
        <v>5836</v>
      </c>
      <c r="D772" s="2">
        <v>858</v>
      </c>
    </row>
    <row r="773" spans="1:4" x14ac:dyDescent="0.25">
      <c r="A773" s="3" t="s">
        <v>262</v>
      </c>
      <c r="B773" s="2" t="s">
        <v>905</v>
      </c>
      <c r="C773" s="2">
        <v>2729</v>
      </c>
      <c r="D773" s="2">
        <v>2936</v>
      </c>
    </row>
    <row r="774" spans="1:4" x14ac:dyDescent="0.25">
      <c r="A774" s="3" t="s">
        <v>262</v>
      </c>
      <c r="B774" s="2" t="s">
        <v>906</v>
      </c>
      <c r="C774" s="2">
        <v>5350</v>
      </c>
      <c r="D774" s="2">
        <v>1118</v>
      </c>
    </row>
    <row r="775" spans="1:4" x14ac:dyDescent="0.25">
      <c r="A775" s="3" t="s">
        <v>262</v>
      </c>
      <c r="B775" s="2" t="s">
        <v>907</v>
      </c>
      <c r="C775" s="2">
        <v>6661</v>
      </c>
      <c r="D775" s="2">
        <v>525</v>
      </c>
    </row>
    <row r="776" spans="1:4" x14ac:dyDescent="0.25">
      <c r="A776" s="3" t="s">
        <v>262</v>
      </c>
      <c r="B776" s="2" t="s">
        <v>908</v>
      </c>
      <c r="C776" s="2">
        <v>5970</v>
      </c>
      <c r="D776" s="2">
        <v>1221</v>
      </c>
    </row>
    <row r="777" spans="1:4" x14ac:dyDescent="0.25">
      <c r="A777" s="3" t="s">
        <v>263</v>
      </c>
      <c r="B777" s="2" t="s">
        <v>1134</v>
      </c>
      <c r="C777" s="2">
        <v>7491</v>
      </c>
      <c r="D777" s="2">
        <v>420</v>
      </c>
    </row>
    <row r="778" spans="1:4" x14ac:dyDescent="0.25">
      <c r="A778" s="3" t="s">
        <v>263</v>
      </c>
      <c r="B778" s="2" t="s">
        <v>909</v>
      </c>
      <c r="C778" s="2">
        <v>7662</v>
      </c>
      <c r="D778" s="2">
        <v>249</v>
      </c>
    </row>
    <row r="779" spans="1:4" x14ac:dyDescent="0.25">
      <c r="A779" s="3" t="s">
        <v>263</v>
      </c>
      <c r="B779" s="2" t="s">
        <v>910</v>
      </c>
      <c r="C779" s="2">
        <v>7563</v>
      </c>
      <c r="D779" s="2">
        <v>485</v>
      </c>
    </row>
    <row r="780" spans="1:4" x14ac:dyDescent="0.25">
      <c r="A780" s="3" t="s">
        <v>263</v>
      </c>
      <c r="B780" s="2" t="s">
        <v>1135</v>
      </c>
      <c r="C780" s="2">
        <v>7264</v>
      </c>
      <c r="D780" s="2">
        <v>281</v>
      </c>
    </row>
    <row r="781" spans="1:4" x14ac:dyDescent="0.25">
      <c r="A781" s="3" t="s">
        <v>264</v>
      </c>
      <c r="B781" s="2" t="s">
        <v>912</v>
      </c>
      <c r="C781" s="2">
        <v>4953</v>
      </c>
      <c r="D781" s="2">
        <v>1011</v>
      </c>
    </row>
    <row r="782" spans="1:4" x14ac:dyDescent="0.25">
      <c r="A782" s="3" t="s">
        <v>264</v>
      </c>
      <c r="B782" s="2" t="s">
        <v>930</v>
      </c>
      <c r="C782" s="2">
        <v>5081</v>
      </c>
      <c r="D782" s="2">
        <v>754</v>
      </c>
    </row>
    <row r="783" spans="1:4" x14ac:dyDescent="0.25">
      <c r="A783" s="3" t="s">
        <v>264</v>
      </c>
      <c r="B783" s="2" t="s">
        <v>913</v>
      </c>
      <c r="C783" s="2">
        <v>3697</v>
      </c>
      <c r="D783" s="2">
        <v>1122</v>
      </c>
    </row>
    <row r="784" spans="1:4" x14ac:dyDescent="0.25">
      <c r="A784" s="3" t="s">
        <v>264</v>
      </c>
      <c r="B784" s="2" t="s">
        <v>914</v>
      </c>
      <c r="C784" s="2">
        <v>3707</v>
      </c>
      <c r="D784" s="2">
        <v>1678</v>
      </c>
    </row>
    <row r="785" spans="1:4" x14ac:dyDescent="0.25">
      <c r="A785" s="3" t="s">
        <v>264</v>
      </c>
      <c r="B785" s="2" t="s">
        <v>915</v>
      </c>
      <c r="C785" s="2">
        <v>4084</v>
      </c>
      <c r="D785" s="2">
        <v>1323</v>
      </c>
    </row>
    <row r="786" spans="1:4" x14ac:dyDescent="0.25">
      <c r="A786" s="3" t="s">
        <v>264</v>
      </c>
      <c r="B786" s="2" t="s">
        <v>1129</v>
      </c>
      <c r="C786" s="2">
        <v>3096</v>
      </c>
      <c r="D786" s="2">
        <v>1557</v>
      </c>
    </row>
    <row r="787" spans="1:4" x14ac:dyDescent="0.25">
      <c r="A787" s="3" t="s">
        <v>264</v>
      </c>
      <c r="B787" s="2" t="s">
        <v>929</v>
      </c>
      <c r="C787" s="2">
        <v>4531</v>
      </c>
      <c r="D787" s="2">
        <v>1420</v>
      </c>
    </row>
    <row r="788" spans="1:4" x14ac:dyDescent="0.25">
      <c r="A788" s="3" t="s">
        <v>264</v>
      </c>
      <c r="B788" s="2" t="s">
        <v>917</v>
      </c>
      <c r="C788" s="2">
        <v>4195</v>
      </c>
      <c r="D788" s="2">
        <v>1437</v>
      </c>
    </row>
    <row r="789" spans="1:4" x14ac:dyDescent="0.25">
      <c r="A789" s="3" t="s">
        <v>264</v>
      </c>
      <c r="B789" s="2" t="s">
        <v>916</v>
      </c>
      <c r="C789" s="2">
        <v>5459</v>
      </c>
      <c r="D789" s="2">
        <v>604</v>
      </c>
    </row>
    <row r="790" spans="1:4" x14ac:dyDescent="0.25">
      <c r="A790" s="3" t="s">
        <v>264</v>
      </c>
      <c r="B790" s="2" t="s">
        <v>1131</v>
      </c>
      <c r="C790" s="2">
        <v>6585</v>
      </c>
      <c r="D790" s="2">
        <v>254</v>
      </c>
    </row>
    <row r="791" spans="1:4" x14ac:dyDescent="0.25">
      <c r="A791" s="3" t="s">
        <v>264</v>
      </c>
      <c r="B791" s="2" t="s">
        <v>918</v>
      </c>
      <c r="C791" s="2">
        <v>5242</v>
      </c>
      <c r="D791" s="2">
        <v>1189</v>
      </c>
    </row>
    <row r="792" spans="1:4" x14ac:dyDescent="0.25">
      <c r="A792" s="3" t="s">
        <v>264</v>
      </c>
      <c r="B792" s="2" t="s">
        <v>919</v>
      </c>
      <c r="C792" s="2">
        <v>4239</v>
      </c>
      <c r="D792" s="2">
        <v>1305</v>
      </c>
    </row>
    <row r="793" spans="1:4" x14ac:dyDescent="0.25">
      <c r="A793" s="3" t="s">
        <v>264</v>
      </c>
      <c r="B793" s="2" t="s">
        <v>920</v>
      </c>
      <c r="C793" s="2">
        <v>5160</v>
      </c>
      <c r="D793" s="2">
        <v>935</v>
      </c>
    </row>
    <row r="794" spans="1:4" x14ac:dyDescent="0.25">
      <c r="A794" s="3" t="s">
        <v>264</v>
      </c>
      <c r="B794" s="2" t="s">
        <v>1130</v>
      </c>
      <c r="C794" s="2">
        <v>4817</v>
      </c>
      <c r="D794" s="2">
        <v>744</v>
      </c>
    </row>
    <row r="795" spans="1:4" x14ac:dyDescent="0.25">
      <c r="A795" s="3" t="s">
        <v>264</v>
      </c>
      <c r="B795" s="2" t="s">
        <v>921</v>
      </c>
      <c r="C795" s="2">
        <v>4496</v>
      </c>
      <c r="D795" s="2">
        <v>1133</v>
      </c>
    </row>
    <row r="796" spans="1:4" x14ac:dyDescent="0.25">
      <c r="A796" s="3" t="s">
        <v>264</v>
      </c>
      <c r="B796" s="2" t="s">
        <v>922</v>
      </c>
      <c r="C796" s="2">
        <v>3857</v>
      </c>
      <c r="D796" s="2">
        <v>1387</v>
      </c>
    </row>
    <row r="797" spans="1:4" x14ac:dyDescent="0.25">
      <c r="A797" s="3" t="s">
        <v>264</v>
      </c>
      <c r="B797" s="2" t="s">
        <v>923</v>
      </c>
      <c r="C797" s="2">
        <v>3436</v>
      </c>
      <c r="D797" s="2">
        <v>1705</v>
      </c>
    </row>
    <row r="798" spans="1:4" x14ac:dyDescent="0.25">
      <c r="A798" s="3" t="s">
        <v>264</v>
      </c>
      <c r="B798" s="2" t="s">
        <v>1132</v>
      </c>
      <c r="C798" s="2">
        <v>3411</v>
      </c>
      <c r="D798" s="2">
        <v>1630</v>
      </c>
    </row>
    <row r="799" spans="1:4" x14ac:dyDescent="0.25">
      <c r="A799" s="3" t="s">
        <v>264</v>
      </c>
      <c r="B799" s="2" t="s">
        <v>1133</v>
      </c>
      <c r="C799" s="2">
        <v>3557</v>
      </c>
      <c r="D799" s="2">
        <v>1400</v>
      </c>
    </row>
    <row r="800" spans="1:4" x14ac:dyDescent="0.25">
      <c r="A800" s="3" t="s">
        <v>264</v>
      </c>
      <c r="B800" s="2" t="s">
        <v>925</v>
      </c>
      <c r="C800" s="2">
        <v>3336</v>
      </c>
      <c r="D800" s="2">
        <v>1539</v>
      </c>
    </row>
    <row r="801" spans="1:4" x14ac:dyDescent="0.25">
      <c r="A801" s="3" t="s">
        <v>264</v>
      </c>
      <c r="B801" s="2" t="s">
        <v>926</v>
      </c>
      <c r="C801" s="2">
        <v>4109</v>
      </c>
      <c r="D801" s="2">
        <v>1232</v>
      </c>
    </row>
    <row r="802" spans="1:4" x14ac:dyDescent="0.25">
      <c r="A802" s="3" t="s">
        <v>264</v>
      </c>
      <c r="B802" s="2" t="s">
        <v>927</v>
      </c>
      <c r="C802" s="2">
        <v>3883</v>
      </c>
      <c r="D802" s="2">
        <v>1493</v>
      </c>
    </row>
    <row r="803" spans="1:4" x14ac:dyDescent="0.25">
      <c r="A803" s="3" t="s">
        <v>264</v>
      </c>
      <c r="B803" s="2" t="s">
        <v>928</v>
      </c>
      <c r="C803" s="2">
        <v>4246</v>
      </c>
      <c r="D803" s="2">
        <v>1552</v>
      </c>
    </row>
    <row r="804" spans="1:4" x14ac:dyDescent="0.25">
      <c r="A804" s="3" t="s">
        <v>264</v>
      </c>
      <c r="B804" s="2" t="s">
        <v>924</v>
      </c>
      <c r="C804" s="2">
        <v>3336</v>
      </c>
      <c r="D804" s="2">
        <v>1539</v>
      </c>
    </row>
    <row r="805" spans="1:4" x14ac:dyDescent="0.25">
      <c r="A805" s="3" t="s">
        <v>264</v>
      </c>
      <c r="B805" s="277" t="s">
        <v>931</v>
      </c>
      <c r="C805" s="2">
        <v>4921</v>
      </c>
      <c r="D805" s="2">
        <v>1113</v>
      </c>
    </row>
    <row r="806" spans="1:4" x14ac:dyDescent="0.25">
      <c r="A806" s="3" t="s">
        <v>264</v>
      </c>
      <c r="B806" s="2" t="s">
        <v>1010</v>
      </c>
      <c r="C806" s="2">
        <v>4878</v>
      </c>
      <c r="D806" s="2">
        <v>1102</v>
      </c>
    </row>
    <row r="807" spans="1:4" x14ac:dyDescent="0.25">
      <c r="A807" s="3" t="s">
        <v>264</v>
      </c>
      <c r="B807" s="2" t="s">
        <v>932</v>
      </c>
      <c r="C807" s="2">
        <v>5193</v>
      </c>
      <c r="D807" s="2">
        <v>1196</v>
      </c>
    </row>
    <row r="808" spans="1:4" x14ac:dyDescent="0.25">
      <c r="A808" s="3" t="s">
        <v>264</v>
      </c>
      <c r="B808" s="2" t="s">
        <v>911</v>
      </c>
      <c r="C808" s="2">
        <v>4910</v>
      </c>
      <c r="D808" s="2">
        <v>747</v>
      </c>
    </row>
    <row r="809" spans="1:4" x14ac:dyDescent="0.25">
      <c r="A809" s="3" t="s">
        <v>71</v>
      </c>
      <c r="B809" s="2" t="s">
        <v>1043</v>
      </c>
      <c r="C809" s="2">
        <v>5240</v>
      </c>
      <c r="D809" s="2">
        <v>21</v>
      </c>
    </row>
    <row r="810" spans="1:4" x14ac:dyDescent="0.25">
      <c r="A810" s="3" t="s">
        <v>71</v>
      </c>
      <c r="B810" s="2" t="s">
        <v>84</v>
      </c>
      <c r="C810" s="2">
        <v>5768</v>
      </c>
      <c r="D810" s="2">
        <v>24</v>
      </c>
    </row>
    <row r="811" spans="1:4" x14ac:dyDescent="0.25">
      <c r="A811" s="3" t="s">
        <v>71</v>
      </c>
      <c r="B811" s="2" t="s">
        <v>933</v>
      </c>
      <c r="C811" s="2">
        <v>5533</v>
      </c>
      <c r="D811" s="2">
        <v>112</v>
      </c>
    </row>
    <row r="812" spans="1:4" x14ac:dyDescent="0.25">
      <c r="A812" s="3" t="s">
        <v>71</v>
      </c>
      <c r="B812" s="2" t="s">
        <v>934</v>
      </c>
      <c r="C812" s="2">
        <v>5578</v>
      </c>
      <c r="D812" s="2">
        <v>882</v>
      </c>
    </row>
    <row r="813" spans="1:4" x14ac:dyDescent="0.25">
      <c r="A813" s="3" t="s">
        <v>71</v>
      </c>
      <c r="B813" s="2" t="s">
        <v>941</v>
      </c>
      <c r="C813" s="2">
        <v>5097</v>
      </c>
      <c r="D813" s="2">
        <v>69</v>
      </c>
    </row>
    <row r="814" spans="1:4" x14ac:dyDescent="0.25">
      <c r="A814" s="3" t="s">
        <v>71</v>
      </c>
      <c r="B814" s="2" t="s">
        <v>939</v>
      </c>
      <c r="C814" s="2">
        <v>5682</v>
      </c>
      <c r="D814" s="2">
        <v>19</v>
      </c>
    </row>
    <row r="815" spans="1:4" x14ac:dyDescent="0.25">
      <c r="A815" s="3" t="s">
        <v>71</v>
      </c>
      <c r="B815" s="2" t="s">
        <v>935</v>
      </c>
      <c r="C815" s="2">
        <v>5669</v>
      </c>
      <c r="D815" s="2">
        <v>1007</v>
      </c>
    </row>
    <row r="816" spans="1:4" x14ac:dyDescent="0.25">
      <c r="A816" s="3" t="s">
        <v>71</v>
      </c>
      <c r="B816" s="2" t="s">
        <v>936</v>
      </c>
      <c r="C816" s="2">
        <v>5240</v>
      </c>
      <c r="D816" s="2">
        <v>21</v>
      </c>
    </row>
    <row r="817" spans="1:4" x14ac:dyDescent="0.25">
      <c r="A817" s="3" t="s">
        <v>71</v>
      </c>
      <c r="B817" s="2" t="s">
        <v>106</v>
      </c>
      <c r="C817" s="2">
        <v>4682</v>
      </c>
      <c r="D817" s="2">
        <v>115</v>
      </c>
    </row>
    <row r="818" spans="1:4" x14ac:dyDescent="0.25">
      <c r="A818" s="3" t="s">
        <v>71</v>
      </c>
      <c r="B818" s="2" t="s">
        <v>937</v>
      </c>
      <c r="C818" s="2">
        <v>5431</v>
      </c>
      <c r="D818" s="2">
        <v>641</v>
      </c>
    </row>
    <row r="819" spans="1:4" x14ac:dyDescent="0.25">
      <c r="A819" s="3" t="s">
        <v>71</v>
      </c>
      <c r="B819" s="2" t="s">
        <v>82</v>
      </c>
      <c r="C819" s="2">
        <v>5331</v>
      </c>
      <c r="D819" s="2">
        <v>118</v>
      </c>
    </row>
    <row r="820" spans="1:4" x14ac:dyDescent="0.25">
      <c r="A820" s="3" t="s">
        <v>71</v>
      </c>
      <c r="B820" s="2" t="s">
        <v>88</v>
      </c>
      <c r="C820" s="2">
        <v>4921</v>
      </c>
      <c r="D820" s="2">
        <v>711</v>
      </c>
    </row>
    <row r="821" spans="1:4" x14ac:dyDescent="0.25">
      <c r="A821" s="3" t="s">
        <v>71</v>
      </c>
      <c r="B821" s="2" t="s">
        <v>81</v>
      </c>
      <c r="C821" s="2">
        <v>5945</v>
      </c>
      <c r="D821" s="2">
        <v>13</v>
      </c>
    </row>
    <row r="822" spans="1:4" x14ac:dyDescent="0.25">
      <c r="A822" s="3" t="s">
        <v>71</v>
      </c>
      <c r="B822" s="2" t="s">
        <v>938</v>
      </c>
      <c r="C822" s="2">
        <v>6483</v>
      </c>
      <c r="D822" s="2">
        <v>234</v>
      </c>
    </row>
    <row r="823" spans="1:4" x14ac:dyDescent="0.25">
      <c r="A823" s="3" t="s">
        <v>71</v>
      </c>
      <c r="B823" s="2" t="s">
        <v>940</v>
      </c>
      <c r="C823" s="2">
        <v>4378</v>
      </c>
      <c r="D823" s="2">
        <v>216</v>
      </c>
    </row>
    <row r="824" spans="1:4" x14ac:dyDescent="0.25">
      <c r="A824" s="3" t="s">
        <v>71</v>
      </c>
      <c r="B824" s="2" t="s">
        <v>83</v>
      </c>
      <c r="C824" s="2">
        <v>4372</v>
      </c>
      <c r="D824" s="2">
        <v>169</v>
      </c>
    </row>
    <row r="825" spans="1:4" x14ac:dyDescent="0.25">
      <c r="A825" s="3" t="s">
        <v>71</v>
      </c>
      <c r="B825" s="2" t="s">
        <v>89</v>
      </c>
      <c r="C825" s="2">
        <v>6716</v>
      </c>
      <c r="D825" s="2">
        <v>341</v>
      </c>
    </row>
    <row r="826" spans="1:4" x14ac:dyDescent="0.25">
      <c r="A826" s="3" t="s">
        <v>71</v>
      </c>
      <c r="B826" s="2" t="s">
        <v>942</v>
      </c>
      <c r="C826" s="2">
        <v>8898</v>
      </c>
      <c r="D826" s="2">
        <v>81</v>
      </c>
    </row>
    <row r="827" spans="1:4" x14ac:dyDescent="0.25">
      <c r="A827" s="3" t="s">
        <v>71</v>
      </c>
      <c r="B827" s="2" t="s">
        <v>1011</v>
      </c>
      <c r="C827" s="2">
        <v>5664</v>
      </c>
      <c r="D827" s="2">
        <v>142</v>
      </c>
    </row>
    <row r="828" spans="1:4" x14ac:dyDescent="0.25">
      <c r="A828" s="3" t="s">
        <v>71</v>
      </c>
      <c r="B828" s="2" t="s">
        <v>78</v>
      </c>
      <c r="C828" s="2">
        <v>4501</v>
      </c>
      <c r="D828" s="2">
        <v>879</v>
      </c>
    </row>
    <row r="829" spans="1:4" x14ac:dyDescent="0.25">
      <c r="A829" s="3" t="s">
        <v>71</v>
      </c>
      <c r="B829" s="2" t="s">
        <v>1136</v>
      </c>
      <c r="C829" s="2">
        <v>5853</v>
      </c>
      <c r="D829" s="2">
        <v>82</v>
      </c>
    </row>
    <row r="830" spans="1:4" x14ac:dyDescent="0.25">
      <c r="A830" s="3" t="s">
        <v>71</v>
      </c>
      <c r="B830" s="2" t="s">
        <v>87</v>
      </c>
      <c r="C830" s="2">
        <v>4836</v>
      </c>
      <c r="D830" s="2">
        <v>839</v>
      </c>
    </row>
    <row r="831" spans="1:4" x14ac:dyDescent="0.25">
      <c r="A831" s="3" t="s">
        <v>71</v>
      </c>
      <c r="B831" s="2" t="s">
        <v>85</v>
      </c>
      <c r="C831" s="2">
        <v>5748</v>
      </c>
      <c r="D831" s="2">
        <v>867</v>
      </c>
    </row>
    <row r="832" spans="1:4" x14ac:dyDescent="0.25">
      <c r="A832" s="3" t="s">
        <v>71</v>
      </c>
      <c r="B832" s="2" t="s">
        <v>1012</v>
      </c>
      <c r="C832" s="2">
        <v>5510</v>
      </c>
      <c r="D832" s="2">
        <v>0</v>
      </c>
    </row>
    <row r="833" spans="1:4" x14ac:dyDescent="0.25">
      <c r="A833" s="3" t="s">
        <v>71</v>
      </c>
      <c r="B833" s="2" t="s">
        <v>86</v>
      </c>
      <c r="C833" s="2">
        <v>6041</v>
      </c>
      <c r="D833" s="2">
        <v>430</v>
      </c>
    </row>
    <row r="834" spans="1:4" x14ac:dyDescent="0.25">
      <c r="A834" s="3" t="s">
        <v>265</v>
      </c>
      <c r="B834" s="2" t="s">
        <v>962</v>
      </c>
      <c r="C834" s="2">
        <v>5361</v>
      </c>
      <c r="D834" s="2">
        <v>631</v>
      </c>
    </row>
    <row r="835" spans="1:4" x14ac:dyDescent="0.25">
      <c r="A835" s="3" t="s">
        <v>265</v>
      </c>
      <c r="B835" s="2" t="s">
        <v>963</v>
      </c>
      <c r="C835" s="2">
        <v>4451</v>
      </c>
      <c r="D835" s="2">
        <v>597</v>
      </c>
    </row>
    <row r="836" spans="1:4" x14ac:dyDescent="0.25">
      <c r="A836" s="3" t="s">
        <v>265</v>
      </c>
      <c r="B836" s="2" t="s">
        <v>965</v>
      </c>
      <c r="C836" s="2">
        <v>5137</v>
      </c>
      <c r="D836" s="2">
        <v>855</v>
      </c>
    </row>
    <row r="837" spans="1:4" x14ac:dyDescent="0.25">
      <c r="A837" s="3" t="s">
        <v>265</v>
      </c>
      <c r="B837" s="2" t="s">
        <v>1138</v>
      </c>
      <c r="C837" s="2">
        <v>4708</v>
      </c>
      <c r="D837" s="2">
        <v>1015</v>
      </c>
    </row>
    <row r="838" spans="1:4" x14ac:dyDescent="0.25">
      <c r="A838" s="3" t="s">
        <v>265</v>
      </c>
      <c r="B838" s="2" t="s">
        <v>964</v>
      </c>
      <c r="C838" s="2">
        <v>6050</v>
      </c>
      <c r="D838" s="2">
        <v>368</v>
      </c>
    </row>
    <row r="839" spans="1:4" x14ac:dyDescent="0.25">
      <c r="A839" s="3" t="s">
        <v>265</v>
      </c>
      <c r="B839" s="2" t="s">
        <v>966</v>
      </c>
      <c r="C839" s="2">
        <v>4642</v>
      </c>
      <c r="D839" s="2">
        <v>1077</v>
      </c>
    </row>
    <row r="840" spans="1:4" x14ac:dyDescent="0.25">
      <c r="A840" s="3" t="s">
        <v>265</v>
      </c>
      <c r="B840" s="2" t="s">
        <v>967</v>
      </c>
      <c r="C840" s="2">
        <v>6270</v>
      </c>
      <c r="D840" s="2">
        <v>432</v>
      </c>
    </row>
    <row r="841" spans="1:4" x14ac:dyDescent="0.25">
      <c r="A841" s="3" t="s">
        <v>265</v>
      </c>
      <c r="B841" s="2" t="s">
        <v>821</v>
      </c>
      <c r="C841" s="2">
        <v>4345</v>
      </c>
      <c r="D841" s="2">
        <v>761</v>
      </c>
    </row>
    <row r="842" spans="1:4" x14ac:dyDescent="0.25">
      <c r="A842" s="3" t="s">
        <v>265</v>
      </c>
      <c r="B842" s="2" t="s">
        <v>968</v>
      </c>
      <c r="C842" s="2">
        <v>5020</v>
      </c>
      <c r="D842" s="2">
        <v>669</v>
      </c>
    </row>
    <row r="843" spans="1:4" x14ac:dyDescent="0.25">
      <c r="A843" s="3" t="s">
        <v>265</v>
      </c>
      <c r="B843" s="2" t="s">
        <v>1014</v>
      </c>
      <c r="C843" s="2">
        <v>4979</v>
      </c>
      <c r="D843" s="2">
        <v>1101</v>
      </c>
    </row>
    <row r="844" spans="1:4" x14ac:dyDescent="0.25">
      <c r="A844" s="3" t="s">
        <v>265</v>
      </c>
      <c r="B844" s="2" t="s">
        <v>970</v>
      </c>
      <c r="C844" s="2">
        <v>5793</v>
      </c>
      <c r="D844" s="2">
        <v>639</v>
      </c>
    </row>
    <row r="845" spans="1:4" x14ac:dyDescent="0.25">
      <c r="A845" s="3" t="s">
        <v>266</v>
      </c>
      <c r="B845" s="2" t="s">
        <v>943</v>
      </c>
      <c r="C845" s="2">
        <v>8664</v>
      </c>
      <c r="D845" s="2">
        <v>440</v>
      </c>
    </row>
    <row r="846" spans="1:4" x14ac:dyDescent="0.25">
      <c r="A846" s="3" t="s">
        <v>266</v>
      </c>
      <c r="B846" s="2" t="s">
        <v>944</v>
      </c>
      <c r="C846" s="2">
        <v>7022</v>
      </c>
      <c r="D846" s="2">
        <v>517</v>
      </c>
    </row>
    <row r="847" spans="1:4" x14ac:dyDescent="0.25">
      <c r="A847" s="3" t="s">
        <v>266</v>
      </c>
      <c r="B847" s="2" t="s">
        <v>945</v>
      </c>
      <c r="C847" s="2">
        <v>8475</v>
      </c>
      <c r="D847" s="2">
        <v>600</v>
      </c>
    </row>
    <row r="848" spans="1:4" x14ac:dyDescent="0.25">
      <c r="A848" s="3" t="s">
        <v>266</v>
      </c>
      <c r="B848" s="2" t="s">
        <v>946</v>
      </c>
      <c r="C848" s="2">
        <v>7853</v>
      </c>
      <c r="D848" s="2">
        <v>496</v>
      </c>
    </row>
    <row r="849" spans="1:4" x14ac:dyDescent="0.25">
      <c r="A849" s="3" t="s">
        <v>266</v>
      </c>
      <c r="B849" s="2" t="s">
        <v>947</v>
      </c>
      <c r="C849" s="2">
        <v>6713</v>
      </c>
      <c r="D849" s="2">
        <v>295</v>
      </c>
    </row>
    <row r="850" spans="1:4" x14ac:dyDescent="0.25">
      <c r="A850" s="3" t="s">
        <v>266</v>
      </c>
      <c r="B850" s="2" t="s">
        <v>1013</v>
      </c>
      <c r="C850" s="2">
        <v>7445</v>
      </c>
      <c r="D850" s="2">
        <v>748</v>
      </c>
    </row>
    <row r="851" spans="1:4" x14ac:dyDescent="0.25">
      <c r="A851" s="3" t="s">
        <v>266</v>
      </c>
      <c r="B851" s="2" t="s">
        <v>949</v>
      </c>
      <c r="C851" s="2">
        <v>6651</v>
      </c>
      <c r="D851" s="2">
        <v>543</v>
      </c>
    </row>
    <row r="852" spans="1:4" x14ac:dyDescent="0.25">
      <c r="A852" s="3" t="s">
        <v>266</v>
      </c>
      <c r="B852" s="2" t="s">
        <v>950</v>
      </c>
      <c r="C852" s="2">
        <v>7724</v>
      </c>
      <c r="D852" s="2">
        <v>604</v>
      </c>
    </row>
    <row r="853" spans="1:4" x14ac:dyDescent="0.25">
      <c r="A853" s="3" t="s">
        <v>266</v>
      </c>
      <c r="B853" s="2" t="s">
        <v>951</v>
      </c>
      <c r="C853" s="2">
        <v>7231</v>
      </c>
      <c r="D853" s="2">
        <v>322</v>
      </c>
    </row>
    <row r="854" spans="1:4" x14ac:dyDescent="0.25">
      <c r="A854" s="3" t="s">
        <v>266</v>
      </c>
      <c r="B854" s="2" t="s">
        <v>952</v>
      </c>
      <c r="C854" s="2">
        <v>7449</v>
      </c>
      <c r="D854" s="2">
        <v>432</v>
      </c>
    </row>
    <row r="855" spans="1:4" x14ac:dyDescent="0.25">
      <c r="A855" s="3" t="s">
        <v>266</v>
      </c>
      <c r="B855" s="2" t="s">
        <v>953</v>
      </c>
      <c r="C855" s="2">
        <v>7348</v>
      </c>
      <c r="D855" s="2">
        <v>545</v>
      </c>
    </row>
    <row r="856" spans="1:4" x14ac:dyDescent="0.25">
      <c r="A856" s="3" t="s">
        <v>266</v>
      </c>
      <c r="B856" s="2" t="s">
        <v>954</v>
      </c>
      <c r="C856" s="2">
        <v>8772</v>
      </c>
      <c r="D856" s="2">
        <v>410</v>
      </c>
    </row>
    <row r="857" spans="1:4" x14ac:dyDescent="0.25">
      <c r="A857" s="3" t="s">
        <v>266</v>
      </c>
      <c r="B857" s="2" t="s">
        <v>955</v>
      </c>
      <c r="C857" s="2">
        <v>8719</v>
      </c>
      <c r="D857" s="2">
        <v>401</v>
      </c>
    </row>
    <row r="858" spans="1:4" x14ac:dyDescent="0.25">
      <c r="A858" s="3" t="s">
        <v>266</v>
      </c>
      <c r="B858" s="2" t="s">
        <v>961</v>
      </c>
      <c r="C858" s="2">
        <v>8013</v>
      </c>
      <c r="D858" s="2">
        <v>380</v>
      </c>
    </row>
    <row r="859" spans="1:4" x14ac:dyDescent="0.25">
      <c r="A859" s="3" t="s">
        <v>266</v>
      </c>
      <c r="B859" s="2" t="s">
        <v>956</v>
      </c>
      <c r="C859" s="2">
        <v>8638</v>
      </c>
      <c r="D859" s="2">
        <v>337</v>
      </c>
    </row>
    <row r="860" spans="1:4" x14ac:dyDescent="0.25">
      <c r="A860" s="3" t="s">
        <v>266</v>
      </c>
      <c r="B860" s="2" t="s">
        <v>957</v>
      </c>
      <c r="C860" s="2">
        <v>8823</v>
      </c>
      <c r="D860" s="2">
        <v>437</v>
      </c>
    </row>
    <row r="861" spans="1:4" x14ac:dyDescent="0.25">
      <c r="A861" s="3" t="s">
        <v>266</v>
      </c>
      <c r="B861" s="2" t="s">
        <v>958</v>
      </c>
      <c r="C861" s="2">
        <v>8706</v>
      </c>
      <c r="D861" s="2">
        <v>420</v>
      </c>
    </row>
    <row r="862" spans="1:4" x14ac:dyDescent="0.25">
      <c r="A862" s="3" t="s">
        <v>266</v>
      </c>
      <c r="B862" s="2" t="s">
        <v>959</v>
      </c>
      <c r="C862" s="2">
        <v>7301</v>
      </c>
      <c r="D862" s="2">
        <v>424</v>
      </c>
    </row>
    <row r="863" spans="1:4" x14ac:dyDescent="0.25">
      <c r="A863" s="3" t="s">
        <v>266</v>
      </c>
      <c r="B863" s="2" t="s">
        <v>1137</v>
      </c>
      <c r="C863" s="2">
        <v>6864</v>
      </c>
      <c r="D863" s="2">
        <v>674</v>
      </c>
    </row>
    <row r="864" spans="1:4" x14ac:dyDescent="0.25">
      <c r="A864" s="3" t="s">
        <v>266</v>
      </c>
      <c r="B864" s="2" t="s">
        <v>960</v>
      </c>
      <c r="C864" s="2">
        <v>7821</v>
      </c>
      <c r="D864" s="2">
        <v>658</v>
      </c>
    </row>
    <row r="865" spans="1:4" x14ac:dyDescent="0.25">
      <c r="A865" s="3" t="s">
        <v>267</v>
      </c>
      <c r="B865" s="2" t="s">
        <v>971</v>
      </c>
      <c r="C865" s="2">
        <v>7409</v>
      </c>
      <c r="D865" s="2">
        <v>440</v>
      </c>
    </row>
    <row r="866" spans="1:4" x14ac:dyDescent="0.25">
      <c r="A866" s="3" t="s">
        <v>267</v>
      </c>
      <c r="B866" s="2" t="s">
        <v>972</v>
      </c>
      <c r="C866" s="2">
        <v>7362</v>
      </c>
      <c r="D866" s="2">
        <v>265</v>
      </c>
    </row>
    <row r="867" spans="1:4" x14ac:dyDescent="0.25">
      <c r="A867" s="3" t="s">
        <v>267</v>
      </c>
      <c r="B867" s="2" t="s">
        <v>973</v>
      </c>
      <c r="C867" s="2">
        <v>7131</v>
      </c>
      <c r="D867" s="2">
        <v>436</v>
      </c>
    </row>
    <row r="868" spans="1:4" x14ac:dyDescent="0.25">
      <c r="A868" s="3" t="s">
        <v>267</v>
      </c>
      <c r="B868" s="2" t="s">
        <v>974</v>
      </c>
      <c r="C868" s="2">
        <v>8339</v>
      </c>
      <c r="D868" s="2">
        <v>188</v>
      </c>
    </row>
    <row r="869" spans="1:4" x14ac:dyDescent="0.25">
      <c r="A869" s="3" t="s">
        <v>267</v>
      </c>
      <c r="B869" s="2" t="s">
        <v>975</v>
      </c>
      <c r="C869" s="2">
        <v>6992</v>
      </c>
      <c r="D869" s="2">
        <v>767</v>
      </c>
    </row>
    <row r="870" spans="1:4" x14ac:dyDescent="0.25">
      <c r="A870" s="3" t="s">
        <v>267</v>
      </c>
      <c r="B870" s="2" t="s">
        <v>976</v>
      </c>
      <c r="C870" s="2">
        <v>9670</v>
      </c>
      <c r="D870" s="2">
        <v>15</v>
      </c>
    </row>
    <row r="871" spans="1:4" x14ac:dyDescent="0.25">
      <c r="A871" s="3" t="s">
        <v>267</v>
      </c>
      <c r="B871" s="2" t="s">
        <v>977</v>
      </c>
      <c r="C871" s="2">
        <v>7477</v>
      </c>
      <c r="D871" s="2">
        <v>432</v>
      </c>
    </row>
    <row r="872" spans="1:4" x14ac:dyDescent="0.25">
      <c r="A872" s="3" t="s">
        <v>267</v>
      </c>
      <c r="B872" s="2" t="s">
        <v>978</v>
      </c>
      <c r="C872" s="2">
        <v>7799</v>
      </c>
      <c r="D872" s="2">
        <v>111</v>
      </c>
    </row>
    <row r="873" spans="1:4" x14ac:dyDescent="0.25">
      <c r="A873" s="3" t="s">
        <v>267</v>
      </c>
      <c r="B873" s="2" t="s">
        <v>979</v>
      </c>
      <c r="C873" s="2">
        <v>7392</v>
      </c>
      <c r="D873" s="2">
        <v>289</v>
      </c>
    </row>
    <row r="874" spans="1:4" x14ac:dyDescent="0.25">
      <c r="A874" s="3" t="s">
        <v>267</v>
      </c>
      <c r="B874" s="2" t="s">
        <v>980</v>
      </c>
      <c r="C874" s="2">
        <v>7579</v>
      </c>
      <c r="D874" s="2">
        <v>708</v>
      </c>
    </row>
    <row r="875" spans="1:4" x14ac:dyDescent="0.25">
      <c r="A875" s="3" t="s">
        <v>267</v>
      </c>
      <c r="B875" s="2" t="s">
        <v>981</v>
      </c>
      <c r="C875" s="2">
        <v>7971</v>
      </c>
      <c r="D875" s="2">
        <v>191</v>
      </c>
    </row>
    <row r="876" spans="1:4" x14ac:dyDescent="0.25">
      <c r="A876" s="3" t="s">
        <v>267</v>
      </c>
      <c r="B876" s="2" t="s">
        <v>982</v>
      </c>
      <c r="C876" s="2">
        <v>7215</v>
      </c>
      <c r="D876" s="2">
        <v>399</v>
      </c>
    </row>
    <row r="877" spans="1:4" x14ac:dyDescent="0.25">
      <c r="A877" s="3" t="s">
        <v>267</v>
      </c>
      <c r="B877" s="2" t="s">
        <v>1015</v>
      </c>
      <c r="C877" s="2">
        <v>7285</v>
      </c>
      <c r="D877" s="2">
        <v>611</v>
      </c>
    </row>
  </sheetData>
  <sortState xmlns:xlrd2="http://schemas.microsoft.com/office/spreadsheetml/2017/richdata2" ref="B673:D690">
    <sortCondition ref="B673:B69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C72"/>
  <sheetViews>
    <sheetView zoomScale="125" zoomScaleNormal="125" workbookViewId="0">
      <selection activeCell="F12" sqref="F12"/>
    </sheetView>
  </sheetViews>
  <sheetFormatPr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4.28515625" hidden="1" customWidth="1"/>
    <col min="11" max="11" width="12.7109375" hidden="1" customWidth="1"/>
    <col min="12" max="13" width="12.42578125" hidden="1" customWidth="1"/>
    <col min="14" max="14" width="14.42578125" hidden="1" customWidth="1"/>
    <col min="15" max="16" width="19" hidden="1" customWidth="1"/>
    <col min="17" max="17" width="16.140625" hidden="1" customWidth="1"/>
    <col min="18" max="18" width="48" hidden="1" customWidth="1"/>
    <col min="19" max="22" width="9.140625" hidden="1" customWidth="1"/>
    <col min="23" max="31" width="0" hidden="1" customWidth="1"/>
  </cols>
  <sheetData>
    <row r="1" spans="1:18" ht="30.75" customHeight="1" x14ac:dyDescent="0.25">
      <c r="A1" s="1"/>
      <c r="B1" s="43" t="s">
        <v>152</v>
      </c>
      <c r="C1" s="44"/>
      <c r="D1" s="44"/>
      <c r="E1" s="95"/>
      <c r="F1" s="112" t="str">
        <f>IF($M$24="Mid","Mid-size Office","Large Office")</f>
        <v>Large Office</v>
      </c>
      <c r="H1" s="116" t="s">
        <v>200</v>
      </c>
    </row>
    <row r="2" spans="1:18" ht="31.15" customHeight="1" x14ac:dyDescent="0.25">
      <c r="A2" s="1"/>
      <c r="B2" s="118" t="s">
        <v>1250</v>
      </c>
      <c r="C2" s="102"/>
      <c r="D2" s="102"/>
      <c r="E2" s="102"/>
      <c r="F2" s="119">
        <v>45670</v>
      </c>
      <c r="H2" s="193" t="s">
        <v>1220</v>
      </c>
    </row>
    <row r="3" spans="1:18" x14ac:dyDescent="0.25">
      <c r="A3" s="1"/>
      <c r="B3" s="235" t="s">
        <v>206</v>
      </c>
      <c r="C3" s="236"/>
      <c r="D3" s="236"/>
      <c r="E3" s="236"/>
      <c r="F3" s="237"/>
      <c r="H3" s="2"/>
    </row>
    <row r="4" spans="1:18" ht="15.75" x14ac:dyDescent="0.25">
      <c r="A4" s="1"/>
      <c r="B4" s="120" t="s">
        <v>207</v>
      </c>
      <c r="C4" s="238" t="s">
        <v>222</v>
      </c>
      <c r="D4" s="238"/>
      <c r="E4" s="238"/>
      <c r="F4" s="238"/>
      <c r="H4" s="176"/>
    </row>
    <row r="5" spans="1:18" ht="15.75" x14ac:dyDescent="0.25">
      <c r="A5" s="1"/>
      <c r="B5" s="229" t="s">
        <v>208</v>
      </c>
      <c r="C5" s="233" t="s">
        <v>209</v>
      </c>
      <c r="D5" s="234"/>
      <c r="E5" s="121" t="s">
        <v>210</v>
      </c>
      <c r="F5" s="121" t="s">
        <v>211</v>
      </c>
      <c r="H5" s="176"/>
    </row>
    <row r="6" spans="1:18" ht="15.75" x14ac:dyDescent="0.25">
      <c r="A6" s="1"/>
      <c r="B6" s="230"/>
      <c r="C6" s="227" t="s">
        <v>3</v>
      </c>
      <c r="D6" s="228"/>
      <c r="E6" s="201" t="s">
        <v>1233</v>
      </c>
      <c r="F6" s="201"/>
      <c r="H6" s="176"/>
    </row>
    <row r="7" spans="1:18" ht="15.75" x14ac:dyDescent="0.25">
      <c r="A7" s="1"/>
      <c r="B7" s="231" t="s">
        <v>221</v>
      </c>
      <c r="C7" s="233" t="s">
        <v>212</v>
      </c>
      <c r="D7" s="234"/>
      <c r="E7" s="121" t="s">
        <v>213</v>
      </c>
      <c r="F7" s="121" t="s">
        <v>214</v>
      </c>
      <c r="H7" s="176"/>
    </row>
    <row r="8" spans="1:18" ht="15.75" x14ac:dyDescent="0.25">
      <c r="A8" s="1"/>
      <c r="B8" s="232"/>
      <c r="C8" s="227"/>
      <c r="D8" s="228"/>
      <c r="E8" s="201"/>
      <c r="F8" s="201"/>
      <c r="H8" s="176"/>
    </row>
    <row r="9" spans="1:18" ht="9.75" customHeight="1" x14ac:dyDescent="0.25">
      <c r="A9" s="1"/>
      <c r="B9" s="45"/>
      <c r="C9" s="21"/>
      <c r="D9" s="21"/>
      <c r="E9" s="21"/>
      <c r="F9" s="46"/>
      <c r="H9" s="176"/>
    </row>
    <row r="10" spans="1:18" ht="23.45" customHeight="1" x14ac:dyDescent="0.25">
      <c r="A10" s="1"/>
      <c r="B10" s="241" t="s">
        <v>46</v>
      </c>
      <c r="C10" s="242"/>
      <c r="D10" s="102"/>
      <c r="E10" s="103"/>
      <c r="F10" s="97">
        <f>F31</f>
        <v>212358.92683005633</v>
      </c>
      <c r="H10" s="176"/>
    </row>
    <row r="11" spans="1:18" ht="23.45" customHeight="1" x14ac:dyDescent="0.25">
      <c r="A11" s="1"/>
      <c r="B11" s="243" t="s">
        <v>47</v>
      </c>
      <c r="C11" s="244"/>
      <c r="D11" s="244"/>
      <c r="E11" s="22"/>
      <c r="F11" s="97">
        <f>F33</f>
        <v>22419.08412058535</v>
      </c>
      <c r="H11" s="176"/>
    </row>
    <row r="12" spans="1:18" ht="23.45" customHeight="1" x14ac:dyDescent="0.25">
      <c r="A12" s="1"/>
      <c r="B12" s="104" t="s">
        <v>153</v>
      </c>
      <c r="C12" s="105"/>
      <c r="D12" s="105"/>
      <c r="E12" s="103"/>
      <c r="F12" s="101">
        <f>F36</f>
        <v>70128.235639158956</v>
      </c>
      <c r="H12" s="176"/>
    </row>
    <row r="13" spans="1:18" ht="23.45" customHeight="1" x14ac:dyDescent="0.25">
      <c r="A13" s="1"/>
      <c r="B13" s="100" t="s">
        <v>201</v>
      </c>
      <c r="C13" s="96"/>
      <c r="D13" s="96"/>
      <c r="E13" s="51"/>
      <c r="F13" s="98">
        <f>IF($F$23&lt;2080,V25,IF($F$23=8760,V24,(($F$23-$Q$25)/($Q$24-$Q$25)*(V24-V25)+V25)))</f>
        <v>96.902875199767436</v>
      </c>
      <c r="H13" s="176"/>
    </row>
    <row r="14" spans="1:18" ht="23.45" customHeight="1" x14ac:dyDescent="0.25">
      <c r="A14" s="1"/>
      <c r="B14" s="104" t="s">
        <v>202</v>
      </c>
      <c r="C14" s="105"/>
      <c r="D14" s="106"/>
      <c r="E14" s="99">
        <f>F54</f>
        <v>0.12246032630976615</v>
      </c>
      <c r="F14" s="98">
        <f>F35</f>
        <v>11.86675771731807</v>
      </c>
      <c r="H14" s="176"/>
    </row>
    <row r="15" spans="1:18" ht="9" customHeight="1" thickBot="1" x14ac:dyDescent="0.3">
      <c r="A15" s="1"/>
      <c r="B15" s="36"/>
      <c r="F15" s="25"/>
      <c r="H15" s="176"/>
    </row>
    <row r="16" spans="1:18" ht="15.75" x14ac:dyDescent="0.25">
      <c r="A16" s="1"/>
      <c r="B16" s="250" t="s">
        <v>48</v>
      </c>
      <c r="C16" s="251"/>
      <c r="D16" s="39"/>
      <c r="E16" s="251" t="s">
        <v>22</v>
      </c>
      <c r="F16" s="252"/>
      <c r="H16" s="196"/>
      <c r="R16">
        <f>Q16*0.3</f>
        <v>0</v>
      </c>
    </row>
    <row r="17" spans="1:29" ht="15.75" x14ac:dyDescent="0.25">
      <c r="A17" s="1"/>
      <c r="B17" s="72"/>
      <c r="C17" s="73"/>
      <c r="D17" s="20"/>
      <c r="E17" s="23" t="s">
        <v>13</v>
      </c>
      <c r="F17" s="84" t="str">
        <f>Lists!$BE$2</f>
        <v>Office</v>
      </c>
      <c r="H17" s="176"/>
    </row>
    <row r="18" spans="1:29" ht="28.5" customHeight="1" x14ac:dyDescent="0.25">
      <c r="A18" s="1"/>
      <c r="B18" s="24" t="s">
        <v>74</v>
      </c>
      <c r="C18" s="202" t="s">
        <v>1022</v>
      </c>
      <c r="D18" s="20"/>
      <c r="E18" s="23" t="s">
        <v>51</v>
      </c>
      <c r="F18" s="205">
        <v>250000</v>
      </c>
      <c r="H18" s="178" t="str">
        <f>IF(OR($F$18&lt;15000,$F$18&gt;500000),"WARNING: Minimum or maximum input limits for accurate results exceeded. Interpret results carefully.","Minimum office size limit is approximately 15,000 sq.ft.  Maximum office size limit is approximately 500,000 sq.ft.")</f>
        <v>Minimum office size limit is approximately 15,000 sq.ft.  Maximum office size limit is approximately 500,000 sq.ft.</v>
      </c>
    </row>
    <row r="19" spans="1:29" x14ac:dyDescent="0.25">
      <c r="A19" s="1"/>
      <c r="B19" s="24" t="s">
        <v>11</v>
      </c>
      <c r="C19" s="202" t="s">
        <v>251</v>
      </c>
      <c r="D19" s="20"/>
      <c r="E19" s="3" t="s">
        <v>108</v>
      </c>
      <c r="F19" s="213">
        <v>10</v>
      </c>
      <c r="H19" s="194" t="s">
        <v>1224</v>
      </c>
      <c r="L19" s="8"/>
      <c r="M19" s="8"/>
    </row>
    <row r="20" spans="1:29" ht="30" customHeight="1" x14ac:dyDescent="0.25">
      <c r="A20" s="1"/>
      <c r="B20" s="24" t="s">
        <v>24</v>
      </c>
      <c r="C20" s="202" t="s">
        <v>1234</v>
      </c>
      <c r="D20" s="20"/>
      <c r="E20" s="3" t="s">
        <v>15</v>
      </c>
      <c r="F20" s="213" t="s">
        <v>8</v>
      </c>
      <c r="H20" s="178" t="s">
        <v>205</v>
      </c>
    </row>
    <row r="21" spans="1:29" ht="30" customHeight="1" x14ac:dyDescent="0.25">
      <c r="A21" s="1"/>
      <c r="B21" s="24" t="s">
        <v>25</v>
      </c>
      <c r="C21" s="202" t="s">
        <v>1234</v>
      </c>
      <c r="D21" s="20"/>
      <c r="E21" s="3" t="s">
        <v>1168</v>
      </c>
      <c r="F21" s="205" t="s">
        <v>7</v>
      </c>
      <c r="H21" s="178" t="str">
        <f>IF(AND(F20="Packaged VAV with electric reheat",F21="Natural Gas"),"WARNING: Dominant Heating Fuel should be set to Electric.","For packaged VAV options, make sure the fuel type is consistent with the system choice, especially for electric reheat (fuel type=electric.)")</f>
        <v>For packaged VAV options, make sure the fuel type is consistent with the system choice, especially for electric reheat (fuel type=electric.)</v>
      </c>
      <c r="R21" t="s">
        <v>1166</v>
      </c>
    </row>
    <row r="22" spans="1:29" x14ac:dyDescent="0.25">
      <c r="A22" s="1"/>
      <c r="B22" s="154"/>
      <c r="C22" s="155"/>
      <c r="D22" s="20"/>
      <c r="E22" s="3" t="s">
        <v>1178</v>
      </c>
      <c r="F22" s="205" t="s">
        <v>1180</v>
      </c>
      <c r="H22" s="178" t="str">
        <f>IF($F$22="No","Savings does not include reduction in mechanical cooling.","Savings includes reduction in mechanical cooling.")</f>
        <v>Savings includes reduction in mechanical cooling.</v>
      </c>
      <c r="K22" t="s">
        <v>156</v>
      </c>
      <c r="S22" s="226" t="s">
        <v>157</v>
      </c>
      <c r="T22" s="226"/>
      <c r="U22" s="226"/>
      <c r="V22" s="109"/>
      <c r="W22" s="5" t="s">
        <v>1190</v>
      </c>
      <c r="X22" s="11"/>
      <c r="Y22" t="s">
        <v>161</v>
      </c>
    </row>
    <row r="23" spans="1:29" x14ac:dyDescent="0.25">
      <c r="B23" s="32" t="s">
        <v>45</v>
      </c>
      <c r="C23" s="94">
        <f>VLOOKUP($C$19,'Weather Information'!$B$3:$D$877,2,FALSE)</f>
        <v>4885</v>
      </c>
      <c r="D23" s="20"/>
      <c r="E23" s="3" t="str">
        <f>IF(F17="Office","Annual Operating Hours","")</f>
        <v>Annual Operating Hours</v>
      </c>
      <c r="F23" s="215">
        <v>4000</v>
      </c>
      <c r="H23" s="178" t="str">
        <f>IF(OR($F$23&lt;1986,$F$23&gt;8760),"WARNING: Minimum or maximum input limits exceeded.  Savings based on 2080 hours or 8760 hours respectively.","Minimum input is 1980 hours/yr.  Maximum input is 8760 hours/yr.")</f>
        <v>Minimum input is 1980 hours/yr.  Maximum input is 8760 hours/yr.</v>
      </c>
      <c r="K23" s="2" t="s">
        <v>1030</v>
      </c>
      <c r="L23" s="2" t="s">
        <v>190</v>
      </c>
      <c r="M23" s="2" t="s">
        <v>112</v>
      </c>
      <c r="N23" s="5" t="s">
        <v>13</v>
      </c>
      <c r="O23" s="5" t="s">
        <v>15</v>
      </c>
      <c r="P23" s="5" t="s">
        <v>6</v>
      </c>
      <c r="Q23" s="5" t="s">
        <v>1159</v>
      </c>
      <c r="R23" s="9" t="s">
        <v>30</v>
      </c>
      <c r="S23" s="107" t="s">
        <v>159</v>
      </c>
      <c r="T23" s="108" t="s">
        <v>158</v>
      </c>
      <c r="U23" s="5" t="s">
        <v>160</v>
      </c>
      <c r="V23" s="5" t="s">
        <v>9</v>
      </c>
      <c r="W23" s="5" t="s">
        <v>1040</v>
      </c>
      <c r="X23" s="11"/>
      <c r="Y23" s="226" t="s">
        <v>9</v>
      </c>
      <c r="Z23" s="226"/>
      <c r="AA23" s="226" t="s">
        <v>162</v>
      </c>
      <c r="AB23" s="226"/>
    </row>
    <row r="24" spans="1:29" x14ac:dyDescent="0.25">
      <c r="A24" t="s">
        <v>3</v>
      </c>
      <c r="B24" s="32" t="s">
        <v>49</v>
      </c>
      <c r="C24" s="94">
        <f>VLOOKUP($C$19,'Weather Information'!$B$3:$D$877,3,FALSE)</f>
        <v>1133</v>
      </c>
      <c r="D24" s="20"/>
      <c r="E24" s="3" t="s">
        <v>1034</v>
      </c>
      <c r="F24" s="214" t="s">
        <v>1</v>
      </c>
      <c r="H24" s="178" t="str">
        <f>IF($F$24="Single pane","U-assembly = 1.03 Btu/hr-SF-F; SHGC = 0.73","U-assembly = 0.57 Btu/hr-SF-F; SHGC = 0.63")</f>
        <v>U-assembly = 1.03 Btu/hr-SF-F; SHGC = 0.73</v>
      </c>
      <c r="I24" t="s">
        <v>3</v>
      </c>
      <c r="J24" t="s">
        <v>1160</v>
      </c>
      <c r="K24" s="64" t="str">
        <f>IF(F24="Single pane","Single","Double")</f>
        <v>Single</v>
      </c>
      <c r="L24" s="64" t="str">
        <f>F26</f>
        <v>Single</v>
      </c>
      <c r="M24" s="2" t="str">
        <f>IF(AND(F18&gt;30000,F20="Built-up VAV with hydronic reheat "),"Large","Mid")</f>
        <v>Large</v>
      </c>
      <c r="N24" s="2" t="str">
        <f>F17</f>
        <v>Office</v>
      </c>
      <c r="O24" s="5" t="str">
        <f>IF(AND(M24="Mid",OR(F21="Electric",F21="None")),"PVAV_Elec",IF(AND(M24="Mid",F21="Natural Gas"),"PVAV_Gas","VAV"))</f>
        <v>VAV</v>
      </c>
      <c r="P24" s="5" t="str">
        <f>IF(F21="None","Electric",F21)</f>
        <v>Natural Gas</v>
      </c>
      <c r="Q24" s="90">
        <f>IF(F23&gt;2912,8760,2912)</f>
        <v>8760</v>
      </c>
      <c r="R24" s="11" t="str">
        <f>CONCATENATE(K24,L24,M24,N24,O24,P24,Q24)</f>
        <v>SingleSingleLargeOfficeVAVNatural Gas8760</v>
      </c>
      <c r="S24" s="2">
        <f>IF(F21="None",0,VLOOKUP(R24,'Savings Lookup'!$I$5:$L$40,2,FALSE))</f>
        <v>0</v>
      </c>
      <c r="T24" s="2">
        <f>VLOOKUP(R24,'Savings Lookup'!$I$5:$L$40,3,FALSE)</f>
        <v>12.2720875520607</v>
      </c>
      <c r="U24" s="2">
        <f>IF(F21="None",0,VLOOKUP(R24,'Savings Lookup'!$I$5:$L$40,4,FALSE))</f>
        <v>1.441974947619</v>
      </c>
      <c r="V24" s="2">
        <f>VLOOKUP(R24,'Savings Lookup'!$I$5:$V$40,8,FALSE)</f>
        <v>147.56563573000003</v>
      </c>
      <c r="W24" s="5">
        <f>IF($F$22="No",VLOOKUP(R24,'Savings Lookup'!$I$5:$AG$109,25,FALSE),1)</f>
        <v>1</v>
      </c>
      <c r="X24" s="11"/>
      <c r="Y24" s="56">
        <f>F13</f>
        <v>96.902875199767436</v>
      </c>
      <c r="Z24" s="2">
        <v>0</v>
      </c>
      <c r="AA24" s="85">
        <f>VLOOKUP(R24,'Savings Lookup'!$I$5:$AB$40,17,FALSE)</f>
        <v>557.58101970625012</v>
      </c>
      <c r="AB24" s="2">
        <v>0</v>
      </c>
      <c r="AC24" s="4" t="s">
        <v>57</v>
      </c>
    </row>
    <row r="25" spans="1:29" x14ac:dyDescent="0.25">
      <c r="B25" s="40"/>
      <c r="C25" s="41"/>
      <c r="D25" s="20" t="s">
        <v>3</v>
      </c>
      <c r="E25" s="235" t="s">
        <v>188</v>
      </c>
      <c r="F25" s="237"/>
      <c r="H25" s="195"/>
      <c r="J25" t="s">
        <v>1161</v>
      </c>
      <c r="K25" s="64" t="str">
        <f>K24</f>
        <v>Single</v>
      </c>
      <c r="L25" s="64" t="str">
        <f t="shared" ref="L25:P25" si="0">L24</f>
        <v>Single</v>
      </c>
      <c r="M25" s="2" t="str">
        <f t="shared" si="0"/>
        <v>Large</v>
      </c>
      <c r="N25" s="2" t="str">
        <f t="shared" si="0"/>
        <v>Office</v>
      </c>
      <c r="O25" s="5" t="str">
        <f t="shared" si="0"/>
        <v>VAV</v>
      </c>
      <c r="P25" s="5" t="str">
        <f t="shared" si="0"/>
        <v>Natural Gas</v>
      </c>
      <c r="Q25" s="90">
        <f>IF(Q24=8760,2912,2080)</f>
        <v>2912</v>
      </c>
      <c r="R25" s="11" t="str">
        <f>CONCATENATE(K25,L25,M25,N25,O25,P25,Q25)</f>
        <v>SingleSingleLargeOfficeVAVNatural Gas2912</v>
      </c>
      <c r="S25" s="2">
        <f>IF(F21="None",0,VLOOKUP(R25,'Savings Lookup'!$I$5:$L$40,2,FALSE))</f>
        <v>0</v>
      </c>
      <c r="T25" s="2">
        <f>VLOOKUP(R25,'Savings Lookup'!$I$5:$L$40,3,FALSE)</f>
        <v>5.8915550868550994</v>
      </c>
      <c r="U25" s="2">
        <f>IF(F21="None",0,VLOOKUP(R25,'Savings Lookup'!$I$5:$L$40,4,FALSE))</f>
        <v>0.58852059976820004</v>
      </c>
      <c r="V25" s="2">
        <f>VLOOKUP(R25,'Savings Lookup'!$I$5:$V$40,8,FALSE)</f>
        <v>85.322815649999995</v>
      </c>
      <c r="W25" s="5" t="s">
        <v>3</v>
      </c>
      <c r="X25" s="11"/>
      <c r="Y25" s="56">
        <f>Y24-F14</f>
        <v>85.03611748244937</v>
      </c>
      <c r="Z25" s="56">
        <f>Y24-Y25</f>
        <v>11.866757717318066</v>
      </c>
      <c r="AA25" s="85">
        <f>VLOOKUP(R24,'Savings Lookup'!$I$5:$AB$40,20,FALSE)</f>
        <v>510.10564161700012</v>
      </c>
      <c r="AB25" s="56">
        <f>AA24-AA25</f>
        <v>47.47537808925</v>
      </c>
      <c r="AC25" s="4" t="s">
        <v>189</v>
      </c>
    </row>
    <row r="26" spans="1:29" ht="22.15" customHeight="1" x14ac:dyDescent="0.25">
      <c r="A26" s="1"/>
      <c r="B26" s="245" t="s">
        <v>50</v>
      </c>
      <c r="C26" s="246"/>
      <c r="D26" s="20"/>
      <c r="E26" s="3" t="s">
        <v>186</v>
      </c>
      <c r="F26" s="207" t="s">
        <v>17</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L26" t="s">
        <v>3</v>
      </c>
      <c r="S26" t="s">
        <v>3</v>
      </c>
      <c r="W26" t="s">
        <v>3</v>
      </c>
      <c r="Y26" t="s">
        <v>163</v>
      </c>
      <c r="Z26">
        <f>Z25/Y24</f>
        <v>0.12246032630976615</v>
      </c>
      <c r="AB26">
        <f>AB25/AA24</f>
        <v>8.51452549698722E-2</v>
      </c>
    </row>
    <row r="27" spans="1:29" ht="32.25" customHeight="1" x14ac:dyDescent="0.25">
      <c r="A27" s="1"/>
      <c r="B27" s="26" t="s">
        <v>26</v>
      </c>
      <c r="C27" s="209">
        <v>0.25</v>
      </c>
      <c r="D27" s="20"/>
      <c r="E27" s="3" t="s">
        <v>187</v>
      </c>
      <c r="F27" s="208">
        <v>30000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J27" t="s">
        <v>3</v>
      </c>
    </row>
    <row r="28" spans="1:29" ht="15.75" x14ac:dyDescent="0.25">
      <c r="B28" s="26" t="s">
        <v>27</v>
      </c>
      <c r="C28" s="209">
        <v>0.76</v>
      </c>
      <c r="D28" s="20"/>
      <c r="E28" s="12" t="s">
        <v>138</v>
      </c>
      <c r="F28" s="156">
        <f>F27/((F18/F19)^0.5*4*15*F19)</f>
        <v>0.31622776601683794</v>
      </c>
      <c r="H28" s="176"/>
    </row>
    <row r="29" spans="1:29" ht="16.5" thickBot="1" x14ac:dyDescent="0.3">
      <c r="B29" s="36"/>
      <c r="E29" s="253"/>
      <c r="F29" s="254"/>
      <c r="H29" s="176"/>
    </row>
    <row r="30" spans="1:29" ht="15.75" x14ac:dyDescent="0.25">
      <c r="B30" s="247" t="s">
        <v>23</v>
      </c>
      <c r="C30" s="248"/>
      <c r="D30" s="248"/>
      <c r="E30" s="248"/>
      <c r="F30" s="249"/>
      <c r="H30" s="196"/>
      <c r="K30" s="42"/>
    </row>
    <row r="31" spans="1:29" ht="18" x14ac:dyDescent="0.35">
      <c r="A31" t="s">
        <v>3</v>
      </c>
      <c r="B31" s="30" t="s">
        <v>1221</v>
      </c>
      <c r="C31" s="28">
        <f>IF($F$23&lt;2080,S25,IF($F$23&gt;8759,S24,(($F$23-$Q$25)/($Q$24-$Q$25)*(S24-S25)+S25)))</f>
        <v>0</v>
      </c>
      <c r="D31" s="29"/>
      <c r="E31" s="27" t="s">
        <v>31</v>
      </c>
      <c r="F31" s="31">
        <f>(C31+C32)*F27</f>
        <v>212358.92683005633</v>
      </c>
      <c r="H31" s="176" t="s">
        <v>3</v>
      </c>
      <c r="K31" s="42"/>
    </row>
    <row r="32" spans="1:29" ht="18" x14ac:dyDescent="0.35">
      <c r="B32" s="32" t="s">
        <v>1222</v>
      </c>
      <c r="C32" s="28">
        <f>IF($F$23&lt;2080,T25*$W$24,IF($F$23=8760,T24*$W$24,(($F$23-$Q$25)/($Q$24-$Q$25)*(T24-T25)+T25)*$W$24))</f>
        <v>7.0786308943352108</v>
      </c>
      <c r="D32" s="20"/>
      <c r="E32" s="12"/>
      <c r="F32" s="33"/>
      <c r="H32" s="176"/>
      <c r="K32" s="42" t="s">
        <v>3</v>
      </c>
    </row>
    <row r="33" spans="2:13" ht="18" x14ac:dyDescent="0.35">
      <c r="B33" s="32" t="s">
        <v>1223</v>
      </c>
      <c r="C33" s="28">
        <f>IF($F$23&lt;2080,U25,IF($F$23=8760,U24,(($F$23-$Q$25)/($Q$24-$Q$25)*(U24-U25)+U25)))</f>
        <v>0.74730280401951166</v>
      </c>
      <c r="D33" s="20"/>
      <c r="E33" s="12" t="s">
        <v>32</v>
      </c>
      <c r="F33" s="48">
        <f>C33*F27</f>
        <v>22419.08412058535</v>
      </c>
      <c r="H33" s="176"/>
      <c r="M33" s="42" t="s">
        <v>3</v>
      </c>
    </row>
    <row r="34" spans="2:13" ht="15.75" x14ac:dyDescent="0.25">
      <c r="B34" s="34" t="s">
        <v>3</v>
      </c>
      <c r="C34" s="10" t="s">
        <v>3</v>
      </c>
      <c r="D34" s="20" t="s">
        <v>3</v>
      </c>
      <c r="E34" s="37"/>
      <c r="F34" s="38"/>
      <c r="H34" s="196"/>
      <c r="M34" s="42" t="s">
        <v>3</v>
      </c>
    </row>
    <row r="35" spans="2:13" ht="15.75" x14ac:dyDescent="0.25">
      <c r="B35" s="32" t="s">
        <v>34</v>
      </c>
      <c r="C35" s="14">
        <f>F31*C27</f>
        <v>53089.731707514082</v>
      </c>
      <c r="D35" s="20"/>
      <c r="E35" s="12" t="s">
        <v>36</v>
      </c>
      <c r="F35" s="35">
        <f>(F31*3.413+F33*100)/F18</f>
        <v>11.86675771731807</v>
      </c>
      <c r="H35" s="176"/>
      <c r="L35" t="s">
        <v>3</v>
      </c>
      <c r="M35" s="47" t="s">
        <v>3</v>
      </c>
    </row>
    <row r="36" spans="2:13" ht="16.5" thickBot="1" x14ac:dyDescent="0.3">
      <c r="B36" s="68" t="s">
        <v>35</v>
      </c>
      <c r="C36" s="69">
        <f>F33*C28</f>
        <v>17038.503931644867</v>
      </c>
      <c r="D36" s="20"/>
      <c r="E36" s="70" t="s">
        <v>37</v>
      </c>
      <c r="F36" s="71">
        <f>C35+C36</f>
        <v>70128.235639158956</v>
      </c>
      <c r="H36" s="176"/>
      <c r="L36" s="47" t="s">
        <v>3</v>
      </c>
      <c r="M36" s="47" t="s">
        <v>3</v>
      </c>
    </row>
    <row r="37" spans="2:13" x14ac:dyDescent="0.25">
      <c r="B37" s="217"/>
      <c r="C37" s="217"/>
      <c r="D37" s="217"/>
      <c r="E37" s="217"/>
      <c r="F37" s="217"/>
    </row>
    <row r="38" spans="2:13" ht="15.75" thickBot="1" x14ac:dyDescent="0.3">
      <c r="B38" s="221"/>
      <c r="C38" s="221"/>
      <c r="D38" s="221"/>
      <c r="E38" s="221"/>
      <c r="F38" s="221"/>
    </row>
    <row r="39" spans="2:13" x14ac:dyDescent="0.25">
      <c r="B39" s="216"/>
      <c r="C39" s="217"/>
      <c r="D39" s="217"/>
      <c r="E39" s="217"/>
      <c r="F39" s="218"/>
    </row>
    <row r="40" spans="2:13" x14ac:dyDescent="0.25">
      <c r="B40" s="219"/>
      <c r="C40" s="221"/>
      <c r="D40" s="221"/>
      <c r="E40" s="221"/>
      <c r="F40" s="220"/>
    </row>
    <row r="41" spans="2:13" x14ac:dyDescent="0.25">
      <c r="B41" s="219"/>
      <c r="C41" s="221"/>
      <c r="D41" s="221"/>
      <c r="E41" s="221"/>
      <c r="F41" s="220"/>
    </row>
    <row r="42" spans="2:13" x14ac:dyDescent="0.25">
      <c r="B42" s="219"/>
      <c r="C42" s="221"/>
      <c r="D42" s="221"/>
      <c r="E42" s="221"/>
      <c r="F42" s="220"/>
    </row>
    <row r="43" spans="2:13" x14ac:dyDescent="0.25">
      <c r="B43" s="219"/>
      <c r="C43" s="221"/>
      <c r="D43" s="221"/>
      <c r="E43" s="221"/>
      <c r="F43" s="220"/>
    </row>
    <row r="44" spans="2:13" x14ac:dyDescent="0.25">
      <c r="B44" s="219"/>
      <c r="C44" s="221"/>
      <c r="D44" s="221"/>
      <c r="E44" s="221"/>
      <c r="F44" s="220"/>
    </row>
    <row r="45" spans="2:13" x14ac:dyDescent="0.25">
      <c r="B45" s="219"/>
      <c r="C45" s="221"/>
      <c r="D45" s="221"/>
      <c r="E45" s="221"/>
      <c r="F45" s="220"/>
    </row>
    <row r="46" spans="2:13" x14ac:dyDescent="0.25">
      <c r="B46" s="219"/>
      <c r="C46" s="221"/>
      <c r="D46" s="221"/>
      <c r="E46" s="221"/>
      <c r="F46" s="220"/>
    </row>
    <row r="47" spans="2:13" x14ac:dyDescent="0.25">
      <c r="B47" s="219"/>
      <c r="C47" s="221"/>
      <c r="D47" s="221"/>
      <c r="E47" s="221"/>
      <c r="F47" s="220"/>
    </row>
    <row r="48" spans="2:13" x14ac:dyDescent="0.25">
      <c r="B48" s="219"/>
      <c r="C48" s="221"/>
      <c r="D48" s="221"/>
      <c r="E48" s="221"/>
      <c r="F48" s="220"/>
    </row>
    <row r="49" spans="2:8" x14ac:dyDescent="0.25">
      <c r="B49" s="219"/>
      <c r="C49" s="221"/>
      <c r="D49" s="221"/>
      <c r="E49" s="221"/>
      <c r="F49" s="220"/>
    </row>
    <row r="50" spans="2:8" x14ac:dyDescent="0.25">
      <c r="B50" s="219"/>
      <c r="C50" s="221"/>
      <c r="D50" s="221"/>
      <c r="E50" s="221"/>
      <c r="F50" s="220"/>
    </row>
    <row r="51" spans="2:8" x14ac:dyDescent="0.25">
      <c r="B51" s="219"/>
      <c r="C51" s="221"/>
      <c r="D51" s="221"/>
      <c r="E51" s="221"/>
      <c r="F51" s="220"/>
    </row>
    <row r="52" spans="2:8" x14ac:dyDescent="0.25">
      <c r="B52" s="219"/>
      <c r="C52" s="221"/>
      <c r="D52" s="221"/>
      <c r="E52" s="221"/>
      <c r="F52" s="220"/>
    </row>
    <row r="53" spans="2:8" ht="31.5" customHeight="1" x14ac:dyDescent="0.25">
      <c r="B53" s="219"/>
      <c r="C53" s="221"/>
      <c r="D53" s="221"/>
      <c r="E53" s="221"/>
      <c r="F53" s="220"/>
    </row>
    <row r="54" spans="2:8" ht="19.5" thickBot="1" x14ac:dyDescent="0.3">
      <c r="B54" s="239" t="s">
        <v>59</v>
      </c>
      <c r="C54" s="240"/>
      <c r="D54" s="49"/>
      <c r="E54" s="49"/>
      <c r="F54" s="50">
        <f>Z26</f>
        <v>0.12246032630976615</v>
      </c>
      <c r="H54" t="s">
        <v>3</v>
      </c>
    </row>
    <row r="55" spans="2:8" x14ac:dyDescent="0.25">
      <c r="B55" s="216"/>
      <c r="C55" s="217"/>
      <c r="D55" s="217"/>
      <c r="E55" s="217"/>
      <c r="F55" s="218"/>
    </row>
    <row r="56" spans="2:8" x14ac:dyDescent="0.25">
      <c r="B56" s="219"/>
      <c r="C56" s="221"/>
      <c r="D56" s="221"/>
      <c r="E56" s="221"/>
      <c r="F56" s="220"/>
    </row>
    <row r="57" spans="2:8" x14ac:dyDescent="0.25">
      <c r="B57" s="219"/>
      <c r="C57" s="221"/>
      <c r="D57" s="221"/>
      <c r="E57" s="221"/>
      <c r="F57" s="220"/>
    </row>
    <row r="58" spans="2:8" x14ac:dyDescent="0.25">
      <c r="B58" s="219"/>
      <c r="C58" s="221"/>
      <c r="D58" s="221"/>
      <c r="E58" s="221"/>
      <c r="F58" s="220"/>
    </row>
    <row r="59" spans="2:8" x14ac:dyDescent="0.25">
      <c r="B59" s="219"/>
      <c r="C59" s="221"/>
      <c r="D59" s="221"/>
      <c r="E59" s="221"/>
      <c r="F59" s="220"/>
    </row>
    <row r="60" spans="2:8" x14ac:dyDescent="0.25">
      <c r="B60" s="219"/>
      <c r="C60" s="221"/>
      <c r="D60" s="221"/>
      <c r="E60" s="221"/>
      <c r="F60" s="220"/>
    </row>
    <row r="61" spans="2:8" x14ac:dyDescent="0.25">
      <c r="B61" s="219"/>
      <c r="C61" s="221"/>
      <c r="D61" s="221"/>
      <c r="E61" s="221"/>
      <c r="F61" s="220"/>
    </row>
    <row r="62" spans="2:8" x14ac:dyDescent="0.25">
      <c r="B62" s="219"/>
      <c r="C62" s="221"/>
      <c r="D62" s="221"/>
      <c r="E62" s="221"/>
      <c r="F62" s="220"/>
    </row>
    <row r="63" spans="2:8" x14ac:dyDescent="0.25">
      <c r="B63" s="219"/>
      <c r="C63" s="221"/>
      <c r="D63" s="221"/>
      <c r="E63" s="221"/>
      <c r="F63" s="220"/>
    </row>
    <row r="64" spans="2:8" x14ac:dyDescent="0.25">
      <c r="B64" s="219"/>
      <c r="C64" s="221"/>
      <c r="D64" s="221"/>
      <c r="E64" s="221"/>
      <c r="F64" s="220"/>
    </row>
    <row r="65" spans="2:8" x14ac:dyDescent="0.25">
      <c r="B65" s="219"/>
      <c r="C65" s="221"/>
      <c r="D65" s="221"/>
      <c r="E65" s="221"/>
      <c r="F65" s="220"/>
    </row>
    <row r="66" spans="2:8" x14ac:dyDescent="0.25">
      <c r="B66" s="219"/>
      <c r="C66" s="221"/>
      <c r="D66" s="221"/>
      <c r="E66" s="221"/>
      <c r="F66" s="220"/>
    </row>
    <row r="67" spans="2:8" x14ac:dyDescent="0.25">
      <c r="B67" s="219"/>
      <c r="C67" s="221"/>
      <c r="D67" s="221"/>
      <c r="E67" s="221"/>
      <c r="F67" s="220"/>
    </row>
    <row r="68" spans="2:8" x14ac:dyDescent="0.25">
      <c r="B68" s="219"/>
      <c r="C68" s="221"/>
      <c r="D68" s="221"/>
      <c r="E68" s="221"/>
      <c r="F68" s="220"/>
    </row>
    <row r="69" spans="2:8" x14ac:dyDescent="0.25">
      <c r="B69" s="219"/>
      <c r="C69" s="221"/>
      <c r="D69" s="221"/>
      <c r="E69" s="221"/>
      <c r="F69" s="220"/>
    </row>
    <row r="70" spans="2:8" ht="6" customHeight="1" x14ac:dyDescent="0.25">
      <c r="B70" s="219"/>
      <c r="C70" s="221"/>
      <c r="D70" s="221"/>
      <c r="E70" s="221"/>
      <c r="F70" s="220"/>
    </row>
    <row r="71" spans="2:8" ht="29.25" customHeight="1" x14ac:dyDescent="0.25">
      <c r="B71" s="219"/>
      <c r="C71" s="221"/>
      <c r="D71" s="221"/>
      <c r="E71" s="221"/>
      <c r="F71" s="220"/>
    </row>
    <row r="72" spans="2:8" ht="19.5" thickBot="1" x14ac:dyDescent="0.3">
      <c r="B72" s="239" t="s">
        <v>68</v>
      </c>
      <c r="C72" s="240"/>
      <c r="D72" s="49"/>
      <c r="E72" s="49"/>
      <c r="F72" s="50">
        <f>AB26</f>
        <v>8.51452549698722E-2</v>
      </c>
      <c r="H72" t="s">
        <v>3</v>
      </c>
    </row>
  </sheetData>
  <mergeCells count="21">
    <mergeCell ref="B3:F3"/>
    <mergeCell ref="C4:F4"/>
    <mergeCell ref="B72:C72"/>
    <mergeCell ref="B10:C10"/>
    <mergeCell ref="B11:D11"/>
    <mergeCell ref="B54:C54"/>
    <mergeCell ref="B26:C26"/>
    <mergeCell ref="B30:F30"/>
    <mergeCell ref="B16:C16"/>
    <mergeCell ref="E16:F16"/>
    <mergeCell ref="E29:F29"/>
    <mergeCell ref="E25:F25"/>
    <mergeCell ref="C5:D5"/>
    <mergeCell ref="S22:U22"/>
    <mergeCell ref="Y23:Z23"/>
    <mergeCell ref="AA23:AB23"/>
    <mergeCell ref="C6:D6"/>
    <mergeCell ref="B5:B6"/>
    <mergeCell ref="B7:B8"/>
    <mergeCell ref="C7:D7"/>
    <mergeCell ref="C8:D8"/>
  </mergeCells>
  <conditionalFormatting sqref="H18">
    <cfRule type="containsText" dxfId="2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1">
    <cfRule type="containsText" dxfId="21" priority="3" operator="containsText" text="WARNING: Dominant Heating Fuel should be set to Electric.">
      <formula>NOT(ISERROR(SEARCH("WARNING: Dominant Heating Fuel should be set to Electric.",H21)))</formula>
    </cfRule>
  </conditionalFormatting>
  <conditionalFormatting sqref="H23">
    <cfRule type="containsText" dxfId="20" priority="2" operator="containsText" text="WARNING: Minimum or maximum input limits exceeded.  Savings based on 2080 hours or 8760 hours respectively.">
      <formula>NOT(ISERROR(SEARCH("WARNING: Minimum or maximum input limits exceeded.  Savings based on 2080 hours or 8760 hours respectively.",H23)))</formula>
    </cfRule>
  </conditionalFormatting>
  <conditionalFormatting sqref="H26">
    <cfRule type="containsText" dxfId="19" priority="5"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8" priority="7"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556A6FB1-DD2F-4267-9BCE-FD33119D44ED}">
      <formula1>0</formula1>
      <formula2>10000</formula2>
    </dataValidation>
    <dataValidation type="whole" errorStyle="warning" allowBlank="1" showInputMessage="1" showErrorMessage="1" error="Minumum valid entry is 1980 hours.  Maximum valid entry is 8760 hours." sqref="F23" xr:uid="{00000000-0002-0000-0200-000001000000}">
      <formula1>1986</formula1>
      <formula2>8760</formula2>
    </dataValidation>
    <dataValidation type="whole" allowBlank="1" showInputMessage="1" showErrorMessage="1" sqref="F19" xr:uid="{00000000-0002-0000-0200-000002000000}">
      <formula1>1</formula1>
      <formula2>100</formula2>
    </dataValidation>
    <dataValidation type="list" allowBlank="1" showInputMessage="1" showErrorMessage="1" sqref="C19" xr:uid="{00000000-0002-0000-02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200-000003000000}">
          <x14:formula1>
            <xm:f>Lists!$BB$2:$BB$3</xm:f>
          </x14:formula1>
          <xm:sqref>F26</xm:sqref>
        </x14:dataValidation>
        <x14:dataValidation type="list" allowBlank="1" showInputMessage="1" showErrorMessage="1" xr:uid="{00000000-0002-0000-0200-000004000000}">
          <x14:formula1>
            <xm:f>Lists!$B$2:$B$52</xm:f>
          </x14:formula1>
          <xm:sqref>C18</xm:sqref>
        </x14:dataValidation>
        <x14:dataValidation type="list" allowBlank="1" showInputMessage="1" showErrorMessage="1" xr:uid="{00000000-0002-0000-0200-000005000000}">
          <x14:formula1>
            <xm:f>IF(F17="Office",Lists!$BD$2:$BD$5,Lists!$BD$8:$BD$10)</xm:f>
          </x14:formula1>
          <xm:sqref>F20</xm:sqref>
        </x14:dataValidation>
        <x14:dataValidation type="list" allowBlank="1" showInputMessage="1" showErrorMessage="1" xr:uid="{00000000-0002-0000-0200-000006000000}">
          <x14:formula1>
            <xm:f>Lists!$BC$2:$BC$4</xm:f>
          </x14:formula1>
          <xm:sqref>F21</xm:sqref>
        </x14:dataValidation>
        <x14:dataValidation type="list" allowBlank="1" showInputMessage="1" showErrorMessage="1" xr:uid="{6DB01642-3E8A-49C6-B6A0-8BEE60526E2B}">
          <x14:formula1>
            <xm:f>Lists!$A$2:$A$3</xm:f>
          </x14:formula1>
          <xm:sqref>F24</xm:sqref>
        </x14:dataValidation>
        <x14:dataValidation type="list" allowBlank="1" showInputMessage="1" showErrorMessage="1" xr:uid="{2D772D2F-099B-4E0C-9BA6-2AE3B8E8A681}">
          <x14:formula1>
            <xm:f>Lists!$BH$2:$BH$3</xm:f>
          </x14:formula1>
          <xm:sqref>F22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E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2" width="11.28515625" hidden="1" customWidth="1"/>
    <col min="13" max="14" width="12.42578125" hidden="1" customWidth="1"/>
    <col min="15" max="15" width="14.42578125" hidden="1" customWidth="1"/>
    <col min="16" max="17" width="19" hidden="1" customWidth="1"/>
    <col min="18" max="19" width="16.140625" hidden="1" customWidth="1"/>
    <col min="20" max="20" width="42.5703125" hidden="1" customWidth="1"/>
    <col min="21" max="25" width="9.140625" hidden="1" customWidth="1"/>
    <col min="26" max="26" width="3" hidden="1" customWidth="1"/>
    <col min="27" max="49" width="0" hidden="1" customWidth="1"/>
  </cols>
  <sheetData>
    <row r="1" spans="1:20" ht="30.75" customHeight="1" x14ac:dyDescent="0.25">
      <c r="A1" s="1"/>
      <c r="B1" s="43" t="s">
        <v>152</v>
      </c>
      <c r="C1" s="44"/>
      <c r="D1" s="44"/>
      <c r="E1" s="95"/>
      <c r="F1" s="112" t="str">
        <f>F17</f>
        <v>Small Hotel</v>
      </c>
      <c r="H1" s="116" t="s">
        <v>200</v>
      </c>
    </row>
    <row r="2" spans="1:20" ht="31.35" customHeight="1" x14ac:dyDescent="0.25">
      <c r="A2" s="1"/>
      <c r="B2" s="118" t="s">
        <v>1250</v>
      </c>
      <c r="C2" s="102"/>
      <c r="D2" s="102"/>
      <c r="E2" s="102"/>
      <c r="F2" s="119">
        <v>45670</v>
      </c>
      <c r="H2" s="193" t="s">
        <v>1220</v>
      </c>
    </row>
    <row r="3" spans="1:20" x14ac:dyDescent="0.25">
      <c r="A3" s="1"/>
      <c r="B3" s="235" t="s">
        <v>206</v>
      </c>
      <c r="C3" s="236"/>
      <c r="D3" s="236"/>
      <c r="E3" s="236"/>
      <c r="F3" s="237"/>
      <c r="H3" s="2"/>
    </row>
    <row r="4" spans="1:20" ht="15.75" x14ac:dyDescent="0.25">
      <c r="A4" s="1"/>
      <c r="B4" s="120" t="s">
        <v>207</v>
      </c>
      <c r="C4" s="238" t="s">
        <v>1235</v>
      </c>
      <c r="D4" s="238"/>
      <c r="E4" s="238"/>
      <c r="F4" s="238"/>
      <c r="H4" s="176"/>
    </row>
    <row r="5" spans="1:20" ht="15.75" x14ac:dyDescent="0.25">
      <c r="A5" s="1"/>
      <c r="B5" s="229" t="s">
        <v>208</v>
      </c>
      <c r="C5" s="233" t="s">
        <v>209</v>
      </c>
      <c r="D5" s="234"/>
      <c r="E5" s="121" t="s">
        <v>210</v>
      </c>
      <c r="F5" s="121" t="s">
        <v>211</v>
      </c>
      <c r="H5" s="176"/>
    </row>
    <row r="6" spans="1:20" ht="15.75" x14ac:dyDescent="0.25">
      <c r="A6" s="1"/>
      <c r="B6" s="230"/>
      <c r="C6" s="227" t="s">
        <v>3</v>
      </c>
      <c r="D6" s="228"/>
      <c r="E6" s="201" t="s">
        <v>1236</v>
      </c>
      <c r="F6" s="201"/>
      <c r="H6" s="176"/>
    </row>
    <row r="7" spans="1:20" ht="15.75" x14ac:dyDescent="0.25">
      <c r="A7" s="1"/>
      <c r="B7" s="231" t="s">
        <v>221</v>
      </c>
      <c r="C7" s="233" t="s">
        <v>212</v>
      </c>
      <c r="D7" s="234"/>
      <c r="E7" s="121" t="s">
        <v>213</v>
      </c>
      <c r="F7" s="121" t="s">
        <v>214</v>
      </c>
      <c r="H7" s="176"/>
    </row>
    <row r="8" spans="1:20" ht="15.75" x14ac:dyDescent="0.25">
      <c r="A8" s="1"/>
      <c r="B8" s="232"/>
      <c r="C8" s="227" t="s">
        <v>3</v>
      </c>
      <c r="D8" s="228"/>
      <c r="E8" s="201"/>
      <c r="F8" s="201"/>
      <c r="H8" s="176"/>
    </row>
    <row r="9" spans="1:20" ht="9.75" customHeight="1" x14ac:dyDescent="0.25">
      <c r="A9" s="1"/>
      <c r="B9" s="45"/>
      <c r="C9" s="21"/>
      <c r="D9" s="21"/>
      <c r="E9" s="21"/>
      <c r="F9" s="46"/>
      <c r="H9" s="176"/>
    </row>
    <row r="10" spans="1:20" ht="23.45" customHeight="1" x14ac:dyDescent="0.25">
      <c r="A10" s="1"/>
      <c r="B10" s="241" t="s">
        <v>46</v>
      </c>
      <c r="C10" s="242"/>
      <c r="D10" s="102"/>
      <c r="E10" s="103"/>
      <c r="F10" s="97">
        <f>F31</f>
        <v>206973.15227735549</v>
      </c>
      <c r="H10" s="176"/>
    </row>
    <row r="11" spans="1:20" ht="22.15" customHeight="1" x14ac:dyDescent="0.25">
      <c r="A11" s="1"/>
      <c r="B11" s="243" t="s">
        <v>47</v>
      </c>
      <c r="C11" s="244"/>
      <c r="D11" s="244"/>
      <c r="E11" s="22"/>
      <c r="F11" s="97">
        <f>F33</f>
        <v>0</v>
      </c>
      <c r="H11" s="176"/>
    </row>
    <row r="12" spans="1:20" ht="22.15" customHeight="1" x14ac:dyDescent="0.25">
      <c r="A12" s="1"/>
      <c r="B12" s="104" t="s">
        <v>153</v>
      </c>
      <c r="C12" s="105"/>
      <c r="D12" s="105"/>
      <c r="E12" s="103"/>
      <c r="F12" s="101">
        <f>F36</f>
        <v>78649.797865395085</v>
      </c>
      <c r="H12" s="176"/>
    </row>
    <row r="13" spans="1:20" ht="22.15" customHeight="1" x14ac:dyDescent="0.25">
      <c r="A13" s="1"/>
      <c r="B13" s="100" t="s">
        <v>201</v>
      </c>
      <c r="C13" s="96"/>
      <c r="D13" s="96"/>
      <c r="E13" s="51"/>
      <c r="F13" s="98">
        <f>IF($F$23*100&lt;37,X25,IF($F$23*100=100,X24,(($F$23*100-$S$25)/($S$24-$S$25)*(X24-X25)+X25)))</f>
        <v>56.6865005513</v>
      </c>
      <c r="H13" s="176"/>
    </row>
    <row r="14" spans="1:20" ht="22.15" customHeight="1" x14ac:dyDescent="0.25">
      <c r="A14" s="1"/>
      <c r="B14" s="104" t="s">
        <v>203</v>
      </c>
      <c r="C14" s="105"/>
      <c r="D14" s="106"/>
      <c r="E14" s="99">
        <f>F54</f>
        <v>7.7884434769806707E-2</v>
      </c>
      <c r="F14" s="98">
        <f>F35</f>
        <v>4.4149960545163394</v>
      </c>
      <c r="H14" s="176"/>
    </row>
    <row r="15" spans="1:20" ht="9" customHeight="1" thickBot="1" x14ac:dyDescent="0.3">
      <c r="A15" s="1"/>
      <c r="B15" s="36"/>
      <c r="F15" s="25"/>
      <c r="H15" s="176"/>
    </row>
    <row r="16" spans="1:20" ht="15.75" x14ac:dyDescent="0.25">
      <c r="A16" s="1"/>
      <c r="B16" s="250" t="s">
        <v>48</v>
      </c>
      <c r="C16" s="251"/>
      <c r="D16" s="39"/>
      <c r="E16" s="251" t="s">
        <v>22</v>
      </c>
      <c r="F16" s="252"/>
      <c r="H16" s="196"/>
      <c r="T16">
        <f>R16*0.3</f>
        <v>0</v>
      </c>
    </row>
    <row r="17" spans="1:31" ht="15.75" x14ac:dyDescent="0.25">
      <c r="A17" s="1"/>
      <c r="B17" s="72"/>
      <c r="C17" s="73"/>
      <c r="D17" s="20"/>
      <c r="E17" s="23" t="s">
        <v>13</v>
      </c>
      <c r="F17" s="84" t="str">
        <f>IF(OR($F$20="PTAC",$F$20="PTHP"),"Small Hotel","Large Hotel")</f>
        <v>Small Hotel</v>
      </c>
      <c r="H17" s="176"/>
      <c r="M17" s="1"/>
    </row>
    <row r="18" spans="1:31" ht="28.5" customHeight="1" x14ac:dyDescent="0.25">
      <c r="A18" s="1"/>
      <c r="B18" s="24" t="s">
        <v>74</v>
      </c>
      <c r="C18" s="202" t="s">
        <v>233</v>
      </c>
      <c r="D18" s="20"/>
      <c r="E18" s="23" t="s">
        <v>51</v>
      </c>
      <c r="F18" s="205">
        <v>160000</v>
      </c>
      <c r="H18" s="178" t="str">
        <f>IF(OR($F$18&lt;15000,$F$18&gt;250000),"WARNING: Minimum or maximum input limits for accurate results exceeded. Interpret results carefully.","Minimum small hotel size limit is approximately 15,000 sq.ft.  Maximum size limit is approximately 250,000 sq.ft.")</f>
        <v>Minimum small hotel size limit is approximately 15,000 sq.ft.  Maximum size limit is approximately 250,000 sq.ft.</v>
      </c>
    </row>
    <row r="19" spans="1:31" x14ac:dyDescent="0.25">
      <c r="A19" s="1"/>
      <c r="B19" s="24" t="s">
        <v>11</v>
      </c>
      <c r="C19" s="202" t="s">
        <v>476</v>
      </c>
      <c r="D19" s="20"/>
      <c r="E19" s="3" t="s">
        <v>108</v>
      </c>
      <c r="F19" s="213">
        <v>2</v>
      </c>
      <c r="H19" s="194"/>
      <c r="M19" s="8"/>
      <c r="N19" s="8"/>
    </row>
    <row r="20" spans="1:31" ht="28.5" x14ac:dyDescent="0.25">
      <c r="A20" s="1"/>
      <c r="B20" s="24" t="s">
        <v>24</v>
      </c>
      <c r="C20" s="202" t="s">
        <v>1239</v>
      </c>
      <c r="D20" s="20"/>
      <c r="E20" s="3" t="s">
        <v>15</v>
      </c>
      <c r="F20" s="213" t="s">
        <v>109</v>
      </c>
      <c r="H20" s="178" t="s">
        <v>1228</v>
      </c>
    </row>
    <row r="21" spans="1:31" x14ac:dyDescent="0.25">
      <c r="A21" s="1"/>
      <c r="B21" s="24" t="s">
        <v>25</v>
      </c>
      <c r="C21" s="202" t="s">
        <v>127</v>
      </c>
      <c r="D21" s="20"/>
      <c r="E21" s="3" t="s">
        <v>33</v>
      </c>
      <c r="F21" s="205" t="s">
        <v>7</v>
      </c>
      <c r="H21" s="178" t="str">
        <f>IF(F20="Fan Coil Unit","User can select either Electric or Natural Gas as fuel type. Select None if the building does not have installed heating.","For PTAC, PTHP, or Other system types, fuel type defaults to electric for savings estimates.")</f>
        <v>For PTAC, PTHP, or Other system types, fuel type defaults to electric for savings estimates.</v>
      </c>
    </row>
    <row r="22" spans="1:31" x14ac:dyDescent="0.25">
      <c r="A22" s="1"/>
      <c r="B22" s="24"/>
      <c r="C22" s="179"/>
      <c r="D22" s="20"/>
      <c r="E22" s="3" t="s">
        <v>1178</v>
      </c>
      <c r="F22" s="205" t="s">
        <v>1180</v>
      </c>
      <c r="H22" s="178" t="str">
        <f>IF($F$22="No","Savings does not include reduction in mechanical cooling.","Savings includes reduction in mechanical cooling.")</f>
        <v>Savings includes reduction in mechanical cooling.</v>
      </c>
      <c r="J22" t="s">
        <v>3</v>
      </c>
      <c r="L22" t="s">
        <v>156</v>
      </c>
      <c r="U22" s="226" t="s">
        <v>157</v>
      </c>
      <c r="V22" s="226"/>
      <c r="W22" s="226"/>
      <c r="X22" s="109"/>
      <c r="Y22" s="5" t="s">
        <v>1190</v>
      </c>
      <c r="AA22" t="s">
        <v>161</v>
      </c>
    </row>
    <row r="23" spans="1:31" ht="28.5" x14ac:dyDescent="0.25">
      <c r="B23" s="32" t="s">
        <v>45</v>
      </c>
      <c r="C23" s="94">
        <f>VLOOKUP($C$19,'Weather Information'!$B$3:$D$877,2,FALSE)</f>
        <v>0</v>
      </c>
      <c r="D23" s="20"/>
      <c r="E23" s="3" t="s">
        <v>144</v>
      </c>
      <c r="F23" s="214">
        <v>1</v>
      </c>
      <c r="H23" s="178" t="str">
        <f>IF(OR(F23&gt;1,F23&lt;0.01),"Occupancy rate entry should be greater than zero and less than 100%.","Typical occupancy rate is between 50% to 100%.  For savings estimates, occupancy rates between 33% and 100% are used.")</f>
        <v>Typical occupancy rate is between 50% to 100%.  For savings estimates, occupancy rates between 33% and 100% are used.</v>
      </c>
      <c r="L23" s="2" t="s">
        <v>1030</v>
      </c>
      <c r="M23" s="2" t="s">
        <v>190</v>
      </c>
      <c r="N23" s="2" t="s">
        <v>112</v>
      </c>
      <c r="O23" s="5" t="s">
        <v>13</v>
      </c>
      <c r="P23" s="5" t="s">
        <v>15</v>
      </c>
      <c r="Q23" s="5" t="s">
        <v>6</v>
      </c>
      <c r="R23" s="5" t="s">
        <v>1232</v>
      </c>
      <c r="S23" s="5" t="s">
        <v>143</v>
      </c>
      <c r="T23" s="5" t="s">
        <v>30</v>
      </c>
      <c r="U23" s="107" t="s">
        <v>159</v>
      </c>
      <c r="V23" s="108" t="s">
        <v>158</v>
      </c>
      <c r="W23" s="5" t="s">
        <v>160</v>
      </c>
      <c r="X23" s="5" t="s">
        <v>9</v>
      </c>
      <c r="Y23" s="5" t="s">
        <v>1040</v>
      </c>
      <c r="AA23" s="226" t="s">
        <v>9</v>
      </c>
      <c r="AB23" s="226"/>
      <c r="AC23" s="226" t="s">
        <v>162</v>
      </c>
      <c r="AD23" s="226"/>
    </row>
    <row r="24" spans="1:31" x14ac:dyDescent="0.25">
      <c r="A24" t="s">
        <v>3</v>
      </c>
      <c r="B24" s="32" t="s">
        <v>49</v>
      </c>
      <c r="C24" s="94">
        <f>VLOOKUP($C$19,'Weather Information'!$B$3:$D$877,3,FALSE)</f>
        <v>4561</v>
      </c>
      <c r="D24" s="20"/>
      <c r="E24" s="3" t="s">
        <v>1034</v>
      </c>
      <c r="F24" s="214" t="s">
        <v>1</v>
      </c>
      <c r="H24" s="178" t="str">
        <f>IF($F$24="Single pane","U-assembly = 1.03 Btu/hr-SF-F; SHGC = 0.73","U-assembly = 0.57 Btu/hr-SF-F; SHGC = 0.63")</f>
        <v>U-assembly = 1.03 Btu/hr-SF-F; SHGC = 0.73</v>
      </c>
      <c r="K24" t="s">
        <v>154</v>
      </c>
      <c r="L24" s="64" t="str">
        <f>IF(F24="Single pane","Single","Double")</f>
        <v>Single</v>
      </c>
      <c r="M24" s="64" t="str">
        <f>F26</f>
        <v>Double</v>
      </c>
      <c r="N24" s="2" t="str">
        <f>IF(OR(F20="PTAC",F20="PTHP"),"Small","Large")</f>
        <v>Small</v>
      </c>
      <c r="O24" s="2" t="s">
        <v>110</v>
      </c>
      <c r="P24" s="5" t="str">
        <f>VLOOKUP(Hotel!F20,Lists!$BD$18:$BE$25,2,FALSE)</f>
        <v>PTHP</v>
      </c>
      <c r="Q24" s="5" t="str">
        <f>IF(OR(F20="PTAC",F20="PTHP",F21="None"),"Electric",F21)</f>
        <v>Electric</v>
      </c>
      <c r="R24" s="2" t="str">
        <f>IF(P24="PTHP",IF(C23&gt;7999,"High","Low"),"")</f>
        <v>Low</v>
      </c>
      <c r="S24" s="90">
        <v>100</v>
      </c>
      <c r="T24" s="5" t="str">
        <f>CONCATENATE(L24,M24,N24,O24,P24,Q24,R24,S24)</f>
        <v>SingleDoubleSmallHotelPTHPElectricLow100</v>
      </c>
      <c r="U24" s="2">
        <f>IF(F21="None",0,VLOOKUP(T24,'Savings Lookup'!$I$41:$L$70,2,FALSE))</f>
        <v>0.19401338022369999</v>
      </c>
      <c r="V24" s="2">
        <f>VLOOKUP(T24,'Savings Lookup'!$I$41:$L$70,3,FALSE)*$Y$24</f>
        <v>13.6041967716</v>
      </c>
      <c r="W24" s="2">
        <f>IF(F21="None",0,VLOOKUP(T24,'Savings Lookup'!$I$41:$L$70,4,FALSE))</f>
        <v>0</v>
      </c>
      <c r="X24" s="2">
        <f>VLOOKUP(T24,'Savings Lookup'!$I$41:$P$70,8,FALSE)</f>
        <v>56.6865005513</v>
      </c>
      <c r="Y24" s="5">
        <f>IF(F22="No",VLOOKUP(T25,'Savings Lookup'!$I$5:$AG$109,25,FALSE),1)</f>
        <v>1</v>
      </c>
      <c r="Z24" t="s">
        <v>3</v>
      </c>
      <c r="AA24" s="56">
        <f>F13</f>
        <v>56.6865005513</v>
      </c>
      <c r="AB24" s="2">
        <v>0</v>
      </c>
      <c r="AC24" s="85">
        <f>VLOOKUP(T24,'Savings Lookup'!$I$41:$AB$70,17,FALSE)</f>
        <v>378.72971685466666</v>
      </c>
      <c r="AD24" s="2">
        <v>0</v>
      </c>
      <c r="AE24" s="4" t="s">
        <v>57</v>
      </c>
    </row>
    <row r="25" spans="1:31" x14ac:dyDescent="0.25">
      <c r="B25" s="40"/>
      <c r="C25" s="41"/>
      <c r="D25" s="20" t="s">
        <v>3</v>
      </c>
      <c r="E25" s="235" t="s">
        <v>188</v>
      </c>
      <c r="F25" s="237"/>
      <c r="H25" s="195"/>
      <c r="K25" t="s">
        <v>155</v>
      </c>
      <c r="L25" s="64" t="str">
        <f>IF(F24="Single pane","Single","Double")</f>
        <v>Single</v>
      </c>
      <c r="M25" s="64" t="str">
        <f>F26</f>
        <v>Double</v>
      </c>
      <c r="N25" s="2" t="str">
        <f>IF(OR(F20="PTAC",F20="PTHP"),"Small","Large")</f>
        <v>Small</v>
      </c>
      <c r="O25" s="2" t="s">
        <v>110</v>
      </c>
      <c r="P25" s="5" t="str">
        <f>VLOOKUP(Hotel!F20,Lists!$BD$18:$BE$25,2,FALSE)</f>
        <v>PTHP</v>
      </c>
      <c r="Q25" s="5" t="str">
        <f>IF(OR(F20="PTAC",F20="PTHP",F21="None"),"Electric",F21)</f>
        <v>Electric</v>
      </c>
      <c r="R25" s="2" t="str">
        <f>IF(P25="PTHP",IF(C23&gt;7999,"High","Low"),"")</f>
        <v>Low</v>
      </c>
      <c r="S25" s="90">
        <v>33</v>
      </c>
      <c r="T25" s="5" t="str">
        <f>CONCATENATE(L25,M25,N25,O25,P25,Q25,R25,S25)</f>
        <v>SingleDoubleSmallHotelPTHPElectricLow33</v>
      </c>
      <c r="U25" s="2">
        <f>IF(F21="None",0,VLOOKUP(T25,'Savings Lookup'!$I$41:$L$70,2,FALSE))</f>
        <v>0.1506637514617</v>
      </c>
      <c r="V25" s="2">
        <f>VLOOKUP(T25,'Savings Lookup'!$I$41:$L$70,3,FALSE)*$Y$24</f>
        <v>11.224359009900001</v>
      </c>
      <c r="W25" s="2">
        <f>IF(F21="None",0,VLOOKUP(T25,'Savings Lookup'!$I$41:$L$70,4,FALSE))</f>
        <v>0</v>
      </c>
      <c r="X25" s="2">
        <f>VLOOKUP(T25,'Savings Lookup'!$I$41:$P$70,8,FALSE)</f>
        <v>50.711216823199997</v>
      </c>
      <c r="Y25" s="5"/>
      <c r="Z25" t="s">
        <v>3</v>
      </c>
      <c r="AA25" s="56">
        <f>AA24-F35</f>
        <v>52.271504496783663</v>
      </c>
      <c r="AB25" s="56">
        <f>AA24-AA25</f>
        <v>4.4149960545163367</v>
      </c>
      <c r="AC25" s="85">
        <f>VLOOKUP(T25,'Savings Lookup'!$I$41:$AB$70,20,FALSE)</f>
        <v>310.35667483716668</v>
      </c>
      <c r="AD25" s="56">
        <f>AC24-AC25</f>
        <v>68.373042017499984</v>
      </c>
      <c r="AE25" s="4" t="s">
        <v>189</v>
      </c>
    </row>
    <row r="26" spans="1:31" ht="22.15" customHeight="1" x14ac:dyDescent="0.25">
      <c r="A26" s="1"/>
      <c r="B26" s="245" t="s">
        <v>50</v>
      </c>
      <c r="C26" s="246"/>
      <c r="D26" s="20"/>
      <c r="E26" s="3" t="s">
        <v>186</v>
      </c>
      <c r="F26" s="207" t="s">
        <v>12</v>
      </c>
      <c r="H26" s="178" t="str">
        <f>IF(AND(F24="Double pane",F26="Double"),"WARNING: Double pane primary and double pane secondary windows are an invalid combination.","Do not select double pane secondary windows added to double pane primary windows.")</f>
        <v>Do not select double pane secondary windows added to double pane primary windows.</v>
      </c>
      <c r="M26" t="s">
        <v>3</v>
      </c>
      <c r="U26" t="s">
        <v>3</v>
      </c>
      <c r="Z26" t="s">
        <v>3</v>
      </c>
      <c r="AA26" t="s">
        <v>163</v>
      </c>
      <c r="AB26">
        <f>AB25/AA24</f>
        <v>7.7884434769806707E-2</v>
      </c>
      <c r="AD26">
        <f>AD25/AC24</f>
        <v>0.18053255124877718</v>
      </c>
    </row>
    <row r="27" spans="1:31" ht="30" customHeight="1" x14ac:dyDescent="0.25">
      <c r="A27" s="1"/>
      <c r="B27" s="26" t="s">
        <v>26</v>
      </c>
      <c r="C27" s="209">
        <v>0.38</v>
      </c>
      <c r="D27" s="20"/>
      <c r="E27" s="3" t="s">
        <v>187</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31" ht="27.75" customHeight="1" x14ac:dyDescent="0.25">
      <c r="B28" s="26" t="s">
        <v>27</v>
      </c>
      <c r="C28" s="209">
        <v>0</v>
      </c>
      <c r="D28" s="20"/>
      <c r="E28" s="12" t="s">
        <v>138</v>
      </c>
      <c r="F28" s="180">
        <f>F27/((F18/F19)^0.5*4*15*F19)</f>
        <v>0.44194173824159222</v>
      </c>
      <c r="H28" s="176"/>
    </row>
    <row r="29" spans="1:31" ht="16.5" thickBot="1" x14ac:dyDescent="0.3">
      <c r="B29" s="36"/>
      <c r="E29" s="253"/>
      <c r="F29" s="254"/>
      <c r="H29" s="176"/>
    </row>
    <row r="30" spans="1:31" ht="15.75" x14ac:dyDescent="0.25">
      <c r="B30" s="247" t="s">
        <v>23</v>
      </c>
      <c r="C30" s="248"/>
      <c r="D30" s="248"/>
      <c r="E30" s="248"/>
      <c r="F30" s="249"/>
      <c r="H30" s="196"/>
    </row>
    <row r="31" spans="1:31" ht="18" x14ac:dyDescent="0.35">
      <c r="A31" t="s">
        <v>3</v>
      </c>
      <c r="B31" s="30" t="s">
        <v>1221</v>
      </c>
      <c r="C31" s="28">
        <f>IF($F$23*100&lt;33,U25,IF($F$23*100&gt;99,U24,(($F$23*100-$S$25)/($S$24-$S$25)*(U24-U25)+U25)))</f>
        <v>0.19401338022369999</v>
      </c>
      <c r="D31" s="29"/>
      <c r="E31" s="27" t="s">
        <v>31</v>
      </c>
      <c r="F31" s="31">
        <f>(C31+C32)*F27</f>
        <v>206973.15227735549</v>
      </c>
      <c r="H31" s="176"/>
    </row>
    <row r="32" spans="1:31" ht="18" x14ac:dyDescent="0.35">
      <c r="B32" s="32" t="s">
        <v>1222</v>
      </c>
      <c r="C32" s="28">
        <f>IF($F$23*100&lt;33,V25*Y24,IF($F$23*100=100,V24*Y24,(($F$23*100-$S$25)/($S$24-$S$25)*(V24-V25)+V25))*Y24)</f>
        <v>13.6041967716</v>
      </c>
      <c r="D32" s="20"/>
      <c r="E32" s="12"/>
      <c r="F32" s="33"/>
      <c r="H32" s="176"/>
    </row>
    <row r="33" spans="2:14" ht="18" x14ac:dyDescent="0.35">
      <c r="B33" s="32" t="s">
        <v>1225</v>
      </c>
      <c r="C33" s="28">
        <f>IF($F$23*100&lt;37,W25,IF($F$23*100=100,W24,(($F$23*100-$S$25)/($S$24-$S$25)*(W24-W25)+W25)))</f>
        <v>0</v>
      </c>
      <c r="D33" s="20"/>
      <c r="E33" s="12" t="s">
        <v>32</v>
      </c>
      <c r="F33" s="48">
        <f>C33*F27</f>
        <v>0</v>
      </c>
      <c r="H33" s="176"/>
    </row>
    <row r="34" spans="2:14" ht="15.75" x14ac:dyDescent="0.25">
      <c r="B34" s="34" t="s">
        <v>3</v>
      </c>
      <c r="C34" s="10" t="s">
        <v>3</v>
      </c>
      <c r="D34" s="20" t="s">
        <v>3</v>
      </c>
      <c r="E34" s="37"/>
      <c r="F34" s="38"/>
      <c r="H34" s="196"/>
    </row>
    <row r="35" spans="2:14" ht="15.75" x14ac:dyDescent="0.25">
      <c r="B35" s="32" t="s">
        <v>34</v>
      </c>
      <c r="C35" s="14">
        <f>F31*C27</f>
        <v>78649.797865395085</v>
      </c>
      <c r="D35" s="20"/>
      <c r="E35" s="12" t="s">
        <v>36</v>
      </c>
      <c r="F35" s="35">
        <f>(F31*3.413+F33*100)/F18</f>
        <v>4.4149960545163394</v>
      </c>
      <c r="H35" s="176"/>
      <c r="M35" t="s">
        <v>3</v>
      </c>
      <c r="N35" s="47" t="s">
        <v>3</v>
      </c>
    </row>
    <row r="36" spans="2:14" ht="16.5" thickBot="1" x14ac:dyDescent="0.3">
      <c r="B36" s="68" t="s">
        <v>35</v>
      </c>
      <c r="C36" s="69">
        <f>F33*C28</f>
        <v>0</v>
      </c>
      <c r="D36" s="20"/>
      <c r="E36" s="70" t="s">
        <v>37</v>
      </c>
      <c r="F36" s="71">
        <f>C35+C36</f>
        <v>78649.797865395085</v>
      </c>
      <c r="H36" s="176"/>
      <c r="M36" s="47" t="s">
        <v>3</v>
      </c>
      <c r="N36" s="47"/>
    </row>
    <row r="37" spans="2:14" x14ac:dyDescent="0.25">
      <c r="B37" s="217"/>
      <c r="C37" s="217"/>
      <c r="D37" s="217"/>
      <c r="E37" s="217"/>
      <c r="F37" s="217"/>
    </row>
    <row r="38" spans="2:14" ht="15.75" thickBot="1" x14ac:dyDescent="0.3">
      <c r="B38" s="221"/>
      <c r="C38" s="221"/>
      <c r="D38" s="221"/>
      <c r="E38" s="221"/>
      <c r="F38" s="221"/>
    </row>
    <row r="39" spans="2:14" x14ac:dyDescent="0.25">
      <c r="B39" s="216"/>
      <c r="C39" s="217"/>
      <c r="D39" s="217"/>
      <c r="E39" s="217"/>
      <c r="F39" s="218"/>
    </row>
    <row r="40" spans="2:14" x14ac:dyDescent="0.25">
      <c r="B40" s="219"/>
      <c r="C40" s="221"/>
      <c r="D40" s="221"/>
      <c r="E40" s="221"/>
      <c r="F40" s="220"/>
    </row>
    <row r="41" spans="2:14" x14ac:dyDescent="0.25">
      <c r="B41" s="219"/>
      <c r="C41" s="221"/>
      <c r="D41" s="221"/>
      <c r="E41" s="221"/>
      <c r="F41" s="220"/>
    </row>
    <row r="42" spans="2:14" x14ac:dyDescent="0.25">
      <c r="B42" s="219"/>
      <c r="C42" s="221"/>
      <c r="D42" s="221"/>
      <c r="E42" s="221"/>
      <c r="F42" s="220"/>
    </row>
    <row r="43" spans="2:14" x14ac:dyDescent="0.25">
      <c r="B43" s="219"/>
      <c r="C43" s="221"/>
      <c r="D43" s="221"/>
      <c r="E43" s="221"/>
      <c r="F43" s="220"/>
    </row>
    <row r="44" spans="2:14" x14ac:dyDescent="0.25">
      <c r="B44" s="219"/>
      <c r="C44" s="221"/>
      <c r="D44" s="221"/>
      <c r="E44" s="221"/>
      <c r="F44" s="220"/>
    </row>
    <row r="45" spans="2:14" x14ac:dyDescent="0.25">
      <c r="B45" s="219"/>
      <c r="C45" s="221"/>
      <c r="D45" s="221"/>
      <c r="E45" s="221"/>
      <c r="F45" s="220"/>
    </row>
    <row r="46" spans="2:14" x14ac:dyDescent="0.25">
      <c r="B46" s="219"/>
      <c r="C46" s="221"/>
      <c r="D46" s="221"/>
      <c r="E46" s="221"/>
      <c r="F46" s="220"/>
    </row>
    <row r="47" spans="2:14" x14ac:dyDescent="0.25">
      <c r="B47" s="219"/>
      <c r="C47" s="221"/>
      <c r="D47" s="221"/>
      <c r="E47" s="221"/>
      <c r="F47" s="220"/>
    </row>
    <row r="48" spans="2:14" x14ac:dyDescent="0.25">
      <c r="B48" s="219"/>
      <c r="C48" s="221"/>
      <c r="D48" s="221"/>
      <c r="E48" s="221"/>
      <c r="F48" s="220"/>
    </row>
    <row r="49" spans="2:6" x14ac:dyDescent="0.25">
      <c r="B49" s="219"/>
      <c r="C49" s="221"/>
      <c r="D49" s="221"/>
      <c r="E49" s="221"/>
      <c r="F49" s="220"/>
    </row>
    <row r="50" spans="2:6" x14ac:dyDescent="0.25">
      <c r="B50" s="219"/>
      <c r="C50" s="221"/>
      <c r="D50" s="221"/>
      <c r="E50" s="221"/>
      <c r="F50" s="220"/>
    </row>
    <row r="51" spans="2:6" x14ac:dyDescent="0.25">
      <c r="B51" s="219"/>
      <c r="C51" s="221"/>
      <c r="D51" s="221"/>
      <c r="E51" s="221"/>
      <c r="F51" s="220"/>
    </row>
    <row r="52" spans="2:6" x14ac:dyDescent="0.25">
      <c r="B52" s="219"/>
      <c r="C52" s="221"/>
      <c r="D52" s="221"/>
      <c r="E52" s="221"/>
      <c r="F52" s="220"/>
    </row>
    <row r="53" spans="2:6" ht="31.5" customHeight="1" x14ac:dyDescent="0.25">
      <c r="B53" s="219"/>
      <c r="C53" s="221"/>
      <c r="D53" s="221"/>
      <c r="E53" s="221"/>
      <c r="F53" s="220"/>
    </row>
    <row r="54" spans="2:6" ht="19.5" thickBot="1" x14ac:dyDescent="0.3">
      <c r="B54" s="239" t="s">
        <v>59</v>
      </c>
      <c r="C54" s="240"/>
      <c r="D54" s="49"/>
      <c r="E54" s="49"/>
      <c r="F54" s="50">
        <f>AB26</f>
        <v>7.7884434769806707E-2</v>
      </c>
    </row>
    <row r="55" spans="2:6" x14ac:dyDescent="0.25">
      <c r="B55" s="216"/>
      <c r="C55" s="217"/>
      <c r="D55" s="217"/>
      <c r="E55" s="217"/>
      <c r="F55" s="218"/>
    </row>
    <row r="56" spans="2:6" x14ac:dyDescent="0.25">
      <c r="B56" s="219"/>
      <c r="C56" s="221"/>
      <c r="D56" s="221"/>
      <c r="E56" s="221"/>
      <c r="F56" s="220"/>
    </row>
    <row r="57" spans="2:6" x14ac:dyDescent="0.25">
      <c r="B57" s="219"/>
      <c r="C57" s="221"/>
      <c r="D57" s="221"/>
      <c r="E57" s="221"/>
      <c r="F57" s="220"/>
    </row>
    <row r="58" spans="2:6" x14ac:dyDescent="0.25">
      <c r="B58" s="219"/>
      <c r="C58" s="221"/>
      <c r="D58" s="221"/>
      <c r="E58" s="221"/>
      <c r="F58" s="220"/>
    </row>
    <row r="59" spans="2:6" x14ac:dyDescent="0.25">
      <c r="B59" s="219"/>
      <c r="C59" s="221"/>
      <c r="D59" s="221"/>
      <c r="E59" s="221"/>
      <c r="F59" s="220"/>
    </row>
    <row r="60" spans="2:6" x14ac:dyDescent="0.25">
      <c r="B60" s="219"/>
      <c r="C60" s="221"/>
      <c r="D60" s="221"/>
      <c r="E60" s="221"/>
      <c r="F60" s="220"/>
    </row>
    <row r="61" spans="2:6" x14ac:dyDescent="0.25">
      <c r="B61" s="219"/>
      <c r="C61" s="221"/>
      <c r="D61" s="221"/>
      <c r="E61" s="221"/>
      <c r="F61" s="220"/>
    </row>
    <row r="62" spans="2:6" x14ac:dyDescent="0.25">
      <c r="B62" s="219"/>
      <c r="C62" s="221"/>
      <c r="D62" s="221"/>
      <c r="E62" s="221"/>
      <c r="F62" s="220"/>
    </row>
    <row r="63" spans="2:6" x14ac:dyDescent="0.25">
      <c r="B63" s="219"/>
      <c r="C63" s="221"/>
      <c r="D63" s="221"/>
      <c r="E63" s="221"/>
      <c r="F63" s="220"/>
    </row>
    <row r="64" spans="2:6"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ht="6" customHeight="1" x14ac:dyDescent="0.25">
      <c r="B70" s="219"/>
      <c r="C70" s="221"/>
      <c r="D70" s="221"/>
      <c r="E70" s="221"/>
      <c r="F70" s="220"/>
    </row>
    <row r="71" spans="2:6" ht="29.25" customHeight="1" x14ac:dyDescent="0.25">
      <c r="B71" s="219"/>
      <c r="C71" s="221"/>
      <c r="D71" s="221"/>
      <c r="E71" s="221"/>
      <c r="F71" s="220"/>
    </row>
    <row r="72" spans="2:6" ht="19.5" thickBot="1" x14ac:dyDescent="0.3">
      <c r="B72" s="239" t="s">
        <v>68</v>
      </c>
      <c r="C72" s="240"/>
      <c r="D72" s="49"/>
      <c r="E72" s="49"/>
      <c r="F72" s="50">
        <f>AD26</f>
        <v>0.18053255124877718</v>
      </c>
    </row>
  </sheetData>
  <mergeCells count="21">
    <mergeCell ref="B72:C72"/>
    <mergeCell ref="B10:C10"/>
    <mergeCell ref="B11:D11"/>
    <mergeCell ref="B16:C16"/>
    <mergeCell ref="E16:F16"/>
    <mergeCell ref="E25:F25"/>
    <mergeCell ref="B26:C26"/>
    <mergeCell ref="E29:F29"/>
    <mergeCell ref="B30:F30"/>
    <mergeCell ref="B54:C54"/>
    <mergeCell ref="B3:F3"/>
    <mergeCell ref="C4:F4"/>
    <mergeCell ref="U22:W22"/>
    <mergeCell ref="AA23:AB23"/>
    <mergeCell ref="AC23:AD23"/>
    <mergeCell ref="B7:B8"/>
    <mergeCell ref="C7:D7"/>
    <mergeCell ref="C8:D8"/>
    <mergeCell ref="B5:B6"/>
    <mergeCell ref="C5:D5"/>
    <mergeCell ref="C6:D6"/>
  </mergeCells>
  <conditionalFormatting sqref="H18">
    <cfRule type="containsText" dxfId="17" priority="4"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6" priority="6" operator="containsText" text="Occupancy rate entry should be greater than zero and less than 100%.">
      <formula>NOT(ISERROR(SEARCH("Occupancy rate entry should be greater than zero and less than 100%.",H20)))</formula>
    </cfRule>
  </conditionalFormatting>
  <conditionalFormatting sqref="H23">
    <cfRule type="containsText" dxfId="15" priority="3" operator="containsText" text="Occupancy rate entry should be greater than zero and less than 100%.">
      <formula>NOT(ISERROR(SEARCH("Occupancy rate entry should be greater than zero and less than 100%.",H23)))</formula>
    </cfRule>
  </conditionalFormatting>
  <conditionalFormatting sqref="H26">
    <cfRule type="containsText" dxfId="14" priority="1" operator="containsText" text="WARNING: Double pane primary and double pane secondary windows are an invalid combination.">
      <formula>NOT(ISERROR(SEARCH("WARNING: Double pane primary and double pane secondary windows are an invalid combination.",H26)))</formula>
    </cfRule>
  </conditionalFormatting>
  <conditionalFormatting sqref="H26:H27">
    <cfRule type="containsText" dxfId="13"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300-000000000000}">
      <formula1>1</formula1>
      <formula2>100</formula2>
    </dataValidation>
    <dataValidation type="decimal" allowBlank="1" showInputMessage="1" showErrorMessage="1" sqref="F28" xr:uid="{00000000-0002-0000-0300-000001000000}">
      <formula1>0</formula1>
      <formula2>F18</formula2>
    </dataValidation>
    <dataValidation type="whole" allowBlank="1" showInputMessage="1" showErrorMessage="1" sqref="C23:C24" xr:uid="{50FB55A8-C526-4822-AA7F-31B5EEFA943F}">
      <formula1>0</formula1>
      <formula2>10000</formula2>
    </dataValidation>
    <dataValidation type="list" allowBlank="1" showInputMessage="1" showErrorMessage="1" sqref="C19" xr:uid="{00000000-0002-0000-03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300-000004000000}">
          <x14:formula1>
            <xm:f>Lists!$BC$2:$BC$4</xm:f>
          </x14:formula1>
          <xm:sqref>F21</xm:sqref>
        </x14:dataValidation>
        <x14:dataValidation type="list" allowBlank="1" showInputMessage="1" showErrorMessage="1" xr:uid="{00000000-0002-0000-0300-000005000000}">
          <x14:formula1>
            <xm:f>Lists!$BD$8:$BD$11</xm:f>
          </x14:formula1>
          <xm:sqref>F20</xm:sqref>
        </x14:dataValidation>
        <x14:dataValidation type="list" allowBlank="1" showInputMessage="1" showErrorMessage="1" xr:uid="{00000000-0002-0000-0300-000006000000}">
          <x14:formula1>
            <xm:f>Lists!$B$2:$B$52</xm:f>
          </x14:formula1>
          <xm:sqref>C18</xm:sqref>
        </x14:dataValidation>
        <x14:dataValidation type="list" allowBlank="1" showInputMessage="1" showErrorMessage="1" xr:uid="{00000000-0002-0000-0300-000007000000}">
          <x14:formula1>
            <xm:f>Lists!$BB$2:$BB$3</xm:f>
          </x14:formula1>
          <xm:sqref>F26</xm:sqref>
        </x14:dataValidation>
        <x14:dataValidation type="list" allowBlank="1" showInputMessage="1" showErrorMessage="1" xr:uid="{9A530BFF-6CBC-4751-B95C-D97B561B6E38}">
          <x14:formula1>
            <xm:f>Lists!$A$2:$A$3</xm:f>
          </x14:formula1>
          <xm:sqref>F24</xm:sqref>
        </x14:dataValidation>
        <x14:dataValidation type="list" allowBlank="1" showInputMessage="1" showErrorMessage="1" xr:uid="{B9E251B7-6A04-46D8-9041-70EA45588DBE}">
          <x14:formula1>
            <xm:f>Lists!$BH$2:$BH$3</xm:f>
          </x14:formula1>
          <xm:sqref>F22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72"/>
  <sheetViews>
    <sheetView zoomScale="125" zoomScaleNormal="125" workbookViewId="0">
      <selection activeCell="H19" sqref="H19"/>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27" width="0" hidden="1" customWidth="1"/>
  </cols>
  <sheetData>
    <row r="1" spans="1:18" ht="30.75" customHeight="1" x14ac:dyDescent="0.25">
      <c r="A1" s="1"/>
      <c r="B1" s="43" t="s">
        <v>152</v>
      </c>
      <c r="C1" s="44"/>
      <c r="D1" s="44"/>
      <c r="E1" s="95"/>
      <c r="F1" s="112" t="str">
        <f>F17</f>
        <v>Secondary School</v>
      </c>
      <c r="H1" s="116" t="s">
        <v>200</v>
      </c>
    </row>
    <row r="2" spans="1:18" ht="31.35" customHeight="1" x14ac:dyDescent="0.25">
      <c r="A2" s="1"/>
      <c r="B2" s="118" t="s">
        <v>1250</v>
      </c>
      <c r="C2" s="102"/>
      <c r="D2" s="102"/>
      <c r="E2" s="102"/>
      <c r="F2" s="119">
        <v>45670</v>
      </c>
      <c r="H2" s="193" t="s">
        <v>1220</v>
      </c>
    </row>
    <row r="3" spans="1:18" x14ac:dyDescent="0.25">
      <c r="A3" s="1"/>
      <c r="B3" s="235" t="s">
        <v>206</v>
      </c>
      <c r="C3" s="236"/>
      <c r="D3" s="236"/>
      <c r="E3" s="236"/>
      <c r="F3" s="237"/>
      <c r="H3" s="2"/>
    </row>
    <row r="4" spans="1:18" ht="15.75" x14ac:dyDescent="0.25">
      <c r="A4" s="1"/>
      <c r="B4" s="120" t="s">
        <v>207</v>
      </c>
      <c r="C4" s="238" t="s">
        <v>1237</v>
      </c>
      <c r="D4" s="238"/>
      <c r="E4" s="238"/>
      <c r="F4" s="238"/>
      <c r="H4" s="176"/>
    </row>
    <row r="5" spans="1:18" ht="15.75" x14ac:dyDescent="0.25">
      <c r="A5" s="1"/>
      <c r="B5" s="229" t="s">
        <v>208</v>
      </c>
      <c r="C5" s="233" t="s">
        <v>209</v>
      </c>
      <c r="D5" s="234"/>
      <c r="E5" s="121" t="s">
        <v>210</v>
      </c>
      <c r="F5" s="121" t="s">
        <v>211</v>
      </c>
      <c r="H5" s="176"/>
    </row>
    <row r="6" spans="1:18" ht="15.75" x14ac:dyDescent="0.25">
      <c r="A6" s="1"/>
      <c r="B6" s="230"/>
      <c r="C6" s="227" t="s">
        <v>3</v>
      </c>
      <c r="D6" s="228"/>
      <c r="E6" s="201" t="s">
        <v>1238</v>
      </c>
      <c r="F6" s="201"/>
      <c r="H6" s="176"/>
    </row>
    <row r="7" spans="1:18" ht="15.75" x14ac:dyDescent="0.25">
      <c r="A7" s="1"/>
      <c r="B7" s="231" t="s">
        <v>221</v>
      </c>
      <c r="C7" s="233" t="s">
        <v>212</v>
      </c>
      <c r="D7" s="234"/>
      <c r="E7" s="121" t="s">
        <v>213</v>
      </c>
      <c r="F7" s="121" t="s">
        <v>214</v>
      </c>
      <c r="H7" s="176"/>
    </row>
    <row r="8" spans="1:18" ht="15.75" x14ac:dyDescent="0.25">
      <c r="A8" s="1"/>
      <c r="B8" s="232"/>
      <c r="C8" s="227" t="s">
        <v>3</v>
      </c>
      <c r="D8" s="228"/>
      <c r="E8" s="201"/>
      <c r="F8" s="201"/>
      <c r="H8" s="176"/>
    </row>
    <row r="9" spans="1:18" ht="15.75" x14ac:dyDescent="0.25">
      <c r="A9" s="1"/>
      <c r="B9" s="45"/>
      <c r="C9" s="21"/>
      <c r="D9" s="21"/>
      <c r="E9" s="21"/>
      <c r="F9" s="46"/>
      <c r="H9" s="176"/>
    </row>
    <row r="10" spans="1:18" ht="23.45" customHeight="1" x14ac:dyDescent="0.25">
      <c r="A10" s="1"/>
      <c r="B10" s="241" t="s">
        <v>46</v>
      </c>
      <c r="C10" s="242"/>
      <c r="D10" s="102"/>
      <c r="E10" s="103"/>
      <c r="F10" s="97">
        <f>F31</f>
        <v>65007.925084084498</v>
      </c>
      <c r="H10" s="176"/>
    </row>
    <row r="11" spans="1:18" ht="23.45" customHeight="1" x14ac:dyDescent="0.25">
      <c r="A11" s="1"/>
      <c r="B11" s="243" t="s">
        <v>47</v>
      </c>
      <c r="C11" s="244"/>
      <c r="D11" s="244"/>
      <c r="E11" s="22"/>
      <c r="F11" s="97">
        <f>F33</f>
        <v>7730.5221562530005</v>
      </c>
      <c r="H11" s="176"/>
    </row>
    <row r="12" spans="1:18" ht="23.45" customHeight="1" x14ac:dyDescent="0.25">
      <c r="A12" s="1"/>
      <c r="B12" s="104" t="s">
        <v>153</v>
      </c>
      <c r="C12" s="105"/>
      <c r="D12" s="105"/>
      <c r="E12" s="103"/>
      <c r="F12" s="101">
        <f>F36</f>
        <v>7888.7095479560248</v>
      </c>
      <c r="H12" s="176"/>
    </row>
    <row r="13" spans="1:18" ht="23.45" customHeight="1" x14ac:dyDescent="0.25">
      <c r="A13" s="1"/>
      <c r="B13" s="100" t="s">
        <v>201</v>
      </c>
      <c r="C13" s="96"/>
      <c r="D13" s="96"/>
      <c r="E13" s="51"/>
      <c r="F13" s="98">
        <f>W24</f>
        <v>82.27462925399999</v>
      </c>
      <c r="H13" s="176"/>
    </row>
    <row r="14" spans="1:18" ht="23.45" customHeight="1" x14ac:dyDescent="0.25">
      <c r="A14" s="1"/>
      <c r="B14" s="104" t="s">
        <v>204</v>
      </c>
      <c r="C14" s="105"/>
      <c r="D14" s="106"/>
      <c r="E14" s="99">
        <f>F54</f>
        <v>4.0309075144972777E-2</v>
      </c>
      <c r="F14" s="98">
        <f>F35</f>
        <v>3.3164142131242684</v>
      </c>
      <c r="H14" s="176"/>
    </row>
    <row r="15" spans="1:18" ht="16.5" thickBot="1" x14ac:dyDescent="0.3">
      <c r="A15" s="1"/>
      <c r="B15" s="36"/>
      <c r="F15" s="25"/>
      <c r="H15" s="176"/>
    </row>
    <row r="16" spans="1:18" ht="15.75" x14ac:dyDescent="0.25">
      <c r="A16" s="1"/>
      <c r="B16" s="250" t="s">
        <v>48</v>
      </c>
      <c r="C16" s="251"/>
      <c r="D16" s="39"/>
      <c r="E16" s="251" t="s">
        <v>22</v>
      </c>
      <c r="F16" s="252"/>
      <c r="H16" s="196"/>
      <c r="R16">
        <f>P16*0.3</f>
        <v>0</v>
      </c>
    </row>
    <row r="17" spans="1:27" x14ac:dyDescent="0.25">
      <c r="A17" s="1"/>
      <c r="B17" s="72"/>
      <c r="C17" s="73"/>
      <c r="D17" s="20"/>
      <c r="E17" s="23" t="s">
        <v>13</v>
      </c>
      <c r="F17" s="110" t="s">
        <v>148</v>
      </c>
      <c r="H17" s="194" t="s">
        <v>1229</v>
      </c>
      <c r="K17" s="1" t="str">
        <f>IF(L24="Large","Large Hotel Not Yet Supported","")</f>
        <v/>
      </c>
    </row>
    <row r="18" spans="1:27" ht="28.5" customHeight="1" x14ac:dyDescent="0.25">
      <c r="A18" s="1"/>
      <c r="B18" s="24" t="s">
        <v>74</v>
      </c>
      <c r="C18" s="202" t="s">
        <v>262</v>
      </c>
      <c r="D18" s="20"/>
      <c r="E18" s="23" t="s">
        <v>51</v>
      </c>
      <c r="F18" s="205">
        <v>300000</v>
      </c>
      <c r="H18" s="178" t="str">
        <f>IF(OR($F$18&lt;25000,$F$18&gt;350000),"WARNING: Minimum or maximum input limits for accurate results exceeded. Interpret results carefully.","Minimum school size limit is approximately 25,000 sq.ft.  Maximum size limit is approximately 350,000 sq.ft.")</f>
        <v>Minimum school size limit is approximately 25,000 sq.ft.  Maximum size limit is approximately 350,000 sq.ft.</v>
      </c>
    </row>
    <row r="19" spans="1:27" ht="15.75" x14ac:dyDescent="0.25">
      <c r="A19" s="1"/>
      <c r="B19" s="24" t="s">
        <v>11</v>
      </c>
      <c r="C19" s="202" t="s">
        <v>906</v>
      </c>
      <c r="D19" s="20"/>
      <c r="E19" s="3" t="s">
        <v>108</v>
      </c>
      <c r="F19" s="213">
        <v>2</v>
      </c>
      <c r="H19" s="176"/>
      <c r="K19" s="8"/>
      <c r="L19" s="8"/>
    </row>
    <row r="20" spans="1:27" x14ac:dyDescent="0.25">
      <c r="A20" s="1"/>
      <c r="B20" s="24" t="s">
        <v>24</v>
      </c>
      <c r="C20" s="202" t="s">
        <v>1240</v>
      </c>
      <c r="D20" s="20"/>
      <c r="E20" s="3" t="s">
        <v>15</v>
      </c>
      <c r="F20" s="213" t="s">
        <v>150</v>
      </c>
      <c r="H20" s="178" t="str">
        <f>IF(F20="Other","For system type = Other, savings are based on fan coil units.","For heat pumps, adjustment of electrical heating savings is warranted.  See user documentation.")</f>
        <v>For heat pumps, adjustment of electrical heating savings is warranted.  See user documentation.</v>
      </c>
    </row>
    <row r="21" spans="1:27" x14ac:dyDescent="0.25">
      <c r="A21" s="1"/>
      <c r="B21" s="24" t="s">
        <v>25</v>
      </c>
      <c r="C21" s="202" t="s">
        <v>1241</v>
      </c>
      <c r="D21" s="20"/>
      <c r="E21" s="3" t="s">
        <v>33</v>
      </c>
      <c r="F21" s="205" t="s">
        <v>7</v>
      </c>
      <c r="H21" s="178"/>
    </row>
    <row r="22" spans="1:27" x14ac:dyDescent="0.25">
      <c r="A22" s="1"/>
      <c r="B22" s="72"/>
      <c r="C22" s="73"/>
      <c r="D22" s="20"/>
      <c r="E22" s="3" t="s">
        <v>1178</v>
      </c>
      <c r="F22" s="205" t="s">
        <v>1180</v>
      </c>
      <c r="H22" s="178"/>
      <c r="K22" t="s">
        <v>28</v>
      </c>
      <c r="S22" t="s">
        <v>157</v>
      </c>
      <c r="V22" s="5" t="s">
        <v>1190</v>
      </c>
      <c r="W22" t="s">
        <v>161</v>
      </c>
    </row>
    <row r="23" spans="1:27" x14ac:dyDescent="0.25">
      <c r="B23" s="32" t="s">
        <v>45</v>
      </c>
      <c r="C23" s="94">
        <f>VLOOKUP($C$19,'Weather Information'!$B$3:$D$877,2,FALSE)</f>
        <v>5350</v>
      </c>
      <c r="D23" s="20"/>
      <c r="E23" s="3" t="s">
        <v>1034</v>
      </c>
      <c r="F23" s="214" t="s">
        <v>1035</v>
      </c>
      <c r="H23" s="178" t="str">
        <f>IF($F$23="Single pane","U-assembly = 1.03 Btu/hr-SF-F; SHGC = 0.73","U-assembly = 0.57 Btu/hr-SF-F; SHGC = 0.63")</f>
        <v>U-assembly = 0.57 Btu/hr-SF-F; SHGC = 0.63</v>
      </c>
      <c r="K23" s="2" t="s">
        <v>1030</v>
      </c>
      <c r="L23" s="2" t="s">
        <v>190</v>
      </c>
      <c r="M23" s="5" t="s">
        <v>13</v>
      </c>
      <c r="N23" s="5" t="s">
        <v>15</v>
      </c>
      <c r="O23" s="5" t="s">
        <v>6</v>
      </c>
      <c r="P23" s="5" t="s">
        <v>60</v>
      </c>
      <c r="Q23" s="5" t="s">
        <v>143</v>
      </c>
      <c r="R23" s="5" t="s">
        <v>30</v>
      </c>
      <c r="S23" s="2" t="s">
        <v>159</v>
      </c>
      <c r="T23" s="5" t="s">
        <v>158</v>
      </c>
      <c r="U23" s="5" t="s">
        <v>160</v>
      </c>
      <c r="V23" s="5" t="s">
        <v>1040</v>
      </c>
      <c r="W23" s="226" t="s">
        <v>9</v>
      </c>
      <c r="X23" s="226"/>
      <c r="Y23" s="226" t="s">
        <v>162</v>
      </c>
      <c r="Z23" s="226"/>
    </row>
    <row r="24" spans="1:27" x14ac:dyDescent="0.25">
      <c r="A24" t="s">
        <v>3</v>
      </c>
      <c r="B24" s="32" t="s">
        <v>49</v>
      </c>
      <c r="C24" s="94">
        <f>VLOOKUP($C$19,'Weather Information'!$B$3:$D$877,3,FALSE)</f>
        <v>1118</v>
      </c>
      <c r="D24" s="20"/>
      <c r="E24" s="255"/>
      <c r="F24" s="256"/>
      <c r="H24" s="195"/>
      <c r="K24" s="64" t="str">
        <f>IF(F23="Single pane","Single","Double")</f>
        <v>Double</v>
      </c>
      <c r="L24" s="2" t="str">
        <f>F26</f>
        <v>Single</v>
      </c>
      <c r="M24" s="2" t="str">
        <f>IF(F17="Secondary School","SS","PS")</f>
        <v>SS</v>
      </c>
      <c r="N24" s="5" t="str">
        <f>VLOOKUP(School!F20,Lists!$BD$18:$BE$25,2,FALSE)</f>
        <v>VAV</v>
      </c>
      <c r="O24" s="5" t="str">
        <f>IF(F21="None","Electric",F21)</f>
        <v>Natural Gas</v>
      </c>
      <c r="P24" s="2" t="s">
        <v>3</v>
      </c>
      <c r="Q24" s="90" t="str">
        <f>""</f>
        <v/>
      </c>
      <c r="R24" s="5" t="str">
        <f>CONCATENATE(K24,L24,M24,N24,O24)</f>
        <v>DoubleSingleSSVAVNatural Gas</v>
      </c>
      <c r="S24" s="2">
        <f>VLOOKUP(R24,'Savings Lookup'!$I$5:$AG$109,2,FALSE)</f>
        <v>0</v>
      </c>
      <c r="T24" s="2">
        <f>VLOOKUP(R24,'Savings Lookup'!$I$5:$AG$109,3,FALSE)</f>
        <v>4.3338616722722998</v>
      </c>
      <c r="U24" s="2">
        <f>VLOOKUP(R24,'Savings Lookup'!$I$5:$AG$109,4,FALSE)</f>
        <v>0.51536814375020001</v>
      </c>
      <c r="V24" s="5">
        <f>IF(F22="No",VLOOKUP(R24,'Savings Lookup'!$I$5:$AG$109,25,FALSE),1)</f>
        <v>1</v>
      </c>
      <c r="W24" s="2">
        <f>(VLOOKUP(R24,'Savings Lookup'!$I$5:$P$100,8,FALSE))</f>
        <v>82.27462925399999</v>
      </c>
      <c r="X24" s="2">
        <v>0</v>
      </c>
      <c r="Y24" s="85">
        <f>VLOOKUP(R24,'Savings Lookup'!$I$8:$AB$100,17,FALSE)</f>
        <v>431.4394266425</v>
      </c>
      <c r="Z24" s="2">
        <v>0</v>
      </c>
      <c r="AA24" s="4" t="s">
        <v>57</v>
      </c>
    </row>
    <row r="25" spans="1:27" x14ac:dyDescent="0.25">
      <c r="B25" s="40"/>
      <c r="C25" s="41"/>
      <c r="D25" s="20" t="s">
        <v>3</v>
      </c>
      <c r="E25" s="235" t="s">
        <v>188</v>
      </c>
      <c r="F25" s="237"/>
      <c r="H25" s="195"/>
      <c r="K25" s="4"/>
      <c r="L25" s="4"/>
      <c r="S25" s="56"/>
      <c r="T25" s="56"/>
      <c r="U25" s="85"/>
      <c r="V25" s="85"/>
      <c r="W25" s="56">
        <f>W24-F35</f>
        <v>78.958215040875729</v>
      </c>
      <c r="X25" s="56">
        <f>W24-W25</f>
        <v>3.3164142131242613</v>
      </c>
      <c r="Y25" s="85">
        <f>VLOOKUP(R24,'Savings Lookup'!$I$8:$AB$100,20,FALSE)</f>
        <v>411.84391230325002</v>
      </c>
      <c r="Z25" s="56">
        <f>Y24-Y25</f>
        <v>19.595514339249974</v>
      </c>
      <c r="AA25" s="4" t="s">
        <v>189</v>
      </c>
    </row>
    <row r="26" spans="1:27" x14ac:dyDescent="0.25">
      <c r="A26" s="1"/>
      <c r="B26" s="245" t="s">
        <v>50</v>
      </c>
      <c r="C26" s="246"/>
      <c r="D26" s="20"/>
      <c r="E26" s="3" t="s">
        <v>186</v>
      </c>
      <c r="F26" s="207" t="s">
        <v>17</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K26" t="s">
        <v>3</v>
      </c>
      <c r="W26" t="s">
        <v>163</v>
      </c>
      <c r="X26">
        <f>X25/W24</f>
        <v>4.0309075144972777E-2</v>
      </c>
      <c r="Z26">
        <f>Z25/Y24</f>
        <v>4.5418923559545799E-2</v>
      </c>
    </row>
    <row r="27" spans="1:27" ht="30" customHeight="1" x14ac:dyDescent="0.25">
      <c r="A27" s="1"/>
      <c r="B27" s="26" t="s">
        <v>26</v>
      </c>
      <c r="C27" s="209">
        <v>0.05</v>
      </c>
      <c r="D27" s="20"/>
      <c r="E27" s="3" t="s">
        <v>187</v>
      </c>
      <c r="F27" s="208">
        <v>15000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row>
    <row r="28" spans="1:27" ht="30" customHeight="1" x14ac:dyDescent="0.25">
      <c r="B28" s="26" t="s">
        <v>27</v>
      </c>
      <c r="C28" s="209">
        <v>0.6</v>
      </c>
      <c r="D28" s="20"/>
      <c r="E28" s="12" t="s">
        <v>138</v>
      </c>
      <c r="F28" s="156">
        <f>F27/((F18/F19)^0.5*4*15*F19)</f>
        <v>0.32274861218395146</v>
      </c>
      <c r="H28" s="176"/>
    </row>
    <row r="29" spans="1:27" ht="16.5" thickBot="1" x14ac:dyDescent="0.3">
      <c r="B29" s="36"/>
      <c r="E29" s="253"/>
      <c r="F29" s="254"/>
      <c r="H29" s="176"/>
    </row>
    <row r="30" spans="1:27" ht="15.75" x14ac:dyDescent="0.25">
      <c r="B30" s="247" t="s">
        <v>23</v>
      </c>
      <c r="C30" s="248"/>
      <c r="D30" s="248"/>
      <c r="E30" s="248"/>
      <c r="F30" s="249"/>
      <c r="H30" s="196"/>
    </row>
    <row r="31" spans="1:27" ht="18" x14ac:dyDescent="0.35">
      <c r="A31" t="s">
        <v>3</v>
      </c>
      <c r="B31" s="30" t="s">
        <v>1221</v>
      </c>
      <c r="C31" s="28">
        <f>IF(F21="None",0,S24)</f>
        <v>0</v>
      </c>
      <c r="D31" s="29"/>
      <c r="E31" s="27" t="s">
        <v>31</v>
      </c>
      <c r="F31" s="31">
        <f>(C31+C32)*F27</f>
        <v>65007.925084084498</v>
      </c>
      <c r="H31" s="176"/>
    </row>
    <row r="32" spans="1:27" ht="18" x14ac:dyDescent="0.35">
      <c r="B32" s="32" t="s">
        <v>1222</v>
      </c>
      <c r="C32" s="13">
        <f>T24*V24</f>
        <v>4.3338616722722998</v>
      </c>
      <c r="D32" s="20"/>
      <c r="E32" s="12"/>
      <c r="F32" s="33"/>
      <c r="H32" s="176"/>
    </row>
    <row r="33" spans="2:12" ht="18" x14ac:dyDescent="0.35">
      <c r="B33" s="32" t="s">
        <v>1225</v>
      </c>
      <c r="C33" s="13">
        <f>IF(F21="none",0,U24)</f>
        <v>0.51536814375020001</v>
      </c>
      <c r="D33" s="20"/>
      <c r="E33" s="12" t="s">
        <v>32</v>
      </c>
      <c r="F33" s="48">
        <f>C33*F27</f>
        <v>7730.5221562530005</v>
      </c>
      <c r="H33" s="176"/>
    </row>
    <row r="34" spans="2:12" ht="15.75" x14ac:dyDescent="0.25">
      <c r="B34" s="34" t="s">
        <v>3</v>
      </c>
      <c r="C34" s="10" t="s">
        <v>3</v>
      </c>
      <c r="D34" s="20" t="s">
        <v>3</v>
      </c>
      <c r="E34" s="37"/>
      <c r="F34" s="38"/>
      <c r="H34" s="176"/>
    </row>
    <row r="35" spans="2:12" ht="15.75" x14ac:dyDescent="0.25">
      <c r="B35" s="32" t="s">
        <v>34</v>
      </c>
      <c r="C35" s="14">
        <f>F31*C27</f>
        <v>3250.396254204225</v>
      </c>
      <c r="D35" s="20"/>
      <c r="E35" s="12" t="s">
        <v>36</v>
      </c>
      <c r="F35" s="35">
        <f>(F31*3.413+F33*100)/F18</f>
        <v>3.3164142131242684</v>
      </c>
      <c r="H35" s="176"/>
      <c r="K35" t="s">
        <v>3</v>
      </c>
      <c r="L35" s="47" t="s">
        <v>3</v>
      </c>
    </row>
    <row r="36" spans="2:12" ht="16.5" thickBot="1" x14ac:dyDescent="0.3">
      <c r="B36" s="68" t="s">
        <v>35</v>
      </c>
      <c r="C36" s="69">
        <f>F33*C28</f>
        <v>4638.3132937518003</v>
      </c>
      <c r="D36" s="20"/>
      <c r="E36" s="70" t="s">
        <v>37</v>
      </c>
      <c r="F36" s="71">
        <f>C35+C36</f>
        <v>7888.7095479560248</v>
      </c>
      <c r="H36" s="176"/>
      <c r="K36" s="47" t="s">
        <v>3</v>
      </c>
      <c r="L36" s="47"/>
    </row>
    <row r="37" spans="2:12" ht="11.25" customHeight="1" x14ac:dyDescent="0.25">
      <c r="B37" s="62"/>
      <c r="C37" s="62"/>
      <c r="D37" s="62"/>
      <c r="E37" s="62"/>
      <c r="F37" s="62"/>
    </row>
    <row r="38" spans="2:12" ht="15.75" thickBot="1" x14ac:dyDescent="0.3">
      <c r="B38" s="222"/>
    </row>
    <row r="39" spans="2:12" x14ac:dyDescent="0.25">
      <c r="B39" s="61"/>
      <c r="C39" s="62"/>
      <c r="D39" s="62"/>
      <c r="E39" s="62"/>
      <c r="F39" s="63"/>
    </row>
    <row r="40" spans="2:12" x14ac:dyDescent="0.25">
      <c r="B40" s="36"/>
      <c r="F40" s="25"/>
    </row>
    <row r="41" spans="2:12" x14ac:dyDescent="0.25">
      <c r="B41" s="36"/>
      <c r="F41" s="25"/>
    </row>
    <row r="42" spans="2:12" x14ac:dyDescent="0.25">
      <c r="B42" s="36"/>
      <c r="F42" s="25"/>
    </row>
    <row r="43" spans="2:12" x14ac:dyDescent="0.25">
      <c r="B43" s="36"/>
      <c r="F43" s="25"/>
    </row>
    <row r="44" spans="2:12" x14ac:dyDescent="0.25">
      <c r="B44" s="36"/>
      <c r="F44" s="25"/>
    </row>
    <row r="45" spans="2:12" x14ac:dyDescent="0.25">
      <c r="B45" s="36"/>
      <c r="F45" s="25"/>
    </row>
    <row r="46" spans="2:12" x14ac:dyDescent="0.25">
      <c r="B46" s="36"/>
      <c r="F46" s="25"/>
    </row>
    <row r="47" spans="2:12" x14ac:dyDescent="0.25">
      <c r="B47" s="36"/>
      <c r="F47" s="25"/>
    </row>
    <row r="48" spans="2:12" x14ac:dyDescent="0.25">
      <c r="B48" s="36"/>
      <c r="F48" s="25"/>
    </row>
    <row r="49" spans="2:6" x14ac:dyDescent="0.25">
      <c r="B49" s="36"/>
      <c r="F49" s="25"/>
    </row>
    <row r="50" spans="2:6" x14ac:dyDescent="0.25">
      <c r="B50" s="36"/>
      <c r="F50" s="25"/>
    </row>
    <row r="51" spans="2:6" x14ac:dyDescent="0.25">
      <c r="B51" s="36"/>
      <c r="F51" s="25"/>
    </row>
    <row r="52" spans="2:6" x14ac:dyDescent="0.25">
      <c r="B52" s="36"/>
      <c r="F52" s="25"/>
    </row>
    <row r="53" spans="2:6" ht="31.5" customHeight="1" x14ac:dyDescent="0.25">
      <c r="B53" s="36"/>
      <c r="F53" s="25"/>
    </row>
    <row r="54" spans="2:6" ht="19.5" thickBot="1" x14ac:dyDescent="0.3">
      <c r="B54" s="239" t="s">
        <v>59</v>
      </c>
      <c r="C54" s="240"/>
      <c r="D54" s="49"/>
      <c r="E54" s="49"/>
      <c r="F54" s="50">
        <f>X26</f>
        <v>4.0309075144972777E-2</v>
      </c>
    </row>
    <row r="55" spans="2:6" x14ac:dyDescent="0.25">
      <c r="B55" s="61"/>
      <c r="C55" s="62"/>
      <c r="D55" s="62"/>
      <c r="E55" s="62"/>
      <c r="F55" s="63"/>
    </row>
    <row r="56" spans="2:6" x14ac:dyDescent="0.25">
      <c r="B56" s="36"/>
      <c r="F56" s="25"/>
    </row>
    <row r="57" spans="2:6" x14ac:dyDescent="0.25">
      <c r="B57" s="36"/>
      <c r="F57" s="25"/>
    </row>
    <row r="58" spans="2:6" x14ac:dyDescent="0.25">
      <c r="B58" s="36"/>
      <c r="F58" s="25"/>
    </row>
    <row r="59" spans="2:6" x14ac:dyDescent="0.25">
      <c r="B59" s="36"/>
      <c r="F59" s="25"/>
    </row>
    <row r="60" spans="2:6" x14ac:dyDescent="0.25">
      <c r="B60" s="36"/>
      <c r="F60" s="25"/>
    </row>
    <row r="61" spans="2:6" x14ac:dyDescent="0.25">
      <c r="B61" s="36"/>
      <c r="F61" s="25"/>
    </row>
    <row r="62" spans="2:6" x14ac:dyDescent="0.25">
      <c r="B62" s="36"/>
      <c r="F62" s="25"/>
    </row>
    <row r="63" spans="2:6" x14ac:dyDescent="0.25">
      <c r="B63" s="36"/>
      <c r="F63" s="25"/>
    </row>
    <row r="64" spans="2:6" x14ac:dyDescent="0.25">
      <c r="B64" s="36"/>
      <c r="F64" s="25"/>
    </row>
    <row r="65" spans="2:6" x14ac:dyDescent="0.25">
      <c r="B65" s="36"/>
      <c r="F65" s="25"/>
    </row>
    <row r="66" spans="2:6" x14ac:dyDescent="0.25">
      <c r="B66" s="36"/>
      <c r="F66" s="25"/>
    </row>
    <row r="67" spans="2:6" x14ac:dyDescent="0.25">
      <c r="B67" s="36"/>
      <c r="F67" s="25"/>
    </row>
    <row r="68" spans="2:6" x14ac:dyDescent="0.25">
      <c r="B68" s="36"/>
      <c r="F68" s="25"/>
    </row>
    <row r="69" spans="2:6" x14ac:dyDescent="0.25">
      <c r="B69" s="36"/>
      <c r="F69" s="25"/>
    </row>
    <row r="70" spans="2:6" ht="6" customHeight="1" x14ac:dyDescent="0.25">
      <c r="B70" s="36"/>
      <c r="F70" s="25"/>
    </row>
    <row r="71" spans="2:6" ht="29.25" customHeight="1" x14ac:dyDescent="0.25">
      <c r="B71" s="36"/>
      <c r="F71" s="25"/>
    </row>
    <row r="72" spans="2:6" ht="19.5" thickBot="1" x14ac:dyDescent="0.3">
      <c r="B72" s="239" t="s">
        <v>68</v>
      </c>
      <c r="C72" s="240"/>
      <c r="D72" s="49"/>
      <c r="E72" s="49"/>
      <c r="F72" s="50">
        <f>Z26</f>
        <v>4.5418923559545799E-2</v>
      </c>
    </row>
  </sheetData>
  <mergeCells count="21">
    <mergeCell ref="W23:X23"/>
    <mergeCell ref="Y23:Z23"/>
    <mergeCell ref="B72:C72"/>
    <mergeCell ref="B10:C10"/>
    <mergeCell ref="B11:D11"/>
    <mergeCell ref="B16:C16"/>
    <mergeCell ref="E16:F16"/>
    <mergeCell ref="E24:F24"/>
    <mergeCell ref="E25:F25"/>
    <mergeCell ref="B26:C26"/>
    <mergeCell ref="E29:F29"/>
    <mergeCell ref="B30:F30"/>
    <mergeCell ref="B54:C54"/>
    <mergeCell ref="B7:B8"/>
    <mergeCell ref="C7:D7"/>
    <mergeCell ref="C8:D8"/>
    <mergeCell ref="B3:F3"/>
    <mergeCell ref="C4:F4"/>
    <mergeCell ref="B5:B6"/>
    <mergeCell ref="C5:D5"/>
    <mergeCell ref="C6:D6"/>
  </mergeCells>
  <conditionalFormatting sqref="H18">
    <cfRule type="containsText" dxfId="12" priority="1"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11" priority="3"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10" priority="2"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9"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C23:C24" xr:uid="{AFCF12CD-5DBB-421E-AD98-F176CEB9182D}">
      <formula1>0</formula1>
      <formula2>10000</formula2>
    </dataValidation>
    <dataValidation type="decimal" allowBlank="1" showInputMessage="1" showErrorMessage="1" sqref="F28" xr:uid="{00000000-0002-0000-0400-000001000000}">
      <formula1>0</formula1>
      <formula2>F18</formula2>
    </dataValidation>
    <dataValidation type="whole" allowBlank="1" showInputMessage="1" showErrorMessage="1" sqref="F19" xr:uid="{00000000-0002-0000-0400-000002000000}">
      <formula1>1</formula1>
      <formula2>100</formula2>
    </dataValidation>
    <dataValidation type="list" allowBlank="1" showInputMessage="1" showErrorMessage="1" sqref="C19" xr:uid="{00000000-0002-0000-0400-000007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rowBreaks count="1" manualBreakCount="1">
    <brk id="36" max="16383" man="1"/>
  </rowBreaks>
  <drawing r:id="rId2"/>
  <legacyDrawing r:id="rId3"/>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00000000-0002-0000-0400-000003000000}">
          <x14:formula1>
            <xm:f>Lists!$BB$2:$BB$3</xm:f>
          </x14:formula1>
          <xm:sqref>F26</xm:sqref>
        </x14:dataValidation>
        <x14:dataValidation type="list" allowBlank="1" showInputMessage="1" showErrorMessage="1" xr:uid="{00000000-0002-0000-0400-000004000000}">
          <x14:formula1>
            <xm:f>Lists!$B$2:$B$52</xm:f>
          </x14:formula1>
          <xm:sqref>C18</xm:sqref>
        </x14:dataValidation>
        <x14:dataValidation type="list" allowBlank="1" showInputMessage="1" showErrorMessage="1" xr:uid="{00000000-0002-0000-0400-000005000000}">
          <x14:formula1>
            <xm:f>Lists!$BD$14:$BD$16</xm:f>
          </x14:formula1>
          <xm:sqref>F20</xm:sqref>
        </x14:dataValidation>
        <x14:dataValidation type="list" allowBlank="1" showInputMessage="1" showErrorMessage="1" xr:uid="{00000000-0002-0000-0400-000006000000}">
          <x14:formula1>
            <xm:f>Lists!$BC$2:$BC$4</xm:f>
          </x14:formula1>
          <xm:sqref>F21</xm:sqref>
        </x14:dataValidation>
        <x14:dataValidation type="list" allowBlank="1" showInputMessage="1" showErrorMessage="1" xr:uid="{00000000-0002-0000-0400-000008000000}">
          <x14:formula1>
            <xm:f>Lists!$BE$4:$BE$5</xm:f>
          </x14:formula1>
          <xm:sqref>F17</xm:sqref>
        </x14:dataValidation>
        <x14:dataValidation type="list" allowBlank="1" showInputMessage="1" showErrorMessage="1" xr:uid="{DD369FA1-2091-488C-B144-9645227FCF4C}">
          <x14:formula1>
            <xm:f>Lists!$A$2:$A$3</xm:f>
          </x14:formula1>
          <xm:sqref>F23</xm:sqref>
        </x14:dataValidation>
        <x14:dataValidation type="list" allowBlank="1" showInputMessage="1" showErrorMessage="1" xr:uid="{8725011A-457D-446E-8919-6F5A90FDBAF4}">
          <x14:formula1>
            <xm:f>Lists!$BH$2:$BH$3</xm:f>
          </x14:formula1>
          <xm:sqref>F22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72"/>
  <sheetViews>
    <sheetView zoomScale="125" zoomScaleNormal="125" workbookViewId="0">
      <selection activeCell="H18" sqref="H18"/>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10" width="4.28515625" customWidth="1"/>
    <col min="11" max="12" width="12.42578125" hidden="1" customWidth="1"/>
    <col min="13" max="13" width="14.42578125" hidden="1" customWidth="1"/>
    <col min="14" max="15" width="19" hidden="1" customWidth="1"/>
    <col min="16" max="17" width="16.140625" hidden="1" customWidth="1"/>
    <col min="18" max="18" width="37.7109375" hidden="1" customWidth="1"/>
    <col min="19" max="26" width="9.140625" hidden="1" customWidth="1"/>
    <col min="27" max="30" width="0" hidden="1" customWidth="1"/>
  </cols>
  <sheetData>
    <row r="1" spans="1:8" ht="30.75" customHeight="1" x14ac:dyDescent="0.25">
      <c r="A1" s="1"/>
      <c r="B1" s="43" t="s">
        <v>152</v>
      </c>
      <c r="C1" s="44"/>
      <c r="D1" s="44"/>
      <c r="E1" s="95"/>
      <c r="F1" s="112" t="str">
        <f>F17</f>
        <v>Hospital</v>
      </c>
      <c r="H1" s="116" t="s">
        <v>200</v>
      </c>
    </row>
    <row r="2" spans="1:8" ht="31.35" customHeight="1" x14ac:dyDescent="0.25">
      <c r="A2" s="1"/>
      <c r="B2" s="118" t="s">
        <v>1250</v>
      </c>
      <c r="C2" s="102"/>
      <c r="D2" s="102"/>
      <c r="E2" s="102"/>
      <c r="F2" s="119">
        <v>45670</v>
      </c>
      <c r="H2" s="193" t="s">
        <v>1220</v>
      </c>
    </row>
    <row r="3" spans="1:8" x14ac:dyDescent="0.25">
      <c r="A3" s="1"/>
      <c r="B3" s="235" t="s">
        <v>206</v>
      </c>
      <c r="C3" s="236"/>
      <c r="D3" s="236"/>
      <c r="E3" s="236"/>
      <c r="F3" s="237"/>
      <c r="H3" s="2"/>
    </row>
    <row r="4" spans="1:8" x14ac:dyDescent="0.25">
      <c r="A4" s="1"/>
      <c r="B4" s="120" t="s">
        <v>207</v>
      </c>
      <c r="C4" s="238" t="s">
        <v>1242</v>
      </c>
      <c r="D4" s="238"/>
      <c r="E4" s="238"/>
      <c r="F4" s="238"/>
      <c r="H4" s="194"/>
    </row>
    <row r="5" spans="1:8" x14ac:dyDescent="0.25">
      <c r="A5" s="1"/>
      <c r="B5" s="229" t="s">
        <v>208</v>
      </c>
      <c r="C5" s="233" t="s">
        <v>209</v>
      </c>
      <c r="D5" s="234"/>
      <c r="E5" s="121" t="s">
        <v>210</v>
      </c>
      <c r="F5" s="121" t="s">
        <v>211</v>
      </c>
      <c r="H5" s="194"/>
    </row>
    <row r="6" spans="1:8" x14ac:dyDescent="0.25">
      <c r="A6" s="1"/>
      <c r="B6" s="230"/>
      <c r="C6" s="227" t="s">
        <v>3</v>
      </c>
      <c r="D6" s="228"/>
      <c r="E6" s="201" t="s">
        <v>1243</v>
      </c>
      <c r="F6" s="201"/>
      <c r="H6" s="194"/>
    </row>
    <row r="7" spans="1:8" x14ac:dyDescent="0.25">
      <c r="A7" s="1"/>
      <c r="B7" s="231" t="s">
        <v>221</v>
      </c>
      <c r="C7" s="233" t="s">
        <v>212</v>
      </c>
      <c r="D7" s="234"/>
      <c r="E7" s="121" t="s">
        <v>213</v>
      </c>
      <c r="F7" s="121" t="s">
        <v>214</v>
      </c>
      <c r="H7" s="194"/>
    </row>
    <row r="8" spans="1:8" x14ac:dyDescent="0.25">
      <c r="A8" s="1"/>
      <c r="B8" s="232"/>
      <c r="C8" s="227" t="s">
        <v>3</v>
      </c>
      <c r="D8" s="228"/>
      <c r="E8" s="201"/>
      <c r="F8" s="201"/>
      <c r="H8" s="194"/>
    </row>
    <row r="9" spans="1:8" x14ac:dyDescent="0.25">
      <c r="A9" s="1"/>
      <c r="B9" s="45"/>
      <c r="C9" s="21"/>
      <c r="D9" s="21"/>
      <c r="E9" s="21"/>
      <c r="F9" s="46"/>
      <c r="H9" s="194"/>
    </row>
    <row r="10" spans="1:8" ht="23.45" customHeight="1" x14ac:dyDescent="0.25">
      <c r="A10" s="1"/>
      <c r="B10" s="241" t="s">
        <v>46</v>
      </c>
      <c r="C10" s="242"/>
      <c r="D10" s="102"/>
      <c r="E10" s="103"/>
      <c r="F10" s="97">
        <f>F31</f>
        <v>188469.35711858157</v>
      </c>
      <c r="H10" s="194"/>
    </row>
    <row r="11" spans="1:8" ht="23.45" customHeight="1" x14ac:dyDescent="0.25">
      <c r="A11" s="1"/>
      <c r="B11" s="243" t="s">
        <v>47</v>
      </c>
      <c r="C11" s="244"/>
      <c r="D11" s="244"/>
      <c r="E11" s="22"/>
      <c r="F11" s="97">
        <f>F33</f>
        <v>18037.577564399999</v>
      </c>
      <c r="H11" s="194"/>
    </row>
    <row r="12" spans="1:8" ht="23.45" customHeight="1" x14ac:dyDescent="0.25">
      <c r="A12" s="1"/>
      <c r="B12" s="104" t="s">
        <v>153</v>
      </c>
      <c r="C12" s="105"/>
      <c r="D12" s="105"/>
      <c r="E12" s="103"/>
      <c r="F12" s="101">
        <f>F36</f>
        <v>27483.009181549616</v>
      </c>
      <c r="H12" s="194"/>
    </row>
    <row r="13" spans="1:8" ht="23.45" customHeight="1" x14ac:dyDescent="0.25">
      <c r="A13" s="1"/>
      <c r="B13" s="100" t="s">
        <v>201</v>
      </c>
      <c r="C13" s="96"/>
      <c r="D13" s="96"/>
      <c r="E13" s="51"/>
      <c r="F13" s="98">
        <f>W24</f>
        <v>230.19917887899999</v>
      </c>
      <c r="H13" s="194"/>
    </row>
    <row r="14" spans="1:8" ht="23.45" customHeight="1" x14ac:dyDescent="0.25">
      <c r="A14" s="1"/>
      <c r="B14" s="104" t="s">
        <v>204</v>
      </c>
      <c r="C14" s="105"/>
      <c r="D14" s="106"/>
      <c r="E14" s="99">
        <f>F54</f>
        <v>5.0618766305768038E-2</v>
      </c>
      <c r="F14" s="98">
        <f>F35</f>
        <v>11.652398439455805</v>
      </c>
      <c r="H14" s="194"/>
    </row>
    <row r="15" spans="1:8" ht="15.75" thickBot="1" x14ac:dyDescent="0.3">
      <c r="A15" s="1"/>
      <c r="B15" s="36"/>
      <c r="F15" s="25"/>
      <c r="H15" s="194"/>
    </row>
    <row r="16" spans="1:8" x14ac:dyDescent="0.25">
      <c r="A16" s="1"/>
      <c r="B16" s="250" t="s">
        <v>48</v>
      </c>
      <c r="C16" s="251"/>
      <c r="D16" s="39"/>
      <c r="E16" s="251" t="s">
        <v>22</v>
      </c>
      <c r="F16" s="252"/>
      <c r="H16" s="197"/>
    </row>
    <row r="17" spans="1:27" x14ac:dyDescent="0.25">
      <c r="A17" s="1"/>
      <c r="B17" s="72"/>
      <c r="C17" s="73"/>
      <c r="D17" s="20"/>
      <c r="E17" s="23" t="s">
        <v>13</v>
      </c>
      <c r="F17" s="84" t="str">
        <f>Lists!$BE$6</f>
        <v>Hospital</v>
      </c>
      <c r="H17" s="194"/>
      <c r="K17" s="1" t="str">
        <f>IF(L24="Large","Large Hotel Not Yet Supported","")</f>
        <v/>
      </c>
    </row>
    <row r="18" spans="1:27" ht="28.5" customHeight="1" x14ac:dyDescent="0.25">
      <c r="A18" s="1"/>
      <c r="B18" s="24" t="s">
        <v>74</v>
      </c>
      <c r="C18" s="202" t="s">
        <v>71</v>
      </c>
      <c r="D18" s="20"/>
      <c r="E18" s="23" t="s">
        <v>51</v>
      </c>
      <c r="F18" s="205">
        <v>210000</v>
      </c>
      <c r="H18" s="178" t="str">
        <f>IF(OR($F$18&lt;30000,$F$18&gt;300000),"WARNING: Minimum or maximum input limits for accurate results exceeded. Interpret results carefully.","Minimum size limit for small hospital is approximately 30,000 sq.ft.  Maximum size limit is approximately 300,000 sq.ft.")</f>
        <v>Minimum size limit for small hospital is approximately 30,000 sq.ft.  Maximum size limit is approximately 300,000 sq.ft.</v>
      </c>
    </row>
    <row r="19" spans="1:27" x14ac:dyDescent="0.25">
      <c r="A19" s="1"/>
      <c r="B19" s="24" t="s">
        <v>11</v>
      </c>
      <c r="C19" s="202" t="s">
        <v>87</v>
      </c>
      <c r="D19" s="20"/>
      <c r="E19" s="3" t="s">
        <v>108</v>
      </c>
      <c r="F19" s="213">
        <v>4</v>
      </c>
      <c r="H19" s="194"/>
      <c r="K19" s="8"/>
      <c r="L19" s="8"/>
    </row>
    <row r="20" spans="1:27" x14ac:dyDescent="0.25">
      <c r="A20" s="1"/>
      <c r="B20" s="24" t="s">
        <v>24</v>
      </c>
      <c r="C20" s="202" t="s">
        <v>1244</v>
      </c>
      <c r="D20" s="20"/>
      <c r="E20" s="3" t="s">
        <v>15</v>
      </c>
      <c r="F20" s="213" t="s">
        <v>150</v>
      </c>
      <c r="H20" s="178" t="str">
        <f>IF(F20="Other","For system type = Other, savings are based on VAV systems.","For heat pumps, adjustment of electrical heating savings is warranted.  See user documentation.")</f>
        <v>For heat pumps, adjustment of electrical heating savings is warranted.  See user documentation.</v>
      </c>
    </row>
    <row r="21" spans="1:27" x14ac:dyDescent="0.25">
      <c r="A21" s="1"/>
      <c r="B21" s="24" t="s">
        <v>25</v>
      </c>
      <c r="C21" s="202" t="s">
        <v>137</v>
      </c>
      <c r="D21" s="20"/>
      <c r="E21" s="3" t="s">
        <v>33</v>
      </c>
      <c r="F21" s="205" t="s">
        <v>7</v>
      </c>
      <c r="H21" s="178"/>
    </row>
    <row r="22" spans="1:27" x14ac:dyDescent="0.25">
      <c r="A22" s="1"/>
      <c r="B22" s="72"/>
      <c r="C22" s="73"/>
      <c r="D22" s="20"/>
      <c r="E22" s="3" t="s">
        <v>1178</v>
      </c>
      <c r="F22" s="205" t="s">
        <v>1180</v>
      </c>
      <c r="H22" s="178"/>
      <c r="K22" t="s">
        <v>28</v>
      </c>
      <c r="S22" t="s">
        <v>157</v>
      </c>
      <c r="V22" s="5" t="s">
        <v>1190</v>
      </c>
      <c r="W22" t="s">
        <v>161</v>
      </c>
    </row>
    <row r="23" spans="1:27" x14ac:dyDescent="0.25">
      <c r="B23" s="32" t="s">
        <v>45</v>
      </c>
      <c r="C23" s="94">
        <f>VLOOKUP($C$19,'Weather Information'!$B$3:$D$877,2,FALSE)</f>
        <v>4836</v>
      </c>
      <c r="D23" s="20"/>
      <c r="E23" s="3" t="s">
        <v>1034</v>
      </c>
      <c r="F23" s="214" t="s">
        <v>1</v>
      </c>
      <c r="H23" s="178" t="str">
        <f>IF($F$23="Single pane","U-assembly = 1.03 Btu/hr-SF-F; SHGC = 0.73","U-assembly = 0.57 Btu/hr-SF-F; SHGC = 0.63")</f>
        <v>U-assembly = 1.03 Btu/hr-SF-F; SHGC = 0.73</v>
      </c>
      <c r="K23" s="2" t="s">
        <v>1030</v>
      </c>
      <c r="L23" s="2" t="s">
        <v>190</v>
      </c>
      <c r="M23" s="5" t="s">
        <v>13</v>
      </c>
      <c r="N23" s="5" t="s">
        <v>15</v>
      </c>
      <c r="O23" s="5" t="s">
        <v>6</v>
      </c>
      <c r="P23" s="5" t="s">
        <v>60</v>
      </c>
      <c r="Q23" s="5" t="s">
        <v>143</v>
      </c>
      <c r="R23" s="5" t="s">
        <v>30</v>
      </c>
      <c r="S23" s="2" t="s">
        <v>159</v>
      </c>
      <c r="T23" s="5" t="s">
        <v>158</v>
      </c>
      <c r="U23" s="5" t="s">
        <v>160</v>
      </c>
      <c r="V23" s="5" t="s">
        <v>1040</v>
      </c>
      <c r="W23" s="226" t="s">
        <v>9</v>
      </c>
      <c r="X23" s="226"/>
      <c r="Y23" s="226" t="s">
        <v>162</v>
      </c>
      <c r="Z23" s="226"/>
    </row>
    <row r="24" spans="1:27" x14ac:dyDescent="0.25">
      <c r="A24" t="s">
        <v>3</v>
      </c>
      <c r="B24" s="32" t="s">
        <v>49</v>
      </c>
      <c r="C24" s="94">
        <f>VLOOKUP($C$19,'Weather Information'!$B$3:$D$877,3,FALSE)</f>
        <v>839</v>
      </c>
      <c r="D24" s="20"/>
      <c r="E24" s="255"/>
      <c r="F24" s="256"/>
      <c r="H24" s="195"/>
      <c r="K24" s="64" t="str">
        <f>IF(F23="Single pane","Single","Double")</f>
        <v>Single</v>
      </c>
      <c r="L24" s="2" t="str">
        <f>F26</f>
        <v>Double</v>
      </c>
      <c r="M24" s="2" t="s">
        <v>151</v>
      </c>
      <c r="N24" s="5" t="str">
        <f>VLOOKUP(Hospital!F20,Lists!$BD$29:$BE$30,2,FALSE)</f>
        <v>VAV</v>
      </c>
      <c r="O24" s="5" t="str">
        <f>IF(F21="None","Electric",F21)</f>
        <v>Natural Gas</v>
      </c>
      <c r="P24" s="2" t="s">
        <v>3</v>
      </c>
      <c r="Q24" s="90" t="str">
        <f>""</f>
        <v/>
      </c>
      <c r="R24" s="5" t="str">
        <f>CONCATENATE(K24,L24,M24,N24,O24)</f>
        <v>SingleDoubleHospVAVNatural Gas</v>
      </c>
      <c r="S24" s="2">
        <f>VLOOKUP(R24,'Savings Lookup'!$I$5:$AG$109,2,FALSE)</f>
        <v>0</v>
      </c>
      <c r="T24" s="2">
        <f>VLOOKUP(R24,'Savings Lookup'!$I$5:$AG$109,3,FALSE)</f>
        <v>15.705779759881798</v>
      </c>
      <c r="U24" s="2">
        <f>VLOOKUP(R24,'Savings Lookup'!$I$5:$AG$109,4,FALSE)</f>
        <v>1.5031314636999999</v>
      </c>
      <c r="V24" s="5">
        <f>IF(F22="No",VLOOKUP(R24,'Savings Lookup'!$I$5:$AG$109,25,FALSE),1)</f>
        <v>1</v>
      </c>
      <c r="W24" s="2">
        <f>VLOOKUP(R24,'Savings Lookup'!$I$5:$P$100,8,FALSE)</f>
        <v>230.19917887899999</v>
      </c>
      <c r="X24" s="2">
        <v>0</v>
      </c>
      <c r="Y24" s="85">
        <f>VLOOKUP(R24,'Savings Lookup'!$I$8:$AB$100,17,FALSE)</f>
        <v>365.13148133524999</v>
      </c>
      <c r="Z24" s="2">
        <v>0</v>
      </c>
      <c r="AA24" s="4" t="s">
        <v>57</v>
      </c>
    </row>
    <row r="25" spans="1:27" x14ac:dyDescent="0.25">
      <c r="B25" s="40"/>
      <c r="C25" s="41"/>
      <c r="D25" s="20" t="s">
        <v>3</v>
      </c>
      <c r="E25" s="235" t="s">
        <v>191</v>
      </c>
      <c r="F25" s="237"/>
      <c r="H25" s="195"/>
      <c r="K25" s="4"/>
      <c r="L25" s="4"/>
      <c r="S25" s="56"/>
      <c r="T25" s="56"/>
      <c r="U25" s="85"/>
      <c r="V25" s="56"/>
      <c r="W25" s="56">
        <f>W24-F35</f>
        <v>218.54678043954419</v>
      </c>
      <c r="X25" s="56">
        <f>W24-W25</f>
        <v>11.652398439455794</v>
      </c>
      <c r="Y25" s="85">
        <f>VLOOKUP(R24,'Savings Lookup'!$I$8:$AB$100,20,FALSE)</f>
        <v>340.84226194414998</v>
      </c>
      <c r="Z25" s="56">
        <f>Y24-Y25</f>
        <v>24.289219391100005</v>
      </c>
      <c r="AA25" s="4" t="s">
        <v>189</v>
      </c>
    </row>
    <row r="26" spans="1:27" x14ac:dyDescent="0.25">
      <c r="A26" s="1"/>
      <c r="B26" s="245" t="s">
        <v>50</v>
      </c>
      <c r="C26" s="246"/>
      <c r="D26" s="20"/>
      <c r="E26" s="3" t="s">
        <v>186</v>
      </c>
      <c r="F26" s="207" t="s">
        <v>12</v>
      </c>
      <c r="H26" s="178" t="str">
        <f>IF(AND(F23="Double pane",F26="Double"),"WARNING:  Double pane secondary windows cannot be added to double pane primary windows in this calculator.  Select single pane secondary windows ONLY for buildings with existing double pane windows.", "Double pane secondary windows are a valid entry only for buildings with existing single pane windows.")</f>
        <v>Double pane secondary windows are a valid entry only for buildings with existing single pane windows.</v>
      </c>
      <c r="W26" t="s">
        <v>163</v>
      </c>
      <c r="X26">
        <f>X25/W24</f>
        <v>5.0618766305768038E-2</v>
      </c>
      <c r="Z26">
        <f>Z25/Y24</f>
        <v>6.6521843863686342E-2</v>
      </c>
    </row>
    <row r="27" spans="1:27" ht="30" customHeight="1" x14ac:dyDescent="0.25">
      <c r="A27" s="1"/>
      <c r="B27" s="26" t="s">
        <v>26</v>
      </c>
      <c r="C27" s="210">
        <v>7.4999999999999997E-2</v>
      </c>
      <c r="D27" s="20"/>
      <c r="E27" s="3" t="s">
        <v>187</v>
      </c>
      <c r="F27" s="211">
        <v>12000</v>
      </c>
      <c r="H27" s="178" t="str">
        <f>IF(F28&gt;0.5,"WARNING:  Sq.Ft of CSW Installed Appears Larger than Practical for this Building Size. Typical window to window to wall ratio is 0.1 to 0.5","Typical building Window-Wall Ratio (WWR) is between 0.1-0.5.  If unsure about actual CSW Sq.Ft., input CSW area such thatWWR is 0.25.")</f>
        <v>Typical building Window-Wall Ratio (WWR) is between 0.1-0.5.  If unsure about actual CSW Sq.Ft., input CSW area such thatWWR is 0.25.</v>
      </c>
      <c r="K27" s="117" t="s">
        <v>3</v>
      </c>
    </row>
    <row r="28" spans="1:27" ht="30" customHeight="1" x14ac:dyDescent="0.25">
      <c r="B28" s="26" t="s">
        <v>27</v>
      </c>
      <c r="C28" s="210">
        <v>0.74</v>
      </c>
      <c r="D28" s="20"/>
      <c r="E28" s="3" t="s">
        <v>138</v>
      </c>
      <c r="F28" s="212">
        <f>F27/((F18/F19)^0.5*4*15*F19)</f>
        <v>0.21821789023599239</v>
      </c>
      <c r="H28" s="194" t="s">
        <v>3</v>
      </c>
      <c r="K28" s="200"/>
    </row>
    <row r="29" spans="1:27" ht="15.75" thickBot="1" x14ac:dyDescent="0.3">
      <c r="B29" s="36"/>
      <c r="E29" s="253"/>
      <c r="F29" s="254"/>
      <c r="H29" s="194"/>
    </row>
    <row r="30" spans="1:27" x14ac:dyDescent="0.25">
      <c r="B30" s="247" t="s">
        <v>23</v>
      </c>
      <c r="C30" s="248"/>
      <c r="D30" s="248"/>
      <c r="E30" s="248"/>
      <c r="F30" s="249"/>
      <c r="H30" s="194"/>
      <c r="K30" s="42"/>
    </row>
    <row r="31" spans="1:27" ht="18" x14ac:dyDescent="0.35">
      <c r="A31" t="s">
        <v>3</v>
      </c>
      <c r="B31" s="30" t="s">
        <v>1221</v>
      </c>
      <c r="C31" s="28">
        <f>IF(F21="None",0,S24)</f>
        <v>0</v>
      </c>
      <c r="D31" s="29"/>
      <c r="E31" s="27" t="s">
        <v>31</v>
      </c>
      <c r="F31" s="31">
        <f>(C31+C32)*F27</f>
        <v>188469.35711858157</v>
      </c>
      <c r="H31" s="194"/>
      <c r="K31" s="42"/>
    </row>
    <row r="32" spans="1:27" ht="18" x14ac:dyDescent="0.35">
      <c r="B32" s="32" t="s">
        <v>1222</v>
      </c>
      <c r="C32" s="13">
        <f>(T24*V24)</f>
        <v>15.705779759881798</v>
      </c>
      <c r="D32" s="20"/>
      <c r="E32" s="12"/>
      <c r="F32" s="33"/>
      <c r="H32" s="194"/>
    </row>
    <row r="33" spans="2:12" ht="18" x14ac:dyDescent="0.35">
      <c r="B33" s="32" t="s">
        <v>1225</v>
      </c>
      <c r="C33" s="13">
        <f>IF(F21="None",0,U24)</f>
        <v>1.5031314636999999</v>
      </c>
      <c r="D33" s="20"/>
      <c r="E33" s="12" t="s">
        <v>32</v>
      </c>
      <c r="F33" s="48">
        <f>C33*F27</f>
        <v>18037.577564399999</v>
      </c>
      <c r="H33" s="194"/>
    </row>
    <row r="34" spans="2:12" x14ac:dyDescent="0.25">
      <c r="B34" s="34" t="s">
        <v>3</v>
      </c>
      <c r="C34" s="10" t="s">
        <v>3</v>
      </c>
      <c r="D34" s="20" t="s">
        <v>3</v>
      </c>
      <c r="E34" s="37"/>
      <c r="F34" s="38"/>
      <c r="H34" s="194"/>
    </row>
    <row r="35" spans="2:12" x14ac:dyDescent="0.25">
      <c r="B35" s="32" t="s">
        <v>34</v>
      </c>
      <c r="C35" s="14">
        <f>F31*C27</f>
        <v>14135.201783893617</v>
      </c>
      <c r="D35" s="20"/>
      <c r="E35" s="12" t="s">
        <v>36</v>
      </c>
      <c r="F35" s="35">
        <f>(F31*3.413+F33*100)/F18</f>
        <v>11.652398439455805</v>
      </c>
      <c r="H35" s="194"/>
      <c r="K35" t="s">
        <v>3</v>
      </c>
      <c r="L35" s="47" t="s">
        <v>3</v>
      </c>
    </row>
    <row r="36" spans="2:12" ht="15.75" thickBot="1" x14ac:dyDescent="0.3">
      <c r="B36" s="68" t="s">
        <v>35</v>
      </c>
      <c r="C36" s="69">
        <f>F33*C28</f>
        <v>13347.807397655999</v>
      </c>
      <c r="D36" s="20"/>
      <c r="E36" s="70" t="s">
        <v>37</v>
      </c>
      <c r="F36" s="71">
        <f>C35+C36</f>
        <v>27483.009181549616</v>
      </c>
      <c r="H36" s="194"/>
      <c r="K36" s="47" t="s">
        <v>3</v>
      </c>
      <c r="L36" s="47"/>
    </row>
    <row r="37" spans="2:12" ht="24" customHeight="1" x14ac:dyDescent="0.25">
      <c r="B37" s="217"/>
      <c r="C37" s="217"/>
      <c r="D37" s="217"/>
      <c r="E37" s="217"/>
      <c r="F37" s="217"/>
    </row>
    <row r="38" spans="2:12" ht="15.75" thickBot="1" x14ac:dyDescent="0.3">
      <c r="B38" s="221"/>
      <c r="C38" s="221"/>
      <c r="D38" s="221"/>
      <c r="E38" s="221"/>
      <c r="F38" s="221"/>
    </row>
    <row r="39" spans="2:12" x14ac:dyDescent="0.25">
      <c r="B39" s="216"/>
      <c r="C39" s="217"/>
      <c r="D39" s="217"/>
      <c r="E39" s="217"/>
      <c r="F39" s="218"/>
    </row>
    <row r="40" spans="2:12" x14ac:dyDescent="0.25">
      <c r="B40" s="219"/>
      <c r="C40" s="221"/>
      <c r="D40" s="221"/>
      <c r="E40" s="221"/>
      <c r="F40" s="220"/>
    </row>
    <row r="41" spans="2:12" x14ac:dyDescent="0.25">
      <c r="B41" s="219"/>
      <c r="C41" s="221"/>
      <c r="D41" s="221"/>
      <c r="E41" s="221"/>
      <c r="F41" s="220"/>
    </row>
    <row r="42" spans="2:12" x14ac:dyDescent="0.25">
      <c r="B42" s="219"/>
      <c r="C42" s="221"/>
      <c r="D42" s="221"/>
      <c r="E42" s="221"/>
      <c r="F42" s="220"/>
    </row>
    <row r="43" spans="2:12" x14ac:dyDescent="0.25">
      <c r="B43" s="219"/>
      <c r="C43" s="221"/>
      <c r="D43" s="221"/>
      <c r="E43" s="221"/>
      <c r="F43" s="220"/>
    </row>
    <row r="44" spans="2:12" x14ac:dyDescent="0.25">
      <c r="B44" s="219"/>
      <c r="C44" s="221"/>
      <c r="D44" s="221"/>
      <c r="E44" s="221"/>
      <c r="F44" s="220"/>
    </row>
    <row r="45" spans="2:12" x14ac:dyDescent="0.25">
      <c r="B45" s="219"/>
      <c r="C45" s="221"/>
      <c r="D45" s="221"/>
      <c r="E45" s="221"/>
      <c r="F45" s="220"/>
    </row>
    <row r="46" spans="2:12" x14ac:dyDescent="0.25">
      <c r="B46" s="219"/>
      <c r="C46" s="221"/>
      <c r="D46" s="221"/>
      <c r="E46" s="221"/>
      <c r="F46" s="220"/>
    </row>
    <row r="47" spans="2:12" x14ac:dyDescent="0.25">
      <c r="B47" s="219"/>
      <c r="C47" s="221"/>
      <c r="D47" s="221"/>
      <c r="E47" s="221"/>
      <c r="F47" s="220"/>
    </row>
    <row r="48" spans="2:12" x14ac:dyDescent="0.25">
      <c r="B48" s="219"/>
      <c r="C48" s="221"/>
      <c r="D48" s="221"/>
      <c r="E48" s="221"/>
      <c r="F48" s="220"/>
    </row>
    <row r="49" spans="2:6" x14ac:dyDescent="0.25">
      <c r="B49" s="219"/>
      <c r="C49" s="221"/>
      <c r="D49" s="221"/>
      <c r="E49" s="221"/>
      <c r="F49" s="220"/>
    </row>
    <row r="50" spans="2:6" x14ac:dyDescent="0.25">
      <c r="B50" s="219"/>
      <c r="C50" s="221"/>
      <c r="D50" s="221"/>
      <c r="E50" s="221"/>
      <c r="F50" s="220"/>
    </row>
    <row r="51" spans="2:6" x14ac:dyDescent="0.25">
      <c r="B51" s="219"/>
      <c r="C51" s="221"/>
      <c r="D51" s="221"/>
      <c r="E51" s="221"/>
      <c r="F51" s="220"/>
    </row>
    <row r="52" spans="2:6" x14ac:dyDescent="0.25">
      <c r="B52" s="219"/>
      <c r="C52" s="221"/>
      <c r="D52" s="221"/>
      <c r="E52" s="221"/>
      <c r="F52" s="220"/>
    </row>
    <row r="53" spans="2:6" ht="31.5" customHeight="1" x14ac:dyDescent="0.25">
      <c r="B53" s="219"/>
      <c r="C53" s="221"/>
      <c r="D53" s="221"/>
      <c r="E53" s="221"/>
      <c r="F53" s="220"/>
    </row>
    <row r="54" spans="2:6" ht="19.5" thickBot="1" x14ac:dyDescent="0.3">
      <c r="B54" s="239" t="s">
        <v>59</v>
      </c>
      <c r="C54" s="240"/>
      <c r="D54" s="49"/>
      <c r="E54" s="49"/>
      <c r="F54" s="50">
        <f>X26</f>
        <v>5.0618766305768038E-2</v>
      </c>
    </row>
    <row r="55" spans="2:6" x14ac:dyDescent="0.25">
      <c r="B55" s="216"/>
      <c r="C55" s="217"/>
      <c r="D55" s="217"/>
      <c r="E55" s="217"/>
      <c r="F55" s="218"/>
    </row>
    <row r="56" spans="2:6" x14ac:dyDescent="0.25">
      <c r="B56" s="219"/>
      <c r="C56" s="221"/>
      <c r="D56" s="221"/>
      <c r="E56" s="221"/>
      <c r="F56" s="220"/>
    </row>
    <row r="57" spans="2:6" x14ac:dyDescent="0.25">
      <c r="B57" s="219"/>
      <c r="C57" s="221"/>
      <c r="D57" s="221"/>
      <c r="E57" s="221"/>
      <c r="F57" s="220"/>
    </row>
    <row r="58" spans="2:6" x14ac:dyDescent="0.25">
      <c r="B58" s="219"/>
      <c r="C58" s="221"/>
      <c r="D58" s="221"/>
      <c r="E58" s="221"/>
      <c r="F58" s="220"/>
    </row>
    <row r="59" spans="2:6" x14ac:dyDescent="0.25">
      <c r="B59" s="219"/>
      <c r="C59" s="221"/>
      <c r="D59" s="221"/>
      <c r="E59" s="221"/>
      <c r="F59" s="220"/>
    </row>
    <row r="60" spans="2:6" x14ac:dyDescent="0.25">
      <c r="B60" s="219"/>
      <c r="C60" s="221"/>
      <c r="D60" s="221"/>
      <c r="E60" s="221"/>
      <c r="F60" s="220"/>
    </row>
    <row r="61" spans="2:6" x14ac:dyDescent="0.25">
      <c r="B61" s="219"/>
      <c r="C61" s="221"/>
      <c r="D61" s="221"/>
      <c r="E61" s="221"/>
      <c r="F61" s="220"/>
    </row>
    <row r="62" spans="2:6" x14ac:dyDescent="0.25">
      <c r="B62" s="219"/>
      <c r="C62" s="221"/>
      <c r="D62" s="221"/>
      <c r="E62" s="221"/>
      <c r="F62" s="220"/>
    </row>
    <row r="63" spans="2:6" x14ac:dyDescent="0.25">
      <c r="B63" s="219"/>
      <c r="C63" s="221"/>
      <c r="D63" s="221"/>
      <c r="E63" s="221"/>
      <c r="F63" s="220"/>
    </row>
    <row r="64" spans="2:6"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ht="6" customHeight="1" x14ac:dyDescent="0.25">
      <c r="B70" s="219"/>
      <c r="C70" s="221"/>
      <c r="D70" s="221"/>
      <c r="E70" s="221"/>
      <c r="F70" s="220"/>
    </row>
    <row r="71" spans="2:6" ht="29.25" customHeight="1" x14ac:dyDescent="0.25">
      <c r="B71" s="219"/>
      <c r="C71" s="221"/>
      <c r="D71" s="221"/>
      <c r="E71" s="221"/>
      <c r="F71" s="220"/>
    </row>
    <row r="72" spans="2:6" ht="19.5" thickBot="1" x14ac:dyDescent="0.3">
      <c r="B72" s="239" t="s">
        <v>68</v>
      </c>
      <c r="C72" s="240"/>
      <c r="D72" s="49"/>
      <c r="E72" s="49"/>
      <c r="F72" s="50">
        <f>Z26</f>
        <v>6.6521843863686342E-2</v>
      </c>
    </row>
  </sheetData>
  <mergeCells count="21">
    <mergeCell ref="W23:X23"/>
    <mergeCell ref="Y23:Z23"/>
    <mergeCell ref="B72:C72"/>
    <mergeCell ref="B10:C10"/>
    <mergeCell ref="B11:D11"/>
    <mergeCell ref="B16:C16"/>
    <mergeCell ref="E16:F16"/>
    <mergeCell ref="E24:F24"/>
    <mergeCell ref="E25:F25"/>
    <mergeCell ref="B26:C26"/>
    <mergeCell ref="E29:F29"/>
    <mergeCell ref="B30:F30"/>
    <mergeCell ref="B54:C54"/>
    <mergeCell ref="B7:B8"/>
    <mergeCell ref="C7:D7"/>
    <mergeCell ref="C8:D8"/>
    <mergeCell ref="B3:F3"/>
    <mergeCell ref="C4:F4"/>
    <mergeCell ref="B5:B6"/>
    <mergeCell ref="C5:D5"/>
    <mergeCell ref="C6:D6"/>
  </mergeCells>
  <conditionalFormatting sqref="H18">
    <cfRule type="containsText" dxfId="8" priority="2"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7" priority="1"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6" priority="3"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7">
    <cfRule type="containsText" dxfId="5" priority="4"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dataValidations disablePrompts="1" count="4">
    <dataValidation type="whole" allowBlank="1" showInputMessage="1" showErrorMessage="1" sqref="F19" xr:uid="{00000000-0002-0000-0500-000000000000}">
      <formula1>1</formula1>
      <formula2>100</formula2>
    </dataValidation>
    <dataValidation type="decimal" allowBlank="1" showInputMessage="1" showErrorMessage="1" sqref="F28" xr:uid="{00000000-0002-0000-0500-000001000000}">
      <formula1>0</formula1>
      <formula2>F18</formula2>
    </dataValidation>
    <dataValidation type="whole" allowBlank="1" showInputMessage="1" showErrorMessage="1" sqref="C23:C24" xr:uid="{00000000-0002-0000-0500-000002000000}">
      <formula1>0</formula1>
      <formula2>10000</formula2>
    </dataValidation>
    <dataValidation type="list" allowBlank="1" showInputMessage="1" showErrorMessage="1" sqref="C19" xr:uid="{00000000-0002-0000-0500-000003000000}">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00000000-0002-0000-0500-000004000000}">
          <x14:formula1>
            <xm:f>Lists!$BC$2:$BC$4</xm:f>
          </x14:formula1>
          <xm:sqref>F21</xm:sqref>
        </x14:dataValidation>
        <x14:dataValidation type="list" allowBlank="1" showInputMessage="1" showErrorMessage="1" xr:uid="{00000000-0002-0000-0500-000005000000}">
          <x14:formula1>
            <xm:f>Lists!$BD$29:$BD$30</xm:f>
          </x14:formula1>
          <xm:sqref>F20</xm:sqref>
        </x14:dataValidation>
        <x14:dataValidation type="list" allowBlank="1" showInputMessage="1" showErrorMessage="1" xr:uid="{00000000-0002-0000-0500-000006000000}">
          <x14:formula1>
            <xm:f>Lists!$B$2:$B$52</xm:f>
          </x14:formula1>
          <xm:sqref>C18</xm:sqref>
        </x14:dataValidation>
        <x14:dataValidation type="list" allowBlank="1" showInputMessage="1" showErrorMessage="1" xr:uid="{00000000-0002-0000-0500-000007000000}">
          <x14:formula1>
            <xm:f>Lists!$BB$2:$BB$3</xm:f>
          </x14:formula1>
          <xm:sqref>F26</xm:sqref>
        </x14:dataValidation>
        <x14:dataValidation type="list" allowBlank="1" showInputMessage="1" showErrorMessage="1" xr:uid="{67E18997-A557-49C8-825D-F4A743122BFD}">
          <x14:formula1>
            <xm:f>Lists!$A$2:$A$3</xm:f>
          </x14:formula1>
          <xm:sqref>F23</xm:sqref>
        </x14:dataValidation>
        <x14:dataValidation type="list" allowBlank="1" showInputMessage="1" showErrorMessage="1" xr:uid="{AA12F24B-6048-4C97-BF99-83D8AC417942}">
          <x14:formula1>
            <xm:f>Lists!$BH$2:$BH$3</xm:f>
          </x14:formula1>
          <xm:sqref>F22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5E82-8D7B-4F81-8DFB-876F31EF9FB3}">
  <sheetPr codeName="Sheet3">
    <pageSetUpPr fitToPage="1"/>
  </sheetPr>
  <dimension ref="A1:AE73"/>
  <sheetViews>
    <sheetView zoomScale="125" zoomScaleNormal="125" workbookViewId="0">
      <selection activeCell="C23" sqref="C23"/>
    </sheetView>
  </sheetViews>
  <sheetFormatPr defaultColWidth="8.85546875" defaultRowHeight="15" x14ac:dyDescent="0.25"/>
  <cols>
    <col min="1" max="1" width="2.85546875" customWidth="1"/>
    <col min="2" max="2" width="24.85546875" customWidth="1"/>
    <col min="3" max="3" width="23.7109375" customWidth="1"/>
    <col min="4" max="4" width="4.85546875" customWidth="1"/>
    <col min="5" max="5" width="22.5703125" customWidth="1"/>
    <col min="6" max="6" width="20.85546875" customWidth="1"/>
    <col min="7" max="7" width="2.42578125" customWidth="1"/>
    <col min="8" max="8" width="102.5703125" customWidth="1"/>
    <col min="9" max="9" width="4.28515625" customWidth="1"/>
    <col min="10" max="10" width="7.5703125" hidden="1" customWidth="1"/>
    <col min="11" max="11" width="4.28515625" hidden="1" customWidth="1"/>
    <col min="12" max="13" width="12.42578125" hidden="1" customWidth="1"/>
    <col min="14" max="14" width="14.42578125" hidden="1" customWidth="1"/>
    <col min="15" max="16" width="19" hidden="1" customWidth="1"/>
    <col min="17" max="17" width="16.140625" hidden="1" customWidth="1"/>
    <col min="18" max="18" width="37.7109375" hidden="1" customWidth="1"/>
    <col min="19" max="22" width="9.140625" hidden="1" customWidth="1"/>
    <col min="23" max="23" width="11.5703125" hidden="1" customWidth="1"/>
    <col min="24" max="24" width="10.7109375" hidden="1" customWidth="1"/>
    <col min="25" max="25" width="9.140625" hidden="1" customWidth="1"/>
    <col min="26" max="26" width="3" hidden="1" customWidth="1"/>
    <col min="27" max="34" width="0" hidden="1" customWidth="1"/>
  </cols>
  <sheetData>
    <row r="1" spans="1:18" ht="30.75" customHeight="1" x14ac:dyDescent="0.25">
      <c r="A1" s="1"/>
      <c r="B1" s="43" t="s">
        <v>152</v>
      </c>
      <c r="C1" s="44"/>
      <c r="D1" s="44"/>
      <c r="E1" s="95"/>
      <c r="F1" s="112" t="str">
        <f>F17</f>
        <v>Low-rise Multifamily</v>
      </c>
      <c r="H1" s="116" t="s">
        <v>200</v>
      </c>
    </row>
    <row r="2" spans="1:18" ht="31.35" customHeight="1" x14ac:dyDescent="0.25">
      <c r="A2" s="1"/>
      <c r="B2" s="118" t="s">
        <v>1250</v>
      </c>
      <c r="C2" s="102"/>
      <c r="D2" s="102"/>
      <c r="E2" s="102"/>
      <c r="F2" s="119">
        <v>45670</v>
      </c>
      <c r="H2" s="193" t="s">
        <v>1220</v>
      </c>
    </row>
    <row r="3" spans="1:18" x14ac:dyDescent="0.25">
      <c r="A3" s="1"/>
      <c r="B3" s="235" t="s">
        <v>206</v>
      </c>
      <c r="C3" s="236"/>
      <c r="D3" s="236"/>
      <c r="E3" s="236"/>
      <c r="F3" s="237"/>
      <c r="H3" s="2"/>
    </row>
    <row r="4" spans="1:18" ht="15.75" x14ac:dyDescent="0.25">
      <c r="A4" s="1"/>
      <c r="B4" s="120" t="s">
        <v>207</v>
      </c>
      <c r="C4" s="238" t="s">
        <v>1247</v>
      </c>
      <c r="D4" s="238"/>
      <c r="E4" s="238"/>
      <c r="F4" s="238"/>
      <c r="H4" s="176"/>
    </row>
    <row r="5" spans="1:18" ht="15.75" x14ac:dyDescent="0.25">
      <c r="A5" s="1"/>
      <c r="B5" s="229" t="s">
        <v>208</v>
      </c>
      <c r="C5" s="233" t="s">
        <v>209</v>
      </c>
      <c r="D5" s="234"/>
      <c r="E5" s="121" t="s">
        <v>210</v>
      </c>
      <c r="F5" s="121" t="s">
        <v>211</v>
      </c>
      <c r="H5" s="176"/>
    </row>
    <row r="6" spans="1:18" ht="15.75" x14ac:dyDescent="0.25">
      <c r="A6" s="1"/>
      <c r="B6" s="230"/>
      <c r="C6" s="227" t="s">
        <v>3</v>
      </c>
      <c r="D6" s="228"/>
      <c r="E6" s="201" t="s">
        <v>1245</v>
      </c>
      <c r="F6" s="201"/>
      <c r="H6" s="176"/>
    </row>
    <row r="7" spans="1:18" ht="15.75" x14ac:dyDescent="0.25">
      <c r="A7" s="1"/>
      <c r="B7" s="231" t="s">
        <v>221</v>
      </c>
      <c r="C7" s="233" t="s">
        <v>212</v>
      </c>
      <c r="D7" s="234"/>
      <c r="E7" s="121" t="s">
        <v>213</v>
      </c>
      <c r="F7" s="121" t="s">
        <v>214</v>
      </c>
      <c r="H7" s="176"/>
    </row>
    <row r="8" spans="1:18" ht="15.75" x14ac:dyDescent="0.25">
      <c r="A8" s="1"/>
      <c r="B8" s="232"/>
      <c r="C8" s="227" t="s">
        <v>3</v>
      </c>
      <c r="D8" s="228"/>
      <c r="E8" s="201"/>
      <c r="F8" s="201"/>
      <c r="H8" s="176"/>
    </row>
    <row r="9" spans="1:18" ht="9.75" customHeight="1" x14ac:dyDescent="0.25">
      <c r="A9" s="1"/>
      <c r="B9" s="45"/>
      <c r="C9" s="21"/>
      <c r="D9" s="21"/>
      <c r="E9" s="21"/>
      <c r="F9" s="46"/>
      <c r="H9" s="176"/>
    </row>
    <row r="10" spans="1:18" ht="23.45" customHeight="1" x14ac:dyDescent="0.25">
      <c r="A10" s="1"/>
      <c r="B10" s="241" t="s">
        <v>46</v>
      </c>
      <c r="C10" s="242"/>
      <c r="D10" s="102"/>
      <c r="E10" s="103"/>
      <c r="F10" s="97">
        <f>F32</f>
        <v>73952.525083275992</v>
      </c>
      <c r="H10" s="176"/>
    </row>
    <row r="11" spans="1:18" ht="23.45" customHeight="1" x14ac:dyDescent="0.25">
      <c r="A11" s="1"/>
      <c r="B11" s="243" t="s">
        <v>47</v>
      </c>
      <c r="C11" s="244"/>
      <c r="D11" s="244"/>
      <c r="E11" s="22"/>
      <c r="F11" s="97">
        <f>F34</f>
        <v>0</v>
      </c>
      <c r="H11" s="176"/>
    </row>
    <row r="12" spans="1:18" ht="23.45" customHeight="1" x14ac:dyDescent="0.25">
      <c r="A12" s="1"/>
      <c r="B12" s="104" t="s">
        <v>153</v>
      </c>
      <c r="C12" s="105"/>
      <c r="D12" s="105"/>
      <c r="E12" s="103"/>
      <c r="F12" s="101">
        <f>F37</f>
        <v>12571.929264156919</v>
      </c>
      <c r="H12" s="176"/>
    </row>
    <row r="13" spans="1:18" ht="23.45" customHeight="1" x14ac:dyDescent="0.25">
      <c r="A13" s="1"/>
      <c r="B13" s="100" t="s">
        <v>201</v>
      </c>
      <c r="C13" s="96"/>
      <c r="D13" s="96"/>
      <c r="E13" s="51"/>
      <c r="F13" s="98">
        <f>S25</f>
        <v>9.3267983469552007</v>
      </c>
      <c r="H13" s="176"/>
    </row>
    <row r="14" spans="1:18" ht="23.45" customHeight="1" x14ac:dyDescent="0.25">
      <c r="A14" s="1"/>
      <c r="B14" s="104" t="s">
        <v>203</v>
      </c>
      <c r="C14" s="105"/>
      <c r="D14" s="106"/>
      <c r="E14" s="99">
        <f>F55</f>
        <v>0.28377398379235674</v>
      </c>
      <c r="F14" s="98">
        <f>F36</f>
        <v>12.619998405461047</v>
      </c>
      <c r="H14" s="176"/>
    </row>
    <row r="15" spans="1:18" ht="9" customHeight="1" thickBot="1" x14ac:dyDescent="0.3">
      <c r="A15" s="1"/>
      <c r="B15" s="36"/>
      <c r="F15" s="25"/>
      <c r="H15" s="176"/>
    </row>
    <row r="16" spans="1:18" ht="15.75" x14ac:dyDescent="0.25">
      <c r="A16" s="1"/>
      <c r="B16" s="250" t="s">
        <v>48</v>
      </c>
      <c r="C16" s="251"/>
      <c r="D16" s="39"/>
      <c r="E16" s="251" t="s">
        <v>22</v>
      </c>
      <c r="F16" s="252"/>
      <c r="H16" s="196"/>
      <c r="R16">
        <f>Q16*0.3</f>
        <v>0</v>
      </c>
    </row>
    <row r="17" spans="1:31" ht="15.75" x14ac:dyDescent="0.25">
      <c r="A17" s="1"/>
      <c r="B17" s="72"/>
      <c r="C17" s="73"/>
      <c r="D17" s="20"/>
      <c r="E17" s="123" t="s">
        <v>13</v>
      </c>
      <c r="F17" s="122" t="str">
        <f>IF(F19&lt;4,"Low-rise Multifamily","Mid-rise Multifamily")</f>
        <v>Low-rise Multifamily</v>
      </c>
      <c r="H17" s="176"/>
      <c r="L17" s="1"/>
    </row>
    <row r="18" spans="1:31" ht="28.5" customHeight="1" x14ac:dyDescent="0.25">
      <c r="A18" s="1"/>
      <c r="B18" s="24" t="s">
        <v>74</v>
      </c>
      <c r="C18" s="202" t="s">
        <v>1023</v>
      </c>
      <c r="D18" s="20"/>
      <c r="E18" s="123" t="s">
        <v>51</v>
      </c>
      <c r="F18" s="203">
        <v>20000</v>
      </c>
      <c r="H18" s="178" t="str">
        <f>IF(OR($F$18&lt;10000,$F$18&gt;150000),"WARNING: Minimum or maximum input limits for accurate results exceeded. Interpret results carefully.","Minimum multi-family size limit is approximately 10,000 sq.ft.  Maximum size limit is approximately 150,000 sq.ft.")</f>
        <v>Minimum multi-family size limit is approximately 10,000 sq.ft.  Maximum size limit is approximately 150,000 sq.ft.</v>
      </c>
    </row>
    <row r="19" spans="1:31" x14ac:dyDescent="0.25">
      <c r="A19" s="1"/>
      <c r="B19" s="24" t="s">
        <v>11</v>
      </c>
      <c r="C19" s="202" t="s">
        <v>712</v>
      </c>
      <c r="D19" s="20"/>
      <c r="E19" s="3" t="s">
        <v>108</v>
      </c>
      <c r="F19" s="204">
        <v>2</v>
      </c>
      <c r="H19" s="194" t="s">
        <v>1226</v>
      </c>
      <c r="L19" s="8"/>
      <c r="M19" s="8"/>
    </row>
    <row r="20" spans="1:31" ht="28.5" x14ac:dyDescent="0.25">
      <c r="A20" s="1"/>
      <c r="B20" s="24" t="s">
        <v>24</v>
      </c>
      <c r="C20" s="202" t="s">
        <v>1246</v>
      </c>
      <c r="D20" s="20"/>
      <c r="E20" s="3" t="s">
        <v>15</v>
      </c>
      <c r="F20" s="204" t="s">
        <v>132</v>
      </c>
      <c r="H20" s="178" t="s">
        <v>1227</v>
      </c>
    </row>
    <row r="21" spans="1:31" x14ac:dyDescent="0.25">
      <c r="A21" s="1"/>
      <c r="B21" s="24" t="s">
        <v>25</v>
      </c>
      <c r="C21" s="202" t="s">
        <v>127</v>
      </c>
      <c r="D21" s="20"/>
      <c r="E21" s="3" t="s">
        <v>33</v>
      </c>
      <c r="F21" s="203" t="s">
        <v>29</v>
      </c>
      <c r="H21" s="178"/>
      <c r="W21" s="11" t="s">
        <v>19</v>
      </c>
      <c r="X21" s="11" t="s">
        <v>1195</v>
      </c>
    </row>
    <row r="22" spans="1:31" x14ac:dyDescent="0.25">
      <c r="A22" s="1"/>
      <c r="B22" s="72"/>
      <c r="C22" s="73"/>
      <c r="D22" s="20"/>
      <c r="E22" s="3" t="s">
        <v>1178</v>
      </c>
      <c r="F22" s="205" t="s">
        <v>1180</v>
      </c>
      <c r="H22" s="178" t="str">
        <f>IF($F$22="No","Savings does not include reduction in mechanical cooling.","Savings includes reduction in mechanical cooling.")</f>
        <v>Savings includes reduction in mechanical cooling.</v>
      </c>
      <c r="J22" t="s">
        <v>3</v>
      </c>
      <c r="L22" t="s">
        <v>156</v>
      </c>
      <c r="S22" s="226" t="s">
        <v>157</v>
      </c>
      <c r="T22" s="226"/>
      <c r="U22" s="226"/>
      <c r="V22" s="109"/>
      <c r="W22" s="5" t="s">
        <v>1037</v>
      </c>
      <c r="X22" s="5" t="s">
        <v>1037</v>
      </c>
      <c r="Y22" s="5" t="s">
        <v>1190</v>
      </c>
      <c r="AA22" t="s">
        <v>161</v>
      </c>
    </row>
    <row r="23" spans="1:31" x14ac:dyDescent="0.25">
      <c r="B23" s="32" t="s">
        <v>45</v>
      </c>
      <c r="C23" s="94">
        <f>VLOOKUP($C$19,'Weather Information'!$B$3:$D$877,2,FALSE)</f>
        <v>3465</v>
      </c>
      <c r="D23" s="20"/>
      <c r="E23" s="3" t="s">
        <v>1034</v>
      </c>
      <c r="F23" s="206" t="s">
        <v>1</v>
      </c>
      <c r="H23" s="178" t="str">
        <f>IF($F$23="Single pane","U-assembly = 1.03 Btu/hr-SF-F; SHGC = 0.73","U-assembly = 0.57 Btu/hr-SF-F; SHGC = 0.63")</f>
        <v>U-assembly = 1.03 Btu/hr-SF-F; SHGC = 0.73</v>
      </c>
      <c r="L23" s="2" t="s">
        <v>1030</v>
      </c>
      <c r="M23" s="2" t="s">
        <v>190</v>
      </c>
      <c r="N23" s="2" t="s">
        <v>112</v>
      </c>
      <c r="O23" s="5" t="s">
        <v>13</v>
      </c>
      <c r="P23" s="5" t="s">
        <v>15</v>
      </c>
      <c r="Q23" s="5" t="s">
        <v>6</v>
      </c>
      <c r="R23" s="5" t="s">
        <v>30</v>
      </c>
      <c r="S23" s="107" t="s">
        <v>159</v>
      </c>
      <c r="T23" s="108" t="s">
        <v>158</v>
      </c>
      <c r="U23" s="5" t="s">
        <v>160</v>
      </c>
      <c r="V23" s="5" t="s">
        <v>9</v>
      </c>
      <c r="W23" s="5" t="s">
        <v>1040</v>
      </c>
      <c r="X23" s="5" t="s">
        <v>1040</v>
      </c>
      <c r="Y23" s="5" t="s">
        <v>1040</v>
      </c>
      <c r="AA23" s="226" t="s">
        <v>9</v>
      </c>
      <c r="AB23" s="226"/>
      <c r="AC23" s="226" t="s">
        <v>162</v>
      </c>
      <c r="AD23" s="226"/>
    </row>
    <row r="24" spans="1:31" x14ac:dyDescent="0.25">
      <c r="B24" s="32" t="s">
        <v>49</v>
      </c>
      <c r="C24" s="94">
        <f>VLOOKUP($C$19,'Weather Information'!$B$3:$D$877,3,FALSE)</f>
        <v>1566</v>
      </c>
      <c r="D24" s="20"/>
      <c r="E24" s="3" t="s">
        <v>1036</v>
      </c>
      <c r="F24" s="206" t="s">
        <v>1038</v>
      </c>
      <c r="H24" s="178" t="str">
        <f>IF($F$24="Excluded","Savings does not include any reduction associated with improved air leakage.","Savings includes contribution of reduced air leakage.")</f>
        <v>Savings includes contribution of reduced air leakage.</v>
      </c>
      <c r="L24" s="2"/>
      <c r="M24" s="2"/>
      <c r="N24" s="2"/>
      <c r="O24" s="5"/>
      <c r="P24" s="5"/>
      <c r="Q24" s="5"/>
      <c r="R24" s="5"/>
      <c r="S24" s="107"/>
      <c r="T24" s="108"/>
      <c r="U24" s="5"/>
      <c r="V24" s="5"/>
      <c r="W24" s="5"/>
      <c r="X24" s="5"/>
      <c r="Y24" s="5"/>
      <c r="AA24" s="5"/>
      <c r="AB24" s="5"/>
      <c r="AC24" s="5"/>
      <c r="AD24" s="5"/>
    </row>
    <row r="25" spans="1:31" x14ac:dyDescent="0.25">
      <c r="A25" t="s">
        <v>3</v>
      </c>
      <c r="B25" s="40"/>
      <c r="C25" s="41"/>
      <c r="D25" s="20"/>
      <c r="E25" s="255"/>
      <c r="F25" s="255"/>
      <c r="H25" s="195"/>
      <c r="K25" t="s">
        <v>154</v>
      </c>
      <c r="L25" s="64" t="str">
        <f>IF(F23="Single pane","Single","Double")</f>
        <v>Single</v>
      </c>
      <c r="M25" s="64" t="str">
        <f>F27</f>
        <v>Single</v>
      </c>
      <c r="N25" s="2" t="str">
        <f>IF($F$19&lt;4,"Low","Mid")</f>
        <v>Low</v>
      </c>
      <c r="O25" s="2" t="s">
        <v>1033</v>
      </c>
      <c r="P25" s="5" t="str">
        <f>IF(N25="Low","PTAC","FCU")</f>
        <v>PTAC</v>
      </c>
      <c r="Q25" s="5" t="str">
        <f>IF(OR(F21="None",F20="PTAC"),"Electric",F21)</f>
        <v>Electric</v>
      </c>
      <c r="R25" s="5" t="str">
        <f>CONCATENATE(L25,M25,N25,O25,P25,Q25)</f>
        <v>SingleSingleLowMFPTACElectric</v>
      </c>
      <c r="S25" s="2">
        <f>IF($F$21="None",0,VLOOKUP(R25,'Savings Lookup'!$I$41:$L$109,2,FALSE))</f>
        <v>9.3267983469552007</v>
      </c>
      <c r="T25" s="2">
        <f>VLOOKUP(R25,'Savings Lookup'!$I$41:$L$109,3,FALSE)</f>
        <v>5.4637066696999996</v>
      </c>
      <c r="U25" s="2">
        <f>VLOOKUP(R25,'Savings Lookup'!$I$41:$L$109,4,FALSE)</f>
        <v>0</v>
      </c>
      <c r="V25" s="2">
        <f>VLOOKUP(R25,'Savings Lookup'!$I$41:$P$109,8,FALSE)</f>
        <v>44.472006336900002</v>
      </c>
      <c r="W25" s="184">
        <f>IF($F$24="Excluded",VLOOKUP(R25,'Savings Lookup'!$I$101:$AF$109,23,FALSE),1)</f>
        <v>1</v>
      </c>
      <c r="X25" s="184">
        <f>IF($F$24="Excluded",VLOOKUP(R25,'Savings Lookup'!$I$101:$AF$109,24,FALSE),1)</f>
        <v>1</v>
      </c>
      <c r="Y25" s="2">
        <f>IF($F$22="No",VLOOKUP(R25,'Savings Lookup'!$I$5:$AG$109,25,FALSE),1)</f>
        <v>1</v>
      </c>
      <c r="Z25" t="s">
        <v>3</v>
      </c>
      <c r="AA25" s="2">
        <f>VLOOKUP(R25,'Savings Lookup'!$I$5:$P$109,8,FALSE)</f>
        <v>44.472006336900002</v>
      </c>
      <c r="AB25" s="2">
        <v>0</v>
      </c>
      <c r="AC25" s="85">
        <f>VLOOKUP(R25,'Savings Lookup'!$I$41:$AB$109,17,FALSE)</f>
        <v>28.262978939999996</v>
      </c>
      <c r="AD25" s="2">
        <v>0</v>
      </c>
      <c r="AE25" s="4" t="s">
        <v>57</v>
      </c>
    </row>
    <row r="26" spans="1:31" x14ac:dyDescent="0.25">
      <c r="A26" s="1"/>
      <c r="B26" s="40"/>
      <c r="C26" s="41"/>
      <c r="D26" s="20" t="s">
        <v>3</v>
      </c>
      <c r="E26" s="246" t="s">
        <v>188</v>
      </c>
      <c r="F26" s="246"/>
      <c r="H26" s="177"/>
      <c r="L26" s="64"/>
      <c r="M26" s="64"/>
      <c r="N26" s="2"/>
      <c r="O26" s="2"/>
      <c r="P26" s="5"/>
      <c r="Q26" s="5"/>
      <c r="R26" s="5"/>
      <c r="S26" s="2"/>
      <c r="T26" s="2"/>
      <c r="U26" s="2"/>
      <c r="V26" s="2"/>
      <c r="W26" s="2"/>
      <c r="X26" s="2"/>
      <c r="Y26" s="2"/>
      <c r="Z26" t="s">
        <v>3</v>
      </c>
      <c r="AA26" s="56">
        <f>AA25-F36</f>
        <v>31.852007931438955</v>
      </c>
      <c r="AB26" s="56">
        <f>AA25-AA26</f>
        <v>12.619998405461047</v>
      </c>
      <c r="AC26" s="85">
        <f>VLOOKUP(R25,'Savings Lookup'!$I$41:$AB$109,20,FALSE)</f>
        <v>15.049782643541665</v>
      </c>
      <c r="AD26" s="56">
        <f>AC25-AC26</f>
        <v>13.213196296458332</v>
      </c>
      <c r="AE26" s="4" t="s">
        <v>189</v>
      </c>
    </row>
    <row r="27" spans="1:31" ht="22.15" customHeight="1" x14ac:dyDescent="0.25">
      <c r="A27" s="1"/>
      <c r="B27" s="245" t="s">
        <v>50</v>
      </c>
      <c r="C27" s="246"/>
      <c r="D27" s="20"/>
      <c r="E27" s="3" t="s">
        <v>186</v>
      </c>
      <c r="F27" s="207" t="s">
        <v>17</v>
      </c>
      <c r="H27" s="178" t="str">
        <f>IF(AND(F25="Double pane",F27="Double"),"WARNING: Double pane primary and double pane secondary windows are an invalid combination.","Do not select double pane secondary windows added to double pane primary windows.")</f>
        <v>Do not select double pane secondary windows added to double pane primary windows.</v>
      </c>
      <c r="L27" t="s">
        <v>3</v>
      </c>
      <c r="S27" t="s">
        <v>3</v>
      </c>
      <c r="Z27" t="s">
        <v>3</v>
      </c>
      <c r="AA27" t="s">
        <v>163</v>
      </c>
      <c r="AB27">
        <f>AB26/AA25</f>
        <v>0.28377398379235674</v>
      </c>
      <c r="AD27">
        <f>AD26/AC25</f>
        <v>0.46750897435506966</v>
      </c>
    </row>
    <row r="28" spans="1:31" ht="30" customHeight="1" x14ac:dyDescent="0.25">
      <c r="B28" s="26" t="s">
        <v>26</v>
      </c>
      <c r="C28" s="209">
        <v>0.17</v>
      </c>
      <c r="D28" s="20"/>
      <c r="E28" s="3" t="s">
        <v>187</v>
      </c>
      <c r="F28" s="208">
        <v>5000</v>
      </c>
      <c r="H28" s="194" t="str">
        <f>IF(F29&gt;0.5,"WARNING:  Sq.Ft of CSW Installed Appears Larger than Practical for this Building Size. Typical window to window to wall ratio is 0.1 to 0.5","Typical building Window-Wall Ratio (WWR) is between 0.1-0.5.  If unsure about actual CSW Sq.Ft., input CSW area such that WWR is 0.25.")</f>
        <v>Typical building Window-Wall Ratio (WWR) is between 0.1-0.5.  If unsure about actual CSW Sq.Ft., input CSW area such that WWR is 0.25.</v>
      </c>
    </row>
    <row r="29" spans="1:31" ht="30" customHeight="1" x14ac:dyDescent="0.25">
      <c r="B29" s="26" t="s">
        <v>27</v>
      </c>
      <c r="C29" s="209">
        <v>0</v>
      </c>
      <c r="D29" s="20"/>
      <c r="E29" s="12" t="s">
        <v>138</v>
      </c>
      <c r="F29" s="180">
        <f>F28/((F18/F19)^0.5*4*15*F19)</f>
        <v>0.41666666666666669</v>
      </c>
      <c r="H29" s="176"/>
    </row>
    <row r="30" spans="1:31" ht="16.5" thickBot="1" x14ac:dyDescent="0.3">
      <c r="B30" s="36"/>
      <c r="E30" s="253"/>
      <c r="F30" s="254"/>
      <c r="H30" s="176"/>
    </row>
    <row r="31" spans="1:31" ht="15.75" x14ac:dyDescent="0.25">
      <c r="B31" s="247" t="s">
        <v>23</v>
      </c>
      <c r="C31" s="248"/>
      <c r="D31" s="248"/>
      <c r="E31" s="248"/>
      <c r="F31" s="249"/>
      <c r="H31" s="196"/>
    </row>
    <row r="32" spans="1:31" ht="18" x14ac:dyDescent="0.35">
      <c r="A32" t="s">
        <v>3</v>
      </c>
      <c r="B32" s="30" t="s">
        <v>1221</v>
      </c>
      <c r="C32" s="13">
        <f>$S$25*$W$25</f>
        <v>9.3267983469552007</v>
      </c>
      <c r="D32" s="29"/>
      <c r="E32" s="27" t="s">
        <v>31</v>
      </c>
      <c r="F32" s="31">
        <f>(C32+C33)*F28</f>
        <v>73952.525083275992</v>
      </c>
      <c r="H32" s="176"/>
    </row>
    <row r="33" spans="2:13" ht="18" x14ac:dyDescent="0.35">
      <c r="B33" s="32" t="s">
        <v>1222</v>
      </c>
      <c r="C33" s="13">
        <f>$T$25*$X$25*$Y$25</f>
        <v>5.4637066696999996</v>
      </c>
      <c r="D33" s="20"/>
      <c r="E33" s="12"/>
      <c r="F33" s="33"/>
      <c r="H33" s="176"/>
    </row>
    <row r="34" spans="2:13" ht="18" x14ac:dyDescent="0.35">
      <c r="B34" s="32" t="s">
        <v>1225</v>
      </c>
      <c r="C34" s="13">
        <f>$U$25*$W$25*$Y$25</f>
        <v>0</v>
      </c>
      <c r="D34" s="20"/>
      <c r="E34" s="12" t="s">
        <v>32</v>
      </c>
      <c r="F34" s="48">
        <f>C34*F28</f>
        <v>0</v>
      </c>
      <c r="H34" s="176"/>
    </row>
    <row r="35" spans="2:13" ht="15.75" x14ac:dyDescent="0.25">
      <c r="B35" s="34" t="s">
        <v>3</v>
      </c>
      <c r="C35" s="10" t="s">
        <v>3</v>
      </c>
      <c r="D35" s="20" t="s">
        <v>3</v>
      </c>
      <c r="E35" s="37"/>
      <c r="F35" s="38"/>
      <c r="H35" s="196"/>
    </row>
    <row r="36" spans="2:13" ht="15.75" x14ac:dyDescent="0.25">
      <c r="B36" s="32" t="s">
        <v>34</v>
      </c>
      <c r="C36" s="14">
        <f>F32*C28</f>
        <v>12571.929264156919</v>
      </c>
      <c r="D36" s="20"/>
      <c r="E36" s="12" t="s">
        <v>36</v>
      </c>
      <c r="F36" s="35">
        <f>(F32*3.413+F34*100)/F18</f>
        <v>12.619998405461047</v>
      </c>
      <c r="H36" s="176"/>
      <c r="L36" t="s">
        <v>3</v>
      </c>
      <c r="M36" s="47" t="s">
        <v>3</v>
      </c>
    </row>
    <row r="37" spans="2:13" ht="15.75" thickBot="1" x14ac:dyDescent="0.3">
      <c r="B37" s="68" t="s">
        <v>35</v>
      </c>
      <c r="C37" s="69">
        <f>F34*C29</f>
        <v>0</v>
      </c>
      <c r="D37" s="20"/>
      <c r="E37" s="70" t="s">
        <v>37</v>
      </c>
      <c r="F37" s="71">
        <f>C36+C37</f>
        <v>12571.929264156919</v>
      </c>
      <c r="L37" s="47" t="s">
        <v>3</v>
      </c>
      <c r="M37" s="47"/>
    </row>
    <row r="38" spans="2:13" x14ac:dyDescent="0.25">
      <c r="B38" s="217"/>
      <c r="C38" s="217"/>
      <c r="D38" s="217"/>
      <c r="E38" s="217"/>
      <c r="F38" s="217"/>
    </row>
    <row r="39" spans="2:13" ht="15.75" thickBot="1" x14ac:dyDescent="0.3">
      <c r="B39" s="221"/>
      <c r="C39" s="221"/>
      <c r="D39" s="221"/>
      <c r="E39" s="221"/>
      <c r="F39" s="221"/>
    </row>
    <row r="40" spans="2:13" x14ac:dyDescent="0.25">
      <c r="B40" s="216"/>
      <c r="C40" s="217"/>
      <c r="D40" s="217"/>
      <c r="E40" s="217"/>
      <c r="F40" s="218"/>
    </row>
    <row r="41" spans="2:13" x14ac:dyDescent="0.25">
      <c r="B41" s="219"/>
      <c r="C41" s="221"/>
      <c r="D41" s="221"/>
      <c r="E41" s="221"/>
      <c r="F41" s="220"/>
    </row>
    <row r="42" spans="2:13" x14ac:dyDescent="0.25">
      <c r="B42" s="219"/>
      <c r="C42" s="221"/>
      <c r="D42" s="221"/>
      <c r="E42" s="221"/>
      <c r="F42" s="220"/>
    </row>
    <row r="43" spans="2:13" x14ac:dyDescent="0.25">
      <c r="B43" s="219"/>
      <c r="C43" s="221"/>
      <c r="D43" s="221"/>
      <c r="E43" s="221"/>
      <c r="F43" s="220"/>
    </row>
    <row r="44" spans="2:13" x14ac:dyDescent="0.25">
      <c r="B44" s="219"/>
      <c r="C44" s="221"/>
      <c r="D44" s="221"/>
      <c r="E44" s="221"/>
      <c r="F44" s="220"/>
    </row>
    <row r="45" spans="2:13" x14ac:dyDescent="0.25">
      <c r="B45" s="219"/>
      <c r="C45" s="221"/>
      <c r="D45" s="221"/>
      <c r="E45" s="221"/>
      <c r="F45" s="220"/>
    </row>
    <row r="46" spans="2:13" x14ac:dyDescent="0.25">
      <c r="B46" s="219"/>
      <c r="C46" s="221"/>
      <c r="D46" s="221"/>
      <c r="E46" s="221"/>
      <c r="F46" s="220"/>
    </row>
    <row r="47" spans="2:13" x14ac:dyDescent="0.25">
      <c r="B47" s="219"/>
      <c r="C47" s="221"/>
      <c r="D47" s="221"/>
      <c r="E47" s="221"/>
      <c r="F47" s="220"/>
    </row>
    <row r="48" spans="2:13" x14ac:dyDescent="0.25">
      <c r="B48" s="219"/>
      <c r="C48" s="221"/>
      <c r="D48" s="221"/>
      <c r="E48" s="221"/>
      <c r="F48" s="220"/>
    </row>
    <row r="49" spans="2:8" x14ac:dyDescent="0.25">
      <c r="B49" s="219"/>
      <c r="C49" s="221"/>
      <c r="D49" s="221"/>
      <c r="E49" s="221"/>
      <c r="F49" s="220"/>
    </row>
    <row r="50" spans="2:8" x14ac:dyDescent="0.25">
      <c r="B50" s="219"/>
      <c r="C50" s="221"/>
      <c r="D50" s="221"/>
      <c r="E50" s="221"/>
      <c r="F50" s="220"/>
    </row>
    <row r="51" spans="2:8" x14ac:dyDescent="0.25">
      <c r="B51" s="219"/>
      <c r="C51" s="221"/>
      <c r="D51" s="221"/>
      <c r="E51" s="221"/>
      <c r="F51" s="220"/>
    </row>
    <row r="52" spans="2:8" x14ac:dyDescent="0.25">
      <c r="B52" s="219"/>
      <c r="C52" s="221"/>
      <c r="D52" s="221"/>
      <c r="E52" s="221"/>
      <c r="F52" s="220"/>
    </row>
    <row r="53" spans="2:8" x14ac:dyDescent="0.25">
      <c r="B53" s="219"/>
      <c r="C53" s="221"/>
      <c r="D53" s="221"/>
      <c r="E53" s="221"/>
      <c r="F53" s="220"/>
    </row>
    <row r="54" spans="2:8" ht="31.5" customHeight="1" x14ac:dyDescent="0.25">
      <c r="B54" s="219"/>
      <c r="C54" s="221"/>
      <c r="D54" s="221"/>
      <c r="E54" s="221"/>
      <c r="F54" s="220"/>
    </row>
    <row r="55" spans="2:8" ht="19.5" thickBot="1" x14ac:dyDescent="0.3">
      <c r="B55" s="239" t="s">
        <v>59</v>
      </c>
      <c r="C55" s="240"/>
      <c r="D55" s="49"/>
      <c r="E55" s="49"/>
      <c r="F55" s="50">
        <f>AB27</f>
        <v>0.28377398379235674</v>
      </c>
    </row>
    <row r="56" spans="2:8" x14ac:dyDescent="0.25">
      <c r="B56" s="216"/>
      <c r="C56" s="217"/>
      <c r="D56" s="217"/>
      <c r="E56" s="217"/>
      <c r="F56" s="218"/>
    </row>
    <row r="57" spans="2:8" x14ac:dyDescent="0.25">
      <c r="B57" s="219"/>
      <c r="C57" s="221"/>
      <c r="D57" s="221"/>
      <c r="E57" s="221"/>
      <c r="F57" s="220"/>
    </row>
    <row r="58" spans="2:8" x14ac:dyDescent="0.25">
      <c r="B58" s="219"/>
      <c r="C58" s="221"/>
      <c r="D58" s="221"/>
      <c r="E58" s="221"/>
      <c r="F58" s="220"/>
    </row>
    <row r="59" spans="2:8" x14ac:dyDescent="0.25">
      <c r="B59" s="219"/>
      <c r="C59" s="221"/>
      <c r="D59" s="221"/>
      <c r="E59" s="221"/>
      <c r="F59" s="220"/>
    </row>
    <row r="60" spans="2:8" x14ac:dyDescent="0.25">
      <c r="B60" s="219"/>
      <c r="C60" s="221"/>
      <c r="D60" s="221"/>
      <c r="E60" s="221"/>
      <c r="F60" s="220"/>
    </row>
    <row r="61" spans="2:8" x14ac:dyDescent="0.25">
      <c r="B61" s="219"/>
      <c r="C61" s="221"/>
      <c r="D61" s="221"/>
      <c r="E61" s="221"/>
      <c r="F61" s="220"/>
    </row>
    <row r="62" spans="2:8" x14ac:dyDescent="0.25">
      <c r="B62" s="219"/>
      <c r="C62" s="221"/>
      <c r="D62" s="221"/>
      <c r="E62" s="221"/>
      <c r="F62" s="220"/>
    </row>
    <row r="63" spans="2:8" x14ac:dyDescent="0.25">
      <c r="B63" s="219"/>
      <c r="C63" s="221"/>
      <c r="D63" s="221"/>
      <c r="E63" s="221"/>
      <c r="F63" s="220"/>
      <c r="H63">
        <f>20000/100</f>
        <v>200</v>
      </c>
    </row>
    <row r="64" spans="2:8" x14ac:dyDescent="0.25">
      <c r="B64" s="219"/>
      <c r="C64" s="221"/>
      <c r="D64" s="221"/>
      <c r="E64" s="221"/>
      <c r="F64" s="220"/>
    </row>
    <row r="65" spans="2:6" x14ac:dyDescent="0.25">
      <c r="B65" s="219"/>
      <c r="C65" s="221"/>
      <c r="D65" s="221"/>
      <c r="E65" s="221"/>
      <c r="F65" s="220"/>
    </row>
    <row r="66" spans="2:6" x14ac:dyDescent="0.25">
      <c r="B66" s="219"/>
      <c r="C66" s="221"/>
      <c r="D66" s="221"/>
      <c r="E66" s="221"/>
      <c r="F66" s="220"/>
    </row>
    <row r="67" spans="2:6" x14ac:dyDescent="0.25">
      <c r="B67" s="219"/>
      <c r="C67" s="221"/>
      <c r="D67" s="221"/>
      <c r="E67" s="221"/>
      <c r="F67" s="220"/>
    </row>
    <row r="68" spans="2:6" x14ac:dyDescent="0.25">
      <c r="B68" s="219"/>
      <c r="C68" s="221"/>
      <c r="D68" s="221"/>
      <c r="E68" s="221"/>
      <c r="F68" s="220"/>
    </row>
    <row r="69" spans="2:6" x14ac:dyDescent="0.25">
      <c r="B69" s="219"/>
      <c r="C69" s="221"/>
      <c r="D69" s="221"/>
      <c r="E69" s="221"/>
      <c r="F69" s="220"/>
    </row>
    <row r="70" spans="2:6" x14ac:dyDescent="0.25">
      <c r="B70" s="219"/>
      <c r="C70" s="221"/>
      <c r="D70" s="221"/>
      <c r="E70" s="221"/>
      <c r="F70" s="220"/>
    </row>
    <row r="71" spans="2:6" ht="6" customHeight="1" x14ac:dyDescent="0.25">
      <c r="B71" s="219"/>
      <c r="C71" s="221"/>
      <c r="D71" s="221"/>
      <c r="E71" s="221"/>
      <c r="F71" s="220"/>
    </row>
    <row r="72" spans="2:6" ht="29.25" customHeight="1" x14ac:dyDescent="0.25">
      <c r="B72" s="219"/>
      <c r="C72" s="221"/>
      <c r="D72" s="221"/>
      <c r="E72" s="221"/>
      <c r="F72" s="220"/>
    </row>
    <row r="73" spans="2:6" ht="19.5" thickBot="1" x14ac:dyDescent="0.3">
      <c r="B73" s="239" t="s">
        <v>68</v>
      </c>
      <c r="C73" s="240"/>
      <c r="D73" s="49"/>
      <c r="E73" s="49"/>
      <c r="F73" s="50">
        <f>AD27</f>
        <v>0.46750897435506966</v>
      </c>
    </row>
  </sheetData>
  <mergeCells count="22">
    <mergeCell ref="B7:B8"/>
    <mergeCell ref="C7:D7"/>
    <mergeCell ref="C8:D8"/>
    <mergeCell ref="B3:F3"/>
    <mergeCell ref="C4:F4"/>
    <mergeCell ref="B5:B6"/>
    <mergeCell ref="C5:D5"/>
    <mergeCell ref="C6:D6"/>
    <mergeCell ref="AC23:AD23"/>
    <mergeCell ref="E26:F26"/>
    <mergeCell ref="B27:C27"/>
    <mergeCell ref="E30:F30"/>
    <mergeCell ref="B10:C10"/>
    <mergeCell ref="B11:D11"/>
    <mergeCell ref="B16:C16"/>
    <mergeCell ref="E16:F16"/>
    <mergeCell ref="S22:U22"/>
    <mergeCell ref="B55:C55"/>
    <mergeCell ref="B73:C73"/>
    <mergeCell ref="B31:F31"/>
    <mergeCell ref="E25:F25"/>
    <mergeCell ref="AA23:AB23"/>
  </mergeCells>
  <conditionalFormatting sqref="H18">
    <cfRule type="containsText" dxfId="4" priority="3" operator="containsText" text="WARNING: Minimum or maximum input limits for accurate results exceeded. Interpret results carefully.">
      <formula>NOT(ISERROR(SEARCH("WARNING: Minimum or maximum input limits for accurate results exceeded. Interpret results carefully.",H18)))</formula>
    </cfRule>
  </conditionalFormatting>
  <conditionalFormatting sqref="H20">
    <cfRule type="containsText" dxfId="3" priority="6" operator="containsText" text="Occupancy rate entry should be greater than zero and less than 100%.">
      <formula>NOT(ISERROR(SEARCH("Occupancy rate entry should be greater than zero and less than 100%.",H20)))</formula>
    </cfRule>
  </conditionalFormatting>
  <conditionalFormatting sqref="H26">
    <cfRule type="containsText" dxfId="2" priority="5" operator="containsText" text="WARNING:  Double pane secondary windows cannot be added to double pane primary windows in this calculator.  Select single pane secondary windows ONLY for buildings with existing double pane windows.">
      <formula>NOT(ISERROR(SEARCH("WARNING:  Double pane secondary windows cannot be added to double pane primary windows in this calculator.  Select single pane secondary windows ONLY for buildings with existing double pane windows.",H26)))</formula>
    </cfRule>
  </conditionalFormatting>
  <conditionalFormatting sqref="H26:H28">
    <cfRule type="containsText" dxfId="1" priority="2" operator="containsText" text="WARNING:  Sq.Ft of CSW Installed Appears Larger than Practical for this Building Size. Typical window to window to wall ratio is 0.1 to 0.5">
      <formula>NOT(ISERROR(SEARCH("WARNING:  Sq.Ft of CSW Installed Appears Larger than Practical for this Building Size. Typical window to window to wall ratio is 0.1 to 0.5",H26)))</formula>
    </cfRule>
  </conditionalFormatting>
  <conditionalFormatting sqref="H27">
    <cfRule type="containsText" dxfId="0" priority="1" operator="containsText" text="WARNING: Double pane primary and double pane secondary windows are an invalid combination.">
      <formula>NOT(ISERROR(SEARCH("WARNING: Double pane primary and double pane secondary windows are an invalid combination.",H27)))</formula>
    </cfRule>
  </conditionalFormatting>
  <dataValidations count="4">
    <dataValidation type="whole" allowBlank="1" showInputMessage="1" showErrorMessage="1" sqref="C23:C24" xr:uid="{956B0D52-272E-4683-99B7-646D60BA77AB}">
      <formula1>0</formula1>
      <formula2>10000</formula2>
    </dataValidation>
    <dataValidation type="decimal" allowBlank="1" showInputMessage="1" showErrorMessage="1" sqref="F29" xr:uid="{237F0844-8D36-4077-8086-46309495257A}">
      <formula1>0</formula1>
      <formula2>F18</formula2>
    </dataValidation>
    <dataValidation type="whole" allowBlank="1" showInputMessage="1" showErrorMessage="1" sqref="F19" xr:uid="{9C33CEC7-DA64-4847-B9FA-BBF883397FED}">
      <formula1>1</formula1>
      <formula2>100</formula2>
    </dataValidation>
    <dataValidation type="list" allowBlank="1" showInputMessage="1" showErrorMessage="1" sqref="C19" xr:uid="{72C012AA-9516-4287-A1B7-F5D8086BADE9}">
      <formula1>INDIRECT($C$18)</formula1>
    </dataValidation>
  </dataValidations>
  <pageMargins left="0.5" right="0.5" top="0.75" bottom="0.75" header="0.3" footer="0.3"/>
  <pageSetup scale="98" fitToHeight="2" orientation="portrait" r:id="rId1"/>
  <headerFooter>
    <oddHeader>&amp;LCSW Savings Calculator Version 2.0.0</oddHeader>
    <oddFooter>&amp;LEnergy Savings Report&amp;R&amp;P</oddFooter>
  </headerFooter>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r:uid="{67E9529D-7029-4E72-AEB1-CA03F3B7C6B5}">
          <x14:formula1>
            <xm:f>IF($F$23="Single pane",Lists!$BB$2:$BB$3,Lists!$BB$2)</xm:f>
          </x14:formula1>
          <xm:sqref>F27</xm:sqref>
        </x14:dataValidation>
        <x14:dataValidation type="list" allowBlank="1" showInputMessage="1" showErrorMessage="1" xr:uid="{4DD4BBBA-7F65-447A-9D4D-2D0F12EB6688}">
          <x14:formula1>
            <xm:f>IF($F$20="PTAC",Lists!$BC$7:$BC$8,Lists!$BC$2:$BC$4)</xm:f>
          </x14:formula1>
          <xm:sqref>F21</xm:sqref>
        </x14:dataValidation>
        <x14:dataValidation type="list" allowBlank="1" showInputMessage="1" showErrorMessage="1" xr:uid="{5230CC91-3147-4B07-8D26-E8DE0DE49D24}">
          <x14:formula1>
            <xm:f>Lists!$B$2:$B$52</xm:f>
          </x14:formula1>
          <xm:sqref>C18</xm:sqref>
        </x14:dataValidation>
        <x14:dataValidation type="list" allowBlank="1" showInputMessage="1" showErrorMessage="1" xr:uid="{F097D0B5-F170-4D63-8D21-A015C4048F17}">
          <x14:formula1>
            <xm:f>Lists!$A$2:$A$3</xm:f>
          </x14:formula1>
          <xm:sqref>F23</xm:sqref>
        </x14:dataValidation>
        <x14:dataValidation type="list" allowBlank="1" showInputMessage="1" showErrorMessage="1" xr:uid="{909B8504-5DA0-43AA-9140-FA68906A52B5}">
          <x14:formula1>
            <xm:f>Lists!$BG$2:$BG$3</xm:f>
          </x14:formula1>
          <xm:sqref>F24</xm:sqref>
        </x14:dataValidation>
        <x14:dataValidation type="list" allowBlank="1" showInputMessage="1" showErrorMessage="1" xr:uid="{0B3676C1-5DBF-417D-86D5-643824CC3615}">
          <x14:formula1>
            <xm:f>IF($F$17="Mid-rise Multifamily",Lists!$BD$33:$BD$34,Lists!$BD$37:$BD$38)</xm:f>
          </x14:formula1>
          <xm:sqref>F20</xm:sqref>
        </x14:dataValidation>
        <x14:dataValidation type="list" allowBlank="1" showInputMessage="1" showErrorMessage="1" xr:uid="{B58B527F-E22E-456E-A295-CD2DD2BB7CB9}">
          <x14:formula1>
            <xm:f>Lists!$BH$2:$BH$3</xm:f>
          </x14:formula1>
          <xm:sqref>F22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G162"/>
  <sheetViews>
    <sheetView topLeftCell="K1" workbookViewId="0">
      <pane ySplit="4" topLeftCell="A5" activePane="bottomLeft" state="frozen"/>
      <selection activeCell="P89" sqref="P89"/>
      <selection pane="bottomLeft" activeCell="L5" sqref="L5"/>
    </sheetView>
  </sheetViews>
  <sheetFormatPr defaultRowHeight="15" x14ac:dyDescent="0.25"/>
  <cols>
    <col min="2" max="2" width="10.7109375" customWidth="1"/>
    <col min="3" max="3" width="11.7109375" customWidth="1"/>
    <col min="4" max="4" width="14" customWidth="1"/>
    <col min="5" max="5" width="18.5703125" customWidth="1"/>
    <col min="6" max="6" width="14.7109375" customWidth="1"/>
    <col min="7" max="7" width="8.42578125" customWidth="1"/>
    <col min="8" max="8" width="8.28515625" customWidth="1"/>
    <col min="9" max="9" width="45.28515625" customWidth="1"/>
    <col min="10" max="10" width="32.28515625" bestFit="1" customWidth="1"/>
    <col min="11" max="11" width="13.5703125" customWidth="1"/>
    <col min="12" max="12" width="10.28515625" customWidth="1"/>
    <col min="13" max="13" width="10.42578125" customWidth="1"/>
    <col min="14" max="14" width="11.42578125" customWidth="1"/>
    <col min="15" max="15" width="4.42578125" customWidth="1"/>
    <col min="17" max="17" width="12.28515625" bestFit="1" customWidth="1"/>
    <col min="19" max="19" width="14.85546875" customWidth="1"/>
    <col min="26" max="26" width="10.5703125" bestFit="1" customWidth="1"/>
    <col min="28" max="28" width="11.28515625" customWidth="1"/>
    <col min="29" max="29" width="16.28515625" customWidth="1"/>
  </cols>
  <sheetData>
    <row r="1" spans="1:33" x14ac:dyDescent="0.25">
      <c r="A1" t="s">
        <v>18</v>
      </c>
    </row>
    <row r="2" spans="1:33" x14ac:dyDescent="0.25">
      <c r="B2" t="s">
        <v>3</v>
      </c>
      <c r="J2" s="259" t="s">
        <v>62</v>
      </c>
      <c r="K2" s="260"/>
      <c r="L2" s="261"/>
      <c r="M2" s="5"/>
      <c r="N2" s="5"/>
      <c r="P2" s="226" t="s">
        <v>63</v>
      </c>
      <c r="Q2" s="226"/>
      <c r="R2" s="226"/>
      <c r="U2" t="s">
        <v>64</v>
      </c>
      <c r="V2" t="s">
        <v>64</v>
      </c>
      <c r="Y2" t="s">
        <v>3</v>
      </c>
    </row>
    <row r="3" spans="1:33" ht="45.6" customHeight="1" x14ac:dyDescent="0.25">
      <c r="C3" s="7"/>
      <c r="D3" s="7"/>
      <c r="E3" s="7"/>
      <c r="F3" s="7"/>
      <c r="G3" s="7"/>
      <c r="H3" s="7"/>
      <c r="I3" s="7"/>
      <c r="J3" s="257" t="s">
        <v>20</v>
      </c>
      <c r="K3" s="258"/>
      <c r="L3" s="55" t="s">
        <v>21</v>
      </c>
      <c r="N3" s="18" t="s">
        <v>1259</v>
      </c>
      <c r="O3" s="17"/>
      <c r="P3" s="2" t="s">
        <v>1260</v>
      </c>
      <c r="Q3" s="2" t="s">
        <v>1261</v>
      </c>
      <c r="R3" s="2" t="s">
        <v>1262</v>
      </c>
      <c r="S3" s="18" t="s">
        <v>1259</v>
      </c>
      <c r="U3" s="17" t="s">
        <v>1164</v>
      </c>
      <c r="V3" s="57" t="s">
        <v>65</v>
      </c>
      <c r="W3" s="113" t="s">
        <v>66</v>
      </c>
      <c r="X3" s="17" t="s">
        <v>1164</v>
      </c>
      <c r="Y3" s="17" t="s">
        <v>67</v>
      </c>
      <c r="Z3" s="17" t="s">
        <v>1165</v>
      </c>
      <c r="AA3" s="17" t="s">
        <v>1165</v>
      </c>
      <c r="AB3" s="17" t="s">
        <v>1169</v>
      </c>
      <c r="AC3" t="s">
        <v>1271</v>
      </c>
      <c r="AE3" s="262" t="s">
        <v>1197</v>
      </c>
      <c r="AF3" s="262"/>
      <c r="AG3" s="17" t="s">
        <v>1217</v>
      </c>
    </row>
    <row r="4" spans="1:33" x14ac:dyDescent="0.25">
      <c r="A4" s="3" t="s">
        <v>1030</v>
      </c>
      <c r="B4" s="3" t="s">
        <v>1251</v>
      </c>
      <c r="C4" s="182" t="s">
        <v>1252</v>
      </c>
      <c r="D4" s="182" t="s">
        <v>1253</v>
      </c>
      <c r="E4" s="182" t="s">
        <v>1254</v>
      </c>
      <c r="F4" s="182" t="s">
        <v>1255</v>
      </c>
      <c r="G4" s="182" t="s">
        <v>109</v>
      </c>
      <c r="H4" s="182" t="s">
        <v>1159</v>
      </c>
      <c r="I4" s="182" t="s">
        <v>1256</v>
      </c>
      <c r="J4" s="182" t="s">
        <v>1258</v>
      </c>
      <c r="K4" s="182" t="s">
        <v>1257</v>
      </c>
      <c r="L4" s="182" t="s">
        <v>1277</v>
      </c>
      <c r="M4" s="9"/>
      <c r="N4" s="5"/>
      <c r="P4" s="188" t="s">
        <v>1275</v>
      </c>
      <c r="Q4" s="223" t="s">
        <v>1276</v>
      </c>
      <c r="R4" s="2" t="s">
        <v>1262</v>
      </c>
      <c r="S4" s="5" t="s">
        <v>1259</v>
      </c>
      <c r="U4" s="2" t="s">
        <v>1263</v>
      </c>
      <c r="V4" s="2" t="s">
        <v>1264</v>
      </c>
      <c r="W4" s="10" t="s">
        <v>1265</v>
      </c>
      <c r="X4" t="s">
        <v>1266</v>
      </c>
      <c r="Y4" t="s">
        <v>1267</v>
      </c>
      <c r="Z4" t="s">
        <v>1268</v>
      </c>
      <c r="AA4" t="s">
        <v>1269</v>
      </c>
      <c r="AB4" t="s">
        <v>1270</v>
      </c>
      <c r="AE4" t="s">
        <v>1272</v>
      </c>
      <c r="AF4" t="s">
        <v>1273</v>
      </c>
      <c r="AG4" t="s">
        <v>1274</v>
      </c>
    </row>
    <row r="5" spans="1:33" x14ac:dyDescent="0.25">
      <c r="A5" s="2" t="s">
        <v>17</v>
      </c>
      <c r="B5" s="2" t="s">
        <v>17</v>
      </c>
      <c r="C5" s="6" t="s">
        <v>14</v>
      </c>
      <c r="D5" s="6" t="s">
        <v>115</v>
      </c>
      <c r="E5" s="6" t="s">
        <v>16</v>
      </c>
      <c r="F5" s="6" t="s">
        <v>29</v>
      </c>
      <c r="G5" s="6"/>
      <c r="H5" s="52">
        <v>2080</v>
      </c>
      <c r="I5" s="6" t="str">
        <f t="shared" ref="I5:I46" si="0">CONCATENATE(A5,B5,C5,D5,E5,F5,H5)</f>
        <v>SingleSingleMidOfficePVAV_ElecElectric2080</v>
      </c>
      <c r="J5" s="19">
        <f>'Regresson List_Office'!H4+'Regresson List_Office'!I4*Office!$C$23+'Regresson List_Office'!J4*Office!$C$23^2</f>
        <v>7.6688158095999004</v>
      </c>
      <c r="K5" s="19">
        <f>'Regresson List_Office'!K4+'Regresson List_Office'!L4*Office!$C$24+'Regresson List_Office'!M4*Office!$C$24^2</f>
        <v>3.0291636658000001</v>
      </c>
      <c r="L5" s="92">
        <v>0</v>
      </c>
      <c r="M5" s="81"/>
      <c r="N5" s="58" t="s">
        <v>44</v>
      </c>
      <c r="P5" s="19">
        <f>'Regresson List_Office'!$H$54+'Regresson List_Office'!$I$54*Office!$C$23+'Regresson List_Office'!$J$54*Office!$C$23^2</f>
        <v>51.096441209999995</v>
      </c>
      <c r="Q5" s="56">
        <f>P5-Office!$F$35</f>
        <v>39.229683492681929</v>
      </c>
      <c r="R5" s="59">
        <f>1-(Q5/P5)</f>
        <v>0.23224235262387793</v>
      </c>
      <c r="S5" s="5" t="s">
        <v>44</v>
      </c>
      <c r="U5">
        <f>'Regresson List_Office'!H44+'Regresson List_Office'!I44*Office!$C$24+'Regresson List_Office'!J44*Office!$C$24^2</f>
        <v>23.273233478800002</v>
      </c>
      <c r="V5" s="19">
        <f>'Regresson List_Office'!K44+'Regresson List_Office'!L44*Office!$C$24+'Regresson List_Office'!M44*Office!$C$24^2</f>
        <v>27.276557433699999</v>
      </c>
      <c r="W5" s="114"/>
      <c r="X5" s="83">
        <f>U5*Office!$F$18</f>
        <v>5818308.3697000006</v>
      </c>
      <c r="Y5">
        <f>X5/12000</f>
        <v>484.85903080833339</v>
      </c>
      <c r="Z5">
        <f>V5*Office!$F$27</f>
        <v>818296.72301099997</v>
      </c>
      <c r="AA5">
        <f>Z5/12000</f>
        <v>68.191393584249994</v>
      </c>
      <c r="AB5" s="60">
        <f t="shared" ref="AB5:AB65" si="1">Y5-AA5</f>
        <v>416.66763722408336</v>
      </c>
      <c r="AC5" s="160" t="s">
        <v>44</v>
      </c>
      <c r="AG5" s="192">
        <f t="shared" ref="AG5:AG20" si="2">AG6</f>
        <v>0.61202736368739996</v>
      </c>
    </row>
    <row r="6" spans="1:33" x14ac:dyDescent="0.25">
      <c r="A6" s="2" t="s">
        <v>17</v>
      </c>
      <c r="B6" s="2" t="s">
        <v>17</v>
      </c>
      <c r="C6" s="6" t="s">
        <v>14</v>
      </c>
      <c r="D6" s="6" t="s">
        <v>115</v>
      </c>
      <c r="E6" s="6" t="s">
        <v>16</v>
      </c>
      <c r="F6" s="6" t="s">
        <v>29</v>
      </c>
      <c r="G6" s="6"/>
      <c r="H6" s="52">
        <v>2912</v>
      </c>
      <c r="I6" s="6" t="str">
        <f t="shared" si="0"/>
        <v>SingleSingleMidOfficePVAV_ElecElectric2912</v>
      </c>
      <c r="J6" s="19">
        <f>'Regresson List_Office'!H5+'Regresson List_Office'!I5*Office!$C$23+'Regresson List_Office'!J5*Office!$C$23^2</f>
        <v>10.915451958499901</v>
      </c>
      <c r="K6" s="19">
        <f>'Regresson List_Office'!K5+'Regresson List_Office'!L5*Office!$C$24+'Regresson List_Office'!M5*Office!$C$24^2</f>
        <v>4.9859928155000004</v>
      </c>
      <c r="L6" s="92">
        <v>0</v>
      </c>
      <c r="M6" s="81"/>
      <c r="N6" s="58" t="s">
        <v>44</v>
      </c>
      <c r="P6" s="19">
        <f>'Regresson List_Office'!$H$55+'Regresson List_Office'!$I$55*Office!$C$23+'Regresson List_Office'!$J$55*Office!$C$23^2</f>
        <v>60.166048359999998</v>
      </c>
      <c r="Q6" s="56">
        <f>P6-Office!$F$35</f>
        <v>48.299290642681925</v>
      </c>
      <c r="R6" s="59">
        <f t="shared" ref="R6:R41" si="3">1-(Q6/P6)</f>
        <v>0.19723345708719353</v>
      </c>
      <c r="S6" s="5" t="s">
        <v>44</v>
      </c>
      <c r="U6">
        <f>U5</f>
        <v>23.273233478800002</v>
      </c>
      <c r="V6" s="19">
        <f>V5</f>
        <v>27.276557433699999</v>
      </c>
      <c r="W6" s="114"/>
      <c r="X6" s="83">
        <f>U6*Office!$F$18</f>
        <v>5818308.3697000006</v>
      </c>
      <c r="Y6">
        <f t="shared" ref="Y6:Y13" si="4">X6/12000</f>
        <v>484.85903080833339</v>
      </c>
      <c r="Z6">
        <f>V6*Office!$F$27</f>
        <v>818296.72301099997</v>
      </c>
      <c r="AA6">
        <f t="shared" ref="AA6:AA13" si="5">Z6/12000</f>
        <v>68.191393584249994</v>
      </c>
      <c r="AB6" s="60">
        <f t="shared" si="1"/>
        <v>416.66763722408336</v>
      </c>
      <c r="AC6" s="9" t="s">
        <v>44</v>
      </c>
      <c r="AG6" s="192">
        <f t="shared" si="2"/>
        <v>0.61202736368739996</v>
      </c>
    </row>
    <row r="7" spans="1:33" x14ac:dyDescent="0.25">
      <c r="A7" s="2" t="s">
        <v>17</v>
      </c>
      <c r="B7" s="2" t="s">
        <v>17</v>
      </c>
      <c r="C7" s="6" t="s">
        <v>14</v>
      </c>
      <c r="D7" s="6" t="s">
        <v>115</v>
      </c>
      <c r="E7" s="6" t="s">
        <v>16</v>
      </c>
      <c r="F7" s="6" t="s">
        <v>29</v>
      </c>
      <c r="G7" s="6"/>
      <c r="H7" s="52">
        <v>8760</v>
      </c>
      <c r="I7" s="6" t="str">
        <f t="shared" si="0"/>
        <v>SingleSingleMidOfficePVAV_ElecElectric8760</v>
      </c>
      <c r="J7" s="19">
        <f>'Regresson List_Office'!H6+'Regresson List_Office'!I6*Office!$C$23+'Regresson List_Office'!J6*Office!$C$23^2</f>
        <v>27.024603960799801</v>
      </c>
      <c r="K7" s="19">
        <f>'Regresson List_Office'!K6+'Regresson List_Office'!L6*Office!$C$24+'Regresson List_Office'!M6*Office!$C$24^2</f>
        <v>10.407127999599998</v>
      </c>
      <c r="L7" s="92">
        <v>0</v>
      </c>
      <c r="M7" s="81"/>
      <c r="N7" s="58" t="s">
        <v>44</v>
      </c>
      <c r="P7" s="19">
        <f>'Regresson List_Office'!$H$56+'Regresson List_Office'!$I$56*Office!$C$23+'Regresson List_Office'!$J$56*Office!$C$23^2</f>
        <v>128.58894828000001</v>
      </c>
      <c r="Q7" s="56">
        <f>P7-Office!$F$35</f>
        <v>116.72219056268194</v>
      </c>
      <c r="R7" s="59">
        <f t="shared" si="3"/>
        <v>9.2284429385629863E-2</v>
      </c>
      <c r="S7" s="5" t="s">
        <v>44</v>
      </c>
      <c r="U7">
        <f>U6</f>
        <v>23.273233478800002</v>
      </c>
      <c r="V7" s="19">
        <f>V6</f>
        <v>27.276557433699999</v>
      </c>
      <c r="W7" s="114"/>
      <c r="X7" s="83">
        <f>U7*Office!$F$18</f>
        <v>5818308.3697000006</v>
      </c>
      <c r="Y7">
        <f t="shared" si="4"/>
        <v>484.85903080833339</v>
      </c>
      <c r="Z7">
        <f>V7*Office!$F$27</f>
        <v>818296.72301099997</v>
      </c>
      <c r="AA7">
        <f t="shared" si="5"/>
        <v>68.191393584249994</v>
      </c>
      <c r="AB7" s="60">
        <f t="shared" si="1"/>
        <v>416.66763722408336</v>
      </c>
      <c r="AC7" s="9" t="s">
        <v>44</v>
      </c>
      <c r="AG7" s="192">
        <f t="shared" si="2"/>
        <v>0.61202736368739996</v>
      </c>
    </row>
    <row r="8" spans="1:33" x14ac:dyDescent="0.25">
      <c r="A8" s="2" t="s">
        <v>17</v>
      </c>
      <c r="B8" s="2" t="s">
        <v>12</v>
      </c>
      <c r="C8" s="6" t="s">
        <v>14</v>
      </c>
      <c r="D8" s="6" t="s">
        <v>115</v>
      </c>
      <c r="E8" s="6" t="s">
        <v>16</v>
      </c>
      <c r="F8" s="6" t="s">
        <v>29</v>
      </c>
      <c r="G8" s="6"/>
      <c r="H8" s="52">
        <v>2080</v>
      </c>
      <c r="I8" s="6" t="str">
        <f t="shared" si="0"/>
        <v>SingleDoubleMidOfficePVAV_ElecElectric2080</v>
      </c>
      <c r="J8" s="19">
        <f>'Regresson List_Office'!H7+'Regresson List_Office'!I7*Office!$C$23+'Regresson List_Office'!J7*Office!$C$23^2</f>
        <v>7.1234215688999001</v>
      </c>
      <c r="K8" s="19">
        <f>'Regresson List_Office'!K7+'Regresson List_Office'!L7*Office!$C$24+'Regresson List_Office'!M7*Office!$C$24^2</f>
        <v>5.3282499179</v>
      </c>
      <c r="L8" s="92">
        <v>0</v>
      </c>
      <c r="M8" s="81"/>
      <c r="N8" s="58" t="s">
        <v>44</v>
      </c>
      <c r="P8" s="19">
        <f>'Regresson List_Office'!$H$54+'Regresson List_Office'!$I$54*Office!$C$23+'Regresson List_Office'!$J$54*Office!$C$23^2</f>
        <v>51.096441209999995</v>
      </c>
      <c r="Q8" s="56">
        <f>P8-Office!$F$35</f>
        <v>39.229683492681929</v>
      </c>
      <c r="R8" s="59">
        <f t="shared" si="3"/>
        <v>0.23224235262387793</v>
      </c>
      <c r="S8" s="5" t="s">
        <v>44</v>
      </c>
      <c r="U8">
        <f>U7</f>
        <v>23.273233478800002</v>
      </c>
      <c r="V8" s="19">
        <f>'Regresson List_Office'!K45+'Regresson List_Office'!L45*Office!$C$24+'Regresson List_Office'!M45*Office!$C$24^2</f>
        <v>55.298104403899998</v>
      </c>
      <c r="W8" s="114"/>
      <c r="X8" s="83">
        <f>U8*Office!$F$18</f>
        <v>5818308.3697000006</v>
      </c>
      <c r="Y8">
        <f t="shared" si="4"/>
        <v>484.85903080833339</v>
      </c>
      <c r="Z8">
        <f>V8*Office!$F$27</f>
        <v>1658943.1321169999</v>
      </c>
      <c r="AA8">
        <f t="shared" si="5"/>
        <v>138.24526100974998</v>
      </c>
      <c r="AB8" s="60">
        <f t="shared" si="1"/>
        <v>346.61376979858341</v>
      </c>
      <c r="AC8" s="9" t="s">
        <v>44</v>
      </c>
      <c r="AG8" s="192">
        <f t="shared" si="2"/>
        <v>0.61202736368739996</v>
      </c>
    </row>
    <row r="9" spans="1:33" x14ac:dyDescent="0.25">
      <c r="A9" s="2" t="s">
        <v>17</v>
      </c>
      <c r="B9" s="2" t="s">
        <v>12</v>
      </c>
      <c r="C9" s="6" t="s">
        <v>14</v>
      </c>
      <c r="D9" s="6" t="s">
        <v>115</v>
      </c>
      <c r="E9" s="6" t="s">
        <v>16</v>
      </c>
      <c r="F9" s="6" t="s">
        <v>29</v>
      </c>
      <c r="G9" s="6"/>
      <c r="H9" s="52">
        <v>2912</v>
      </c>
      <c r="I9" s="6" t="str">
        <f t="shared" si="0"/>
        <v>SingleDoubleMidOfficePVAV_ElecElectric2912</v>
      </c>
      <c r="J9" s="19">
        <f>'Regresson List_Office'!H8+'Regresson List_Office'!I8*Office!$C$23+'Regresson List_Office'!J8*Office!$C$23^2</f>
        <v>10.310050797599901</v>
      </c>
      <c r="K9" s="19">
        <f>'Regresson List_Office'!K8+'Regresson List_Office'!L8*Office!$C$24+'Regresson List_Office'!M8*Office!$C$24^2</f>
        <v>7.9886620855999997</v>
      </c>
      <c r="L9" s="92">
        <v>0</v>
      </c>
      <c r="M9" s="81"/>
      <c r="N9" s="58" t="s">
        <v>44</v>
      </c>
      <c r="P9" s="19">
        <f>'Regresson List_Office'!$H$55+'Regresson List_Office'!$I$55*Office!$C$23+'Regresson List_Office'!$J$55*Office!$C$23^2</f>
        <v>60.166048359999998</v>
      </c>
      <c r="Q9" s="56">
        <f>P9-Office!$F$35</f>
        <v>48.299290642681925</v>
      </c>
      <c r="R9" s="59">
        <f t="shared" si="3"/>
        <v>0.19723345708719353</v>
      </c>
      <c r="S9" s="5" t="s">
        <v>44</v>
      </c>
      <c r="U9">
        <f>U8</f>
        <v>23.273233478800002</v>
      </c>
      <c r="V9" s="19">
        <f>V8</f>
        <v>55.298104403899998</v>
      </c>
      <c r="W9" s="114"/>
      <c r="X9" s="83">
        <f>U9*Office!$F$18</f>
        <v>5818308.3697000006</v>
      </c>
      <c r="Y9">
        <f t="shared" si="4"/>
        <v>484.85903080833339</v>
      </c>
      <c r="Z9">
        <f>V9*Office!$F$27</f>
        <v>1658943.1321169999</v>
      </c>
      <c r="AA9">
        <f t="shared" si="5"/>
        <v>138.24526100974998</v>
      </c>
      <c r="AB9" s="60">
        <f t="shared" si="1"/>
        <v>346.61376979858341</v>
      </c>
      <c r="AC9" s="9" t="s">
        <v>44</v>
      </c>
      <c r="AG9" s="192">
        <f t="shared" si="2"/>
        <v>0.61202736368739996</v>
      </c>
    </row>
    <row r="10" spans="1:33" x14ac:dyDescent="0.25">
      <c r="A10" s="2" t="s">
        <v>17</v>
      </c>
      <c r="B10" s="2" t="s">
        <v>12</v>
      </c>
      <c r="C10" s="6" t="s">
        <v>14</v>
      </c>
      <c r="D10" s="6" t="s">
        <v>115</v>
      </c>
      <c r="E10" s="6" t="s">
        <v>16</v>
      </c>
      <c r="F10" s="6" t="s">
        <v>29</v>
      </c>
      <c r="G10" s="6"/>
      <c r="H10" s="52">
        <v>8760</v>
      </c>
      <c r="I10" s="6" t="str">
        <f t="shared" si="0"/>
        <v>SingleDoubleMidOfficePVAV_ElecElectric8760</v>
      </c>
      <c r="J10" s="19">
        <f>'Regresson List_Office'!H9+'Regresson List_Office'!I9*Office!$C$23+'Regresson List_Office'!J9*Office!$C$23^2</f>
        <v>28.389656519999701</v>
      </c>
      <c r="K10" s="19">
        <f>'Regresson List_Office'!K9+'Regresson List_Office'!L9*Office!$C$24+'Regresson List_Office'!M9*Office!$C$24^2</f>
        <v>13.29291834</v>
      </c>
      <c r="L10" s="92">
        <v>0</v>
      </c>
      <c r="M10" s="81"/>
      <c r="N10" s="58" t="s">
        <v>44</v>
      </c>
      <c r="P10" s="19">
        <f>'Regresson List_Office'!$H$56+'Regresson List_Office'!$I$56*Office!$C$23+'Regresson List_Office'!$J$56*Office!$C$23^2</f>
        <v>128.58894828000001</v>
      </c>
      <c r="Q10" s="56">
        <f>P10-Office!$F$35</f>
        <v>116.72219056268194</v>
      </c>
      <c r="R10" s="59">
        <f t="shared" si="3"/>
        <v>9.2284429385629863E-2</v>
      </c>
      <c r="S10" s="5" t="s">
        <v>44</v>
      </c>
      <c r="U10">
        <f>U9</f>
        <v>23.273233478800002</v>
      </c>
      <c r="V10" s="19">
        <f>V9</f>
        <v>55.298104403899998</v>
      </c>
      <c r="W10" s="114"/>
      <c r="X10" s="83">
        <f>U10*Office!$F$18</f>
        <v>5818308.3697000006</v>
      </c>
      <c r="Y10">
        <f t="shared" si="4"/>
        <v>484.85903080833339</v>
      </c>
      <c r="Z10">
        <f>V10*Office!$F$27</f>
        <v>1658943.1321169999</v>
      </c>
      <c r="AA10">
        <f t="shared" si="5"/>
        <v>138.24526100974998</v>
      </c>
      <c r="AB10" s="60">
        <f t="shared" si="1"/>
        <v>346.61376979858341</v>
      </c>
      <c r="AC10" s="9" t="s">
        <v>44</v>
      </c>
      <c r="AG10" s="192">
        <f t="shared" si="2"/>
        <v>0.61202736368739996</v>
      </c>
    </row>
    <row r="11" spans="1:33" x14ac:dyDescent="0.25">
      <c r="A11" s="2" t="s">
        <v>12</v>
      </c>
      <c r="B11" s="2" t="s">
        <v>17</v>
      </c>
      <c r="C11" s="6" t="s">
        <v>14</v>
      </c>
      <c r="D11" s="6" t="s">
        <v>115</v>
      </c>
      <c r="E11" s="6" t="s">
        <v>16</v>
      </c>
      <c r="F11" s="6" t="s">
        <v>29</v>
      </c>
      <c r="G11" s="6"/>
      <c r="H11" s="52">
        <v>2080</v>
      </c>
      <c r="I11" s="6" t="str">
        <f t="shared" si="0"/>
        <v>DoubleSingleMidOfficePVAV_ElecElectric2080</v>
      </c>
      <c r="J11" s="19">
        <f>'Regresson List_Office'!H10+'Regresson List_Office'!I10*Office!$C$23+'Regresson List_Office'!J10*Office!$C$23^2</f>
        <v>3.4877295949999998</v>
      </c>
      <c r="K11" s="19">
        <f>'Regresson List_Office'!K10+'Regresson List_Office'!L10*Office!$C$24+'Regresson List_Office'!M10*Office!$C$24^2</f>
        <v>2.1054157476716999</v>
      </c>
      <c r="L11" s="92">
        <v>0</v>
      </c>
      <c r="M11" s="81"/>
      <c r="N11" s="58" t="s">
        <v>44</v>
      </c>
      <c r="P11" s="19">
        <f>'Regresson List_Office'!$H$57+'Regresson List_Office'!$I$57*Office!$C$23+'Regresson List_Office'!$J$57*Office!$C$23^2</f>
        <v>47.810011709999998</v>
      </c>
      <c r="Q11" s="56">
        <f>P11-Office!$F$35</f>
        <v>35.943253992681932</v>
      </c>
      <c r="R11" s="59">
        <f t="shared" ref="R11:R17" si="6">1-(Q11/P11)</f>
        <v>0.24820654279061805</v>
      </c>
      <c r="S11" s="5" t="s">
        <v>44</v>
      </c>
      <c r="U11">
        <f>'Regresson List_Office'!H46+'Regresson List_Office'!I46*Office!$C$24+'Regresson List_Office'!J46*Office!$C$24^2</f>
        <v>20.664643623700002</v>
      </c>
      <c r="V11" s="19">
        <f>'Regresson List_Office'!K46+'Regresson List_Office'!L46*Office!$C$24+'Regresson List_Office'!M46*Office!$C$24^2</f>
        <v>19.175487926199999</v>
      </c>
      <c r="W11" s="114"/>
      <c r="X11" s="83">
        <f>U11*Office!$F$18</f>
        <v>5166160.9059250001</v>
      </c>
      <c r="Y11">
        <f t="shared" si="4"/>
        <v>430.51340882708337</v>
      </c>
      <c r="Z11">
        <f>V11*Office!$F$27</f>
        <v>575264.63778599992</v>
      </c>
      <c r="AA11">
        <f t="shared" si="5"/>
        <v>47.938719815499994</v>
      </c>
      <c r="AB11" s="60">
        <f t="shared" si="1"/>
        <v>382.57468901158336</v>
      </c>
      <c r="AC11" s="9" t="s">
        <v>44</v>
      </c>
      <c r="AG11" s="192">
        <f t="shared" si="2"/>
        <v>0.61202736368739996</v>
      </c>
    </row>
    <row r="12" spans="1:33" x14ac:dyDescent="0.25">
      <c r="A12" s="2" t="s">
        <v>12</v>
      </c>
      <c r="B12" s="2" t="s">
        <v>17</v>
      </c>
      <c r="C12" s="6" t="s">
        <v>14</v>
      </c>
      <c r="D12" s="6" t="s">
        <v>115</v>
      </c>
      <c r="E12" s="6" t="s">
        <v>16</v>
      </c>
      <c r="F12" s="6" t="s">
        <v>29</v>
      </c>
      <c r="G12" s="6"/>
      <c r="H12" s="52">
        <v>2912</v>
      </c>
      <c r="I12" s="6" t="str">
        <f t="shared" si="0"/>
        <v>DoubleSingleMidOfficePVAV_ElecElectric2912</v>
      </c>
      <c r="J12" s="19">
        <f>'Regresson List_Office'!H11+'Regresson List_Office'!I11*Office!$C$23+'Regresson List_Office'!J11*Office!$C$23^2</f>
        <v>4.6262129067998998</v>
      </c>
      <c r="K12" s="19">
        <f>'Regresson List_Office'!K11+'Regresson List_Office'!L11*Office!$C$24+'Regresson List_Office'!M11*Office!$C$24^2</f>
        <v>3.1043500884194004</v>
      </c>
      <c r="L12" s="92">
        <v>0</v>
      </c>
      <c r="M12" s="81"/>
      <c r="N12" s="58" t="s">
        <v>44</v>
      </c>
      <c r="P12" s="19">
        <f>'Regresson List_Office'!$H$58+'Regresson List_Office'!$I$58*Office!$C$23+'Regresson List_Office'!$J$58*Office!$C$23^2</f>
        <v>55.540050929999992</v>
      </c>
      <c r="Q12" s="56">
        <f>P12-Office!$F$35</f>
        <v>43.673293212681926</v>
      </c>
      <c r="R12" s="59">
        <f t="shared" si="6"/>
        <v>0.21366126819498876</v>
      </c>
      <c r="S12" s="5" t="s">
        <v>44</v>
      </c>
      <c r="U12">
        <f>U11</f>
        <v>20.664643623700002</v>
      </c>
      <c r="V12" s="19">
        <f>V11</f>
        <v>19.175487926199999</v>
      </c>
      <c r="W12" s="114"/>
      <c r="X12" s="83">
        <f>U12*Office!$F$18</f>
        <v>5166160.9059250001</v>
      </c>
      <c r="Y12">
        <f t="shared" si="4"/>
        <v>430.51340882708337</v>
      </c>
      <c r="Z12">
        <f>V12*Office!$F$27</f>
        <v>575264.63778599992</v>
      </c>
      <c r="AA12">
        <f t="shared" si="5"/>
        <v>47.938719815499994</v>
      </c>
      <c r="AB12" s="60">
        <f t="shared" si="1"/>
        <v>382.57468901158336</v>
      </c>
      <c r="AC12" s="9" t="s">
        <v>44</v>
      </c>
      <c r="AG12" s="192">
        <f t="shared" si="2"/>
        <v>0.61202736368739996</v>
      </c>
    </row>
    <row r="13" spans="1:33" x14ac:dyDescent="0.25">
      <c r="A13" s="2" t="s">
        <v>12</v>
      </c>
      <c r="B13" s="2" t="s">
        <v>17</v>
      </c>
      <c r="C13" s="6" t="s">
        <v>14</v>
      </c>
      <c r="D13" s="6" t="s">
        <v>115</v>
      </c>
      <c r="E13" s="6" t="s">
        <v>16</v>
      </c>
      <c r="F13" s="6" t="s">
        <v>29</v>
      </c>
      <c r="G13" s="6"/>
      <c r="H13" s="52">
        <v>8760</v>
      </c>
      <c r="I13" s="6" t="str">
        <f t="shared" si="0"/>
        <v>DoubleSingleMidOfficePVAV_ElecElectric8760</v>
      </c>
      <c r="J13" s="19">
        <f>'Regresson List_Office'!H12+'Regresson List_Office'!I12*Office!$C$23+'Regresson List_Office'!J12*Office!$C$23^2</f>
        <v>13.136692218299901</v>
      </c>
      <c r="K13" s="19">
        <f>'Regresson List_Office'!K12+'Regresson List_Office'!L12*Office!$C$24+'Regresson List_Office'!M12*Office!$C$24^2</f>
        <v>5.1490558475999997</v>
      </c>
      <c r="L13" s="92">
        <v>0</v>
      </c>
      <c r="M13" s="81"/>
      <c r="N13" s="58" t="s">
        <v>44</v>
      </c>
      <c r="P13" s="19">
        <f>'Regresson List_Office'!$H$59+'Regresson List_Office'!$I$59*Office!$C$23+'Regresson List_Office'!$J$59*Office!$C$23^2</f>
        <v>115.86335842999999</v>
      </c>
      <c r="Q13" s="56">
        <f>P13-Office!$F$35</f>
        <v>103.99660071268192</v>
      </c>
      <c r="R13" s="59">
        <f t="shared" si="6"/>
        <v>0.10242028090776845</v>
      </c>
      <c r="S13" s="5" t="s">
        <v>44</v>
      </c>
      <c r="U13">
        <f>U12</f>
        <v>20.664643623700002</v>
      </c>
      <c r="V13" s="19">
        <f>V12</f>
        <v>19.175487926199999</v>
      </c>
      <c r="W13" s="114"/>
      <c r="X13" s="83">
        <f>U13*Office!$F$18</f>
        <v>5166160.9059250001</v>
      </c>
      <c r="Y13">
        <f t="shared" si="4"/>
        <v>430.51340882708337</v>
      </c>
      <c r="Z13">
        <f>V13*Office!$F$27</f>
        <v>575264.63778599992</v>
      </c>
      <c r="AA13">
        <f t="shared" si="5"/>
        <v>47.938719815499994</v>
      </c>
      <c r="AB13" s="60">
        <f t="shared" si="1"/>
        <v>382.57468901158336</v>
      </c>
      <c r="AC13" s="9" t="s">
        <v>44</v>
      </c>
      <c r="AG13" s="192">
        <f t="shared" si="2"/>
        <v>0.61202736368739996</v>
      </c>
    </row>
    <row r="14" spans="1:33" x14ac:dyDescent="0.25">
      <c r="A14" s="2" t="s">
        <v>17</v>
      </c>
      <c r="B14" s="2" t="s">
        <v>17</v>
      </c>
      <c r="C14" s="6" t="s">
        <v>14</v>
      </c>
      <c r="D14" s="6" t="s">
        <v>115</v>
      </c>
      <c r="E14" s="6" t="s">
        <v>55</v>
      </c>
      <c r="F14" s="6" t="s">
        <v>7</v>
      </c>
      <c r="G14" s="6"/>
      <c r="H14" s="52">
        <v>2080</v>
      </c>
      <c r="I14" s="6" t="str">
        <f t="shared" si="0"/>
        <v>SingleSingleMidOfficePVAV_GasNatural Gas2080</v>
      </c>
      <c r="J14" s="92">
        <v>0</v>
      </c>
      <c r="K14" s="19">
        <f>'Regresson List_Office'!K22+'Regresson List_Office'!L22*Office!$C$24+'Regresson List_Office'!M22*Office!$C$24^2</f>
        <v>3.0291636658000001</v>
      </c>
      <c r="L14" s="19">
        <f>'Regresson List_Office'!H22+'Regresson List_Office'!I22*Office!$C$23+'Regresson List_Office'!J22*Office!$C$23^2</f>
        <v>0.37447974512259996</v>
      </c>
      <c r="M14" s="81"/>
      <c r="N14" s="58" t="s">
        <v>44</v>
      </c>
      <c r="P14" s="19">
        <f>'Regresson List_Office'!$H$60+'Regresson List_Office'!$I$60*Office!$C$23+'Regresson List_Office'!$J$60*Office!$C$23^2</f>
        <v>57.177142619999998</v>
      </c>
      <c r="Q14" s="56">
        <f>P14-Office!$F$35</f>
        <v>45.310384902681932</v>
      </c>
      <c r="R14" s="59">
        <f t="shared" si="6"/>
        <v>0.20754373467356857</v>
      </c>
      <c r="S14" s="5" t="s">
        <v>44</v>
      </c>
      <c r="U14">
        <f>'Regresson List_Office'!H44+'Regresson List_Office'!I44*Office!$C$24+'Regresson List_Office'!J44*Office!$C$24^2</f>
        <v>23.273233478800002</v>
      </c>
      <c r="V14" s="19">
        <f>'Regresson List_Office'!K44+'Regresson List_Office'!L44*Office!$C$24+'Regresson List_Office'!M44*Office!$C$24^2</f>
        <v>27.276557433699999</v>
      </c>
      <c r="W14" s="114"/>
      <c r="X14" s="83">
        <f>U14*Office!$F$18</f>
        <v>5818308.3697000006</v>
      </c>
      <c r="Y14">
        <f t="shared" ref="Y14:Y22" si="7">X14/12000</f>
        <v>484.85903080833339</v>
      </c>
      <c r="Z14">
        <f>V14*Office!$F$27</f>
        <v>818296.72301099997</v>
      </c>
      <c r="AA14">
        <f t="shared" ref="AA14:AA22" si="8">Z14/12000</f>
        <v>68.191393584249994</v>
      </c>
      <c r="AB14" s="60">
        <f t="shared" si="1"/>
        <v>416.66763722408336</v>
      </c>
      <c r="AC14" s="9" t="s">
        <v>44</v>
      </c>
      <c r="AG14" s="192">
        <f t="shared" si="2"/>
        <v>0.61202736368739996</v>
      </c>
    </row>
    <row r="15" spans="1:33" x14ac:dyDescent="0.25">
      <c r="A15" s="2" t="s">
        <v>17</v>
      </c>
      <c r="B15" s="2" t="s">
        <v>17</v>
      </c>
      <c r="C15" s="6" t="s">
        <v>14</v>
      </c>
      <c r="D15" s="6" t="s">
        <v>115</v>
      </c>
      <c r="E15" s="6" t="s">
        <v>55</v>
      </c>
      <c r="F15" s="6" t="s">
        <v>7</v>
      </c>
      <c r="G15" s="6"/>
      <c r="H15" s="52">
        <v>2912</v>
      </c>
      <c r="I15" s="6" t="str">
        <f t="shared" si="0"/>
        <v>SingleSingleMidOfficePVAV_GasNatural Gas2912</v>
      </c>
      <c r="J15" s="92">
        <v>0</v>
      </c>
      <c r="K15" s="19">
        <f>'Regresson List_Office'!K23+'Regresson List_Office'!L23*Office!$C$24+'Regresson List_Office'!M23*Office!$C$24^2</f>
        <v>4.9859928155000004</v>
      </c>
      <c r="L15" s="19">
        <f>'Regresson List_Office'!H23+'Regresson List_Office'!I23*Office!$C$23+'Regresson List_Office'!J23*Office!$C$23^2</f>
        <v>0.53193760309399996</v>
      </c>
      <c r="M15" s="81"/>
      <c r="N15" s="58" t="s">
        <v>44</v>
      </c>
      <c r="P15" s="19">
        <f>'Regresson List_Office'!$H$61+'Regresson List_Office'!$I$61*Office!$C$23+'Regresson List_Office'!$J$61*Office!$C$23^2</f>
        <v>78.02529234326164</v>
      </c>
      <c r="Q15" s="56">
        <f>P15-Office!$F$35</f>
        <v>66.158534625943574</v>
      </c>
      <c r="R15" s="59">
        <f t="shared" si="6"/>
        <v>0.1520886030790104</v>
      </c>
      <c r="S15" s="5" t="s">
        <v>44</v>
      </c>
      <c r="U15">
        <f>U14</f>
        <v>23.273233478800002</v>
      </c>
      <c r="V15" s="19">
        <f>V14</f>
        <v>27.276557433699999</v>
      </c>
      <c r="W15" s="114"/>
      <c r="X15" s="83">
        <f>U15*Office!$F$18</f>
        <v>5818308.3697000006</v>
      </c>
      <c r="Y15">
        <f t="shared" si="7"/>
        <v>484.85903080833339</v>
      </c>
      <c r="Z15">
        <f>V15*Office!$F$27</f>
        <v>818296.72301099997</v>
      </c>
      <c r="AA15">
        <f t="shared" si="8"/>
        <v>68.191393584249994</v>
      </c>
      <c r="AB15" s="60">
        <f t="shared" si="1"/>
        <v>416.66763722408336</v>
      </c>
      <c r="AC15" s="9" t="s">
        <v>44</v>
      </c>
      <c r="AG15" s="192">
        <f t="shared" si="2"/>
        <v>0.61202736368739996</v>
      </c>
    </row>
    <row r="16" spans="1:33" x14ac:dyDescent="0.25">
      <c r="A16" s="2" t="s">
        <v>17</v>
      </c>
      <c r="B16" s="2" t="s">
        <v>17</v>
      </c>
      <c r="C16" s="6" t="s">
        <v>14</v>
      </c>
      <c r="D16" s="6" t="s">
        <v>115</v>
      </c>
      <c r="E16" s="6" t="s">
        <v>55</v>
      </c>
      <c r="F16" s="6" t="s">
        <v>7</v>
      </c>
      <c r="G16" s="6"/>
      <c r="H16" s="52">
        <v>8760</v>
      </c>
      <c r="I16" s="6" t="str">
        <f t="shared" si="0"/>
        <v>SingleSingleMidOfficePVAV_GasNatural Gas8760</v>
      </c>
      <c r="J16" s="92">
        <v>0</v>
      </c>
      <c r="K16" s="19">
        <f>'Regresson List_Office'!K24+'Regresson List_Office'!L24*Office!$C$24+'Regresson List_Office'!M24*Office!$C$24^2</f>
        <v>10.407127999599998</v>
      </c>
      <c r="L16" s="19">
        <f>'Regresson List_Office'!H24+'Regresson List_Office'!I24*Office!$C$23+'Regresson List_Office'!J24*Office!$C$23^2</f>
        <v>-2.8646107482204002</v>
      </c>
      <c r="M16" s="81"/>
      <c r="N16" s="58" t="s">
        <v>44</v>
      </c>
      <c r="P16" s="19">
        <f>'Regresson List_Office'!$H$62+'Regresson List_Office'!$I$62*Office!$C$23+'Regresson List_Office'!$J$62*Office!$C$23^2</f>
        <v>156.58641737000002</v>
      </c>
      <c r="Q16" s="56">
        <f>P16-Office!$F$35</f>
        <v>144.71965965268194</v>
      </c>
      <c r="R16" s="59">
        <f t="shared" si="6"/>
        <v>7.5784080871318271E-2</v>
      </c>
      <c r="S16" s="5" t="s">
        <v>44</v>
      </c>
      <c r="U16">
        <f>U15</f>
        <v>23.273233478800002</v>
      </c>
      <c r="V16" s="19">
        <f>V15</f>
        <v>27.276557433699999</v>
      </c>
      <c r="W16" s="114"/>
      <c r="X16" s="83">
        <f>U16*Office!$F$18</f>
        <v>5818308.3697000006</v>
      </c>
      <c r="Y16">
        <f t="shared" si="7"/>
        <v>484.85903080833339</v>
      </c>
      <c r="Z16">
        <f>V16*Office!$F$27</f>
        <v>818296.72301099997</v>
      </c>
      <c r="AA16">
        <f t="shared" si="8"/>
        <v>68.191393584249994</v>
      </c>
      <c r="AB16" s="60">
        <f t="shared" si="1"/>
        <v>416.66763722408336</v>
      </c>
      <c r="AC16" s="9" t="s">
        <v>44</v>
      </c>
      <c r="AG16" s="192">
        <f t="shared" si="2"/>
        <v>0.61202736368739996</v>
      </c>
    </row>
    <row r="17" spans="1:33" x14ac:dyDescent="0.25">
      <c r="A17" s="2" t="s">
        <v>17</v>
      </c>
      <c r="B17" s="2" t="s">
        <v>12</v>
      </c>
      <c r="C17" s="6" t="s">
        <v>14</v>
      </c>
      <c r="D17" s="6" t="s">
        <v>115</v>
      </c>
      <c r="E17" s="6" t="s">
        <v>55</v>
      </c>
      <c r="F17" s="6" t="s">
        <v>7</v>
      </c>
      <c r="G17" s="6"/>
      <c r="H17" s="52">
        <v>2080</v>
      </c>
      <c r="I17" s="6" t="str">
        <f t="shared" si="0"/>
        <v>SingleDoubleMidOfficePVAV_GasNatural Gas2080</v>
      </c>
      <c r="J17" s="92">
        <v>0</v>
      </c>
      <c r="K17" s="19">
        <f>'Regresson List_Office'!K25+'Regresson List_Office'!L25*Office!$C$24+'Regresson List_Office'!M25*Office!$C$24^2</f>
        <v>5.3282499179</v>
      </c>
      <c r="L17" s="19">
        <f>'Regresson List_Office'!H25+'Regresson List_Office'!I25*Office!$C$23+'Regresson List_Office'!J25*Office!$C$23^2</f>
        <v>0.34688227340310002</v>
      </c>
      <c r="M17" s="81"/>
      <c r="N17" s="58" t="s">
        <v>44</v>
      </c>
      <c r="P17" s="19">
        <f>'Regresson List_Office'!$H$60+'Regresson List_Office'!$I$60*Office!$C$23+'Regresson List_Office'!$J$60*Office!$C$23^2</f>
        <v>57.177142619999998</v>
      </c>
      <c r="Q17" s="56">
        <f>P17-Office!$F$35</f>
        <v>45.310384902681932</v>
      </c>
      <c r="R17" s="59">
        <f t="shared" si="6"/>
        <v>0.20754373467356857</v>
      </c>
      <c r="S17" s="5" t="s">
        <v>44</v>
      </c>
      <c r="U17">
        <f>U16</f>
        <v>23.273233478800002</v>
      </c>
      <c r="V17" s="19">
        <f>'Regresson List_Office'!K45+'Regresson List_Office'!L45*Office!$C$24+'Regresson List_Office'!M45*Office!$C$24^2</f>
        <v>55.298104403899998</v>
      </c>
      <c r="W17" s="114"/>
      <c r="X17" s="83">
        <f>U17*Office!$F$18</f>
        <v>5818308.3697000006</v>
      </c>
      <c r="Y17">
        <f t="shared" si="7"/>
        <v>484.85903080833339</v>
      </c>
      <c r="Z17">
        <f>V17*Office!$F$27</f>
        <v>1658943.1321169999</v>
      </c>
      <c r="AA17">
        <f t="shared" si="8"/>
        <v>138.24526100974998</v>
      </c>
      <c r="AB17" s="60">
        <f t="shared" si="1"/>
        <v>346.61376979858341</v>
      </c>
      <c r="AC17" s="9" t="s">
        <v>44</v>
      </c>
      <c r="AG17" s="192">
        <f t="shared" si="2"/>
        <v>0.61202736368739996</v>
      </c>
    </row>
    <row r="18" spans="1:33" x14ac:dyDescent="0.25">
      <c r="A18" s="2" t="s">
        <v>17</v>
      </c>
      <c r="B18" s="2" t="s">
        <v>12</v>
      </c>
      <c r="C18" s="6" t="s">
        <v>14</v>
      </c>
      <c r="D18" s="6" t="s">
        <v>115</v>
      </c>
      <c r="E18" s="6" t="s">
        <v>55</v>
      </c>
      <c r="F18" s="6" t="s">
        <v>7</v>
      </c>
      <c r="G18" s="6"/>
      <c r="H18" s="52">
        <v>2912</v>
      </c>
      <c r="I18" s="6" t="str">
        <f t="shared" si="0"/>
        <v>SingleDoubleMidOfficePVAV_GasNatural Gas2912</v>
      </c>
      <c r="J18" s="92">
        <v>0</v>
      </c>
      <c r="K18" s="19">
        <f>'Regresson List_Office'!K26+'Regresson List_Office'!L26*Office!$C$24+'Regresson List_Office'!M26*Office!$C$24^2</f>
        <v>7.9886620855999997</v>
      </c>
      <c r="L18" s="19">
        <f>'Regresson List_Office'!H26+'Regresson List_Office'!I26*Office!$C$23+'Regresson List_Office'!J26*Office!$C$23^2</f>
        <v>0.50267517135990003</v>
      </c>
      <c r="M18" s="81"/>
      <c r="N18" s="58" t="s">
        <v>44</v>
      </c>
      <c r="O18" s="8"/>
      <c r="P18" s="19">
        <f>'Regresson List_Office'!$H$61+'Regresson List_Office'!$I$61*Office!$C$23+'Regresson List_Office'!$J$61*Office!$C$23^2</f>
        <v>78.02529234326164</v>
      </c>
      <c r="Q18" s="56">
        <f>P18-Office!$F$35</f>
        <v>66.158534625943574</v>
      </c>
      <c r="R18" s="59">
        <f t="shared" si="3"/>
        <v>0.1520886030790104</v>
      </c>
      <c r="S18" s="5" t="s">
        <v>44</v>
      </c>
      <c r="U18">
        <f>U17</f>
        <v>23.273233478800002</v>
      </c>
      <c r="V18" s="19">
        <f>V17</f>
        <v>55.298104403899998</v>
      </c>
      <c r="W18" s="114"/>
      <c r="X18" s="83">
        <f>U18*Office!$F$18</f>
        <v>5818308.3697000006</v>
      </c>
      <c r="Y18">
        <f t="shared" si="7"/>
        <v>484.85903080833339</v>
      </c>
      <c r="Z18">
        <f>V18*Office!$F$27</f>
        <v>1658943.1321169999</v>
      </c>
      <c r="AA18">
        <f t="shared" si="8"/>
        <v>138.24526100974998</v>
      </c>
      <c r="AB18" s="60">
        <f t="shared" si="1"/>
        <v>346.61376979858341</v>
      </c>
      <c r="AC18" s="9" t="s">
        <v>44</v>
      </c>
      <c r="AG18" s="192">
        <f t="shared" si="2"/>
        <v>0.61202736368739996</v>
      </c>
    </row>
    <row r="19" spans="1:33" x14ac:dyDescent="0.25">
      <c r="A19" s="2" t="s">
        <v>17</v>
      </c>
      <c r="B19" s="2" t="s">
        <v>12</v>
      </c>
      <c r="C19" s="6" t="s">
        <v>14</v>
      </c>
      <c r="D19" s="6" t="s">
        <v>115</v>
      </c>
      <c r="E19" s="6" t="s">
        <v>55</v>
      </c>
      <c r="F19" s="6" t="s">
        <v>7</v>
      </c>
      <c r="G19" s="6"/>
      <c r="H19" s="52">
        <v>8760</v>
      </c>
      <c r="I19" s="6" t="str">
        <f t="shared" si="0"/>
        <v>SingleDoubleMidOfficePVAV_GasNatural Gas8760</v>
      </c>
      <c r="J19" s="92">
        <v>0</v>
      </c>
      <c r="K19" s="19">
        <f>'Regresson List_Office'!K27+'Regresson List_Office'!L27*Office!$C$24+'Regresson List_Office'!M27*Office!$C$24^2</f>
        <v>13.29291834</v>
      </c>
      <c r="L19" s="19">
        <f>'Regresson List_Office'!H27+'Regresson List_Office'!I27*Office!$C$23+'Regresson List_Office'!J27*Office!$C$23^2</f>
        <v>1.3827902588848</v>
      </c>
      <c r="M19" s="81"/>
      <c r="N19" s="58" t="s">
        <v>44</v>
      </c>
      <c r="O19" s="8"/>
      <c r="P19" s="19">
        <f>'Regresson List_Office'!$H$62+'Regresson List_Office'!$I$62*Office!$C$23+'Regresson List_Office'!$J$62*Office!$C$23^2</f>
        <v>156.58641737000002</v>
      </c>
      <c r="Q19" s="56">
        <f>P19-Office!$F$35</f>
        <v>144.71965965268194</v>
      </c>
      <c r="R19" s="59">
        <f t="shared" si="3"/>
        <v>7.5784080871318271E-2</v>
      </c>
      <c r="S19" s="5" t="s">
        <v>44</v>
      </c>
      <c r="U19">
        <f>U18</f>
        <v>23.273233478800002</v>
      </c>
      <c r="V19" s="19">
        <f>V18</f>
        <v>55.298104403899998</v>
      </c>
      <c r="W19" s="114"/>
      <c r="X19" s="83">
        <f>U19*Office!$F$18</f>
        <v>5818308.3697000006</v>
      </c>
      <c r="Y19">
        <f t="shared" si="7"/>
        <v>484.85903080833339</v>
      </c>
      <c r="Z19">
        <f>V19*Office!$F$27</f>
        <v>1658943.1321169999</v>
      </c>
      <c r="AA19">
        <f t="shared" si="8"/>
        <v>138.24526100974998</v>
      </c>
      <c r="AB19" s="60">
        <f t="shared" si="1"/>
        <v>346.61376979858341</v>
      </c>
      <c r="AC19" s="9" t="s">
        <v>44</v>
      </c>
      <c r="AG19" s="192">
        <f t="shared" si="2"/>
        <v>0.61202736368739996</v>
      </c>
    </row>
    <row r="20" spans="1:33" x14ac:dyDescent="0.25">
      <c r="A20" s="2" t="s">
        <v>12</v>
      </c>
      <c r="B20" s="2" t="s">
        <v>17</v>
      </c>
      <c r="C20" s="6" t="s">
        <v>14</v>
      </c>
      <c r="D20" s="6" t="s">
        <v>115</v>
      </c>
      <c r="E20" s="6" t="s">
        <v>55</v>
      </c>
      <c r="F20" s="6" t="s">
        <v>7</v>
      </c>
      <c r="G20" s="6"/>
      <c r="H20" s="52">
        <v>2080</v>
      </c>
      <c r="I20" s="6" t="str">
        <f t="shared" si="0"/>
        <v>DoubleSingleMidOfficePVAV_GasNatural Gas2080</v>
      </c>
      <c r="J20" s="92">
        <v>0</v>
      </c>
      <c r="K20" s="19">
        <f>'Regresson List_Office'!K28+'Regresson List_Office'!L28*Office!$C$24+'Regresson List_Office'!M28*Office!$C$24^2</f>
        <v>2.1054157476716999</v>
      </c>
      <c r="L20" s="19">
        <f>'Regresson List_Office'!H28+'Regresson List_Office'!I28*Office!$C$23+'Regresson List_Office'!J28*Office!$C$23^2</f>
        <v>0.16956902349849998</v>
      </c>
      <c r="M20" s="81"/>
      <c r="N20" s="58" t="s">
        <v>44</v>
      </c>
      <c r="O20" s="8"/>
      <c r="P20" s="19">
        <f>'Regresson List_Office'!$H$63+'Regresson List_Office'!$I$63*Office!$C$23+'Regresson List_Office'!$J$63*Office!$C$23^2</f>
        <v>47.827938529999997</v>
      </c>
      <c r="Q20" s="56">
        <f>P20-Office!$F$35</f>
        <v>35.961180812681931</v>
      </c>
      <c r="R20" s="59">
        <f t="shared" ref="R20:R22" si="9">1-(Q20/P20)</f>
        <v>0.2481135102629326</v>
      </c>
      <c r="S20" s="5" t="s">
        <v>44</v>
      </c>
      <c r="U20">
        <f>'Regresson List_Office'!H46+'Regresson List_Office'!I46*Office!$C$24+'Regresson List_Office'!J46*Office!$C$24^2</f>
        <v>20.664643623700002</v>
      </c>
      <c r="V20" s="19">
        <f>'Regresson List_Office'!K46+'Regresson List_Office'!L46*Office!$C$24+'Regresson List_Office'!M46*Office!$C$24^2</f>
        <v>19.175487926199999</v>
      </c>
      <c r="W20" s="114"/>
      <c r="X20" s="83">
        <f>U20*Office!$F$18</f>
        <v>5166160.9059250001</v>
      </c>
      <c r="Y20">
        <f t="shared" si="7"/>
        <v>430.51340882708337</v>
      </c>
      <c r="Z20">
        <f>V20*Office!$F$27</f>
        <v>575264.63778599992</v>
      </c>
      <c r="AA20">
        <f t="shared" si="8"/>
        <v>47.938719815499994</v>
      </c>
      <c r="AB20" s="60">
        <f t="shared" si="1"/>
        <v>382.57468901158336</v>
      </c>
      <c r="AC20" s="9" t="s">
        <v>44</v>
      </c>
      <c r="AG20" s="192">
        <f t="shared" si="2"/>
        <v>0.61202736368739996</v>
      </c>
    </row>
    <row r="21" spans="1:33" x14ac:dyDescent="0.25">
      <c r="A21" s="2" t="s">
        <v>12</v>
      </c>
      <c r="B21" s="2" t="s">
        <v>17</v>
      </c>
      <c r="C21" s="6" t="s">
        <v>14</v>
      </c>
      <c r="D21" s="6" t="s">
        <v>115</v>
      </c>
      <c r="E21" s="6" t="s">
        <v>55</v>
      </c>
      <c r="F21" s="6" t="s">
        <v>7</v>
      </c>
      <c r="G21" s="6"/>
      <c r="H21" s="52">
        <v>2912</v>
      </c>
      <c r="I21" s="6" t="str">
        <f t="shared" si="0"/>
        <v>DoubleSingleMidOfficePVAV_GasNatural Gas2912</v>
      </c>
      <c r="J21" s="92">
        <v>0</v>
      </c>
      <c r="K21" s="19">
        <f>'Regresson List_Office'!K29+'Regresson List_Office'!L29*Office!$C$24+'Regresson List_Office'!M29*Office!$C$24^2</f>
        <v>3.1043500884194004</v>
      </c>
      <c r="L21" s="19">
        <f>'Regresson List_Office'!H29+'Regresson List_Office'!I29*Office!$C$23+'Regresson List_Office'!J29*Office!$C$23^2</f>
        <v>0.2248978448383</v>
      </c>
      <c r="M21" s="81"/>
      <c r="N21" s="58" t="s">
        <v>44</v>
      </c>
      <c r="O21" s="8"/>
      <c r="P21" s="19">
        <f>'Regresson List_Office'!$H$64+'Regresson List_Office'!$I$64*Office!$C$23+'Regresson List_Office'!$J$64*Office!$C$23^2</f>
        <v>55.391931510000006</v>
      </c>
      <c r="Q21" s="56">
        <f>P21-Office!$F$35</f>
        <v>43.52517379268194</v>
      </c>
      <c r="R21" s="59">
        <f t="shared" si="9"/>
        <v>0.21423260380757325</v>
      </c>
      <c r="S21" s="5" t="s">
        <v>44</v>
      </c>
      <c r="U21">
        <f>U20</f>
        <v>20.664643623700002</v>
      </c>
      <c r="V21" s="19">
        <f>V20</f>
        <v>19.175487926199999</v>
      </c>
      <c r="W21" s="114"/>
      <c r="X21" s="83">
        <f>U21*Office!$F$18</f>
        <v>5166160.9059250001</v>
      </c>
      <c r="Y21">
        <f t="shared" si="7"/>
        <v>430.51340882708337</v>
      </c>
      <c r="Z21">
        <f>V21*Office!$F$27</f>
        <v>575264.63778599992</v>
      </c>
      <c r="AA21">
        <f t="shared" si="8"/>
        <v>47.938719815499994</v>
      </c>
      <c r="AB21" s="60">
        <f t="shared" si="1"/>
        <v>382.57468901158336</v>
      </c>
      <c r="AC21" s="9" t="s">
        <v>44</v>
      </c>
      <c r="AG21" s="192">
        <f>AG22</f>
        <v>0.61202736368739996</v>
      </c>
    </row>
    <row r="22" spans="1:33" x14ac:dyDescent="0.25">
      <c r="A22" s="2" t="s">
        <v>12</v>
      </c>
      <c r="B22" s="2" t="s">
        <v>17</v>
      </c>
      <c r="C22" s="6" t="s">
        <v>14</v>
      </c>
      <c r="D22" s="6" t="s">
        <v>115</v>
      </c>
      <c r="E22" s="6" t="s">
        <v>55</v>
      </c>
      <c r="F22" s="6" t="s">
        <v>7</v>
      </c>
      <c r="G22" s="6"/>
      <c r="H22" s="52">
        <v>8760</v>
      </c>
      <c r="I22" s="6" t="str">
        <f t="shared" si="0"/>
        <v>DoubleSingleMidOfficePVAV_GasNatural Gas8760</v>
      </c>
      <c r="J22" s="92">
        <v>0</v>
      </c>
      <c r="K22" s="19">
        <f>'Regresson List_Office'!K30+'Regresson List_Office'!L30*Office!$C$24+'Regresson List_Office'!M30*Office!$C$24^2</f>
        <v>5.1490558475999997</v>
      </c>
      <c r="L22" s="19">
        <f>'Regresson List_Office'!H30+'Regresson List_Office'!I30*Office!$C$23+'Regresson List_Office'!J30*Office!$C$23^2</f>
        <v>0.63824774015480001</v>
      </c>
      <c r="M22" s="81"/>
      <c r="N22" s="58" t="s">
        <v>44</v>
      </c>
      <c r="O22" s="8"/>
      <c r="P22" s="19">
        <f>'Regresson List_Office'!$H$65+'Regresson List_Office'!$I$65*Office!$C$23+'Regresson List_Office'!$J$65*Office!$C$23^2</f>
        <v>115.88484162</v>
      </c>
      <c r="Q22" s="56">
        <f>P22-Office!$F$35</f>
        <v>104.01808390268194</v>
      </c>
      <c r="R22" s="59">
        <f t="shared" si="9"/>
        <v>0.10240129383125496</v>
      </c>
      <c r="S22" s="5" t="s">
        <v>44</v>
      </c>
      <c r="U22">
        <f>U21</f>
        <v>20.664643623700002</v>
      </c>
      <c r="V22" s="19">
        <f>V21</f>
        <v>19.175487926199999</v>
      </c>
      <c r="W22" s="114"/>
      <c r="X22" s="83">
        <f>U22*Office!$F$18</f>
        <v>5166160.9059250001</v>
      </c>
      <c r="Y22">
        <f t="shared" si="7"/>
        <v>430.51340882708337</v>
      </c>
      <c r="Z22">
        <f>V22*Office!$F$27</f>
        <v>575264.63778599992</v>
      </c>
      <c r="AA22">
        <f t="shared" si="8"/>
        <v>47.938719815499994</v>
      </c>
      <c r="AB22" s="60">
        <f t="shared" si="1"/>
        <v>382.57468901158336</v>
      </c>
      <c r="AC22" s="9" t="s">
        <v>44</v>
      </c>
      <c r="AG22" s="78">
        <f>'Regresson List_Office'!H80+'Regresson List_Office'!I80*Office!$C$24+'Regresson List_Office'!J80*Office!$C$24^2+'Regresson List_Office'!K80*Office!$C$24^3</f>
        <v>0.61202736368739996</v>
      </c>
    </row>
    <row r="23" spans="1:33" x14ac:dyDescent="0.25">
      <c r="A23" s="2" t="s">
        <v>17</v>
      </c>
      <c r="B23" s="2" t="s">
        <v>17</v>
      </c>
      <c r="C23" s="6" t="s">
        <v>56</v>
      </c>
      <c r="D23" s="6" t="s">
        <v>115</v>
      </c>
      <c r="E23" s="6" t="s">
        <v>134</v>
      </c>
      <c r="F23" s="6" t="s">
        <v>29</v>
      </c>
      <c r="G23" s="6"/>
      <c r="H23" s="52">
        <v>2080</v>
      </c>
      <c r="I23" s="6" t="str">
        <f t="shared" si="0"/>
        <v>SingleSingleLargeOfficeVAVElectric2080</v>
      </c>
      <c r="J23" s="19">
        <f>'Regresson List_Office'!H13+'Regresson List_Office'!I13*Office!$C$23+'Regresson List_Office'!J13*Office!$C$23^2</f>
        <v>8.3767931134403</v>
      </c>
      <c r="K23" s="19">
        <f>'Regresson List_Office'!K13+'Regresson List_Office'!L13*Office!$C$24+'Regresson List_Office'!M13*Office!$C$24^2</f>
        <v>3.5966403220722998</v>
      </c>
      <c r="L23" s="92">
        <v>0</v>
      </c>
      <c r="N23" s="58" t="s">
        <v>44</v>
      </c>
      <c r="P23" s="19">
        <f>'Regresson List_Office'!$H66+'Regresson List_Office'!$I66*Office!$C$23+'Regresson List_Office'!$J66*Office!$C$23^2</f>
        <v>52.078155549999998</v>
      </c>
      <c r="Q23" s="56">
        <f>P23-Office!$F$35</f>
        <v>40.211397832681925</v>
      </c>
      <c r="R23" s="59">
        <f>1-(Q23/P23)</f>
        <v>0.22786440095645966</v>
      </c>
      <c r="S23" s="5" t="s">
        <v>44</v>
      </c>
      <c r="U23">
        <f>'Regresson List_Office'!H47+'Regresson List_Office'!I47*Office!$C$24+'Regresson List_Office'!J47*Office!$C$24^2</f>
        <v>26.763888945900003</v>
      </c>
      <c r="V23" s="19">
        <f>'Regresson List_Office'!K47+'Regresson List_Office'!L62*Office!$C$49+'Regresson List_Office'!M47*Office!$C$24^2</f>
        <v>18.990151235699997</v>
      </c>
      <c r="W23" s="114"/>
      <c r="X23" s="83">
        <f>U23*Office!$F$18</f>
        <v>6690972.2364750011</v>
      </c>
      <c r="Y23">
        <f>X23/12000</f>
        <v>557.58101970625012</v>
      </c>
      <c r="Z23">
        <f>V23*Office!$F$27</f>
        <v>569704.53707099997</v>
      </c>
      <c r="AA23">
        <f>Z23/12000</f>
        <v>47.47537808925</v>
      </c>
      <c r="AB23" s="60">
        <f t="shared" si="1"/>
        <v>510.10564161700012</v>
      </c>
      <c r="AC23" s="9" t="s">
        <v>44</v>
      </c>
      <c r="AG23" s="192">
        <f t="shared" ref="AG23:AG38" si="10">AG24</f>
        <v>0.79996065126599991</v>
      </c>
    </row>
    <row r="24" spans="1:33" x14ac:dyDescent="0.25">
      <c r="A24" s="2" t="s">
        <v>17</v>
      </c>
      <c r="B24" s="2" t="s">
        <v>17</v>
      </c>
      <c r="C24" s="6" t="s">
        <v>56</v>
      </c>
      <c r="D24" s="6" t="s">
        <v>115</v>
      </c>
      <c r="E24" s="6" t="s">
        <v>134</v>
      </c>
      <c r="F24" s="6" t="s">
        <v>29</v>
      </c>
      <c r="G24" s="6"/>
      <c r="H24" s="52">
        <v>2912</v>
      </c>
      <c r="I24" s="6" t="str">
        <f t="shared" si="0"/>
        <v>SingleSingleLargeOfficeVAVElectric2912</v>
      </c>
      <c r="J24" s="19">
        <f>'Regresson List_Office'!H14+'Regresson List_Office'!I14*Office!$C$23+'Regresson List_Office'!J14*Office!$C$23^2</f>
        <v>12.067326039229499</v>
      </c>
      <c r="K24" s="19">
        <f>'Regresson List_Office'!K14+'Regresson List_Office'!L14*Office!$C$24+'Regresson List_Office'!M14*Office!$C$24^2</f>
        <v>5.8915550868550994</v>
      </c>
      <c r="L24" s="92">
        <v>0</v>
      </c>
      <c r="N24" s="58" t="s">
        <v>44</v>
      </c>
      <c r="P24" s="19">
        <f>'Regresson List_Office'!$H67+'Regresson List_Office'!$I67*Office!$C$23+'Regresson List_Office'!$J67*Office!$C$23^2</f>
        <v>79.051072599999998</v>
      </c>
      <c r="Q24" s="56">
        <f>P24-Office!$F$35</f>
        <v>67.184314882681932</v>
      </c>
      <c r="R24" s="59">
        <f t="shared" si="3"/>
        <v>0.15011507531800483</v>
      </c>
      <c r="S24" s="5" t="s">
        <v>44</v>
      </c>
      <c r="U24">
        <f>U23</f>
        <v>26.763888945900003</v>
      </c>
      <c r="V24" s="19">
        <f>V23</f>
        <v>18.990151235699997</v>
      </c>
      <c r="W24" s="114"/>
      <c r="X24" s="83">
        <f>U24*Office!$F$18</f>
        <v>6690972.2364750011</v>
      </c>
      <c r="Y24">
        <f t="shared" ref="Y24:Y31" si="11">X24/12000</f>
        <v>557.58101970625012</v>
      </c>
      <c r="Z24">
        <f>V24*Office!$F$27</f>
        <v>569704.53707099997</v>
      </c>
      <c r="AA24">
        <f t="shared" ref="AA24:AA31" si="12">Z24/12000</f>
        <v>47.47537808925</v>
      </c>
      <c r="AB24" s="60">
        <f t="shared" si="1"/>
        <v>510.10564161700012</v>
      </c>
      <c r="AC24" s="9" t="s">
        <v>44</v>
      </c>
      <c r="AG24" s="192">
        <f t="shared" si="10"/>
        <v>0.79996065126599991</v>
      </c>
    </row>
    <row r="25" spans="1:33" x14ac:dyDescent="0.25">
      <c r="A25" s="2" t="s">
        <v>17</v>
      </c>
      <c r="B25" s="2" t="s">
        <v>17</v>
      </c>
      <c r="C25" s="6" t="s">
        <v>56</v>
      </c>
      <c r="D25" s="6" t="s">
        <v>115</v>
      </c>
      <c r="E25" s="6" t="s">
        <v>134</v>
      </c>
      <c r="F25" s="6" t="s">
        <v>29</v>
      </c>
      <c r="G25" s="6"/>
      <c r="H25" s="52">
        <v>8760</v>
      </c>
      <c r="I25" s="6" t="str">
        <f t="shared" si="0"/>
        <v>SingleSingleLargeOfficeVAVElectric8760</v>
      </c>
      <c r="J25" s="19">
        <f>'Regresson List_Office'!H15+'Regresson List_Office'!I15*Office!$C$23+'Regresson List_Office'!J15*Office!$C$23^2</f>
        <v>29.5821397630177</v>
      </c>
      <c r="K25" s="19">
        <f>'Regresson List_Office'!K15+'Regresson List_Office'!L15*Office!$C$24+'Regresson List_Office'!M15*Office!$C$24^2</f>
        <v>12.2720875520607</v>
      </c>
      <c r="L25" s="92">
        <v>0</v>
      </c>
      <c r="N25" s="58" t="s">
        <v>44</v>
      </c>
      <c r="P25" s="19">
        <f>'Regresson List_Office'!$H68+'Regresson List_Office'!$I68*Office!$C$23+'Regresson List_Office'!$J68*Office!$C$23^2</f>
        <v>137.27535262000001</v>
      </c>
      <c r="Q25" s="56">
        <f>P25-Office!$F$35</f>
        <v>125.40859490268194</v>
      </c>
      <c r="R25" s="59">
        <f t="shared" si="3"/>
        <v>8.6444926134461531E-2</v>
      </c>
      <c r="S25" s="5" t="s">
        <v>44</v>
      </c>
      <c r="U25">
        <f>U24</f>
        <v>26.763888945900003</v>
      </c>
      <c r="V25" s="19">
        <f>V24</f>
        <v>18.990151235699997</v>
      </c>
      <c r="W25" s="114"/>
      <c r="X25" s="83">
        <f>U25*Office!$F$18</f>
        <v>6690972.2364750011</v>
      </c>
      <c r="Y25">
        <f t="shared" si="11"/>
        <v>557.58101970625012</v>
      </c>
      <c r="Z25">
        <f>V25*Office!$F$27</f>
        <v>569704.53707099997</v>
      </c>
      <c r="AA25">
        <f t="shared" si="12"/>
        <v>47.47537808925</v>
      </c>
      <c r="AB25" s="60">
        <f t="shared" si="1"/>
        <v>510.10564161700012</v>
      </c>
      <c r="AC25" s="9" t="s">
        <v>44</v>
      </c>
      <c r="AG25" s="192">
        <f t="shared" si="10"/>
        <v>0.79996065126599991</v>
      </c>
    </row>
    <row r="26" spans="1:33" x14ac:dyDescent="0.25">
      <c r="A26" s="2" t="s">
        <v>17</v>
      </c>
      <c r="B26" s="2" t="s">
        <v>12</v>
      </c>
      <c r="C26" s="6" t="s">
        <v>56</v>
      </c>
      <c r="D26" s="6" t="s">
        <v>115</v>
      </c>
      <c r="E26" s="6" t="s">
        <v>134</v>
      </c>
      <c r="F26" s="6" t="s">
        <v>29</v>
      </c>
      <c r="G26" s="6"/>
      <c r="H26" s="52">
        <v>2080</v>
      </c>
      <c r="I26" s="6" t="str">
        <f t="shared" si="0"/>
        <v>SingleDoubleLargeOfficeVAVElectric2080</v>
      </c>
      <c r="J26" s="19">
        <f>'Regresson List_Office'!H16+'Regresson List_Office'!I16*Office!$C$23+'Regresson List_Office'!J16*Office!$C$23^2</f>
        <v>7.7937929475865992</v>
      </c>
      <c r="K26" s="19">
        <f>'Regresson List_Office'!K16+'Regresson List_Office'!L16*Office!$C$24+'Regresson List_Office'!M16*Office!$C$24^2</f>
        <v>6.3007231908470995</v>
      </c>
      <c r="L26" s="92">
        <v>0</v>
      </c>
      <c r="N26" s="58" t="s">
        <v>44</v>
      </c>
      <c r="P26" s="19">
        <f>'Regresson List_Office'!$H66+'Regresson List_Office'!$I66*Office!$C$23+'Regresson List_Office'!$J66*Office!$C$23^2</f>
        <v>52.078155549999998</v>
      </c>
      <c r="Q26" s="56">
        <f>P26-Office!$F$35</f>
        <v>40.211397832681925</v>
      </c>
      <c r="R26" s="59">
        <f t="shared" si="3"/>
        <v>0.22786440095645966</v>
      </c>
      <c r="S26" s="5" t="s">
        <v>44</v>
      </c>
      <c r="U26">
        <f>U25</f>
        <v>26.763888945900003</v>
      </c>
      <c r="V26" s="19">
        <f>'Regresson List_Office'!K48+'Regresson List_Office'!L48*Office!$C$24+'Regresson List_Office'!M48*Office!$C$24^2</f>
        <v>57.9268687008</v>
      </c>
      <c r="W26" s="114"/>
      <c r="X26" s="83">
        <f>U26*Office!$F$18</f>
        <v>6690972.2364750011</v>
      </c>
      <c r="Y26">
        <f t="shared" si="11"/>
        <v>557.58101970625012</v>
      </c>
      <c r="Z26">
        <f>V26*Office!$F$27</f>
        <v>1737806.0610239999</v>
      </c>
      <c r="AA26">
        <f t="shared" si="12"/>
        <v>144.81717175200001</v>
      </c>
      <c r="AB26" s="60">
        <f t="shared" si="1"/>
        <v>412.76384795425008</v>
      </c>
      <c r="AC26" s="9" t="s">
        <v>44</v>
      </c>
      <c r="AG26" s="192">
        <f t="shared" si="10"/>
        <v>0.79996065126599991</v>
      </c>
    </row>
    <row r="27" spans="1:33" x14ac:dyDescent="0.25">
      <c r="A27" s="2" t="s">
        <v>17</v>
      </c>
      <c r="B27" s="2" t="s">
        <v>12</v>
      </c>
      <c r="C27" s="6" t="s">
        <v>56</v>
      </c>
      <c r="D27" s="6" t="s">
        <v>115</v>
      </c>
      <c r="E27" s="6" t="s">
        <v>134</v>
      </c>
      <c r="F27" s="6" t="s">
        <v>29</v>
      </c>
      <c r="G27" s="6"/>
      <c r="H27" s="52">
        <v>2912</v>
      </c>
      <c r="I27" s="6" t="str">
        <f t="shared" si="0"/>
        <v>SingleDoubleLargeOfficeVAVElectric2912</v>
      </c>
      <c r="J27" s="19">
        <f>'Regresson List_Office'!H17+'Regresson List_Office'!I17*Office!$C$23+'Regresson List_Office'!J17*Office!$C$23^2</f>
        <v>11.234727173479902</v>
      </c>
      <c r="K27" s="19">
        <f>'Regresson List_Office'!K17+'Regresson List_Office'!L17*Office!$C$24+'Regresson List_Office'!M17*Office!$C$24^2</f>
        <v>9.4210157349766011</v>
      </c>
      <c r="L27" s="92">
        <v>0</v>
      </c>
      <c r="N27" s="58" t="s">
        <v>44</v>
      </c>
      <c r="P27" s="19">
        <f>'Regresson List_Office'!$H67+'Regresson List_Office'!$I67*Office!$C$23+'Regresson List_Office'!$J67*Office!$C$23^2</f>
        <v>79.051072599999998</v>
      </c>
      <c r="Q27" s="56">
        <f>P27-Office!$F$35</f>
        <v>67.184314882681932</v>
      </c>
      <c r="R27" s="59">
        <f t="shared" si="3"/>
        <v>0.15011507531800483</v>
      </c>
      <c r="S27" s="5" t="s">
        <v>44</v>
      </c>
      <c r="U27">
        <f>U26</f>
        <v>26.763888945900003</v>
      </c>
      <c r="V27" s="19">
        <f>V26</f>
        <v>57.9268687008</v>
      </c>
      <c r="W27" s="114"/>
      <c r="X27" s="83">
        <f>U27*Office!$F$18</f>
        <v>6690972.2364750011</v>
      </c>
      <c r="Y27">
        <f t="shared" si="11"/>
        <v>557.58101970625012</v>
      </c>
      <c r="Z27">
        <f>V27*Office!$F$27</f>
        <v>1737806.0610239999</v>
      </c>
      <c r="AA27">
        <f t="shared" si="12"/>
        <v>144.81717175200001</v>
      </c>
      <c r="AB27" s="60">
        <f t="shared" si="1"/>
        <v>412.76384795425008</v>
      </c>
      <c r="AC27" s="9" t="s">
        <v>44</v>
      </c>
      <c r="AG27" s="192">
        <f t="shared" si="10"/>
        <v>0.79996065126599991</v>
      </c>
    </row>
    <row r="28" spans="1:33" x14ac:dyDescent="0.25">
      <c r="A28" s="2" t="s">
        <v>17</v>
      </c>
      <c r="B28" s="2" t="s">
        <v>12</v>
      </c>
      <c r="C28" s="6" t="s">
        <v>56</v>
      </c>
      <c r="D28" s="6" t="s">
        <v>115</v>
      </c>
      <c r="E28" s="6" t="s">
        <v>134</v>
      </c>
      <c r="F28" s="6" t="s">
        <v>29</v>
      </c>
      <c r="G28" s="6"/>
      <c r="H28" s="52">
        <v>8760</v>
      </c>
      <c r="I28" s="6" t="str">
        <f t="shared" si="0"/>
        <v>SingleDoubleLargeOfficeVAVElectric8760</v>
      </c>
      <c r="J28" s="19">
        <f>'Regresson List_Office'!H18+'Regresson List_Office'!I18*Office!$C$23+'Regresson List_Office'!J18*Office!$C$23^2</f>
        <v>31.209477634166898</v>
      </c>
      <c r="K28" s="19">
        <f>'Regresson List_Office'!K18+'Regresson List_Office'!L18*Office!$C$24+'Regresson List_Office'!M18*Office!$C$24^2</f>
        <v>15.691178785271701</v>
      </c>
      <c r="L28" s="92">
        <v>0</v>
      </c>
      <c r="N28" s="58" t="s">
        <v>44</v>
      </c>
      <c r="P28" s="19">
        <f>'Regresson List_Office'!$H68+'Regresson List_Office'!$I68*Office!$C$23+'Regresson List_Office'!$J68*Office!$C$23^2</f>
        <v>137.27535262000001</v>
      </c>
      <c r="Q28" s="56">
        <f>P28-Office!$F$35</f>
        <v>125.40859490268194</v>
      </c>
      <c r="R28" s="59">
        <f t="shared" si="3"/>
        <v>8.6444926134461531E-2</v>
      </c>
      <c r="S28" s="5" t="s">
        <v>44</v>
      </c>
      <c r="U28">
        <f>U27</f>
        <v>26.763888945900003</v>
      </c>
      <c r="V28" s="19">
        <f>V27</f>
        <v>57.9268687008</v>
      </c>
      <c r="W28" s="114"/>
      <c r="X28" s="83">
        <f>U28*Office!$F$18</f>
        <v>6690972.2364750011</v>
      </c>
      <c r="Y28">
        <f t="shared" si="11"/>
        <v>557.58101970625012</v>
      </c>
      <c r="Z28">
        <f>V28*Office!$F$27</f>
        <v>1737806.0610239999</v>
      </c>
      <c r="AA28">
        <f t="shared" si="12"/>
        <v>144.81717175200001</v>
      </c>
      <c r="AB28" s="60">
        <f t="shared" si="1"/>
        <v>412.76384795425008</v>
      </c>
      <c r="AC28" s="9" t="s">
        <v>44</v>
      </c>
      <c r="AG28" s="192">
        <f t="shared" si="10"/>
        <v>0.79996065126599991</v>
      </c>
    </row>
    <row r="29" spans="1:33" x14ac:dyDescent="0.25">
      <c r="A29" s="2" t="s">
        <v>12</v>
      </c>
      <c r="B29" s="2" t="s">
        <v>17</v>
      </c>
      <c r="C29" s="6" t="s">
        <v>56</v>
      </c>
      <c r="D29" s="6" t="s">
        <v>115</v>
      </c>
      <c r="E29" s="6" t="s">
        <v>134</v>
      </c>
      <c r="F29" s="6" t="s">
        <v>29</v>
      </c>
      <c r="G29" s="6"/>
      <c r="H29" s="52">
        <v>2080</v>
      </c>
      <c r="I29" s="6" t="str">
        <f t="shared" si="0"/>
        <v>DoubleSingleLargeOfficeVAVElectric2080</v>
      </c>
      <c r="J29" s="19">
        <f>'Regresson List_Office'!H19+'Regresson List_Office'!I19*Office!$C$23+'Regresson List_Office'!J19*Office!$C$23^2</f>
        <v>3.8328863595858005</v>
      </c>
      <c r="K29" s="19">
        <f>'Regresson List_Office'!K19+'Regresson List_Office'!L19*Office!$C$24+'Regresson List_Office'!M19*Office!$C$24^2</f>
        <v>2.4675760702364999</v>
      </c>
      <c r="L29" s="92">
        <v>0</v>
      </c>
      <c r="N29" s="58" t="s">
        <v>44</v>
      </c>
      <c r="P29" s="19">
        <f>'Regresson List_Office'!$H69+'Regresson List_Office'!$I69*Office!$C$23+'Regresson List_Office'!$J69*Office!$C$23^2</f>
        <v>106.89425635000001</v>
      </c>
      <c r="Q29" s="56">
        <f>P29-Office!$F$35</f>
        <v>95.02749863268194</v>
      </c>
      <c r="R29" s="59">
        <f t="shared" si="3"/>
        <v>0.11101398823958486</v>
      </c>
      <c r="S29" s="5" t="s">
        <v>44</v>
      </c>
      <c r="U29">
        <f>'Regresson List_Office'!H49+'Regresson List_Office'!I49*Office!$C$24+'Regresson List_Office'!J49*Office!$C$24^2</f>
        <v>24.720190364899999</v>
      </c>
      <c r="V29" s="19">
        <f>'Regresson List_Office'!K49+'Regresson List_Office'!L49*Office!$C$24+'Regresson List_Office'!M49*Office!$C$24^2</f>
        <v>21.267044475900001</v>
      </c>
      <c r="W29" s="114"/>
      <c r="X29" s="83">
        <f>U29*Office!$F$18</f>
        <v>6180047.5912250001</v>
      </c>
      <c r="Y29">
        <f t="shared" si="11"/>
        <v>515.00396593541666</v>
      </c>
      <c r="Z29">
        <f>V29*Office!$F$27</f>
        <v>638011.33427700005</v>
      </c>
      <c r="AA29">
        <f t="shared" si="12"/>
        <v>53.167611189750005</v>
      </c>
      <c r="AB29" s="60">
        <f t="shared" si="1"/>
        <v>461.83635474566665</v>
      </c>
      <c r="AC29" s="9" t="s">
        <v>44</v>
      </c>
      <c r="AG29" s="192">
        <f t="shared" si="10"/>
        <v>0.79996065126599991</v>
      </c>
    </row>
    <row r="30" spans="1:33" x14ac:dyDescent="0.25">
      <c r="A30" s="2" t="s">
        <v>12</v>
      </c>
      <c r="B30" s="2" t="s">
        <v>17</v>
      </c>
      <c r="C30" s="6" t="s">
        <v>56</v>
      </c>
      <c r="D30" s="6" t="s">
        <v>115</v>
      </c>
      <c r="E30" s="6" t="s">
        <v>134</v>
      </c>
      <c r="F30" s="6" t="s">
        <v>29</v>
      </c>
      <c r="G30" s="6"/>
      <c r="H30" s="52">
        <v>2912</v>
      </c>
      <c r="I30" s="6" t="str">
        <f t="shared" si="0"/>
        <v>DoubleSingleLargeOfficeVAVElectric2912</v>
      </c>
      <c r="J30" s="19">
        <f>'Regresson List_Office'!H20+'Regresson List_Office'!I20*Office!$C$23+'Regresson List_Office'!J20*Office!$C$23^2</f>
        <v>5.0846110946842007</v>
      </c>
      <c r="K30" s="19">
        <f>'Regresson List_Office'!K20+'Regresson List_Office'!L20*Office!$C$24+'Regresson List_Office'!M20*Office!$C$24^2</f>
        <v>3.6288489690654</v>
      </c>
      <c r="L30" s="92">
        <v>0</v>
      </c>
      <c r="N30" s="58" t="s">
        <v>44</v>
      </c>
      <c r="P30" s="19">
        <f>'Regresson List_Office'!$H70+'Regresson List_Office'!$I70*Office!$C$23+'Regresson List_Office'!$J70*Office!$C$23^2</f>
        <v>73.443778170000002</v>
      </c>
      <c r="Q30" s="56">
        <f>P30-Office!$F$35</f>
        <v>61.577020452681936</v>
      </c>
      <c r="R30" s="59">
        <f t="shared" si="3"/>
        <v>0.16157607918604255</v>
      </c>
      <c r="S30" s="5" t="s">
        <v>44</v>
      </c>
      <c r="U30">
        <f>U29</f>
        <v>24.720190364899999</v>
      </c>
      <c r="V30" s="19">
        <f>V29</f>
        <v>21.267044475900001</v>
      </c>
      <c r="W30" s="114"/>
      <c r="X30" s="83">
        <f>U30*Office!$F$18</f>
        <v>6180047.5912250001</v>
      </c>
      <c r="Y30">
        <f t="shared" si="11"/>
        <v>515.00396593541666</v>
      </c>
      <c r="Z30">
        <f>V30*Office!$F$27</f>
        <v>638011.33427700005</v>
      </c>
      <c r="AA30">
        <f t="shared" si="12"/>
        <v>53.167611189750005</v>
      </c>
      <c r="AB30" s="60">
        <f t="shared" si="1"/>
        <v>461.83635474566665</v>
      </c>
      <c r="AC30" s="9" t="s">
        <v>44</v>
      </c>
      <c r="AG30" s="192">
        <f t="shared" si="10"/>
        <v>0.79996065126599991</v>
      </c>
    </row>
    <row r="31" spans="1:33" x14ac:dyDescent="0.25">
      <c r="A31" s="2" t="s">
        <v>12</v>
      </c>
      <c r="B31" s="2" t="s">
        <v>17</v>
      </c>
      <c r="C31" s="6" t="s">
        <v>56</v>
      </c>
      <c r="D31" s="6" t="s">
        <v>115</v>
      </c>
      <c r="E31" s="6" t="s">
        <v>134</v>
      </c>
      <c r="F31" s="6" t="s">
        <v>29</v>
      </c>
      <c r="G31" s="6"/>
      <c r="H31" s="52">
        <v>8760</v>
      </c>
      <c r="I31" s="6" t="str">
        <f t="shared" si="0"/>
        <v>DoubleSingleLargeOfficeVAVElectric8760</v>
      </c>
      <c r="J31" s="19">
        <f>'Regresson List_Office'!H21+'Regresson List_Office'!I21*Office!$C$23+'Regresson List_Office'!J21*Office!$C$23^2</f>
        <v>14.396367886898201</v>
      </c>
      <c r="K31" s="19">
        <f>'Regresson List_Office'!K21+'Regresson List_Office'!L21*Office!$C$24+'Regresson List_Office'!M21*Office!$C$24^2</f>
        <v>6.0330823427657005</v>
      </c>
      <c r="L31" s="92">
        <v>0</v>
      </c>
      <c r="N31" s="58" t="s">
        <v>44</v>
      </c>
      <c r="P31" s="19">
        <f>'Regresson List_Office'!$H71+'Regresson List_Office'!$I71*Office!$C$23+'Regresson List_Office'!$J71*Office!$C$23^2</f>
        <v>123.87415837999998</v>
      </c>
      <c r="Q31" s="56">
        <f>P31-Office!$F$35</f>
        <v>112.00740066268192</v>
      </c>
      <c r="R31" s="59">
        <f t="shared" ref="R31" si="13">1-(Q31/P31)</f>
        <v>9.5796878642882555E-2</v>
      </c>
      <c r="S31" s="5" t="s">
        <v>44</v>
      </c>
      <c r="U31">
        <f>U30</f>
        <v>24.720190364899999</v>
      </c>
      <c r="V31" s="19">
        <f>V30</f>
        <v>21.267044475900001</v>
      </c>
      <c r="W31" s="114"/>
      <c r="X31" s="83">
        <f>U31*Office!$F$18</f>
        <v>6180047.5912250001</v>
      </c>
      <c r="Y31">
        <f t="shared" si="11"/>
        <v>515.00396593541666</v>
      </c>
      <c r="Z31">
        <f>V31*Office!$F$27</f>
        <v>638011.33427700005</v>
      </c>
      <c r="AA31">
        <f t="shared" si="12"/>
        <v>53.167611189750005</v>
      </c>
      <c r="AB31" s="60">
        <f t="shared" si="1"/>
        <v>461.83635474566665</v>
      </c>
      <c r="AC31" s="9" t="s">
        <v>44</v>
      </c>
      <c r="AG31" s="192">
        <f t="shared" si="10"/>
        <v>0.79996065126599991</v>
      </c>
    </row>
    <row r="32" spans="1:33" x14ac:dyDescent="0.25">
      <c r="A32" s="2" t="s">
        <v>17</v>
      </c>
      <c r="B32" s="2" t="s">
        <v>17</v>
      </c>
      <c r="C32" s="6" t="s">
        <v>56</v>
      </c>
      <c r="D32" s="6" t="s">
        <v>115</v>
      </c>
      <c r="E32" s="6" t="s">
        <v>134</v>
      </c>
      <c r="F32" s="6" t="s">
        <v>7</v>
      </c>
      <c r="G32" s="6"/>
      <c r="H32" s="52">
        <v>2080</v>
      </c>
      <c r="I32" s="6" t="str">
        <f t="shared" si="0"/>
        <v>SingleSingleLargeOfficeVAVNatural Gas2080</v>
      </c>
      <c r="J32" s="92">
        <v>0</v>
      </c>
      <c r="K32" s="19">
        <f>'Regresson List_Office'!K31+'Regresson List_Office'!L31*Office!$C$24+'Regresson List_Office'!M31*Office!$C$24^2</f>
        <v>3.5966403220722998</v>
      </c>
      <c r="L32" s="19">
        <f>'Regresson List_Office'!H31+'Regresson List_Office'!I31*Office!$C$23+'Regresson List_Office'!J31*Office!$C$23^2</f>
        <v>0.4082537830406</v>
      </c>
      <c r="N32" s="58" t="s">
        <v>44</v>
      </c>
      <c r="P32" s="19">
        <f>'Regresson List_Office'!$H72+'Regresson List_Office'!$I72*Office!$C$23+'Regresson List_Office'!$J72*Office!$C$23^2</f>
        <v>53.319882929999999</v>
      </c>
      <c r="Q32" s="56">
        <f>P32-Office!$F$35</f>
        <v>41.453125212681925</v>
      </c>
      <c r="R32" s="59">
        <f>1-(Q32/P32)</f>
        <v>0.22255783518686867</v>
      </c>
      <c r="S32" s="5" t="s">
        <v>44</v>
      </c>
      <c r="U32">
        <f>'Regresson List_Office'!H47+'Regresson List_Office'!I47*Office!$C$24+'Regresson List_Office'!J47*Office!$C$24^2</f>
        <v>26.763888945900003</v>
      </c>
      <c r="V32" s="19">
        <f>'Regresson List_Office'!K47+'Regresson List_Office'!L47*Office!$C$49+'Regresson List_Office'!M47*Office!$C$24^2</f>
        <v>18.990151235699997</v>
      </c>
      <c r="W32" s="114"/>
      <c r="X32" s="83">
        <f>U32*Office!$F$18</f>
        <v>6690972.2364750011</v>
      </c>
      <c r="Y32">
        <f>X32/12000</f>
        <v>557.58101970625012</v>
      </c>
      <c r="Z32">
        <f>V32*Office!$F$27</f>
        <v>569704.53707099997</v>
      </c>
      <c r="AA32">
        <f>Z32/12000</f>
        <v>47.47537808925</v>
      </c>
      <c r="AB32" s="60">
        <f t="shared" si="1"/>
        <v>510.10564161700012</v>
      </c>
      <c r="AC32" s="9" t="s">
        <v>44</v>
      </c>
      <c r="AG32" s="192">
        <f t="shared" si="10"/>
        <v>0.79996065126599991</v>
      </c>
    </row>
    <row r="33" spans="1:33" x14ac:dyDescent="0.25">
      <c r="A33" s="2" t="s">
        <v>17</v>
      </c>
      <c r="B33" s="2" t="s">
        <v>17</v>
      </c>
      <c r="C33" s="6" t="s">
        <v>56</v>
      </c>
      <c r="D33" s="6" t="s">
        <v>115</v>
      </c>
      <c r="E33" s="6" t="s">
        <v>134</v>
      </c>
      <c r="F33" s="6" t="s">
        <v>7</v>
      </c>
      <c r="G33" s="6"/>
      <c r="H33" s="52">
        <v>2912</v>
      </c>
      <c r="I33" s="6" t="str">
        <f t="shared" si="0"/>
        <v>SingleSingleLargeOfficeVAVNatural Gas2912</v>
      </c>
      <c r="J33" s="92">
        <v>0</v>
      </c>
      <c r="K33" s="19">
        <f>'Regresson List_Office'!K32+'Regresson List_Office'!L32*Office!$C$24+'Regresson List_Office'!M32*Office!$C$24^2</f>
        <v>5.8915550868550994</v>
      </c>
      <c r="L33" s="19">
        <f>'Regresson List_Office'!H32+'Regresson List_Office'!I32*Office!$C$23+'Regresson List_Office'!J32*Office!$C$23^2</f>
        <v>0.58852059976820004</v>
      </c>
      <c r="N33" s="58" t="s">
        <v>44</v>
      </c>
      <c r="P33" s="19">
        <f>'Regresson List_Office'!$H73+'Regresson List_Office'!$I73*Office!$C$23+'Regresson List_Office'!$J73*Office!$C$23^2</f>
        <v>85.322815649999995</v>
      </c>
      <c r="Q33" s="56">
        <f>P33-Office!$F$35</f>
        <v>73.456057932681929</v>
      </c>
      <c r="R33" s="59">
        <f t="shared" ref="R33:R40" si="14">1-(Q33/P33)</f>
        <v>0.13908070926768656</v>
      </c>
      <c r="S33" s="5" t="s">
        <v>44</v>
      </c>
      <c r="U33">
        <f>U32</f>
        <v>26.763888945900003</v>
      </c>
      <c r="V33" s="19">
        <f>V32</f>
        <v>18.990151235699997</v>
      </c>
      <c r="W33" s="114"/>
      <c r="X33" s="83">
        <f>U33*Office!$F$18</f>
        <v>6690972.2364750011</v>
      </c>
      <c r="Y33">
        <f t="shared" ref="Y33:Y41" si="15">X33/12000</f>
        <v>557.58101970625012</v>
      </c>
      <c r="Z33">
        <f>V33*Office!$F$27</f>
        <v>569704.53707099997</v>
      </c>
      <c r="AA33">
        <f t="shared" ref="AA33:AA41" si="16">Z33/12000</f>
        <v>47.47537808925</v>
      </c>
      <c r="AB33" s="60">
        <f t="shared" si="1"/>
        <v>510.10564161700012</v>
      </c>
      <c r="AC33" s="9" t="s">
        <v>44</v>
      </c>
      <c r="AG33" s="192">
        <f t="shared" si="10"/>
        <v>0.79996065126599991</v>
      </c>
    </row>
    <row r="34" spans="1:33" x14ac:dyDescent="0.25">
      <c r="A34" s="2" t="s">
        <v>17</v>
      </c>
      <c r="B34" s="2" t="s">
        <v>17</v>
      </c>
      <c r="C34" s="6" t="s">
        <v>56</v>
      </c>
      <c r="D34" s="6" t="s">
        <v>115</v>
      </c>
      <c r="E34" s="6" t="s">
        <v>134</v>
      </c>
      <c r="F34" s="6" t="s">
        <v>7</v>
      </c>
      <c r="G34" s="6"/>
      <c r="H34" s="52">
        <v>8760</v>
      </c>
      <c r="I34" s="6" t="str">
        <f t="shared" si="0"/>
        <v>SingleSingleLargeOfficeVAVNatural Gas8760</v>
      </c>
      <c r="J34" s="92">
        <v>0</v>
      </c>
      <c r="K34" s="19">
        <f>'Regresson List_Office'!K33+'Regresson List_Office'!L33*Office!$C$24+'Regresson List_Office'!M33*Office!$C$24^2</f>
        <v>12.2720875520607</v>
      </c>
      <c r="L34" s="19">
        <f>'Regresson List_Office'!H33+'Regresson List_Office'!I33*Office!$C$23+'Regresson List_Office'!J33*Office!$C$23^2</f>
        <v>1.441974947619</v>
      </c>
      <c r="N34" s="58" t="s">
        <v>44</v>
      </c>
      <c r="P34" s="19">
        <f>'Regresson List_Office'!$H74+'Regresson List_Office'!$I74*Office!$C$23+'Regresson List_Office'!$J74*Office!$C$23^2</f>
        <v>147.56563573000003</v>
      </c>
      <c r="Q34" s="56">
        <f>P34-Office!$F$35</f>
        <v>135.69887801268194</v>
      </c>
      <c r="R34" s="59">
        <f t="shared" si="14"/>
        <v>8.0416810178154385E-2</v>
      </c>
      <c r="S34" s="5" t="s">
        <v>44</v>
      </c>
      <c r="U34">
        <f>U33</f>
        <v>26.763888945900003</v>
      </c>
      <c r="V34" s="19">
        <f>V33</f>
        <v>18.990151235699997</v>
      </c>
      <c r="W34" s="114"/>
      <c r="X34" s="83">
        <f>U34*Office!$F$18</f>
        <v>6690972.2364750011</v>
      </c>
      <c r="Y34">
        <f t="shared" si="15"/>
        <v>557.58101970625012</v>
      </c>
      <c r="Z34">
        <f>V34*Office!$F$27</f>
        <v>569704.53707099997</v>
      </c>
      <c r="AA34">
        <f t="shared" si="16"/>
        <v>47.47537808925</v>
      </c>
      <c r="AB34" s="60">
        <f t="shared" si="1"/>
        <v>510.10564161700012</v>
      </c>
      <c r="AC34" s="9" t="s">
        <v>44</v>
      </c>
      <c r="AG34" s="192">
        <f t="shared" si="10"/>
        <v>0.79996065126599991</v>
      </c>
    </row>
    <row r="35" spans="1:33" x14ac:dyDescent="0.25">
      <c r="A35" s="2" t="s">
        <v>17</v>
      </c>
      <c r="B35" s="2" t="s">
        <v>12</v>
      </c>
      <c r="C35" s="6" t="s">
        <v>56</v>
      </c>
      <c r="D35" s="6" t="s">
        <v>115</v>
      </c>
      <c r="E35" s="6" t="s">
        <v>134</v>
      </c>
      <c r="F35" s="6" t="s">
        <v>7</v>
      </c>
      <c r="G35" s="6"/>
      <c r="H35" s="52">
        <v>2080</v>
      </c>
      <c r="I35" s="6" t="str">
        <f t="shared" si="0"/>
        <v>SingleDoubleLargeOfficeVAVNatural Gas2080</v>
      </c>
      <c r="J35" s="92">
        <v>0</v>
      </c>
      <c r="K35" s="19">
        <f>'Regresson List_Office'!K34+'Regresson List_Office'!L34*Office!$C$24+'Regresson List_Office'!M34*Office!$C$24^2</f>
        <v>6.3007231908470995</v>
      </c>
      <c r="L35" s="19">
        <f>'Regresson List_Office'!H34+'Regresson List_Office'!I34*Office!$C$23+'Regresson List_Office'!J34*Office!$C$23^2</f>
        <v>0.37827241210969997</v>
      </c>
      <c r="N35" s="58" t="s">
        <v>44</v>
      </c>
      <c r="P35" s="19">
        <f>'Regresson List_Office'!$H72+'Regresson List_Office'!$I72*Office!$C$23+'Regresson List_Office'!$J72*Office!$C$23^2</f>
        <v>53.319882929999999</v>
      </c>
      <c r="Q35" s="56">
        <f>P35-Office!$F$35</f>
        <v>41.453125212681925</v>
      </c>
      <c r="R35" s="59">
        <f t="shared" si="14"/>
        <v>0.22255783518686867</v>
      </c>
      <c r="S35" s="5" t="s">
        <v>44</v>
      </c>
      <c r="U35">
        <f>U34</f>
        <v>26.763888945900003</v>
      </c>
      <c r="V35" s="19">
        <f>'Regresson List_Office'!K48+'Regresson List_Office'!L48*Office!$C$24+'Regresson List_Office'!M48*Office!$C$24^2</f>
        <v>57.9268687008</v>
      </c>
      <c r="W35" s="114"/>
      <c r="X35" s="83">
        <f>U35*Office!$F$18</f>
        <v>6690972.2364750011</v>
      </c>
      <c r="Y35">
        <f t="shared" si="15"/>
        <v>557.58101970625012</v>
      </c>
      <c r="Z35">
        <f>V35*Office!$F$27</f>
        <v>1737806.0610239999</v>
      </c>
      <c r="AA35">
        <f t="shared" si="16"/>
        <v>144.81717175200001</v>
      </c>
      <c r="AB35" s="60">
        <f t="shared" si="1"/>
        <v>412.76384795425008</v>
      </c>
      <c r="AC35" s="9" t="s">
        <v>44</v>
      </c>
      <c r="AG35" s="192">
        <f t="shared" si="10"/>
        <v>0.79996065126599991</v>
      </c>
    </row>
    <row r="36" spans="1:33" x14ac:dyDescent="0.25">
      <c r="A36" s="2" t="s">
        <v>17</v>
      </c>
      <c r="B36" s="2" t="s">
        <v>12</v>
      </c>
      <c r="C36" s="6" t="s">
        <v>56</v>
      </c>
      <c r="D36" s="6" t="s">
        <v>115</v>
      </c>
      <c r="E36" s="6" t="s">
        <v>134</v>
      </c>
      <c r="F36" s="6" t="s">
        <v>7</v>
      </c>
      <c r="G36" s="6"/>
      <c r="H36" s="52">
        <v>2912</v>
      </c>
      <c r="I36" s="6" t="str">
        <f t="shared" si="0"/>
        <v>SingleDoubleLargeOfficeVAVNatural Gas2912</v>
      </c>
      <c r="J36" s="92">
        <v>0</v>
      </c>
      <c r="K36" s="19">
        <f>'Regresson List_Office'!K35+'Regresson List_Office'!L35*Office!$C$24+'Regresson List_Office'!M35*Office!$C$24^2</f>
        <v>9.4210157349766011</v>
      </c>
      <c r="L36" s="19">
        <f>'Regresson List_Office'!H35+'Regresson List_Office'!I35*Office!$C$23+'Regresson List_Office'!J35*Office!$C$23^2</f>
        <v>0.54511629188440003</v>
      </c>
      <c r="N36" s="58" t="s">
        <v>44</v>
      </c>
      <c r="P36" s="19">
        <f>'Regresson List_Office'!$H73+'Regresson List_Office'!$I73*Office!$C$23+'Regresson List_Office'!$J73*Office!$C$23^2</f>
        <v>85.322815649999995</v>
      </c>
      <c r="Q36" s="56">
        <f>P36-Office!$F$35</f>
        <v>73.456057932681929</v>
      </c>
      <c r="R36" s="59">
        <f t="shared" si="14"/>
        <v>0.13908070926768656</v>
      </c>
      <c r="S36" s="5" t="s">
        <v>44</v>
      </c>
      <c r="U36">
        <f>U35</f>
        <v>26.763888945900003</v>
      </c>
      <c r="V36" s="19">
        <f>V35</f>
        <v>57.9268687008</v>
      </c>
      <c r="W36" s="114"/>
      <c r="X36" s="83">
        <f>U36*Office!$F$18</f>
        <v>6690972.2364750011</v>
      </c>
      <c r="Y36">
        <f t="shared" si="15"/>
        <v>557.58101970625012</v>
      </c>
      <c r="Z36">
        <f>V36*Office!$F$27</f>
        <v>1737806.0610239999</v>
      </c>
      <c r="AA36">
        <f t="shared" si="16"/>
        <v>144.81717175200001</v>
      </c>
      <c r="AB36" s="60">
        <f t="shared" si="1"/>
        <v>412.76384795425008</v>
      </c>
      <c r="AC36" s="9" t="s">
        <v>44</v>
      </c>
      <c r="AG36" s="192">
        <f t="shared" si="10"/>
        <v>0.79996065126599991</v>
      </c>
    </row>
    <row r="37" spans="1:33" x14ac:dyDescent="0.25">
      <c r="A37" s="2" t="s">
        <v>17</v>
      </c>
      <c r="B37" s="2" t="s">
        <v>12</v>
      </c>
      <c r="C37" s="6" t="s">
        <v>56</v>
      </c>
      <c r="D37" s="6" t="s">
        <v>115</v>
      </c>
      <c r="E37" s="6" t="s">
        <v>134</v>
      </c>
      <c r="F37" s="6" t="s">
        <v>7</v>
      </c>
      <c r="G37" s="6"/>
      <c r="H37" s="52">
        <v>8760</v>
      </c>
      <c r="I37" s="6" t="str">
        <f t="shared" si="0"/>
        <v>SingleDoubleLargeOfficeVAVNatural Gas8760</v>
      </c>
      <c r="J37" s="92">
        <v>0</v>
      </c>
      <c r="K37" s="19">
        <f>'Regresson List_Office'!K36+'Regresson List_Office'!L36*Office!$C$24+'Regresson List_Office'!M36*Office!$C$24^2</f>
        <v>15.691178785271701</v>
      </c>
      <c r="L37" s="19">
        <f>'Regresson List_Office'!H36+'Regresson List_Office'!I36*Office!$C$23+'Regresson List_Office'!J36*Office!$C$23^2</f>
        <v>1.5209038361402001</v>
      </c>
      <c r="N37" s="58" t="s">
        <v>44</v>
      </c>
      <c r="P37" s="19">
        <f>'Regresson List_Office'!$H74+'Regresson List_Office'!$I74*Office!$C$23+'Regresson List_Office'!$J74*Office!$C$23^2</f>
        <v>147.56563573000003</v>
      </c>
      <c r="Q37" s="56">
        <f>P37-Office!$F$35</f>
        <v>135.69887801268194</v>
      </c>
      <c r="R37" s="59">
        <f t="shared" si="14"/>
        <v>8.0416810178154385E-2</v>
      </c>
      <c r="S37" s="5" t="s">
        <v>44</v>
      </c>
      <c r="U37">
        <f>U36</f>
        <v>26.763888945900003</v>
      </c>
      <c r="V37" s="19">
        <f>V36</f>
        <v>57.9268687008</v>
      </c>
      <c r="W37" s="114"/>
      <c r="X37" s="83">
        <f>U37*Office!$F$18</f>
        <v>6690972.2364750011</v>
      </c>
      <c r="Y37">
        <f t="shared" si="15"/>
        <v>557.58101970625012</v>
      </c>
      <c r="Z37">
        <f>V37*Office!$F$27</f>
        <v>1737806.0610239999</v>
      </c>
      <c r="AA37">
        <f t="shared" si="16"/>
        <v>144.81717175200001</v>
      </c>
      <c r="AB37" s="60">
        <f t="shared" si="1"/>
        <v>412.76384795425008</v>
      </c>
      <c r="AC37" s="9" t="s">
        <v>44</v>
      </c>
      <c r="AG37" s="192">
        <f t="shared" si="10"/>
        <v>0.79996065126599991</v>
      </c>
    </row>
    <row r="38" spans="1:33" x14ac:dyDescent="0.25">
      <c r="A38" s="2" t="s">
        <v>12</v>
      </c>
      <c r="B38" s="2" t="s">
        <v>17</v>
      </c>
      <c r="C38" s="6" t="s">
        <v>56</v>
      </c>
      <c r="D38" s="6" t="s">
        <v>115</v>
      </c>
      <c r="E38" s="6" t="s">
        <v>134</v>
      </c>
      <c r="F38" s="6" t="s">
        <v>7</v>
      </c>
      <c r="G38" s="6"/>
      <c r="H38" s="52">
        <v>2080</v>
      </c>
      <c r="I38" s="6" t="str">
        <f t="shared" si="0"/>
        <v>DoubleSingleLargeOfficeVAVNatural Gas2080</v>
      </c>
      <c r="J38" s="92">
        <v>0</v>
      </c>
      <c r="K38" s="19">
        <f>'Regresson List_Office'!K37+'Regresson List_Office'!L37*Office!$C$24+'Regresson List_Office'!M37*Office!$C$24^2</f>
        <v>2.4675760702364999</v>
      </c>
      <c r="L38" s="19">
        <f>'Regresson List_Office'!H37+'Regresson List_Office'!I37*Office!$C$23+'Regresson List_Office'!J37*Office!$C$23^2</f>
        <v>0.18580958298210001</v>
      </c>
      <c r="N38" s="58" t="s">
        <v>44</v>
      </c>
      <c r="P38" s="19">
        <f>'Regresson List_Office'!$H75+'Regresson List_Office'!$I75*Office!$C$23+'Regresson List_Office'!$J75*Office!$C$23^2</f>
        <v>53.14794843</v>
      </c>
      <c r="Q38" s="56">
        <f>P38-Office!$F$35</f>
        <v>41.281190712681934</v>
      </c>
      <c r="R38" s="59">
        <f t="shared" si="14"/>
        <v>0.22327781349730769</v>
      </c>
      <c r="S38" s="5" t="s">
        <v>44</v>
      </c>
      <c r="U38">
        <f>'Regresson List_Office'!H49+'Regresson List_Office'!I49*Office!$C$24+'Regresson List_Office'!J49*Office!$C$24^2</f>
        <v>24.720190364899999</v>
      </c>
      <c r="V38" s="19">
        <f>'Regresson List_Office'!K49+'Regresson List_Office'!L49*Office!$C$24+'Regresson List_Office'!M49*Office!$C$24^2</f>
        <v>21.267044475900001</v>
      </c>
      <c r="W38" s="114"/>
      <c r="X38" s="83">
        <f>U38*Office!$F$18</f>
        <v>6180047.5912250001</v>
      </c>
      <c r="Y38">
        <f t="shared" si="15"/>
        <v>515.00396593541666</v>
      </c>
      <c r="Z38">
        <f>V38*Office!$F$27</f>
        <v>638011.33427700005</v>
      </c>
      <c r="AA38">
        <f t="shared" si="16"/>
        <v>53.167611189750005</v>
      </c>
      <c r="AB38" s="60">
        <f t="shared" si="1"/>
        <v>461.83635474566665</v>
      </c>
      <c r="AC38" s="9" t="s">
        <v>44</v>
      </c>
      <c r="AG38" s="192">
        <f t="shared" si="10"/>
        <v>0.79996065126599991</v>
      </c>
    </row>
    <row r="39" spans="1:33" x14ac:dyDescent="0.25">
      <c r="A39" s="2" t="s">
        <v>12</v>
      </c>
      <c r="B39" s="2" t="s">
        <v>17</v>
      </c>
      <c r="C39" s="6" t="s">
        <v>56</v>
      </c>
      <c r="D39" s="6" t="s">
        <v>115</v>
      </c>
      <c r="E39" s="6" t="s">
        <v>134</v>
      </c>
      <c r="F39" s="6" t="s">
        <v>7</v>
      </c>
      <c r="G39" s="6"/>
      <c r="H39" s="52">
        <v>2912</v>
      </c>
      <c r="I39" s="6" t="str">
        <f t="shared" si="0"/>
        <v>DoubleSingleLargeOfficeVAVNatural Gas2912</v>
      </c>
      <c r="J39" s="92">
        <v>0</v>
      </c>
      <c r="K39" s="19">
        <f>'Regresson List_Office'!K38+'Regresson List_Office'!L38*Office!$C$24+'Regresson List_Office'!M38*Office!$C$24^2</f>
        <v>3.6288489690654</v>
      </c>
      <c r="L39" s="19">
        <f>'Regresson List_Office'!H38+'Regresson List_Office'!I38*Office!$C$23+'Regresson List_Office'!J38*Office!$C$23^2</f>
        <v>0.247470046818</v>
      </c>
      <c r="N39" s="58" t="s">
        <v>44</v>
      </c>
      <c r="P39" s="19">
        <f>'Regresson List_Office'!$H76+'Regresson List_Office'!$I76*Office!$C$23+'Regresson List_Office'!$J76*Office!$C$23^2</f>
        <v>80.119993700000009</v>
      </c>
      <c r="Q39" s="56">
        <f>P39-Office!$F$35</f>
        <v>68.253235982681943</v>
      </c>
      <c r="R39" s="59">
        <f t="shared" si="14"/>
        <v>0.14811231465833308</v>
      </c>
      <c r="S39" s="5" t="s">
        <v>44</v>
      </c>
      <c r="U39">
        <f>U38</f>
        <v>24.720190364899999</v>
      </c>
      <c r="V39" s="19">
        <f>V38</f>
        <v>21.267044475900001</v>
      </c>
      <c r="W39" s="114"/>
      <c r="X39" s="83">
        <f>U39*Office!$F$18</f>
        <v>6180047.5912250001</v>
      </c>
      <c r="Y39">
        <f t="shared" si="15"/>
        <v>515.00396593541666</v>
      </c>
      <c r="Z39">
        <f>V39*Office!$F$27</f>
        <v>638011.33427700005</v>
      </c>
      <c r="AA39">
        <f t="shared" si="16"/>
        <v>53.167611189750005</v>
      </c>
      <c r="AB39" s="60">
        <f t="shared" si="1"/>
        <v>461.83635474566665</v>
      </c>
      <c r="AC39" s="9" t="s">
        <v>44</v>
      </c>
      <c r="AG39" s="192">
        <f>AG40</f>
        <v>0.79996065126599991</v>
      </c>
    </row>
    <row r="40" spans="1:33" x14ac:dyDescent="0.25">
      <c r="A40" s="2" t="s">
        <v>12</v>
      </c>
      <c r="B40" s="2" t="s">
        <v>17</v>
      </c>
      <c r="C40" s="6" t="s">
        <v>56</v>
      </c>
      <c r="D40" s="6" t="s">
        <v>115</v>
      </c>
      <c r="E40" s="6" t="s">
        <v>134</v>
      </c>
      <c r="F40" s="6" t="s">
        <v>7</v>
      </c>
      <c r="G40" s="6"/>
      <c r="H40" s="52">
        <v>8760</v>
      </c>
      <c r="I40" s="6" t="str">
        <f t="shared" si="0"/>
        <v>DoubleSingleLargeOfficeVAVNatural Gas8760</v>
      </c>
      <c r="J40" s="92">
        <v>0</v>
      </c>
      <c r="K40" s="19">
        <f>'Regresson List_Office'!K39+'Regresson List_Office'!L39*Office!$C$24+'Regresson List_Office'!M39*Office!$C$24^2</f>
        <v>6.0330823427657005</v>
      </c>
      <c r="L40" s="19">
        <f>'Regresson List_Office'!H39+'Regresson List_Office'!I39*Office!$C$23+'Regresson List_Office'!J39*Office!$C$23^2</f>
        <v>0.70012695102010003</v>
      </c>
      <c r="N40" s="58" t="s">
        <v>44</v>
      </c>
      <c r="P40" s="19">
        <f>'Regresson List_Office'!$H77+'Regresson List_Office'!$I77*Office!$C$23+'Regresson List_Office'!$J77*Office!$C$23^2</f>
        <v>131.03983112</v>
      </c>
      <c r="Q40" s="56">
        <f>P40-Office!$F$35</f>
        <v>119.17307340268194</v>
      </c>
      <c r="R40" s="59">
        <f t="shared" si="14"/>
        <v>9.0558402097229984E-2</v>
      </c>
      <c r="S40" s="5" t="s">
        <v>44</v>
      </c>
      <c r="U40">
        <f>U39</f>
        <v>24.720190364899999</v>
      </c>
      <c r="V40" s="19">
        <f>V39</f>
        <v>21.267044475900001</v>
      </c>
      <c r="W40" s="114"/>
      <c r="X40" s="83">
        <f>U40*Office!$F$18</f>
        <v>6180047.5912250001</v>
      </c>
      <c r="Y40">
        <f t="shared" si="15"/>
        <v>515.00396593541666</v>
      </c>
      <c r="Z40">
        <f>V40*Office!$F$27</f>
        <v>638011.33427700005</v>
      </c>
      <c r="AA40">
        <f t="shared" si="16"/>
        <v>53.167611189750005</v>
      </c>
      <c r="AB40" s="60">
        <f t="shared" si="1"/>
        <v>461.83635474566665</v>
      </c>
      <c r="AC40" s="9" t="s">
        <v>44</v>
      </c>
      <c r="AG40" s="92">
        <f>'Regresson List_Office'!$H$81+'Regresson List_Office'!$I$81*Office!$C$24+'Regresson List_Office'!$J$81*Office!$C$24^2+'Regresson List_Office'!$K$81*Office!$C$24^3</f>
        <v>0.79996065126599991</v>
      </c>
    </row>
    <row r="41" spans="1:33" x14ac:dyDescent="0.25">
      <c r="A41" s="2" t="s">
        <v>17</v>
      </c>
      <c r="B41" s="2" t="s">
        <v>17</v>
      </c>
      <c r="C41" s="6" t="s">
        <v>117</v>
      </c>
      <c r="D41" s="6" t="s">
        <v>110</v>
      </c>
      <c r="E41" s="6" t="s">
        <v>132</v>
      </c>
      <c r="F41" s="6" t="s">
        <v>29</v>
      </c>
      <c r="G41" s="6"/>
      <c r="H41" s="90">
        <v>33</v>
      </c>
      <c r="I41" s="6" t="str">
        <f t="shared" si="0"/>
        <v>SingleSingleSmallHotelPTACElectric33</v>
      </c>
      <c r="J41" s="19">
        <f>'Regresson List_SH'!H4+'Regresson List_SH'!I4*Hotel!$C$23+'Regresson List_SH'!J4*Hotel!$C$23^2</f>
        <v>0.2619527709999</v>
      </c>
      <c r="K41" s="6">
        <f>'Regresson List_SH'!K4+'Regresson List_SH'!L4*Hotel!$C$24+'Regresson List_SH'!M4*Hotel!$C$24^2</f>
        <v>6.0460712368100005</v>
      </c>
      <c r="L41" s="91">
        <v>0</v>
      </c>
      <c r="M41">
        <f>'Regresson List_SH'!D37+'Regresson List_SH'!E37*Hotel!$C$24+'Regresson List_SH'!F37*Hotel!$C$24^2+'Regresson List_SH'!G37*Hotel!C24^3</f>
        <v>3.3529442770000251E-2</v>
      </c>
      <c r="N41" s="58" t="s">
        <v>44</v>
      </c>
      <c r="P41" s="19">
        <f>'Regresson List_SH'!$H$27+'Regresson List_SH'!$I$27*Hotel!$C$23+'Regresson List_SH'!$J$27*Hotel!$C$23^2</f>
        <v>53.384224500400002</v>
      </c>
      <c r="Q41" s="56">
        <f>P41-Hotel!$F$35</f>
        <v>48.969228445883665</v>
      </c>
      <c r="R41" s="59">
        <f t="shared" si="3"/>
        <v>8.2702260749020651E-2</v>
      </c>
      <c r="S41" s="5" t="s">
        <v>44</v>
      </c>
      <c r="U41">
        <f>'Regresson List_SH'!H20+'Regresson List_SH'!I20*Hotel!$C$24+'Regresson List_SH'!J20*Hotel!$C$24^2</f>
        <v>28.4047287641</v>
      </c>
      <c r="V41" s="19">
        <f>'Regresson List_SH'!K20+'Regresson List_SH'!L20*Hotel!$C$24+'Regresson List_SH'!M20*Hotel!$C$24^2</f>
        <v>29.601832350599999</v>
      </c>
      <c r="W41" s="115"/>
      <c r="X41" s="83">
        <f>U41*Hotel!$F$18</f>
        <v>4544756.602256</v>
      </c>
      <c r="Y41">
        <f t="shared" si="15"/>
        <v>378.72971685466666</v>
      </c>
      <c r="Z41">
        <f>V41*Hotel!$F$27</f>
        <v>444027.48525899998</v>
      </c>
      <c r="AA41">
        <f t="shared" si="16"/>
        <v>37.00229043825</v>
      </c>
      <c r="AB41" s="60">
        <f t="shared" si="1"/>
        <v>341.72742641641668</v>
      </c>
      <c r="AC41" s="9" t="s">
        <v>44</v>
      </c>
      <c r="AG41" s="192" t="e">
        <f>#REF!</f>
        <v>#REF!</v>
      </c>
    </row>
    <row r="42" spans="1:33" x14ac:dyDescent="0.25">
      <c r="A42" s="2" t="s">
        <v>17</v>
      </c>
      <c r="B42" s="2" t="s">
        <v>17</v>
      </c>
      <c r="C42" s="6" t="s">
        <v>117</v>
      </c>
      <c r="D42" s="6" t="s">
        <v>110</v>
      </c>
      <c r="E42" s="6" t="s">
        <v>132</v>
      </c>
      <c r="F42" s="6" t="s">
        <v>29</v>
      </c>
      <c r="G42" s="6"/>
      <c r="H42" s="90">
        <v>100</v>
      </c>
      <c r="I42" s="6" t="str">
        <f t="shared" si="0"/>
        <v>SingleSingleSmallHotelPTACElectric100</v>
      </c>
      <c r="J42" s="19">
        <f>'Regresson List_SH'!H5+'Regresson List_SH'!I5*Hotel!$C$23+'Regresson List_SH'!J5*Hotel!$C$23^2</f>
        <v>0.346283696295</v>
      </c>
      <c r="K42" s="6">
        <f>'Regresson List_SH'!K5+'Regresson List_SH'!L5*Hotel!$C$24+'Regresson List_SH'!M5*Hotel!$C$24^2</f>
        <v>7.2822461464750994</v>
      </c>
      <c r="L42" s="91">
        <v>0</v>
      </c>
      <c r="M42">
        <f>M41</f>
        <v>3.3529442770000251E-2</v>
      </c>
      <c r="N42" s="58" t="s">
        <v>44</v>
      </c>
      <c r="P42" s="19">
        <f>'Regresson List_SH'!$H$28+'Regresson List_SH'!$I$28*Hotel!$C$23+'Regresson List_SH'!$J$28*Hotel!$C$23^2</f>
        <v>61.754775780000003</v>
      </c>
      <c r="Q42" s="56">
        <f>P42-Hotel!$F$35</f>
        <v>57.339779725483666</v>
      </c>
      <c r="R42" s="59">
        <f t="shared" ref="R42:R46" si="17">1-(Q42/P42)</f>
        <v>7.1492382552641121E-2</v>
      </c>
      <c r="S42" s="5" t="s">
        <v>44</v>
      </c>
      <c r="U42">
        <f>U41</f>
        <v>28.4047287641</v>
      </c>
      <c r="V42" s="19">
        <f>V41</f>
        <v>29.601832350599999</v>
      </c>
      <c r="W42" s="115"/>
      <c r="X42" s="83">
        <f>U42*Hotel!$F$18</f>
        <v>4544756.602256</v>
      </c>
      <c r="Y42">
        <f t="shared" ref="Y42:Y43" si="18">X42/12000</f>
        <v>378.72971685466666</v>
      </c>
      <c r="Z42">
        <f>V42*Hotel!$F$27</f>
        <v>444027.48525899998</v>
      </c>
      <c r="AA42">
        <f t="shared" ref="AA42:AA43" si="19">Z42/12000</f>
        <v>37.00229043825</v>
      </c>
      <c r="AB42" s="60">
        <f t="shared" si="1"/>
        <v>341.72742641641668</v>
      </c>
      <c r="AC42" s="9" t="s">
        <v>44</v>
      </c>
      <c r="AG42" s="192" t="e">
        <f t="shared" ref="AG42:AG55" si="20">AG43</f>
        <v>#REF!</v>
      </c>
    </row>
    <row r="43" spans="1:33" x14ac:dyDescent="0.25">
      <c r="A43" s="2" t="s">
        <v>17</v>
      </c>
      <c r="B43" s="2" t="s">
        <v>12</v>
      </c>
      <c r="C43" s="6" t="s">
        <v>117</v>
      </c>
      <c r="D43" s="6" t="s">
        <v>110</v>
      </c>
      <c r="E43" s="6" t="s">
        <v>132</v>
      </c>
      <c r="F43" s="6" t="s">
        <v>29</v>
      </c>
      <c r="G43" s="6"/>
      <c r="H43" s="90">
        <v>33</v>
      </c>
      <c r="I43" s="6" t="str">
        <f t="shared" si="0"/>
        <v>SingleDoubleSmallHotelPTACElectric33</v>
      </c>
      <c r="J43" s="19">
        <f>'Regresson List_SH'!H6+'Regresson List_SH'!I6*Hotel!$C$23+'Regresson List_SH'!J6*Hotel!$C$23^2</f>
        <v>0.33832319829169999</v>
      </c>
      <c r="K43" s="6">
        <f>'Regresson List_SH'!K6+'Regresson List_SH'!L6*Hotel!$C$24+'Regresson List_SH'!M6*Hotel!$C$24^2</f>
        <v>11.224359009900001</v>
      </c>
      <c r="L43" s="91">
        <v>0</v>
      </c>
      <c r="M43">
        <f>M42</f>
        <v>3.3529442770000251E-2</v>
      </c>
      <c r="N43" s="58" t="s">
        <v>44</v>
      </c>
      <c r="P43" s="19">
        <f>P41</f>
        <v>53.384224500400002</v>
      </c>
      <c r="Q43" s="56">
        <f>P43-Hotel!$F$35</f>
        <v>48.969228445883665</v>
      </c>
      <c r="R43" s="59">
        <f t="shared" si="17"/>
        <v>8.2702260749020651E-2</v>
      </c>
      <c r="S43" s="5" t="s">
        <v>44</v>
      </c>
      <c r="U43">
        <f>'Regresson List_SH'!H21+'Regresson List_SH'!I21*Hotel!$C$24+'Regresson List_SH'!J21*Hotel!$C$24^2</f>
        <v>28.4047287641</v>
      </c>
      <c r="V43" s="19">
        <f>'Regresson List_SH'!K21+'Regresson List_SH'!L21*Hotel!$C$24+'Regresson List_SH'!M21*Hotel!$C$24^2</f>
        <v>54.698433613999995</v>
      </c>
      <c r="W43" s="115"/>
      <c r="X43" s="83">
        <f>U43*Hotel!$F$18</f>
        <v>4544756.602256</v>
      </c>
      <c r="Y43">
        <f t="shared" si="18"/>
        <v>378.72971685466666</v>
      </c>
      <c r="Z43">
        <f>V43*Hotel!$F$27</f>
        <v>820476.50420999993</v>
      </c>
      <c r="AA43">
        <f t="shared" si="19"/>
        <v>68.373042017499998</v>
      </c>
      <c r="AB43" s="60">
        <f t="shared" si="1"/>
        <v>310.35667483716668</v>
      </c>
      <c r="AC43" s="9" t="s">
        <v>44</v>
      </c>
      <c r="AG43" s="192" t="e">
        <f>#REF!</f>
        <v>#REF!</v>
      </c>
    </row>
    <row r="44" spans="1:33" x14ac:dyDescent="0.25">
      <c r="A44" s="2" t="s">
        <v>17</v>
      </c>
      <c r="B44" s="2" t="s">
        <v>12</v>
      </c>
      <c r="C44" s="6" t="s">
        <v>117</v>
      </c>
      <c r="D44" s="6" t="s">
        <v>110</v>
      </c>
      <c r="E44" s="6" t="s">
        <v>132</v>
      </c>
      <c r="F44" s="6" t="s">
        <v>29</v>
      </c>
      <c r="G44" s="6"/>
      <c r="H44" s="90">
        <v>100</v>
      </c>
      <c r="I44" s="6" t="str">
        <f t="shared" si="0"/>
        <v>SingleDoubleSmallHotelPTACElectric100</v>
      </c>
      <c r="J44" s="19">
        <f>'Regresson List_SH'!H7+'Regresson List_SH'!I7*Hotel!$C$23+'Regresson List_SH'!J7*Hotel!$C$23^2</f>
        <v>0.45927179190799999</v>
      </c>
      <c r="K44" s="6">
        <f>'Regresson List_SH'!K7+'Regresson List_SH'!L7*Hotel!$C$24+'Regresson List_SH'!M7*Hotel!$C$24^2</f>
        <v>13.6041967716</v>
      </c>
      <c r="L44" s="91">
        <v>0</v>
      </c>
      <c r="M44">
        <f t="shared" ref="M44:M58" si="21">M43</f>
        <v>3.3529442770000251E-2</v>
      </c>
      <c r="N44" s="58" t="s">
        <v>44</v>
      </c>
      <c r="P44" s="19">
        <f>P42</f>
        <v>61.754775780000003</v>
      </c>
      <c r="Q44" s="56">
        <f>P44-Hotel!$F$35</f>
        <v>57.339779725483666</v>
      </c>
      <c r="R44" s="59">
        <f t="shared" si="17"/>
        <v>7.1492382552641121E-2</v>
      </c>
      <c r="S44" s="5" t="s">
        <v>44</v>
      </c>
      <c r="U44">
        <f>U43</f>
        <v>28.4047287641</v>
      </c>
      <c r="V44" s="19">
        <f>V43</f>
        <v>54.698433613999995</v>
      </c>
      <c r="W44" s="115"/>
      <c r="X44" s="83">
        <f>U44*Hotel!$F$18</f>
        <v>4544756.602256</v>
      </c>
      <c r="Y44">
        <f t="shared" ref="Y44" si="22">X44/12000</f>
        <v>378.72971685466666</v>
      </c>
      <c r="Z44">
        <f>V44*Hotel!$F$27</f>
        <v>820476.50420999993</v>
      </c>
      <c r="AA44">
        <f t="shared" ref="AA44" si="23">Z44/12000</f>
        <v>68.373042017499998</v>
      </c>
      <c r="AB44" s="60">
        <f t="shared" si="1"/>
        <v>310.35667483716668</v>
      </c>
      <c r="AC44" s="9" t="s">
        <v>44</v>
      </c>
      <c r="AG44" s="192" t="e">
        <f t="shared" si="20"/>
        <v>#REF!</v>
      </c>
    </row>
    <row r="45" spans="1:33" x14ac:dyDescent="0.25">
      <c r="A45" s="2" t="s">
        <v>12</v>
      </c>
      <c r="B45" s="2" t="s">
        <v>17</v>
      </c>
      <c r="C45" s="6" t="s">
        <v>117</v>
      </c>
      <c r="D45" s="6" t="s">
        <v>110</v>
      </c>
      <c r="E45" s="6" t="s">
        <v>132</v>
      </c>
      <c r="F45" s="6" t="s">
        <v>29</v>
      </c>
      <c r="G45" s="6"/>
      <c r="H45" s="90">
        <v>33</v>
      </c>
      <c r="I45" s="6" t="str">
        <f t="shared" si="0"/>
        <v>DoubleSingleSmallHotelPTACElectric33</v>
      </c>
      <c r="J45" s="19">
        <f>'Regresson List_SH'!H8+'Regresson List_SH'!I8*Hotel!$C$23+'Regresson List_SH'!J8*Hotel!$C$23^2</f>
        <v>0.23855113850000001</v>
      </c>
      <c r="K45" s="6">
        <f>'Regresson List_SH'!K8+'Regresson List_SH'!L8*Hotel!$C$24+'Regresson List_SH'!M8*Hotel!$C$24^2</f>
        <v>4.5580293232761999</v>
      </c>
      <c r="L45" s="91">
        <v>0</v>
      </c>
      <c r="M45">
        <f t="shared" si="21"/>
        <v>3.3529442770000251E-2</v>
      </c>
      <c r="N45" s="58" t="s">
        <v>44</v>
      </c>
      <c r="P45" s="19">
        <f>'Regresson List_SH'!H29+'Regresson List_SH'!I29*Hotel!$C$23+'Regresson List_SH'!J29*Hotel!$C$23^2</f>
        <v>56.625768393400001</v>
      </c>
      <c r="Q45" s="56">
        <f>P45-Hotel!$F$35</f>
        <v>52.210772338883665</v>
      </c>
      <c r="R45" s="59">
        <f t="shared" si="17"/>
        <v>7.7967967230815116E-2</v>
      </c>
      <c r="S45" s="5" t="s">
        <v>44</v>
      </c>
      <c r="U45">
        <f>'Regresson List_SH'!H22+'Regresson List_SH'!I22*Hotel!$C$24+'Regresson List_SH'!J22*Hotel!$C$24^2</f>
        <v>26.506563378400003</v>
      </c>
      <c r="V45" s="19">
        <f>'Regresson List_SH'!K22+'Regresson List_SH'!L22*Hotel!$C$24+'Regresson List_SH'!M22*Hotel!$C$24^2</f>
        <v>20.121942240999999</v>
      </c>
      <c r="W45" s="115"/>
      <c r="X45" s="83">
        <f>U45*Hotel!$F$18</f>
        <v>4241050.1405440001</v>
      </c>
      <c r="Y45">
        <f t="shared" ref="Y45:Y46" si="24">X45/12000</f>
        <v>353.42084504533335</v>
      </c>
      <c r="Z45">
        <f>V45*Hotel!$F$27</f>
        <v>301829.133615</v>
      </c>
      <c r="AA45">
        <f t="shared" ref="AA45:AA46" si="25">Z45/12000</f>
        <v>25.152427801249999</v>
      </c>
      <c r="AB45" s="60">
        <f t="shared" si="1"/>
        <v>328.26841724408337</v>
      </c>
      <c r="AC45" s="9" t="s">
        <v>44</v>
      </c>
      <c r="AG45" s="192" t="e">
        <f>#REF!</f>
        <v>#REF!</v>
      </c>
    </row>
    <row r="46" spans="1:33" x14ac:dyDescent="0.25">
      <c r="A46" s="2" t="s">
        <v>12</v>
      </c>
      <c r="B46" s="2" t="s">
        <v>17</v>
      </c>
      <c r="C46" s="6" t="s">
        <v>117</v>
      </c>
      <c r="D46" s="6" t="s">
        <v>110</v>
      </c>
      <c r="E46" s="6" t="s">
        <v>132</v>
      </c>
      <c r="F46" s="6" t="s">
        <v>29</v>
      </c>
      <c r="G46" s="6"/>
      <c r="H46" s="90">
        <v>100</v>
      </c>
      <c r="I46" s="6" t="str">
        <f t="shared" si="0"/>
        <v>DoubleSingleSmallHotelPTACElectric100</v>
      </c>
      <c r="J46" s="19">
        <f>'Regresson List_SH'!H9+'Regresson List_SH'!I9*Hotel!$C$23+'Regresson List_SH'!J9*Hotel!$C$23^2</f>
        <v>0.23945047739870001</v>
      </c>
      <c r="K46" s="6">
        <f>'Regresson List_SH'!K9+'Regresson List_SH'!L9*Hotel!$C$24+'Regresson List_SH'!M9*Hotel!$C$24^2</f>
        <v>5.6987105404609002</v>
      </c>
      <c r="L46" s="91">
        <v>0</v>
      </c>
      <c r="M46">
        <f t="shared" si="21"/>
        <v>3.3529442770000251E-2</v>
      </c>
      <c r="N46" s="58" t="s">
        <v>44</v>
      </c>
      <c r="P46" s="19">
        <f>'Regresson List_SH'!H30+'Regresson List_SH'!I30*Hotel!$C$23+'Regresson List_SH'!J30*Hotel!$C$23^2</f>
        <v>61.992445749300003</v>
      </c>
      <c r="Q46" s="56">
        <f>P46-Hotel!$F$35</f>
        <v>57.577449694783667</v>
      </c>
      <c r="R46" s="59">
        <f t="shared" si="17"/>
        <v>7.1218291215203289E-2</v>
      </c>
      <c r="S46" s="5" t="s">
        <v>44</v>
      </c>
      <c r="U46">
        <f>U45</f>
        <v>26.506563378400003</v>
      </c>
      <c r="V46" s="19">
        <f>V45</f>
        <v>20.121942240999999</v>
      </c>
      <c r="W46" s="115"/>
      <c r="X46" s="83">
        <f>U46*Hotel!$F$18</f>
        <v>4241050.1405440001</v>
      </c>
      <c r="Y46">
        <f t="shared" si="24"/>
        <v>353.42084504533335</v>
      </c>
      <c r="Z46">
        <f>V46*Hotel!$F$27</f>
        <v>301829.133615</v>
      </c>
      <c r="AA46">
        <f t="shared" si="25"/>
        <v>25.152427801249999</v>
      </c>
      <c r="AB46" s="60">
        <f t="shared" si="1"/>
        <v>328.26841724408337</v>
      </c>
      <c r="AC46" s="9" t="s">
        <v>44</v>
      </c>
      <c r="AG46" s="192">
        <f t="shared" si="20"/>
        <v>3.3529442770000251E-2</v>
      </c>
    </row>
    <row r="47" spans="1:33" x14ac:dyDescent="0.25">
      <c r="A47" s="2" t="s">
        <v>17</v>
      </c>
      <c r="B47" s="2" t="s">
        <v>17</v>
      </c>
      <c r="C47" s="6" t="s">
        <v>117</v>
      </c>
      <c r="D47" s="6" t="s">
        <v>110</v>
      </c>
      <c r="E47" s="6" t="s">
        <v>109</v>
      </c>
      <c r="F47" s="6" t="s">
        <v>29</v>
      </c>
      <c r="G47" s="6" t="s">
        <v>155</v>
      </c>
      <c r="H47" s="90">
        <v>33</v>
      </c>
      <c r="I47" s="6" t="str">
        <f>CONCATENATE(A47,B47,C47,D47,E47,F47,G47,H47)</f>
        <v>SingleSingleSmallHotelPTHPElectricLow33</v>
      </c>
      <c r="J47" s="173">
        <f>'Regresson List_SH'!H10+'Regresson List_SH'!I10*Hotel!$C$23+'Regresson List_SH'!J10*Hotel!$C$23^2</f>
        <v>0.1190476926136</v>
      </c>
      <c r="K47" s="6">
        <f>'Regresson List_SH'!K10+'Regresson List_SH'!L10*Hotel!$C$24+'Regresson List_SH'!M10*Hotel!$C$24^2</f>
        <v>6.0460712368100005</v>
      </c>
      <c r="L47" s="91">
        <v>0</v>
      </c>
      <c r="M47">
        <f t="shared" si="21"/>
        <v>3.3529442770000251E-2</v>
      </c>
      <c r="N47" s="58" t="s">
        <v>44</v>
      </c>
      <c r="P47" s="19">
        <f>'Regresson List_SH'!H31+'Regresson List_SH'!I31*Hotel!$C$23+'Regresson List_SH'!J31*Hotel!$C$23^2</f>
        <v>50.711216823199997</v>
      </c>
      <c r="Q47" s="56">
        <f>P47-Hotel!$F$35</f>
        <v>46.296220768683661</v>
      </c>
      <c r="R47" s="59">
        <f t="shared" ref="R47" si="26">1-(Q47/P47)</f>
        <v>8.7061528614247541E-2</v>
      </c>
      <c r="S47" s="5" t="s">
        <v>44</v>
      </c>
      <c r="U47">
        <f>U41</f>
        <v>28.4047287641</v>
      </c>
      <c r="V47" s="19">
        <f>V41</f>
        <v>29.601832350599999</v>
      </c>
      <c r="W47" s="115"/>
      <c r="X47" s="83">
        <f>U47*Hotel!$F$18</f>
        <v>4544756.602256</v>
      </c>
      <c r="Y47">
        <f t="shared" ref="Y47:Y58" si="27">X47/12000</f>
        <v>378.72971685466666</v>
      </c>
      <c r="Z47">
        <f>V47*Hotel!$F$27</f>
        <v>444027.48525899998</v>
      </c>
      <c r="AA47">
        <f t="shared" ref="AA47:AA58" si="28">Z47/12000</f>
        <v>37.00229043825</v>
      </c>
      <c r="AB47" s="60">
        <f t="shared" si="1"/>
        <v>341.72742641641668</v>
      </c>
      <c r="AC47" s="9" t="s">
        <v>44</v>
      </c>
      <c r="AG47" s="192">
        <f t="shared" si="20"/>
        <v>3.3529442770000251E-2</v>
      </c>
    </row>
    <row r="48" spans="1:33" x14ac:dyDescent="0.25">
      <c r="A48" s="2" t="s">
        <v>17</v>
      </c>
      <c r="B48" s="2" t="s">
        <v>17</v>
      </c>
      <c r="C48" s="6" t="s">
        <v>117</v>
      </c>
      <c r="D48" s="6" t="s">
        <v>110</v>
      </c>
      <c r="E48" s="6" t="s">
        <v>109</v>
      </c>
      <c r="F48" s="6" t="s">
        <v>29</v>
      </c>
      <c r="G48" s="6" t="s">
        <v>154</v>
      </c>
      <c r="H48" s="90">
        <v>33</v>
      </c>
      <c r="I48" s="6" t="str">
        <f>CONCATENATE(A48,B48,C48,D48,E48,F48,G48,H48)</f>
        <v>SingleSingleSmallHotelPTHPElectricHigh33</v>
      </c>
      <c r="J48" s="173">
        <f>'Regresson List_SH'!N10+'Regresson List_SH'!O10*Hotel!$C$23+'Regresson List_SH'!P10*Hotel!$C$23^2</f>
        <v>47.503570481732602</v>
      </c>
      <c r="K48" s="6">
        <f>K47</f>
        <v>6.0460712368100005</v>
      </c>
      <c r="L48" s="91">
        <v>0</v>
      </c>
      <c r="M48">
        <f t="shared" si="21"/>
        <v>3.3529442770000251E-2</v>
      </c>
      <c r="N48" s="58" t="s">
        <v>44</v>
      </c>
      <c r="P48" s="19">
        <f>P47</f>
        <v>50.711216823199997</v>
      </c>
      <c r="Q48" s="56">
        <f>P48-Hotel!$F$35</f>
        <v>46.296220768683661</v>
      </c>
      <c r="R48" s="59">
        <f t="shared" ref="R48:R58" si="29">1-(Q48/P48)</f>
        <v>8.7061528614247541E-2</v>
      </c>
      <c r="S48" s="5" t="s">
        <v>44</v>
      </c>
      <c r="U48">
        <f>U47</f>
        <v>28.4047287641</v>
      </c>
      <c r="V48" s="19">
        <f>V47</f>
        <v>29.601832350599999</v>
      </c>
      <c r="W48" s="115"/>
      <c r="X48" s="83">
        <f>U48*Hotel!$F$18</f>
        <v>4544756.602256</v>
      </c>
      <c r="Y48">
        <f t="shared" si="27"/>
        <v>378.72971685466666</v>
      </c>
      <c r="Z48">
        <f>V48*Hotel!$F$27</f>
        <v>444027.48525899998</v>
      </c>
      <c r="AA48">
        <f t="shared" si="28"/>
        <v>37.00229043825</v>
      </c>
      <c r="AB48" s="60">
        <f t="shared" si="1"/>
        <v>341.72742641641668</v>
      </c>
      <c r="AC48" s="9" t="s">
        <v>44</v>
      </c>
      <c r="AG48" s="192">
        <f>AG50</f>
        <v>3.3529442770000251E-2</v>
      </c>
    </row>
    <row r="49" spans="1:33" x14ac:dyDescent="0.25">
      <c r="A49" s="2" t="s">
        <v>17</v>
      </c>
      <c r="B49" s="2" t="s">
        <v>17</v>
      </c>
      <c r="C49" s="6" t="s">
        <v>117</v>
      </c>
      <c r="D49" s="6" t="s">
        <v>110</v>
      </c>
      <c r="E49" s="6" t="s">
        <v>109</v>
      </c>
      <c r="F49" s="6" t="s">
        <v>29</v>
      </c>
      <c r="G49" s="6" t="s">
        <v>155</v>
      </c>
      <c r="H49" s="90">
        <v>100</v>
      </c>
      <c r="I49" s="6" t="str">
        <f t="shared" ref="I49:I58" si="30">CONCATENATE(A49,B49,C49,D49,E49,F49,G49,H49)</f>
        <v>SingleSingleSmallHotelPTHPElectricLow100</v>
      </c>
      <c r="J49" s="173">
        <f>'Regresson List_SH'!H11+'Regresson List_SH'!I11*Hotel!$C$23+'Regresson List_SH'!J11*Hotel!$C$23^2</f>
        <v>0.1473375899354</v>
      </c>
      <c r="K49" s="6">
        <f>'Regresson List_SH'!K11+'Regresson List_SH'!L11*Hotel!$C$24+'Regresson List_SH'!M11*Hotel!$C$24^2</f>
        <v>7.2822461464750994</v>
      </c>
      <c r="L49" s="91">
        <v>0</v>
      </c>
      <c r="M49">
        <f t="shared" si="21"/>
        <v>3.3529442770000251E-2</v>
      </c>
      <c r="N49" s="58" t="s">
        <v>44</v>
      </c>
      <c r="P49" s="19">
        <f>'Regresson List_SH'!H32+'Regresson List_SH'!I32*Hotel!$C$23+'Regresson List_SH'!J32*Hotel!$C$23^2</f>
        <v>56.6865005513</v>
      </c>
      <c r="Q49" s="56">
        <f>P49-Hotel!$F$35</f>
        <v>52.271504496783663</v>
      </c>
      <c r="R49" s="59">
        <f t="shared" si="29"/>
        <v>7.7884434769806665E-2</v>
      </c>
      <c r="S49" s="5" t="s">
        <v>44</v>
      </c>
      <c r="U49">
        <f>U43</f>
        <v>28.4047287641</v>
      </c>
      <c r="V49" s="19">
        <f>V48</f>
        <v>29.601832350599999</v>
      </c>
      <c r="W49" s="115"/>
      <c r="X49" s="83">
        <f>U49*Hotel!$F$18</f>
        <v>4544756.602256</v>
      </c>
      <c r="Y49">
        <f t="shared" ref="Y49:Y57" si="31">X49/12000</f>
        <v>378.72971685466666</v>
      </c>
      <c r="Z49">
        <f>V49*Hotel!$F$27</f>
        <v>444027.48525899998</v>
      </c>
      <c r="AA49">
        <f t="shared" ref="AA49:AA57" si="32">Z49/12000</f>
        <v>37.00229043825</v>
      </c>
      <c r="AB49" s="60">
        <f t="shared" ref="AB49:AB57" si="33">Y49-AA49</f>
        <v>341.72742641641668</v>
      </c>
      <c r="AC49" s="9" t="s">
        <v>44</v>
      </c>
      <c r="AG49" s="192"/>
    </row>
    <row r="50" spans="1:33" x14ac:dyDescent="0.25">
      <c r="A50" s="2" t="s">
        <v>17</v>
      </c>
      <c r="B50" s="2" t="s">
        <v>17</v>
      </c>
      <c r="C50" s="6" t="s">
        <v>117</v>
      </c>
      <c r="D50" s="6" t="s">
        <v>110</v>
      </c>
      <c r="E50" s="6" t="s">
        <v>109</v>
      </c>
      <c r="F50" s="6" t="s">
        <v>29</v>
      </c>
      <c r="G50" s="6" t="s">
        <v>154</v>
      </c>
      <c r="H50" s="90">
        <v>100</v>
      </c>
      <c r="I50" s="6" t="str">
        <f t="shared" si="30"/>
        <v>SingleSingleSmallHotelPTHPElectricHigh100</v>
      </c>
      <c r="J50" s="173">
        <f>'Regresson List_SH'!N11+'Regresson List_SH'!O11*Hotel!$C$23+'Regresson List_SH'!P11*Hotel!$C$23^2</f>
        <v>47.5333390499922</v>
      </c>
      <c r="K50" s="6">
        <f>'Regresson List_SH'!K11+'Regresson List_SH'!L11*Hotel!$C$24+'Regresson List_SH'!M11*Hotel!$C$24^2</f>
        <v>7.2822461464750994</v>
      </c>
      <c r="L50" s="91">
        <v>0</v>
      </c>
      <c r="M50">
        <f t="shared" si="21"/>
        <v>3.3529442770000251E-2</v>
      </c>
      <c r="N50" s="58" t="s">
        <v>44</v>
      </c>
      <c r="P50" s="19">
        <f>'Regresson List_SH'!$H32+'Regresson List_SH'!$I32*Hotel!$C$23+'Regresson List_SH'!$J32*Hotel!$C$23^2</f>
        <v>56.6865005513</v>
      </c>
      <c r="Q50" s="56">
        <f>P50-Hotel!$F$35</f>
        <v>52.271504496783663</v>
      </c>
      <c r="R50" s="59">
        <f t="shared" si="29"/>
        <v>7.7884434769806665E-2</v>
      </c>
      <c r="S50" s="5" t="s">
        <v>44</v>
      </c>
      <c r="U50">
        <f>U44</f>
        <v>28.4047287641</v>
      </c>
      <c r="V50" s="19">
        <f>V42</f>
        <v>29.601832350599999</v>
      </c>
      <c r="W50" s="115"/>
      <c r="X50" s="83">
        <f>U50*Hotel!$F$18</f>
        <v>4544756.602256</v>
      </c>
      <c r="Y50">
        <f t="shared" si="31"/>
        <v>378.72971685466666</v>
      </c>
      <c r="Z50">
        <f>V50*Hotel!$F$27</f>
        <v>444027.48525899998</v>
      </c>
      <c r="AA50">
        <f t="shared" si="32"/>
        <v>37.00229043825</v>
      </c>
      <c r="AB50" s="60">
        <f t="shared" si="33"/>
        <v>341.72742641641668</v>
      </c>
      <c r="AC50" s="9" t="s">
        <v>44</v>
      </c>
      <c r="AG50" s="192">
        <f t="shared" si="20"/>
        <v>3.3529442770000251E-2</v>
      </c>
    </row>
    <row r="51" spans="1:33" x14ac:dyDescent="0.25">
      <c r="A51" s="2" t="s">
        <v>17</v>
      </c>
      <c r="B51" s="2" t="s">
        <v>12</v>
      </c>
      <c r="C51" s="6" t="s">
        <v>117</v>
      </c>
      <c r="D51" s="6" t="s">
        <v>110</v>
      </c>
      <c r="E51" s="6" t="s">
        <v>109</v>
      </c>
      <c r="F51" s="6" t="s">
        <v>29</v>
      </c>
      <c r="G51" s="6" t="s">
        <v>155</v>
      </c>
      <c r="H51" s="90">
        <v>33</v>
      </c>
      <c r="I51" s="6" t="str">
        <f t="shared" si="30"/>
        <v>SingleDoubleSmallHotelPTHPElectricLow33</v>
      </c>
      <c r="J51" s="173">
        <f>'Regresson List_SH'!H12+'Regresson List_SH'!I12*Hotel!$C$23+'Regresson List_SH'!J12*Hotel!$C$23^2</f>
        <v>0.1506637514617</v>
      </c>
      <c r="K51" s="6">
        <f>'Regresson List_SH'!K12+'Regresson List_SH'!L12*Hotel!$C$24+'Regresson List_SH'!M12*Hotel!$C$24^2</f>
        <v>11.224359009900001</v>
      </c>
      <c r="L51" s="91">
        <v>0</v>
      </c>
      <c r="M51">
        <f t="shared" si="21"/>
        <v>3.3529442770000251E-2</v>
      </c>
      <c r="N51" s="58" t="s">
        <v>44</v>
      </c>
      <c r="P51" s="19">
        <f>P47</f>
        <v>50.711216823199997</v>
      </c>
      <c r="Q51" s="56">
        <f>P51-Hotel!$F$35</f>
        <v>46.296220768683661</v>
      </c>
      <c r="R51" s="59">
        <f t="shared" si="29"/>
        <v>8.7061528614247541E-2</v>
      </c>
      <c r="S51" s="5" t="s">
        <v>44</v>
      </c>
      <c r="U51">
        <f>U43</f>
        <v>28.4047287641</v>
      </c>
      <c r="V51" s="19">
        <f>V43</f>
        <v>54.698433613999995</v>
      </c>
      <c r="W51" s="115"/>
      <c r="X51" s="83">
        <f>U51*Hotel!$F$18</f>
        <v>4544756.602256</v>
      </c>
      <c r="Y51">
        <f t="shared" si="31"/>
        <v>378.72971685466666</v>
      </c>
      <c r="Z51">
        <f>V51*Hotel!$F$27</f>
        <v>820476.50420999993</v>
      </c>
      <c r="AA51">
        <f t="shared" si="32"/>
        <v>68.373042017499998</v>
      </c>
      <c r="AB51" s="60">
        <f t="shared" si="33"/>
        <v>310.35667483716668</v>
      </c>
      <c r="AC51" s="9" t="s">
        <v>44</v>
      </c>
      <c r="AG51" s="192">
        <f t="shared" si="20"/>
        <v>3.3529442770000251E-2</v>
      </c>
    </row>
    <row r="52" spans="1:33" x14ac:dyDescent="0.25">
      <c r="A52" s="2" t="s">
        <v>17</v>
      </c>
      <c r="B52" s="2" t="s">
        <v>12</v>
      </c>
      <c r="C52" s="6" t="s">
        <v>117</v>
      </c>
      <c r="D52" s="6" t="s">
        <v>110</v>
      </c>
      <c r="E52" s="6" t="s">
        <v>109</v>
      </c>
      <c r="F52" s="6" t="s">
        <v>29</v>
      </c>
      <c r="G52" s="6" t="s">
        <v>154</v>
      </c>
      <c r="H52" s="90">
        <v>33</v>
      </c>
      <c r="I52" s="6" t="str">
        <f t="shared" si="30"/>
        <v>SingleDoubleSmallHotelPTHPElectricHigh33</v>
      </c>
      <c r="J52" s="173">
        <f>'Regresson List_SH'!N12+'Regresson List_SH'!O12*Hotel!$C$23+'Regresson List_SH'!P12*Hotel!$C$23^2</f>
        <v>47.425222662092601</v>
      </c>
      <c r="K52" s="6">
        <f>K51</f>
        <v>11.224359009900001</v>
      </c>
      <c r="L52" s="91">
        <v>0</v>
      </c>
      <c r="M52">
        <f t="shared" si="21"/>
        <v>3.3529442770000251E-2</v>
      </c>
      <c r="N52" s="58" t="s">
        <v>44</v>
      </c>
      <c r="P52" s="19">
        <f>P48</f>
        <v>50.711216823199997</v>
      </c>
      <c r="Q52" s="56">
        <f>P52-Hotel!$F$35</f>
        <v>46.296220768683661</v>
      </c>
      <c r="R52" s="59">
        <f t="shared" si="29"/>
        <v>8.7061528614247541E-2</v>
      </c>
      <c r="S52" s="5" t="s">
        <v>44</v>
      </c>
      <c r="U52">
        <f>U43</f>
        <v>28.4047287641</v>
      </c>
      <c r="V52" s="19">
        <f>V51</f>
        <v>54.698433613999995</v>
      </c>
      <c r="W52" s="115"/>
      <c r="X52" s="83">
        <f>U52*Hotel!$F$18</f>
        <v>4544756.602256</v>
      </c>
      <c r="Y52">
        <f t="shared" si="31"/>
        <v>378.72971685466666</v>
      </c>
      <c r="Z52">
        <f>V52*Hotel!$F$27</f>
        <v>820476.50420999993</v>
      </c>
      <c r="AA52">
        <f t="shared" si="32"/>
        <v>68.373042017499998</v>
      </c>
      <c r="AB52" s="60">
        <f t="shared" si="33"/>
        <v>310.35667483716668</v>
      </c>
      <c r="AC52" s="9" t="s">
        <v>44</v>
      </c>
      <c r="AG52" s="192">
        <f>AG54</f>
        <v>3.3529442770000251E-2</v>
      </c>
    </row>
    <row r="53" spans="1:33" x14ac:dyDescent="0.25">
      <c r="A53" s="2" t="s">
        <v>17</v>
      </c>
      <c r="B53" s="2" t="s">
        <v>12</v>
      </c>
      <c r="C53" s="6" t="s">
        <v>117</v>
      </c>
      <c r="D53" s="6" t="s">
        <v>110</v>
      </c>
      <c r="E53" s="6" t="s">
        <v>109</v>
      </c>
      <c r="F53" s="6" t="s">
        <v>29</v>
      </c>
      <c r="G53" s="6" t="s">
        <v>155</v>
      </c>
      <c r="H53" s="90">
        <v>100</v>
      </c>
      <c r="I53" s="6" t="str">
        <f t="shared" si="30"/>
        <v>SingleDoubleSmallHotelPTHPElectricLow100</v>
      </c>
      <c r="J53" s="173">
        <f>'Regresson List_SH'!H13+'Regresson List_SH'!I13*Hotel!$C$23+'Regresson List_SH'!J13*Hotel!$C$23^2</f>
        <v>0.19401338022369999</v>
      </c>
      <c r="K53" s="6">
        <f>'Regresson List_SH'!K13+'Regresson List_SH'!L13*Hotel!$C$24+'Regresson List_SH'!M13*Hotel!$C$24^2</f>
        <v>13.6041967716</v>
      </c>
      <c r="L53" s="91">
        <v>0</v>
      </c>
      <c r="M53">
        <f t="shared" si="21"/>
        <v>3.3529442770000251E-2</v>
      </c>
      <c r="N53" s="58" t="s">
        <v>44</v>
      </c>
      <c r="P53" s="19">
        <f>P49</f>
        <v>56.6865005513</v>
      </c>
      <c r="Q53" s="56">
        <f>P53-Hotel!$F$35</f>
        <v>52.271504496783663</v>
      </c>
      <c r="R53" s="59">
        <f t="shared" si="29"/>
        <v>7.7884434769806665E-2</v>
      </c>
      <c r="S53" s="5" t="s">
        <v>44</v>
      </c>
      <c r="U53">
        <f>U52</f>
        <v>28.4047287641</v>
      </c>
      <c r="V53" s="19">
        <f>V52</f>
        <v>54.698433613999995</v>
      </c>
      <c r="W53" s="115"/>
      <c r="X53" s="83">
        <f>U53*Hotel!$F$18</f>
        <v>4544756.602256</v>
      </c>
      <c r="Y53">
        <f t="shared" si="31"/>
        <v>378.72971685466666</v>
      </c>
      <c r="Z53">
        <f>V53*Hotel!$F$27</f>
        <v>820476.50420999993</v>
      </c>
      <c r="AA53">
        <f t="shared" si="32"/>
        <v>68.373042017499998</v>
      </c>
      <c r="AB53" s="60">
        <f t="shared" si="33"/>
        <v>310.35667483716668</v>
      </c>
      <c r="AC53" s="9" t="s">
        <v>44</v>
      </c>
      <c r="AG53" s="192"/>
    </row>
    <row r="54" spans="1:33" x14ac:dyDescent="0.25">
      <c r="A54" s="2" t="s">
        <v>17</v>
      </c>
      <c r="B54" s="2" t="s">
        <v>12</v>
      </c>
      <c r="C54" s="6" t="s">
        <v>117</v>
      </c>
      <c r="D54" s="6" t="s">
        <v>110</v>
      </c>
      <c r="E54" s="6" t="s">
        <v>109</v>
      </c>
      <c r="F54" s="6" t="s">
        <v>29</v>
      </c>
      <c r="G54" s="6" t="s">
        <v>154</v>
      </c>
      <c r="H54" s="90">
        <v>100</v>
      </c>
      <c r="I54" s="6" t="str">
        <f t="shared" si="30"/>
        <v>SingleDoubleSmallHotelPTHPElectricHigh100</v>
      </c>
      <c r="J54" s="173">
        <f>'Regresson List_SH'!N13+'Regresson List_SH'!O13*Hotel!$C$23+'Regresson List_SH'!P13*Hotel!$C$23^2</f>
        <v>47.844317059557198</v>
      </c>
      <c r="K54" s="6">
        <f>'Regresson List_SH'!K13+'Regresson List_SH'!L13*Hotel!$C$24+'Regresson List_SH'!M13*Hotel!$C$24^2</f>
        <v>13.6041967716</v>
      </c>
      <c r="L54" s="91">
        <v>0</v>
      </c>
      <c r="M54">
        <f t="shared" si="21"/>
        <v>3.3529442770000251E-2</v>
      </c>
      <c r="N54" s="58" t="s">
        <v>44</v>
      </c>
      <c r="P54" s="19">
        <f>P53</f>
        <v>56.6865005513</v>
      </c>
      <c r="Q54" s="56">
        <f>P54-Hotel!$F$35</f>
        <v>52.271504496783663</v>
      </c>
      <c r="R54" s="59">
        <f t="shared" si="29"/>
        <v>7.7884434769806665E-2</v>
      </c>
      <c r="S54" s="5" t="s">
        <v>44</v>
      </c>
      <c r="U54">
        <f>U44</f>
        <v>28.4047287641</v>
      </c>
      <c r="V54" s="19">
        <f>V44</f>
        <v>54.698433613999995</v>
      </c>
      <c r="W54" s="115"/>
      <c r="X54" s="83">
        <f>U54*Hotel!$F$18</f>
        <v>4544756.602256</v>
      </c>
      <c r="Y54">
        <f t="shared" si="31"/>
        <v>378.72971685466666</v>
      </c>
      <c r="Z54">
        <f>V54*Hotel!$F$27</f>
        <v>820476.50420999993</v>
      </c>
      <c r="AA54">
        <f t="shared" si="32"/>
        <v>68.373042017499998</v>
      </c>
      <c r="AB54" s="60">
        <f t="shared" si="33"/>
        <v>310.35667483716668</v>
      </c>
      <c r="AC54" s="9" t="s">
        <v>44</v>
      </c>
      <c r="AG54" s="192">
        <f t="shared" si="20"/>
        <v>3.3529442770000251E-2</v>
      </c>
    </row>
    <row r="55" spans="1:33" x14ac:dyDescent="0.25">
      <c r="A55" s="2" t="s">
        <v>12</v>
      </c>
      <c r="B55" s="2" t="s">
        <v>17</v>
      </c>
      <c r="C55" s="6" t="s">
        <v>117</v>
      </c>
      <c r="D55" s="6" t="s">
        <v>110</v>
      </c>
      <c r="E55" s="6" t="s">
        <v>109</v>
      </c>
      <c r="F55" s="6" t="s">
        <v>29</v>
      </c>
      <c r="G55" s="6" t="s">
        <v>155</v>
      </c>
      <c r="H55" s="90">
        <v>33</v>
      </c>
      <c r="I55" s="6" t="str">
        <f t="shared" si="30"/>
        <v>DoubleSingleSmallHotelPTHPElectricLow33</v>
      </c>
      <c r="J55" s="173">
        <f>'Regresson List_SH'!H14+'Regresson List_SH'!I14*Hotel!$C$23+'Regresson List_SH'!J14*Hotel!$C$23^2</f>
        <v>0.10405060596769999</v>
      </c>
      <c r="K55" s="6">
        <f>'Regresson List_SH'!K14+'Regresson List_SH'!L14*Hotel!$C$24+'Regresson List_SH'!M14*Hotel!$C$24^2</f>
        <v>4.5580293232761999</v>
      </c>
      <c r="L55" s="91">
        <v>0</v>
      </c>
      <c r="M55">
        <f t="shared" si="21"/>
        <v>3.3529442770000251E-2</v>
      </c>
      <c r="N55" s="58" t="s">
        <v>44</v>
      </c>
      <c r="P55" s="19">
        <f>'Regresson List_SH'!H33+'Regresson List_SH'!I33*Hotel!$C$23+'Regresson List_SH'!J33*Hotel!$C$23^2</f>
        <v>48.835874213099999</v>
      </c>
      <c r="Q55" s="56">
        <f>P55-Hotel!$F$35</f>
        <v>44.420878158583662</v>
      </c>
      <c r="R55" s="59">
        <f t="shared" si="29"/>
        <v>9.0404771608082246E-2</v>
      </c>
      <c r="S55" s="5" t="s">
        <v>44</v>
      </c>
      <c r="U55">
        <f>U45</f>
        <v>26.506563378400003</v>
      </c>
      <c r="V55" s="19">
        <f>V45</f>
        <v>20.121942240999999</v>
      </c>
      <c r="W55" s="115"/>
      <c r="X55" s="83">
        <f>U55*Hotel!$F$18</f>
        <v>4241050.1405440001</v>
      </c>
      <c r="Y55">
        <f t="shared" si="31"/>
        <v>353.42084504533335</v>
      </c>
      <c r="Z55">
        <f>V55*Hotel!$F$27</f>
        <v>301829.133615</v>
      </c>
      <c r="AA55">
        <f t="shared" si="32"/>
        <v>25.152427801249999</v>
      </c>
      <c r="AB55" s="60">
        <f t="shared" si="33"/>
        <v>328.26841724408337</v>
      </c>
      <c r="AC55" s="9" t="s">
        <v>44</v>
      </c>
      <c r="AG55" s="192">
        <f t="shared" si="20"/>
        <v>3.3529442770000251E-2</v>
      </c>
    </row>
    <row r="56" spans="1:33" x14ac:dyDescent="0.25">
      <c r="A56" s="2" t="s">
        <v>12</v>
      </c>
      <c r="B56" s="2" t="s">
        <v>17</v>
      </c>
      <c r="C56" s="6" t="s">
        <v>117</v>
      </c>
      <c r="D56" s="6" t="s">
        <v>110</v>
      </c>
      <c r="E56" s="6" t="s">
        <v>109</v>
      </c>
      <c r="F56" s="6" t="s">
        <v>29</v>
      </c>
      <c r="G56" s="6" t="s">
        <v>154</v>
      </c>
      <c r="H56" s="90">
        <v>33</v>
      </c>
      <c r="I56" s="6" t="str">
        <f t="shared" si="30"/>
        <v>DoubleSingleSmallHotelPTHPElectricHigh33</v>
      </c>
      <c r="J56" s="173">
        <f>'Regresson List_SH'!N14+'Regresson List_SH'!O14*Hotel!$C$23+'Regresson List_SH'!P14*Hotel!$C$23^2</f>
        <v>23.4641493550631</v>
      </c>
      <c r="K56" s="6">
        <f>K55</f>
        <v>4.5580293232761999</v>
      </c>
      <c r="L56" s="91">
        <v>0</v>
      </c>
      <c r="M56">
        <f t="shared" si="21"/>
        <v>3.3529442770000251E-2</v>
      </c>
      <c r="N56" s="58" t="s">
        <v>44</v>
      </c>
      <c r="P56" s="19">
        <f>P55</f>
        <v>48.835874213099999</v>
      </c>
      <c r="Q56" s="56">
        <f>P56-Hotel!$F$35</f>
        <v>44.420878158583662</v>
      </c>
      <c r="R56" s="59">
        <f t="shared" si="29"/>
        <v>9.0404771608082246E-2</v>
      </c>
      <c r="S56" s="5" t="s">
        <v>44</v>
      </c>
      <c r="U56">
        <f>U55</f>
        <v>26.506563378400003</v>
      </c>
      <c r="V56" s="19">
        <f>V55</f>
        <v>20.121942240999999</v>
      </c>
      <c r="W56" s="115"/>
      <c r="X56" s="83">
        <f>U56*Hotel!$F$18</f>
        <v>4241050.1405440001</v>
      </c>
      <c r="Y56">
        <f t="shared" si="31"/>
        <v>353.42084504533335</v>
      </c>
      <c r="Z56">
        <f>V56*Hotel!$F$27</f>
        <v>301829.133615</v>
      </c>
      <c r="AA56">
        <f t="shared" si="32"/>
        <v>25.152427801249999</v>
      </c>
      <c r="AB56" s="60">
        <f t="shared" si="33"/>
        <v>328.26841724408337</v>
      </c>
      <c r="AC56" s="9" t="s">
        <v>44</v>
      </c>
      <c r="AG56" s="192">
        <f>AG58</f>
        <v>3.3529442770000251E-2</v>
      </c>
    </row>
    <row r="57" spans="1:33" x14ac:dyDescent="0.25">
      <c r="A57" s="2" t="s">
        <v>12</v>
      </c>
      <c r="B57" s="2" t="s">
        <v>17</v>
      </c>
      <c r="C57" s="6" t="s">
        <v>117</v>
      </c>
      <c r="D57" s="6" t="s">
        <v>110</v>
      </c>
      <c r="E57" s="6" t="s">
        <v>109</v>
      </c>
      <c r="F57" s="6" t="s">
        <v>29</v>
      </c>
      <c r="G57" s="6" t="s">
        <v>155</v>
      </c>
      <c r="H57" s="90">
        <v>100</v>
      </c>
      <c r="I57" s="6" t="str">
        <f t="shared" si="30"/>
        <v>DoubleSingleSmallHotelPTHPElectricLow100</v>
      </c>
      <c r="J57" s="173">
        <f>'Regresson List_SH'!H15+'Regresson List_SH'!I15*Hotel!$C$23+'Regresson List_SH'!J15*Hotel!$C$23^2</f>
        <v>9.9064625830599995E-2</v>
      </c>
      <c r="K57" s="6">
        <f>'Regresson List_SH'!K15+'Regresson List_SH'!L15*Hotel!$C$24+'Regresson List_SH'!M15*Hotel!$C$24^2</f>
        <v>5.6987105404609002</v>
      </c>
      <c r="L57" s="91">
        <v>0</v>
      </c>
      <c r="M57">
        <f t="shared" si="21"/>
        <v>3.3529442770000251E-2</v>
      </c>
      <c r="N57" s="58" t="s">
        <v>44</v>
      </c>
      <c r="P57" s="19">
        <f>'Regresson List_SH'!H34+'Regresson List_SH'!I34*Hotel!$C$23+'Regresson List_SH'!J34*Hotel!$C$23^2</f>
        <v>55.801386743199998</v>
      </c>
      <c r="Q57" s="56">
        <f>P57-Hotel!$F$35</f>
        <v>51.386390688683662</v>
      </c>
      <c r="R57" s="59">
        <f t="shared" si="29"/>
        <v>7.9119826803486282E-2</v>
      </c>
      <c r="S57" s="5" t="s">
        <v>44</v>
      </c>
      <c r="U57">
        <f>U56</f>
        <v>26.506563378400003</v>
      </c>
      <c r="V57" s="19">
        <f>V56</f>
        <v>20.121942240999999</v>
      </c>
      <c r="W57" s="115"/>
      <c r="X57" s="83">
        <f>U57*Hotel!$F$18</f>
        <v>4241050.1405440001</v>
      </c>
      <c r="Y57">
        <f t="shared" si="31"/>
        <v>353.42084504533335</v>
      </c>
      <c r="Z57">
        <f>V57*Hotel!$F$27</f>
        <v>301829.133615</v>
      </c>
      <c r="AA57">
        <f t="shared" si="32"/>
        <v>25.152427801249999</v>
      </c>
      <c r="AB57" s="60">
        <f t="shared" si="33"/>
        <v>328.26841724408337</v>
      </c>
      <c r="AC57" s="9" t="s">
        <v>44</v>
      </c>
      <c r="AG57" s="192"/>
    </row>
    <row r="58" spans="1:33" x14ac:dyDescent="0.25">
      <c r="A58" s="2" t="s">
        <v>12</v>
      </c>
      <c r="B58" s="2" t="s">
        <v>17</v>
      </c>
      <c r="C58" s="6" t="s">
        <v>117</v>
      </c>
      <c r="D58" s="6" t="s">
        <v>110</v>
      </c>
      <c r="E58" s="6" t="s">
        <v>109</v>
      </c>
      <c r="F58" s="6" t="s">
        <v>29</v>
      </c>
      <c r="G58" s="6" t="s">
        <v>154</v>
      </c>
      <c r="H58" s="90">
        <v>100</v>
      </c>
      <c r="I58" s="6" t="str">
        <f t="shared" si="30"/>
        <v>DoubleSingleSmallHotelPTHPElectricHigh100</v>
      </c>
      <c r="J58" s="173">
        <f>'Regresson List_SH'!N15+'Regresson List_SH'!O15*Hotel!$C$23+'Regresson List_SH'!P15*Hotel!$C$23^2</f>
        <v>21.9388366388782</v>
      </c>
      <c r="K58" s="6">
        <f>'Regresson List_SH'!K15+'Regresson List_SH'!L15*Hotel!$C$24+'Regresson List_SH'!M15*Hotel!$C$24^2</f>
        <v>5.6987105404609002</v>
      </c>
      <c r="L58" s="91">
        <v>0</v>
      </c>
      <c r="M58">
        <f t="shared" si="21"/>
        <v>3.3529442770000251E-2</v>
      </c>
      <c r="N58" s="58" t="s">
        <v>44</v>
      </c>
      <c r="P58" s="19">
        <f>P57</f>
        <v>55.801386743199998</v>
      </c>
      <c r="Q58" s="56">
        <f>P58-Hotel!$F$35</f>
        <v>51.386390688683662</v>
      </c>
      <c r="R58" s="59">
        <f t="shared" si="29"/>
        <v>7.9119826803486282E-2</v>
      </c>
      <c r="S58" s="5" t="s">
        <v>44</v>
      </c>
      <c r="U58">
        <f>U46</f>
        <v>26.506563378400003</v>
      </c>
      <c r="V58" s="19">
        <f>V46</f>
        <v>20.121942240999999</v>
      </c>
      <c r="W58" s="115"/>
      <c r="X58" s="83">
        <f>U58*Hotel!$F$18</f>
        <v>4241050.1405440001</v>
      </c>
      <c r="Y58">
        <f t="shared" si="27"/>
        <v>353.42084504533335</v>
      </c>
      <c r="Z58">
        <f>V58*Hotel!$F$27</f>
        <v>301829.133615</v>
      </c>
      <c r="AA58">
        <f t="shared" si="28"/>
        <v>25.152427801249999</v>
      </c>
      <c r="AB58" s="60">
        <f t="shared" si="1"/>
        <v>328.26841724408337</v>
      </c>
      <c r="AC58" s="9" t="s">
        <v>44</v>
      </c>
      <c r="AG58" s="78">
        <f>'Regresson List_SH'!D37+'Regresson List_SH'!E37*Hotel!$C$24+'Regresson List_SH'!F37*Hotel!$C$24^2+'Regresson List_SH'!G37*Hotel!$C$24^3</f>
        <v>3.3529442770000251E-2</v>
      </c>
    </row>
    <row r="59" spans="1:33" x14ac:dyDescent="0.25">
      <c r="A59" s="2" t="s">
        <v>17</v>
      </c>
      <c r="B59" s="2" t="s">
        <v>17</v>
      </c>
      <c r="C59" s="6" t="s">
        <v>56</v>
      </c>
      <c r="D59" s="6" t="s">
        <v>110</v>
      </c>
      <c r="E59" s="6" t="s">
        <v>140</v>
      </c>
      <c r="F59" s="6" t="s">
        <v>29</v>
      </c>
      <c r="G59" s="6"/>
      <c r="H59" s="90">
        <v>33</v>
      </c>
      <c r="I59" s="6" t="str">
        <f t="shared" ref="I59:I94" si="34">CONCATENATE(A59,B59,C59,D59,E59,F59,H59)</f>
        <v>SingleSingleLargeHotelFCUElectric33</v>
      </c>
      <c r="J59" s="19">
        <f>'Regresson List_LH'!H4+'Regresson List_LH'!I4*Hotel!$C$23+'Regresson List_LH'!J4*Hotel!$C$23^2</f>
        <v>6.5346327699999998E-2</v>
      </c>
      <c r="K59" s="6">
        <f>'Regresson List_LH'!K4+'Regresson List_LH'!L4*Hotel!$C$24+'Regresson List_LH'!M4*Hotel!$C$24^2</f>
        <v>4.3186226092539997</v>
      </c>
      <c r="L59" s="91">
        <v>0</v>
      </c>
      <c r="N59" s="58" t="s">
        <v>44</v>
      </c>
      <c r="P59" s="19">
        <f>'Regresson List_LH'!$H27+'Regresson List_LH'!$I27*Hotel!$C$23+'Regresson List_LH'!$J27*Hotel!$C$23^2</f>
        <v>110.1376985853</v>
      </c>
      <c r="Q59" s="56">
        <f>P59-Hotel!$F$35</f>
        <v>105.72270253078366</v>
      </c>
      <c r="R59" s="59">
        <f t="shared" ref="R59:R94" si="35">1-(Q59/P59)</f>
        <v>4.0086147715325593E-2</v>
      </c>
      <c r="S59" s="5" t="s">
        <v>44</v>
      </c>
      <c r="U59" s="53">
        <f>'Regresson List_LH'!H20+'Regresson List_LH'!I20*Hotel!$C$24+'Regresson List_LH'!J20*Hotel!$C$24^2</f>
        <v>37.056312143100001</v>
      </c>
      <c r="V59" s="19">
        <f>'Regresson List_LH'!K20+'Regresson List_LH'!L20*Hotel!$C$24+'Regresson List_LH'!M20*Hotel!$C$24^2</f>
        <v>93.699912150399996</v>
      </c>
      <c r="W59" s="115"/>
      <c r="X59" s="83">
        <f>U59*Hotel!$F$18</f>
        <v>5929009.9428960001</v>
      </c>
      <c r="Y59">
        <f t="shared" ref="Y59:Y64" si="36">X59/12000</f>
        <v>494.084161908</v>
      </c>
      <c r="Z59">
        <f>V59*Hotel!$F$27</f>
        <v>1405498.6822559999</v>
      </c>
      <c r="AA59">
        <f t="shared" ref="AA59:AA64" si="37">Z59/12000</f>
        <v>117.12489018799999</v>
      </c>
      <c r="AB59" s="60">
        <f t="shared" si="1"/>
        <v>376.95927172</v>
      </c>
      <c r="AC59" s="9" t="s">
        <v>44</v>
      </c>
      <c r="AG59" s="192" t="e">
        <f>#REF!</f>
        <v>#REF!</v>
      </c>
    </row>
    <row r="60" spans="1:33" x14ac:dyDescent="0.25">
      <c r="A60" s="2" t="s">
        <v>17</v>
      </c>
      <c r="B60" s="2" t="s">
        <v>17</v>
      </c>
      <c r="C60" s="6" t="s">
        <v>56</v>
      </c>
      <c r="D60" s="6" t="s">
        <v>110</v>
      </c>
      <c r="E60" s="6" t="s">
        <v>140</v>
      </c>
      <c r="F60" s="6" t="s">
        <v>29</v>
      </c>
      <c r="G60" s="6"/>
      <c r="H60" s="90">
        <v>100</v>
      </c>
      <c r="I60" s="6" t="str">
        <f t="shared" si="34"/>
        <v>SingleSingleLargeHotelFCUElectric100</v>
      </c>
      <c r="J60" s="19">
        <f>'Regresson List_LH'!H5+'Regresson List_LH'!I5*Hotel!$C$23+'Regresson List_LH'!J5*Hotel!$C$23^2</f>
        <v>0.10877243590000001</v>
      </c>
      <c r="K60" s="6">
        <f>'Regresson List_LH'!K5+'Regresson List_LH'!L5*Hotel!$C$24+'Regresson List_LH'!M5*Hotel!$C$24^2</f>
        <v>5.2016046875861992</v>
      </c>
      <c r="L60" s="91">
        <v>0</v>
      </c>
      <c r="N60" s="58" t="s">
        <v>44</v>
      </c>
      <c r="P60" s="19">
        <f>'Regresson List_LH'!$H28+'Regresson List_LH'!$I28*Hotel!$C$23+'Regresson List_LH'!$J28*Hotel!$C$23^2</f>
        <v>116.4980513732</v>
      </c>
      <c r="Q60" s="56">
        <f>P60-Hotel!$F$35</f>
        <v>112.08305531868366</v>
      </c>
      <c r="R60" s="59">
        <f t="shared" si="35"/>
        <v>3.7897595732077516E-2</v>
      </c>
      <c r="S60" s="5" t="s">
        <v>44</v>
      </c>
      <c r="U60" s="53">
        <f>U59</f>
        <v>37.056312143100001</v>
      </c>
      <c r="V60" s="19">
        <f>V59</f>
        <v>93.699912150399996</v>
      </c>
      <c r="W60" s="115"/>
      <c r="X60" s="83">
        <f>U60*Hotel!$F$18</f>
        <v>5929009.9428960001</v>
      </c>
      <c r="Y60">
        <f t="shared" si="36"/>
        <v>494.084161908</v>
      </c>
      <c r="Z60">
        <f>V60*Hotel!$F$27</f>
        <v>1405498.6822559999</v>
      </c>
      <c r="AA60">
        <f t="shared" si="37"/>
        <v>117.12489018799999</v>
      </c>
      <c r="AB60" s="60">
        <f t="shared" si="1"/>
        <v>376.95927172</v>
      </c>
      <c r="AC60" s="9" t="s">
        <v>44</v>
      </c>
      <c r="AG60" s="192" t="e">
        <f t="shared" ref="AG60:AG68" si="38">AG61</f>
        <v>#REF!</v>
      </c>
    </row>
    <row r="61" spans="1:33" x14ac:dyDescent="0.25">
      <c r="A61" s="2" t="s">
        <v>17</v>
      </c>
      <c r="B61" s="2" t="s">
        <v>12</v>
      </c>
      <c r="C61" s="6" t="s">
        <v>56</v>
      </c>
      <c r="D61" s="6" t="s">
        <v>110</v>
      </c>
      <c r="E61" s="6" t="s">
        <v>140</v>
      </c>
      <c r="F61" s="6" t="s">
        <v>29</v>
      </c>
      <c r="G61" s="6"/>
      <c r="H61" s="90">
        <v>33</v>
      </c>
      <c r="I61" s="6" t="str">
        <f t="shared" si="34"/>
        <v>SingleDoubleLargeHotelFCUElectric33</v>
      </c>
      <c r="J61" s="19">
        <f>'Regresson List_LH'!H6+'Regresson List_LH'!I6*Hotel!$C$23+'Regresson List_LH'!J6*Hotel!$C$23^2</f>
        <v>0.36073084760000002</v>
      </c>
      <c r="K61" s="6">
        <f>'Regresson List_LH'!K6+'Regresson List_LH'!L6*Hotel!$C$24+'Regresson List_LH'!M6*Hotel!$C$24^2</f>
        <v>8.0173984011754005</v>
      </c>
      <c r="L61" s="91">
        <v>0</v>
      </c>
      <c r="N61" s="58" t="s">
        <v>44</v>
      </c>
      <c r="P61" s="19">
        <f>'Regresson List_LH'!$H27+'Regresson List_LH'!$I27*Hotel!$C$23+'Regresson List_LH'!$J27*Hotel!$C$23^2</f>
        <v>110.1376985853</v>
      </c>
      <c r="Q61" s="56">
        <f>P61-Hotel!$F$35</f>
        <v>105.72270253078366</v>
      </c>
      <c r="R61" s="59">
        <f t="shared" si="35"/>
        <v>4.0086147715325593E-2</v>
      </c>
      <c r="S61" s="5" t="s">
        <v>44</v>
      </c>
      <c r="U61" s="53">
        <f>'Regresson List_LH'!H21+'Regresson List_LH'!I21*Hotel!$C$24+'Regresson List_LH'!J21*Hotel!$C$24^2</f>
        <v>37.056312143100001</v>
      </c>
      <c r="V61" s="19">
        <f>'Regresson List_LH'!K21+'Regresson List_LH'!L21*Hotel!$C$24+'Regresson List_LH'!M21*Hotel!$C$24^2</f>
        <v>186.72046859530002</v>
      </c>
      <c r="W61" s="115"/>
      <c r="X61" s="83">
        <f>U61*Hotel!$F$18</f>
        <v>5929009.9428960001</v>
      </c>
      <c r="Y61">
        <f t="shared" si="36"/>
        <v>494.084161908</v>
      </c>
      <c r="Z61">
        <f>V61*Hotel!$F$27</f>
        <v>2800807.0289295004</v>
      </c>
      <c r="AA61">
        <f t="shared" si="37"/>
        <v>233.40058574412504</v>
      </c>
      <c r="AB61" s="60">
        <f t="shared" si="1"/>
        <v>260.68357616387493</v>
      </c>
      <c r="AC61" s="9" t="s">
        <v>44</v>
      </c>
      <c r="AG61" s="192" t="e">
        <f>#REF!</f>
        <v>#REF!</v>
      </c>
    </row>
    <row r="62" spans="1:33" x14ac:dyDescent="0.25">
      <c r="A62" s="2" t="s">
        <v>17</v>
      </c>
      <c r="B62" s="2" t="s">
        <v>12</v>
      </c>
      <c r="C62" s="6" t="s">
        <v>56</v>
      </c>
      <c r="D62" s="6" t="s">
        <v>110</v>
      </c>
      <c r="E62" s="6" t="s">
        <v>140</v>
      </c>
      <c r="F62" s="6" t="s">
        <v>29</v>
      </c>
      <c r="G62" s="6"/>
      <c r="H62" s="90">
        <v>100</v>
      </c>
      <c r="I62" s="6" t="str">
        <f t="shared" si="34"/>
        <v>SingleDoubleLargeHotelFCUElectric100</v>
      </c>
      <c r="J62" s="19">
        <f>'Regresson List_LH'!H7+'Regresson List_LH'!I7*Hotel!$C$23+'Regresson List_LH'!J7*Hotel!$C$23^2</f>
        <v>0.54052535020000003</v>
      </c>
      <c r="K62" s="6">
        <f>'Regresson List_LH'!K7+'Regresson List_LH'!L7*Hotel!$C$24+'Regresson List_LH'!M7*Hotel!$C$24^2</f>
        <v>9.7172840026492011</v>
      </c>
      <c r="L62" s="91">
        <v>0</v>
      </c>
      <c r="N62" s="58" t="s">
        <v>44</v>
      </c>
      <c r="P62" s="19">
        <f>'Regresson List_LH'!$H28+'Regresson List_LH'!$I28*Hotel!$C$23+'Regresson List_LH'!$J28*Hotel!$C$23^2</f>
        <v>116.4980513732</v>
      </c>
      <c r="Q62" s="56">
        <f>P62-Hotel!$F$35</f>
        <v>112.08305531868366</v>
      </c>
      <c r="R62" s="59">
        <f t="shared" si="35"/>
        <v>3.7897595732077516E-2</v>
      </c>
      <c r="S62" s="5" t="s">
        <v>44</v>
      </c>
      <c r="U62" s="53">
        <f>U61</f>
        <v>37.056312143100001</v>
      </c>
      <c r="V62" s="19">
        <f>V61</f>
        <v>186.72046859530002</v>
      </c>
      <c r="W62" s="115"/>
      <c r="X62" s="83">
        <f>U62*Hotel!$F$18</f>
        <v>5929009.9428960001</v>
      </c>
      <c r="Y62">
        <f t="shared" si="36"/>
        <v>494.084161908</v>
      </c>
      <c r="Z62">
        <f>V62*Hotel!$F$27</f>
        <v>2800807.0289295004</v>
      </c>
      <c r="AA62">
        <f t="shared" si="37"/>
        <v>233.40058574412504</v>
      </c>
      <c r="AB62" s="60">
        <f t="shared" si="1"/>
        <v>260.68357616387493</v>
      </c>
      <c r="AC62" s="9" t="s">
        <v>44</v>
      </c>
      <c r="AG62" s="192" t="e">
        <f t="shared" si="38"/>
        <v>#REF!</v>
      </c>
    </row>
    <row r="63" spans="1:33" x14ac:dyDescent="0.25">
      <c r="A63" s="2" t="s">
        <v>12</v>
      </c>
      <c r="B63" s="2" t="s">
        <v>17</v>
      </c>
      <c r="C63" s="6" t="s">
        <v>56</v>
      </c>
      <c r="D63" s="6" t="s">
        <v>110</v>
      </c>
      <c r="E63" s="6" t="s">
        <v>140</v>
      </c>
      <c r="F63" s="6" t="s">
        <v>29</v>
      </c>
      <c r="G63" s="6"/>
      <c r="H63" s="90">
        <v>33</v>
      </c>
      <c r="I63" s="6" t="str">
        <f t="shared" si="34"/>
        <v>DoubleSingleLargeHotelFCUElectric33</v>
      </c>
      <c r="J63" s="19">
        <f>'Regresson List_LH'!H8+'Regresson List_LH'!I8*Hotel!$C$23+'Regresson List_LH'!J8*Hotel!$C$23^2</f>
        <v>3.59279297E-2</v>
      </c>
      <c r="K63" s="6">
        <f>'Regresson List_LH'!K8+'Regresson List_LH'!L8*Hotel!$C$24+'Regresson List_LH'!M8*Hotel!$C$24^2</f>
        <v>3.2557349337296992</v>
      </c>
      <c r="L63" s="91">
        <v>0</v>
      </c>
      <c r="N63" s="58" t="s">
        <v>44</v>
      </c>
      <c r="P63" s="19">
        <f>'Regresson List_LH'!$H29+'Regresson List_LH'!$I29*Hotel!$C$23+'Regresson List_LH'!$J29*Hotel!$C$23^2</f>
        <v>103.09641074789999</v>
      </c>
      <c r="Q63" s="56">
        <f>P63-Hotel!$F$35</f>
        <v>98.681414693383658</v>
      </c>
      <c r="R63" s="59">
        <f t="shared" si="35"/>
        <v>4.2823954999871461E-2</v>
      </c>
      <c r="S63" s="5" t="s">
        <v>44</v>
      </c>
      <c r="U63" s="53">
        <f>'Regresson List_LH'!H22+'Regresson List_LH'!I22*Hotel!$C$24+'Regresson List_LH'!J22*Hotel!$C$24^2</f>
        <v>32.155977788500003</v>
      </c>
      <c r="V63" s="19">
        <f>'Regresson List_LH'!K22+'Regresson List_LH'!L22*Hotel!$C$24+'Regresson List_LH'!M22*Hotel!$C$24^2</f>
        <v>75.636259836800008</v>
      </c>
      <c r="W63" s="115"/>
      <c r="X63" s="83">
        <f>U63*Hotel!$F$18</f>
        <v>5144956.4461600007</v>
      </c>
      <c r="Y63">
        <f t="shared" si="36"/>
        <v>428.74637051333337</v>
      </c>
      <c r="Z63">
        <f>V63*Hotel!$F$27</f>
        <v>1134543.8975520001</v>
      </c>
      <c r="AA63">
        <f t="shared" si="37"/>
        <v>94.545324796000017</v>
      </c>
      <c r="AB63" s="60">
        <f t="shared" si="1"/>
        <v>334.20104571733339</v>
      </c>
      <c r="AC63" s="9" t="s">
        <v>44</v>
      </c>
      <c r="AG63" s="192" t="e">
        <f>#REF!</f>
        <v>#REF!</v>
      </c>
    </row>
    <row r="64" spans="1:33" x14ac:dyDescent="0.25">
      <c r="A64" s="2" t="s">
        <v>12</v>
      </c>
      <c r="B64" s="2" t="s">
        <v>17</v>
      </c>
      <c r="C64" s="6" t="s">
        <v>56</v>
      </c>
      <c r="D64" s="6" t="s">
        <v>110</v>
      </c>
      <c r="E64" s="6" t="s">
        <v>140</v>
      </c>
      <c r="F64" s="6" t="s">
        <v>29</v>
      </c>
      <c r="G64" s="6"/>
      <c r="H64" s="90">
        <v>100</v>
      </c>
      <c r="I64" s="6" t="str">
        <f t="shared" si="34"/>
        <v>DoubleSingleLargeHotelFCUElectric100</v>
      </c>
      <c r="J64" s="19">
        <f>'Regresson List_LH'!H9+'Regresson List_LH'!I9*Hotel!$C$23+'Regresson List_LH'!J9*Hotel!$C$23^2</f>
        <v>7.7719451300000006E-2</v>
      </c>
      <c r="K64" s="6">
        <f>'Regresson List_LH'!K9+'Regresson List_LH'!L9*Hotel!$C$24+'Regresson List_LH'!M9*Hotel!$C$24^2</f>
        <v>4.0705081232640996</v>
      </c>
      <c r="L64" s="91">
        <v>0</v>
      </c>
      <c r="N64" s="58" t="s">
        <v>44</v>
      </c>
      <c r="P64" s="19">
        <f>'Regresson List_LH'!$H30+'Regresson List_LH'!$I30*Hotel!$C$23+'Regresson List_LH'!$J30*Hotel!$C$23^2</f>
        <v>109.3793758849</v>
      </c>
      <c r="Q64" s="56">
        <f>P64-Hotel!$F$35</f>
        <v>104.96437983038366</v>
      </c>
      <c r="R64" s="59">
        <f t="shared" si="35"/>
        <v>4.0364063323621857E-2</v>
      </c>
      <c r="S64" s="5" t="s">
        <v>44</v>
      </c>
      <c r="U64" s="53">
        <f>U63</f>
        <v>32.155977788500003</v>
      </c>
      <c r="V64" s="19">
        <f>V63</f>
        <v>75.636259836800008</v>
      </c>
      <c r="W64" s="115"/>
      <c r="X64" s="83">
        <f>U64*Hotel!$F$18</f>
        <v>5144956.4461600007</v>
      </c>
      <c r="Y64">
        <f t="shared" si="36"/>
        <v>428.74637051333337</v>
      </c>
      <c r="Z64">
        <f>V64*Hotel!$F$27</f>
        <v>1134543.8975520001</v>
      </c>
      <c r="AA64">
        <f t="shared" si="37"/>
        <v>94.545324796000017</v>
      </c>
      <c r="AB64" s="60">
        <f t="shared" si="1"/>
        <v>334.20104571733339</v>
      </c>
      <c r="AC64" s="9" t="s">
        <v>44</v>
      </c>
      <c r="AG64" s="192" t="e">
        <f t="shared" si="38"/>
        <v>#REF!</v>
      </c>
    </row>
    <row r="65" spans="1:33" x14ac:dyDescent="0.25">
      <c r="A65" s="2" t="s">
        <v>17</v>
      </c>
      <c r="B65" s="2" t="s">
        <v>17</v>
      </c>
      <c r="C65" s="6" t="s">
        <v>56</v>
      </c>
      <c r="D65" s="6" t="s">
        <v>110</v>
      </c>
      <c r="E65" s="6" t="s">
        <v>140</v>
      </c>
      <c r="F65" s="6" t="s">
        <v>7</v>
      </c>
      <c r="G65" s="6"/>
      <c r="H65" s="90">
        <v>33</v>
      </c>
      <c r="I65" s="6" t="str">
        <f t="shared" si="34"/>
        <v>SingleSingleLargeHotelFCUNatural Gas33</v>
      </c>
      <c r="J65" s="93">
        <v>0</v>
      </c>
      <c r="K65" s="6">
        <f>'Regresson List_LH'!K10+'Regresson List_LH'!L10*Hotel!$C$24+'Regresson List_LH'!M10*Hotel!$C$24^2</f>
        <v>4.3186226092539997</v>
      </c>
      <c r="L65" s="19">
        <f>'Regresson List_LH'!H10+'Regresson List_LH'!I10*Hotel!$C$23+'Regresson List_LH'!J10*Hotel!$C$23^2</f>
        <v>3.8721565296999999E-3</v>
      </c>
      <c r="N65" s="58" t="s">
        <v>44</v>
      </c>
      <c r="P65" s="19">
        <f>'Regresson List_LH'!$H31+'Regresson List_LH'!$I31*Hotel!$C$23+'Regresson List_LH'!$J31*Hotel!$C$23^2</f>
        <v>111.29919594659999</v>
      </c>
      <c r="Q65" s="56">
        <f>P65-Hotel!$F$35</f>
        <v>106.88419989208366</v>
      </c>
      <c r="R65" s="59">
        <f t="shared" si="35"/>
        <v>3.9667816258390554E-2</v>
      </c>
      <c r="S65" s="5" t="s">
        <v>44</v>
      </c>
      <c r="U65" s="53">
        <f t="shared" ref="U65:V70" si="39">U59</f>
        <v>37.056312143100001</v>
      </c>
      <c r="V65" s="19">
        <f t="shared" si="39"/>
        <v>93.699912150399996</v>
      </c>
      <c r="W65" s="115"/>
      <c r="X65" s="83">
        <f>U65*Hotel!$F$18</f>
        <v>5929009.9428960001</v>
      </c>
      <c r="Y65">
        <f t="shared" ref="Y65:Y70" si="40">X65/12000</f>
        <v>494.084161908</v>
      </c>
      <c r="Z65">
        <f>V65*Hotel!$F$27</f>
        <v>1405498.6822559999</v>
      </c>
      <c r="AA65">
        <f t="shared" ref="AA65:AA70" si="41">Z65/12000</f>
        <v>117.12489018799999</v>
      </c>
      <c r="AB65" s="60">
        <f t="shared" si="1"/>
        <v>376.95927172</v>
      </c>
      <c r="AC65" s="9" t="s">
        <v>44</v>
      </c>
      <c r="AG65" s="192" t="e">
        <f>#REF!</f>
        <v>#REF!</v>
      </c>
    </row>
    <row r="66" spans="1:33" x14ac:dyDescent="0.25">
      <c r="A66" s="2" t="s">
        <v>17</v>
      </c>
      <c r="B66" s="2" t="s">
        <v>17</v>
      </c>
      <c r="C66" s="6" t="s">
        <v>56</v>
      </c>
      <c r="D66" s="6" t="s">
        <v>110</v>
      </c>
      <c r="E66" s="6" t="s">
        <v>140</v>
      </c>
      <c r="F66" s="6" t="s">
        <v>7</v>
      </c>
      <c r="G66" s="6"/>
      <c r="H66" s="90">
        <v>100</v>
      </c>
      <c r="I66" s="6" t="str">
        <f t="shared" si="34"/>
        <v>SingleSingleLargeHotelFCUNatural Gas100</v>
      </c>
      <c r="J66" s="93">
        <v>0</v>
      </c>
      <c r="K66" s="6">
        <f>'Regresson List_LH'!K11+'Regresson List_LH'!L11*Hotel!$C$24+'Regresson List_LH'!M11*Hotel!$C$24^2</f>
        <v>5.2016046875861992</v>
      </c>
      <c r="L66" s="19">
        <f>'Regresson List_LH'!H11+'Regresson List_LH'!I11*Hotel!$C$23+'Regresson List_LH'!J11*Hotel!$C$23^2</f>
        <v>4.8633395247999998E-3</v>
      </c>
      <c r="N66" s="58" t="s">
        <v>44</v>
      </c>
      <c r="P66" s="19">
        <f>'Regresson List_LH'!$H32+'Regresson List_LH'!$I32*Hotel!$C$23+'Regresson List_LH'!$J32*Hotel!$C$23^2</f>
        <v>117.6789267713</v>
      </c>
      <c r="Q66" s="56">
        <f>P66-Hotel!$F$35</f>
        <v>113.26393071678366</v>
      </c>
      <c r="R66" s="59">
        <f t="shared" si="35"/>
        <v>3.7517303867807605E-2</v>
      </c>
      <c r="S66" s="5" t="s">
        <v>44</v>
      </c>
      <c r="U66" s="53">
        <f t="shared" si="39"/>
        <v>37.056312143100001</v>
      </c>
      <c r="V66" s="19">
        <f t="shared" si="39"/>
        <v>93.699912150399996</v>
      </c>
      <c r="W66" s="115"/>
      <c r="X66" s="83">
        <f>U66*Hotel!$F$18</f>
        <v>5929009.9428960001</v>
      </c>
      <c r="Y66">
        <f t="shared" si="40"/>
        <v>494.084161908</v>
      </c>
      <c r="Z66">
        <f>V66*Hotel!$F$27</f>
        <v>1405498.6822559999</v>
      </c>
      <c r="AA66">
        <f t="shared" si="41"/>
        <v>117.12489018799999</v>
      </c>
      <c r="AB66" s="60">
        <f t="shared" ref="AB66" si="42">Y66-AA66</f>
        <v>376.95927172</v>
      </c>
      <c r="AC66" s="9" t="s">
        <v>44</v>
      </c>
      <c r="AG66" s="192" t="e">
        <f t="shared" si="38"/>
        <v>#REF!</v>
      </c>
    </row>
    <row r="67" spans="1:33" x14ac:dyDescent="0.25">
      <c r="A67" s="2" t="s">
        <v>17</v>
      </c>
      <c r="B67" s="2" t="s">
        <v>12</v>
      </c>
      <c r="C67" s="6" t="s">
        <v>56</v>
      </c>
      <c r="D67" s="6" t="s">
        <v>110</v>
      </c>
      <c r="E67" s="6" t="s">
        <v>140</v>
      </c>
      <c r="F67" s="6" t="s">
        <v>7</v>
      </c>
      <c r="G67" s="6"/>
      <c r="H67" s="90">
        <v>33</v>
      </c>
      <c r="I67" s="6" t="str">
        <f t="shared" si="34"/>
        <v>SingleDoubleLargeHotelFCUNatural Gas33</v>
      </c>
      <c r="J67" s="93">
        <v>0</v>
      </c>
      <c r="K67" s="6">
        <f>'Regresson List_LH'!K12+'Regresson List_LH'!L12*Hotel!$C$24+'Regresson List_LH'!M12*Hotel!$C$24^2</f>
        <v>8.0173984011754005</v>
      </c>
      <c r="L67" s="19">
        <f>'Regresson List_LH'!H12+'Regresson List_LH'!I12*Hotel!$C$23+'Regresson List_LH'!J12*Hotel!$C$23^2</f>
        <v>2.8884672990000001E-3</v>
      </c>
      <c r="N67" s="58" t="s">
        <v>44</v>
      </c>
      <c r="P67" s="19">
        <f>'Regresson List_LH'!$H31+'Regresson List_LH'!$I31*Hotel!$C$23+'Regresson List_LH'!$J31*Hotel!$C$23^2</f>
        <v>111.29919594659999</v>
      </c>
      <c r="Q67" s="56">
        <f>P67-Hotel!$F$35</f>
        <v>106.88419989208366</v>
      </c>
      <c r="R67" s="59">
        <f t="shared" si="35"/>
        <v>3.9667816258390554E-2</v>
      </c>
      <c r="S67" s="5" t="s">
        <v>44</v>
      </c>
      <c r="U67" s="53">
        <f t="shared" si="39"/>
        <v>37.056312143100001</v>
      </c>
      <c r="V67" s="19">
        <f t="shared" si="39"/>
        <v>186.72046859530002</v>
      </c>
      <c r="W67" s="115"/>
      <c r="X67" s="83">
        <f>U67*Hotel!$F$18</f>
        <v>5929009.9428960001</v>
      </c>
      <c r="Y67">
        <f t="shared" si="40"/>
        <v>494.084161908</v>
      </c>
      <c r="Z67">
        <f>V67*Hotel!$F$27</f>
        <v>2800807.0289295004</v>
      </c>
      <c r="AA67">
        <f t="shared" si="41"/>
        <v>233.40058574412504</v>
      </c>
      <c r="AB67" s="60">
        <f t="shared" ref="AB67:AB70" si="43">Y67-AA67</f>
        <v>260.68357616387493</v>
      </c>
      <c r="AC67" s="9" t="s">
        <v>44</v>
      </c>
      <c r="AG67" s="192" t="e">
        <f>#REF!</f>
        <v>#REF!</v>
      </c>
    </row>
    <row r="68" spans="1:33" x14ac:dyDescent="0.25">
      <c r="A68" s="2" t="s">
        <v>17</v>
      </c>
      <c r="B68" s="2" t="s">
        <v>12</v>
      </c>
      <c r="C68" s="6" t="s">
        <v>56</v>
      </c>
      <c r="D68" s="6" t="s">
        <v>110</v>
      </c>
      <c r="E68" s="6" t="s">
        <v>140</v>
      </c>
      <c r="F68" s="6" t="s">
        <v>7</v>
      </c>
      <c r="G68" s="6"/>
      <c r="H68" s="90">
        <v>100</v>
      </c>
      <c r="I68" s="6" t="str">
        <f t="shared" si="34"/>
        <v>SingleDoubleLargeHotelFCUNatural Gas100</v>
      </c>
      <c r="J68" s="93">
        <v>0</v>
      </c>
      <c r="K68" s="6">
        <f>'Regresson List_LH'!K13+'Regresson List_LH'!L13*Hotel!$C$24+'Regresson List_LH'!M13*Hotel!$C$24^2</f>
        <v>9.7172840026492011</v>
      </c>
      <c r="L68" s="19">
        <f>'Regresson List_LH'!H13+'Regresson List_LH'!I13*Hotel!$C$23+'Regresson List_LH'!J13*Hotel!$C$23^2</f>
        <v>3.6630697578E-3</v>
      </c>
      <c r="N68" s="58" t="s">
        <v>44</v>
      </c>
      <c r="P68" s="19">
        <f>'Regresson List_LH'!$H32+'Regresson List_LH'!$I32*Hotel!$C$23+'Regresson List_LH'!$J32*Hotel!$C$23^2</f>
        <v>117.6789267713</v>
      </c>
      <c r="Q68" s="56">
        <f>P68-Hotel!$F$35</f>
        <v>113.26393071678366</v>
      </c>
      <c r="R68" s="59">
        <f t="shared" si="35"/>
        <v>3.7517303867807605E-2</v>
      </c>
      <c r="S68" s="5" t="s">
        <v>44</v>
      </c>
      <c r="U68" s="53">
        <f t="shared" si="39"/>
        <v>37.056312143100001</v>
      </c>
      <c r="V68" s="19">
        <f t="shared" si="39"/>
        <v>186.72046859530002</v>
      </c>
      <c r="W68" s="115"/>
      <c r="X68" s="83">
        <f>U68*Hotel!$F$18</f>
        <v>5929009.9428960001</v>
      </c>
      <c r="Y68">
        <f t="shared" si="40"/>
        <v>494.084161908</v>
      </c>
      <c r="Z68">
        <f>V68*Hotel!$F$27</f>
        <v>2800807.0289295004</v>
      </c>
      <c r="AA68">
        <f t="shared" si="41"/>
        <v>233.40058574412504</v>
      </c>
      <c r="AB68" s="60">
        <f t="shared" si="43"/>
        <v>260.68357616387493</v>
      </c>
      <c r="AC68" s="9" t="s">
        <v>44</v>
      </c>
      <c r="AG68" s="192" t="e">
        <f t="shared" si="38"/>
        <v>#REF!</v>
      </c>
    </row>
    <row r="69" spans="1:33" x14ac:dyDescent="0.25">
      <c r="A69" s="2" t="s">
        <v>12</v>
      </c>
      <c r="B69" s="2" t="s">
        <v>17</v>
      </c>
      <c r="C69" s="6" t="s">
        <v>56</v>
      </c>
      <c r="D69" s="6" t="s">
        <v>110</v>
      </c>
      <c r="E69" s="6" t="s">
        <v>140</v>
      </c>
      <c r="F69" s="6" t="s">
        <v>7</v>
      </c>
      <c r="G69" s="6"/>
      <c r="H69" s="90">
        <v>33</v>
      </c>
      <c r="I69" s="6" t="str">
        <f t="shared" si="34"/>
        <v>DoubleSingleLargeHotelFCUNatural Gas33</v>
      </c>
      <c r="J69" s="93">
        <v>0</v>
      </c>
      <c r="K69" s="6">
        <f>'Regresson List_LH'!K14+'Regresson List_LH'!L14*Hotel!$C$24+'Regresson List_LH'!M14*Hotel!$C$24^2</f>
        <v>3.2557349337296992</v>
      </c>
      <c r="L69" s="19">
        <f>'Regresson List_LH'!H14+'Regresson List_LH'!I14*Hotel!$C$23+'Regresson List_LH'!J14*Hotel!$C$23^2</f>
        <v>1.5323262017000001E-3</v>
      </c>
      <c r="N69" s="58" t="s">
        <v>44</v>
      </c>
      <c r="P69" s="19">
        <f>'Regresson List_LH'!$H33+'Regresson List_LH'!$I33*Hotel!$C$23+'Regresson List_LH'!$J33*Hotel!$C$23^2</f>
        <v>104.12370843070001</v>
      </c>
      <c r="Q69" s="56">
        <f>P69-Hotel!$F$35</f>
        <v>99.708712376183669</v>
      </c>
      <c r="R69" s="59">
        <f t="shared" si="35"/>
        <v>4.2401448441060419E-2</v>
      </c>
      <c r="S69" s="5" t="s">
        <v>44</v>
      </c>
      <c r="U69" s="53">
        <f t="shared" si="39"/>
        <v>32.155977788500003</v>
      </c>
      <c r="V69" s="19">
        <f t="shared" si="39"/>
        <v>75.636259836800008</v>
      </c>
      <c r="W69" s="115"/>
      <c r="X69" s="83">
        <f>U69*Hotel!$F$18</f>
        <v>5144956.4461600007</v>
      </c>
      <c r="Y69">
        <f t="shared" si="40"/>
        <v>428.74637051333337</v>
      </c>
      <c r="Z69">
        <f>V69*Hotel!$F$27</f>
        <v>1134543.8975520001</v>
      </c>
      <c r="AA69">
        <f t="shared" si="41"/>
        <v>94.545324796000017</v>
      </c>
      <c r="AB69" s="60">
        <f t="shared" si="43"/>
        <v>334.20104571733339</v>
      </c>
      <c r="AC69" s="9" t="s">
        <v>44</v>
      </c>
      <c r="AG69" s="192" t="e">
        <f>#REF!</f>
        <v>#REF!</v>
      </c>
    </row>
    <row r="70" spans="1:33" x14ac:dyDescent="0.25">
      <c r="A70" s="2" t="s">
        <v>12</v>
      </c>
      <c r="B70" s="2" t="s">
        <v>17</v>
      </c>
      <c r="C70" s="6" t="s">
        <v>56</v>
      </c>
      <c r="D70" s="6" t="s">
        <v>110</v>
      </c>
      <c r="E70" s="6" t="s">
        <v>140</v>
      </c>
      <c r="F70" s="6" t="s">
        <v>7</v>
      </c>
      <c r="G70" s="6"/>
      <c r="H70" s="90">
        <v>100</v>
      </c>
      <c r="I70" s="6" t="str">
        <f t="shared" si="34"/>
        <v>DoubleSingleLargeHotelFCUNatural Gas100</v>
      </c>
      <c r="J70" s="93">
        <v>0</v>
      </c>
      <c r="K70" s="6">
        <f>'Regresson List_LH'!K15+'Regresson List_LH'!L15*Hotel!$C$24+'Regresson List_LH'!M15*Hotel!$C$24^2</f>
        <v>4.0705081232640996</v>
      </c>
      <c r="L70" s="19">
        <f>'Regresson List_LH'!H15+'Regresson List_LH'!I15*Hotel!$C$23+'Regresson List_LH'!J15*Hotel!$C$23^2</f>
        <v>3.3662736694000002E-3</v>
      </c>
      <c r="N70" s="58" t="s">
        <v>44</v>
      </c>
      <c r="P70" s="19">
        <f>'Regresson List_LH'!$H34+'Regresson List_LH'!$I34*Hotel!$C$23+'Regresson List_LH'!$J34*Hotel!$C$23^2</f>
        <v>110.7391875699</v>
      </c>
      <c r="Q70" s="56">
        <f>P70-Hotel!$F$35</f>
        <v>106.32419151538366</v>
      </c>
      <c r="R70" s="59">
        <f t="shared" si="35"/>
        <v>3.9868416514520111E-2</v>
      </c>
      <c r="S70" s="5" t="s">
        <v>44</v>
      </c>
      <c r="U70" s="53">
        <f t="shared" si="39"/>
        <v>32.155977788500003</v>
      </c>
      <c r="V70" s="19">
        <f t="shared" si="39"/>
        <v>75.636259836800008</v>
      </c>
      <c r="W70" s="115"/>
      <c r="X70" s="83">
        <f>U70*Hotel!$F$18</f>
        <v>5144956.4461600007</v>
      </c>
      <c r="Y70">
        <f t="shared" si="40"/>
        <v>428.74637051333337</v>
      </c>
      <c r="Z70">
        <f>V70*Hotel!$F$27</f>
        <v>1134543.8975520001</v>
      </c>
      <c r="AA70">
        <f t="shared" si="41"/>
        <v>94.545324796000017</v>
      </c>
      <c r="AB70" s="60">
        <f t="shared" si="43"/>
        <v>334.20104571733339</v>
      </c>
      <c r="AC70" s="108" t="s">
        <v>44</v>
      </c>
      <c r="AG70" s="92">
        <f>'Regresson List_LH'!D37+'Regresson List_LH'!E37*Hotel!$C$24+'Regresson List_LH'!F37*Hotel!$C$24^2+'Regresson List_LH'!G37*Hotel!$C$24^3</f>
        <v>-1.5763195336940001</v>
      </c>
    </row>
    <row r="71" spans="1:33" x14ac:dyDescent="0.25">
      <c r="A71" s="2" t="s">
        <v>17</v>
      </c>
      <c r="B71" s="2" t="s">
        <v>17</v>
      </c>
      <c r="C71" s="6"/>
      <c r="D71" s="6" t="s">
        <v>1212</v>
      </c>
      <c r="E71" s="6" t="s">
        <v>140</v>
      </c>
      <c r="F71" s="6" t="s">
        <v>29</v>
      </c>
      <c r="G71" s="6"/>
      <c r="H71" s="90"/>
      <c r="I71" s="6" t="str">
        <f t="shared" si="34"/>
        <v>SingleSinglePSFCUElectric</v>
      </c>
      <c r="J71" s="19">
        <f>'Regresson List_PS'!G4+'Regresson List_PS'!H4*School!$C$23+'Regresson List_PS'!I4*School!$C$23^2</f>
        <v>11.477132690822399</v>
      </c>
      <c r="K71" s="19">
        <f>'Regresson List_PS'!J4+'Regresson List_PS'!K4*School!$C$24+'Regresson List_PS'!L4*School!$C$24^2</f>
        <v>1.2036564770714</v>
      </c>
      <c r="L71" s="93">
        <v>0</v>
      </c>
      <c r="N71" s="58" t="s">
        <v>44</v>
      </c>
      <c r="P71" s="19">
        <f>'Regresson List_PS'!G34+'Regresson List_PS'!H34*School!$C$23+'Regresson List_PS'!I34*School!$C$23^2</f>
        <v>52.7062492795</v>
      </c>
      <c r="Q71" s="56">
        <f>P71-School!$F$35</f>
        <v>49.389835066375731</v>
      </c>
      <c r="R71" s="59">
        <f t="shared" si="35"/>
        <v>6.2922599472738039E-2</v>
      </c>
      <c r="S71" s="5" t="s">
        <v>44</v>
      </c>
      <c r="U71" s="53">
        <f>'Regresson List_PS'!G23+'Regresson List_PS'!H23*School!$C$24+'Regresson List_PS'!I23*School!$C$24^2</f>
        <v>29.216971954499996</v>
      </c>
      <c r="V71" s="19">
        <f>'Regresson List_PS'!J23+'Regresson List_PS'!K23*School!$C$24+'Regresson List_PS'!L23*School!$C$24^2</f>
        <v>26.965914437799999</v>
      </c>
      <c r="W71" s="115"/>
      <c r="X71" s="83">
        <f>U71*School!$F$18</f>
        <v>8765091.5863499995</v>
      </c>
      <c r="Y71">
        <f>X71/12000</f>
        <v>730.4242988625</v>
      </c>
      <c r="Z71">
        <f>V71*School!$F$27</f>
        <v>404488.71656699997</v>
      </c>
      <c r="AA71">
        <f>Z71/12000</f>
        <v>33.707393047249994</v>
      </c>
      <c r="AB71" s="60">
        <f>Y71-AA71</f>
        <v>696.71690581525002</v>
      </c>
      <c r="AC71" s="108" t="s">
        <v>44</v>
      </c>
      <c r="AG71" s="192">
        <f t="shared" ref="AG71:AG72" si="44">AG83</f>
        <v>0.68904541628300009</v>
      </c>
    </row>
    <row r="72" spans="1:33" x14ac:dyDescent="0.25">
      <c r="A72" s="2" t="s">
        <v>17</v>
      </c>
      <c r="B72" s="2" t="s">
        <v>12</v>
      </c>
      <c r="C72" s="6"/>
      <c r="D72" s="6" t="s">
        <v>1212</v>
      </c>
      <c r="E72" s="6" t="s">
        <v>140</v>
      </c>
      <c r="F72" s="6" t="s">
        <v>29</v>
      </c>
      <c r="G72" s="6"/>
      <c r="H72" s="90"/>
      <c r="I72" s="6" t="str">
        <f t="shared" si="34"/>
        <v>SingleDoublePSFCUElectric</v>
      </c>
      <c r="J72" s="19">
        <f>'Regresson List_PS'!G5+'Regresson List_PS'!H5*School!$C$23+'Regresson List_PS'!I5*School!$C$23^2</f>
        <v>10.559363697266001</v>
      </c>
      <c r="K72" s="19">
        <f>'Regresson List_PS'!J5+'Regresson List_PS'!K5*School!$C$24+'Regresson List_PS'!L5*School!$C$24^2</f>
        <v>2.1225178922873997</v>
      </c>
      <c r="L72" s="93">
        <v>0</v>
      </c>
      <c r="N72" s="58" t="s">
        <v>44</v>
      </c>
      <c r="P72" s="19">
        <f>P71</f>
        <v>52.7062492795</v>
      </c>
      <c r="Q72" s="56">
        <f>P72-School!$F$35</f>
        <v>49.389835066375731</v>
      </c>
      <c r="R72" s="59">
        <f t="shared" si="35"/>
        <v>6.2922599472738039E-2</v>
      </c>
      <c r="S72" s="5" t="s">
        <v>44</v>
      </c>
      <c r="U72" s="53">
        <f>'Regresson List_PS'!G24+'Regresson List_PS'!H24*School!$C$24+'Regresson List_PS'!I24*School!$C$24^2</f>
        <v>29.066900405899997</v>
      </c>
      <c r="V72" s="19">
        <f>'Regresson List_PS'!J24+'Regresson List_PS'!K24*School!$C$24+'Regresson List_PS'!L24*School!$C$24^2</f>
        <v>47.885972482200003</v>
      </c>
      <c r="W72" s="115"/>
      <c r="X72" s="83">
        <f>U72*School!$F$18</f>
        <v>8720070.1217699982</v>
      </c>
      <c r="Y72">
        <f t="shared" ref="Y72:Y82" si="45">X72/12000</f>
        <v>726.67251014749991</v>
      </c>
      <c r="Z72">
        <f>V72*School!$F$27</f>
        <v>718289.58723300009</v>
      </c>
      <c r="AA72">
        <f t="shared" ref="AA72:AA82" si="46">Z72/12000</f>
        <v>59.857465602750004</v>
      </c>
      <c r="AB72" s="60">
        <f t="shared" ref="AB72:AB94" si="47">Y72-AA72</f>
        <v>666.81504454474987</v>
      </c>
      <c r="AC72" s="108" t="s">
        <v>44</v>
      </c>
      <c r="AG72" s="192">
        <f t="shared" si="44"/>
        <v>0.68904541628300009</v>
      </c>
    </row>
    <row r="73" spans="1:33" x14ac:dyDescent="0.25">
      <c r="A73" s="2" t="s">
        <v>12</v>
      </c>
      <c r="B73" s="2" t="s">
        <v>17</v>
      </c>
      <c r="C73" s="6"/>
      <c r="D73" s="6" t="s">
        <v>1212</v>
      </c>
      <c r="E73" s="6" t="s">
        <v>140</v>
      </c>
      <c r="F73" s="6" t="s">
        <v>29</v>
      </c>
      <c r="G73" s="6"/>
      <c r="H73" s="90"/>
      <c r="I73" s="6" t="str">
        <f t="shared" si="34"/>
        <v>DoubleSinglePSFCUElectric</v>
      </c>
      <c r="J73" s="19">
        <f>'Regresson List_PS'!G6+'Regresson List_PS'!H6*School!$C$23+'Regresson List_PS'!I6*School!$C$23^2</f>
        <v>5.9767477326661993</v>
      </c>
      <c r="K73" s="19">
        <f>'Regresson List_PS'!J6+'Regresson List_PS'!K6*School!$C$24+'Regresson List_PS'!L6*School!$C$24^2</f>
        <v>1.0194481692923001</v>
      </c>
      <c r="L73" s="93">
        <v>0</v>
      </c>
      <c r="N73" s="58" t="s">
        <v>44</v>
      </c>
      <c r="P73" s="19">
        <f>'Regresson List_PS'!G35+'Regresson List_PS'!H35*School!$C$23+'Regresson List_PS'!I35*School!$C$23^2</f>
        <v>49.354165608400002</v>
      </c>
      <c r="Q73" s="56">
        <f>P73-School!$F$35</f>
        <v>46.037751395275734</v>
      </c>
      <c r="R73" s="59">
        <f t="shared" si="35"/>
        <v>6.7196237080337173E-2</v>
      </c>
      <c r="S73" s="5" t="s">
        <v>44</v>
      </c>
      <c r="U73" s="53">
        <f>'Regresson List_PS'!G25+'Regresson List_PS'!H25*School!$C$24+'Regresson List_PS'!I25*School!$C$24^2</f>
        <v>26.3231637845</v>
      </c>
      <c r="V73" s="19">
        <f>'Regresson List_PS'!J25+'Regresson List_PS'!K25*School!$C$24+'Regresson List_PS'!L25*School!$C$24^2</f>
        <v>16.8092610922</v>
      </c>
      <c r="W73" s="115"/>
      <c r="X73" s="83">
        <f>U73*School!$F$18</f>
        <v>7896949.1353500001</v>
      </c>
      <c r="Y73">
        <f t="shared" si="45"/>
        <v>658.07909461250006</v>
      </c>
      <c r="Z73">
        <f>V73*School!$F$27</f>
        <v>252138.916383</v>
      </c>
      <c r="AA73">
        <f t="shared" si="46"/>
        <v>21.011576365250001</v>
      </c>
      <c r="AB73" s="60">
        <f t="shared" si="47"/>
        <v>637.06751824725006</v>
      </c>
      <c r="AC73" s="108" t="s">
        <v>44</v>
      </c>
      <c r="AG73" s="192">
        <f>AG85</f>
        <v>0.68904541628300009</v>
      </c>
    </row>
    <row r="74" spans="1:33" x14ac:dyDescent="0.25">
      <c r="A74" s="2" t="s">
        <v>17</v>
      </c>
      <c r="B74" s="2" t="s">
        <v>17</v>
      </c>
      <c r="C74" s="6"/>
      <c r="D74" s="6" t="s">
        <v>1212</v>
      </c>
      <c r="E74" s="6" t="s">
        <v>134</v>
      </c>
      <c r="F74" s="6" t="s">
        <v>29</v>
      </c>
      <c r="G74" s="6"/>
      <c r="H74" s="90"/>
      <c r="I74" s="6" t="str">
        <f t="shared" si="34"/>
        <v>SingleSinglePSVAVElectric</v>
      </c>
      <c r="J74" s="19">
        <f>'Regresson List_PS'!G7+'Regresson List_PS'!H7*School!$C$23+'Regresson List_PS'!I7*School!$C$23^2</f>
        <v>15.217962558000002</v>
      </c>
      <c r="K74" s="19">
        <f>'Regresson List_PS'!J7+'Regresson List_PS'!K7*School!$C$24+'Regresson List_PS'!L7*School!$C$24^2</f>
        <v>5.0873132617000003</v>
      </c>
      <c r="L74" s="93">
        <v>0</v>
      </c>
      <c r="N74" s="58" t="s">
        <v>44</v>
      </c>
      <c r="P74" s="19">
        <f>'Regresson List_PS'!G30+'Regresson List_PS'!H30*School!$C$23+'Regresson List_PS'!I30*School!$C$23^2</f>
        <v>59.410619537100004</v>
      </c>
      <c r="Q74" s="56">
        <f>P74-School!$F$35</f>
        <v>56.094205323975736</v>
      </c>
      <c r="R74" s="59">
        <f t="shared" si="35"/>
        <v>5.582190926410513E-2</v>
      </c>
      <c r="S74" s="58" t="s">
        <v>44</v>
      </c>
      <c r="U74" s="53">
        <f t="shared" ref="U74:V82" si="48">U71</f>
        <v>29.216971954499996</v>
      </c>
      <c r="V74" s="19">
        <f t="shared" si="48"/>
        <v>26.965914437799999</v>
      </c>
      <c r="W74" s="115"/>
      <c r="X74" s="83">
        <f>U74*School!$F$18</f>
        <v>8765091.5863499995</v>
      </c>
      <c r="Y74">
        <f t="shared" si="45"/>
        <v>730.4242988625</v>
      </c>
      <c r="Z74">
        <f>V74*School!$F$27</f>
        <v>404488.71656699997</v>
      </c>
      <c r="AA74">
        <f t="shared" si="46"/>
        <v>33.707393047249994</v>
      </c>
      <c r="AB74" s="60">
        <f t="shared" si="47"/>
        <v>696.71690581525002</v>
      </c>
      <c r="AC74" s="108" t="s">
        <v>44</v>
      </c>
      <c r="AG74" s="189">
        <f>AG75</f>
        <v>0.32199101333899993</v>
      </c>
    </row>
    <row r="75" spans="1:33" x14ac:dyDescent="0.25">
      <c r="A75" s="2" t="s">
        <v>17</v>
      </c>
      <c r="B75" s="2" t="s">
        <v>12</v>
      </c>
      <c r="C75" s="6"/>
      <c r="D75" s="6" t="s">
        <v>1212</v>
      </c>
      <c r="E75" s="6" t="s">
        <v>134</v>
      </c>
      <c r="F75" s="6" t="s">
        <v>29</v>
      </c>
      <c r="G75" s="6"/>
      <c r="H75" s="90"/>
      <c r="I75" s="6" t="str">
        <f t="shared" si="34"/>
        <v>SingleDoublePSVAVElectric</v>
      </c>
      <c r="J75" s="19">
        <f>'Regresson List_PS'!G8+'Regresson List_PS'!H8*School!$C$23+'Regresson List_PS'!I8*School!$C$23^2</f>
        <v>15.0913858934</v>
      </c>
      <c r="K75" s="19">
        <f>'Regresson List_PS'!J8+'Regresson List_PS'!K8*School!$C$24+'Regresson List_PS'!L8*School!$C$24^2</f>
        <v>8.1155186062000002</v>
      </c>
      <c r="L75" s="93">
        <v>0</v>
      </c>
      <c r="N75" s="58" t="s">
        <v>44</v>
      </c>
      <c r="P75" s="19">
        <f>P74</f>
        <v>59.410619537100004</v>
      </c>
      <c r="Q75" s="56">
        <f>P75-School!$F$35</f>
        <v>56.094205323975736</v>
      </c>
      <c r="R75" s="59">
        <f t="shared" si="35"/>
        <v>5.582190926410513E-2</v>
      </c>
      <c r="S75" s="58" t="s">
        <v>44</v>
      </c>
      <c r="U75" s="53">
        <f t="shared" si="48"/>
        <v>29.066900405899997</v>
      </c>
      <c r="V75" s="19">
        <f t="shared" si="48"/>
        <v>47.885972482200003</v>
      </c>
      <c r="W75" s="115"/>
      <c r="X75" s="83">
        <f>U75*School!$F$18</f>
        <v>8720070.1217699982</v>
      </c>
      <c r="Y75">
        <f t="shared" si="45"/>
        <v>726.67251014749991</v>
      </c>
      <c r="Z75">
        <f>V75*School!$F$27</f>
        <v>718289.58723300009</v>
      </c>
      <c r="AA75">
        <f t="shared" si="46"/>
        <v>59.857465602750004</v>
      </c>
      <c r="AB75" s="60">
        <f t="shared" si="47"/>
        <v>666.81504454474987</v>
      </c>
      <c r="AC75" s="108" t="s">
        <v>44</v>
      </c>
      <c r="AG75" s="189">
        <f>AG76</f>
        <v>0.32199101333899993</v>
      </c>
    </row>
    <row r="76" spans="1:33" x14ac:dyDescent="0.25">
      <c r="A76" s="2" t="s">
        <v>12</v>
      </c>
      <c r="B76" s="2" t="s">
        <v>17</v>
      </c>
      <c r="C76" s="6"/>
      <c r="D76" s="6" t="s">
        <v>1212</v>
      </c>
      <c r="E76" s="6" t="s">
        <v>134</v>
      </c>
      <c r="F76" s="6" t="s">
        <v>29</v>
      </c>
      <c r="G76" s="6"/>
      <c r="H76" s="90"/>
      <c r="I76" s="6" t="str">
        <f t="shared" si="34"/>
        <v>DoubleSinglePSVAVElectric</v>
      </c>
      <c r="J76" s="19">
        <f>'Regresson List_PS'!G9+'Regresson List_PS'!H9*School!$C$23+'Regresson List_PS'!I9*School!$C$23^2</f>
        <v>11.030963639200001</v>
      </c>
      <c r="K76" s="19">
        <f>'Regresson List_PS'!J9+'Regresson List_PS'!K9*School!$C$24+'Regresson List_PS'!L9*School!$C$24^2</f>
        <v>4.1235925616999998</v>
      </c>
      <c r="L76" s="93">
        <v>0</v>
      </c>
      <c r="N76" s="58" t="s">
        <v>44</v>
      </c>
      <c r="P76" s="19">
        <f>'Regresson List_PS'!G31+'Regresson List_PS'!H31*School!$C$23+'Regresson List_PS'!I31*School!$C$23^2</f>
        <v>54.821990882000009</v>
      </c>
      <c r="Q76" s="56">
        <f>P76-School!$F$35</f>
        <v>51.50557666887574</v>
      </c>
      <c r="R76" s="59">
        <f t="shared" si="35"/>
        <v>6.0494231598822945E-2</v>
      </c>
      <c r="S76" s="58" t="s">
        <v>44</v>
      </c>
      <c r="U76" s="53">
        <f t="shared" si="48"/>
        <v>26.3231637845</v>
      </c>
      <c r="V76" s="19">
        <f t="shared" si="48"/>
        <v>16.8092610922</v>
      </c>
      <c r="W76" s="115"/>
      <c r="X76" s="83">
        <f>U76*School!$F$18</f>
        <v>7896949.1353500001</v>
      </c>
      <c r="Y76">
        <f t="shared" si="45"/>
        <v>658.07909461250006</v>
      </c>
      <c r="Z76">
        <f>V76*School!$F$27</f>
        <v>252138.916383</v>
      </c>
      <c r="AA76">
        <f t="shared" si="46"/>
        <v>21.011576365250001</v>
      </c>
      <c r="AB76" s="60">
        <f t="shared" si="47"/>
        <v>637.06751824725006</v>
      </c>
      <c r="AC76" s="108" t="s">
        <v>44</v>
      </c>
      <c r="AG76" s="189">
        <f>AG94</f>
        <v>0.32199101333899993</v>
      </c>
    </row>
    <row r="77" spans="1:33" x14ac:dyDescent="0.25">
      <c r="A77" s="2" t="s">
        <v>17</v>
      </c>
      <c r="B77" s="2" t="s">
        <v>17</v>
      </c>
      <c r="C77" s="6"/>
      <c r="D77" s="6" t="s">
        <v>1212</v>
      </c>
      <c r="E77" s="6" t="s">
        <v>140</v>
      </c>
      <c r="F77" s="6" t="s">
        <v>7</v>
      </c>
      <c r="G77" s="6"/>
      <c r="H77" s="90"/>
      <c r="I77" s="6" t="str">
        <f t="shared" si="34"/>
        <v>SingleSinglePSFCUNatural Gas</v>
      </c>
      <c r="J77" s="93">
        <v>0</v>
      </c>
      <c r="K77" s="19">
        <f>K71</f>
        <v>1.2036564770714</v>
      </c>
      <c r="L77" s="19">
        <f>'Regresson List_PS'!G10+'Regresson List_PS'!H10*School!$C$23+'Regresson List_PS'!I10*School!$C$23^2</f>
        <v>0.48950084521030002</v>
      </c>
      <c r="N77" s="58" t="s">
        <v>44</v>
      </c>
      <c r="P77" s="19">
        <f>'Regresson List_PS'!G36+'Regresson List_PS'!H36*School!$C$23+'Regresson List_PS'!I36*School!$C$23^2</f>
        <v>56.913640436800002</v>
      </c>
      <c r="Q77" s="56">
        <f>P77-School!$F$35</f>
        <v>53.597226223675733</v>
      </c>
      <c r="R77" s="59">
        <f t="shared" si="35"/>
        <v>5.8270990709283432E-2</v>
      </c>
      <c r="S77" s="58" t="s">
        <v>44</v>
      </c>
      <c r="U77" s="53">
        <f t="shared" si="48"/>
        <v>29.216971954499996</v>
      </c>
      <c r="V77" s="19">
        <f t="shared" si="48"/>
        <v>26.965914437799999</v>
      </c>
      <c r="W77" s="115"/>
      <c r="X77" s="83">
        <f>U77*School!$F$18</f>
        <v>8765091.5863499995</v>
      </c>
      <c r="Y77">
        <f t="shared" si="45"/>
        <v>730.4242988625</v>
      </c>
      <c r="Z77">
        <f>V77*School!$F$27</f>
        <v>404488.71656699997</v>
      </c>
      <c r="AA77">
        <f t="shared" si="46"/>
        <v>33.707393047249994</v>
      </c>
      <c r="AB77" s="60">
        <f t="shared" si="47"/>
        <v>696.71690581525002</v>
      </c>
      <c r="AC77" s="108" t="s">
        <v>44</v>
      </c>
      <c r="AG77" s="192">
        <f>AG78</f>
        <v>0.68904541628300009</v>
      </c>
    </row>
    <row r="78" spans="1:33" x14ac:dyDescent="0.25">
      <c r="A78" s="2" t="s">
        <v>17</v>
      </c>
      <c r="B78" s="2" t="s">
        <v>12</v>
      </c>
      <c r="C78" s="6"/>
      <c r="D78" s="6" t="s">
        <v>1212</v>
      </c>
      <c r="E78" s="6" t="s">
        <v>140</v>
      </c>
      <c r="F78" s="6" t="s">
        <v>7</v>
      </c>
      <c r="G78" s="6"/>
      <c r="H78" s="90"/>
      <c r="I78" s="6" t="str">
        <f t="shared" si="34"/>
        <v>SingleDoublePSFCUNatural Gas</v>
      </c>
      <c r="J78" s="93">
        <v>0</v>
      </c>
      <c r="K78" s="19">
        <f t="shared" ref="K78:K82" si="49">K72</f>
        <v>2.1225178922873997</v>
      </c>
      <c r="L78" s="19">
        <f>'Regresson List_PS'!G11+'Regresson List_PS'!H11*School!$C$23+'Regresson List_PS'!I11*School!$C$23^2</f>
        <v>0.45035789736889997</v>
      </c>
      <c r="N78" s="58" t="s">
        <v>44</v>
      </c>
      <c r="P78" s="19">
        <f>P77</f>
        <v>56.913640436800002</v>
      </c>
      <c r="Q78" s="56">
        <f>P78-School!$F$35</f>
        <v>53.597226223675733</v>
      </c>
      <c r="R78" s="59">
        <f t="shared" si="35"/>
        <v>5.8270990709283432E-2</v>
      </c>
      <c r="S78" s="58" t="s">
        <v>44</v>
      </c>
      <c r="U78" s="53">
        <f t="shared" si="48"/>
        <v>29.066900405899997</v>
      </c>
      <c r="V78" s="19">
        <f t="shared" si="48"/>
        <v>47.885972482200003</v>
      </c>
      <c r="W78" s="115"/>
      <c r="X78" s="83">
        <f>U78*School!$F$18</f>
        <v>8720070.1217699982</v>
      </c>
      <c r="Y78">
        <f t="shared" si="45"/>
        <v>726.67251014749991</v>
      </c>
      <c r="Z78">
        <f>V78*School!$F$27</f>
        <v>718289.58723300009</v>
      </c>
      <c r="AA78">
        <f t="shared" si="46"/>
        <v>59.857465602750004</v>
      </c>
      <c r="AB78" s="60">
        <f t="shared" si="47"/>
        <v>666.81504454474987</v>
      </c>
      <c r="AC78" s="108" t="s">
        <v>44</v>
      </c>
      <c r="AG78" s="192">
        <f>AG79</f>
        <v>0.68904541628300009</v>
      </c>
    </row>
    <row r="79" spans="1:33" x14ac:dyDescent="0.25">
      <c r="A79" s="2" t="s">
        <v>12</v>
      </c>
      <c r="B79" s="2" t="s">
        <v>17</v>
      </c>
      <c r="C79" s="6"/>
      <c r="D79" s="6" t="s">
        <v>1212</v>
      </c>
      <c r="E79" s="6" t="s">
        <v>140</v>
      </c>
      <c r="F79" s="6" t="s">
        <v>7</v>
      </c>
      <c r="G79" s="6"/>
      <c r="H79" s="90"/>
      <c r="I79" s="6" t="str">
        <f t="shared" si="34"/>
        <v>DoubleSinglePSFCUNatural Gas</v>
      </c>
      <c r="J79" s="93">
        <v>0</v>
      </c>
      <c r="K79" s="19">
        <f t="shared" si="49"/>
        <v>1.0194481692923001</v>
      </c>
      <c r="L79" s="19">
        <f>'Regresson List_PS'!G12+'Regresson List_PS'!H12*School!$C$23+'Regresson List_PS'!I12*School!$C$23^2</f>
        <v>0.25490762775179998</v>
      </c>
      <c r="N79" s="58" t="s">
        <v>44</v>
      </c>
      <c r="P79" s="19">
        <f>'Regresson List_PS'!G37+'Regresson List_PS'!H37*School!$C$23+'Regresson List_PS'!I37*School!$C$23^2</f>
        <v>52.724564004000001</v>
      </c>
      <c r="Q79" s="56">
        <f>P79-School!$F$35</f>
        <v>49.408149790875733</v>
      </c>
      <c r="R79" s="59">
        <f t="shared" si="35"/>
        <v>6.2900742296753132E-2</v>
      </c>
      <c r="S79" s="58" t="s">
        <v>44</v>
      </c>
      <c r="U79" s="53">
        <f t="shared" si="48"/>
        <v>26.3231637845</v>
      </c>
      <c r="V79" s="19">
        <f t="shared" si="48"/>
        <v>16.8092610922</v>
      </c>
      <c r="W79" s="115"/>
      <c r="X79" s="83">
        <f>U79*School!$F$18</f>
        <v>7896949.1353500001</v>
      </c>
      <c r="Y79">
        <f t="shared" si="45"/>
        <v>658.07909461250006</v>
      </c>
      <c r="Z79">
        <f>V79*School!$F$27</f>
        <v>252138.916383</v>
      </c>
      <c r="AA79">
        <f t="shared" si="46"/>
        <v>21.011576365250001</v>
      </c>
      <c r="AB79" s="60">
        <f t="shared" si="47"/>
        <v>637.06751824725006</v>
      </c>
      <c r="AC79" s="108" t="s">
        <v>44</v>
      </c>
      <c r="AG79" s="192">
        <f>AG85</f>
        <v>0.68904541628300009</v>
      </c>
    </row>
    <row r="80" spans="1:33" x14ac:dyDescent="0.25">
      <c r="A80" s="2" t="s">
        <v>17</v>
      </c>
      <c r="B80" s="2" t="s">
        <v>17</v>
      </c>
      <c r="C80" s="6"/>
      <c r="D80" s="6" t="s">
        <v>1212</v>
      </c>
      <c r="E80" s="6" t="s">
        <v>134</v>
      </c>
      <c r="F80" s="6" t="s">
        <v>7</v>
      </c>
      <c r="G80" s="6"/>
      <c r="H80" s="90"/>
      <c r="I80" s="6" t="str">
        <f t="shared" si="34"/>
        <v>SingleSinglePSVAVNatural Gas</v>
      </c>
      <c r="J80" s="93">
        <v>0</v>
      </c>
      <c r="K80" s="19">
        <f t="shared" si="49"/>
        <v>5.0873132617000003</v>
      </c>
      <c r="L80" s="19">
        <f>'Regresson List_PS'!G13+'Regresson List_PS'!H13*School!$C$23+'Regresson List_PS'!I13*School!$C$23^2</f>
        <v>0.64904538758969998</v>
      </c>
      <c r="N80" s="58" t="s">
        <v>44</v>
      </c>
      <c r="P80" s="19">
        <f>'Regresson List_PS'!G32+'Regresson List_PS'!H32*School!$C$23+'Regresson List_PS'!I32*School!$C$23^2</f>
        <v>64.983362841000002</v>
      </c>
      <c r="Q80" s="56">
        <f>P80-School!$F$35</f>
        <v>61.666948627875733</v>
      </c>
      <c r="R80" s="59">
        <f t="shared" si="35"/>
        <v>5.1034819808245424E-2</v>
      </c>
      <c r="S80" s="5" t="s">
        <v>44</v>
      </c>
      <c r="U80" s="53">
        <f t="shared" si="48"/>
        <v>29.216971954499996</v>
      </c>
      <c r="V80" s="19">
        <f t="shared" si="48"/>
        <v>26.965914437799999</v>
      </c>
      <c r="W80" s="115"/>
      <c r="X80" s="83">
        <f>U80*School!$F$18</f>
        <v>8765091.5863499995</v>
      </c>
      <c r="Y80">
        <f t="shared" si="45"/>
        <v>730.4242988625</v>
      </c>
      <c r="Z80">
        <f>V80*School!$F$27</f>
        <v>404488.71656699997</v>
      </c>
      <c r="AA80">
        <f t="shared" si="46"/>
        <v>33.707393047249994</v>
      </c>
      <c r="AB80" s="60">
        <f t="shared" si="47"/>
        <v>696.71690581525002</v>
      </c>
      <c r="AC80" s="108" t="s">
        <v>44</v>
      </c>
      <c r="AG80" s="189">
        <f>AG81</f>
        <v>0.32199101333899993</v>
      </c>
    </row>
    <row r="81" spans="1:33" x14ac:dyDescent="0.25">
      <c r="A81" s="2" t="s">
        <v>17</v>
      </c>
      <c r="B81" s="2" t="s">
        <v>12</v>
      </c>
      <c r="C81" s="6"/>
      <c r="D81" s="6" t="s">
        <v>1212</v>
      </c>
      <c r="E81" s="6" t="s">
        <v>134</v>
      </c>
      <c r="F81" s="6" t="s">
        <v>7</v>
      </c>
      <c r="G81" s="6"/>
      <c r="H81" s="90"/>
      <c r="I81" s="6" t="str">
        <f t="shared" si="34"/>
        <v>SingleDoublePSVAVNatural Gas</v>
      </c>
      <c r="J81" s="93">
        <v>0</v>
      </c>
      <c r="K81" s="19">
        <f t="shared" si="49"/>
        <v>8.1155186062000002</v>
      </c>
      <c r="L81" s="19">
        <f>'Regresson List_PS'!G14+'Regresson List_PS'!H14*School!$C$23+'Regresson List_PS'!I14*School!$C$23^2</f>
        <v>0.64364717914980007</v>
      </c>
      <c r="N81" s="58" t="s">
        <v>44</v>
      </c>
      <c r="P81" s="19">
        <f>P80</f>
        <v>64.983362841000002</v>
      </c>
      <c r="Q81" s="56">
        <f>P81-School!$F$35</f>
        <v>61.666948627875733</v>
      </c>
      <c r="R81" s="59">
        <f t="shared" si="35"/>
        <v>5.1034819808245424E-2</v>
      </c>
      <c r="S81" s="5" t="s">
        <v>44</v>
      </c>
      <c r="U81" s="53">
        <f t="shared" si="48"/>
        <v>29.066900405899997</v>
      </c>
      <c r="V81" s="19">
        <f t="shared" si="48"/>
        <v>47.885972482200003</v>
      </c>
      <c r="W81" s="115"/>
      <c r="X81" s="83">
        <f>U81*School!$F$18</f>
        <v>8720070.1217699982</v>
      </c>
      <c r="Y81">
        <f t="shared" si="45"/>
        <v>726.67251014749991</v>
      </c>
      <c r="Z81">
        <f>V81*School!$F$27</f>
        <v>718289.58723300009</v>
      </c>
      <c r="AA81">
        <f t="shared" si="46"/>
        <v>59.857465602750004</v>
      </c>
      <c r="AB81" s="60">
        <f t="shared" si="47"/>
        <v>666.81504454474987</v>
      </c>
      <c r="AC81" s="108" t="s">
        <v>44</v>
      </c>
      <c r="AG81" s="189">
        <f>AG82</f>
        <v>0.32199101333899993</v>
      </c>
    </row>
    <row r="82" spans="1:33" x14ac:dyDescent="0.25">
      <c r="A82" s="2" t="s">
        <v>12</v>
      </c>
      <c r="B82" s="2" t="s">
        <v>17</v>
      </c>
      <c r="C82" s="6"/>
      <c r="D82" s="6" t="s">
        <v>1212</v>
      </c>
      <c r="E82" s="6" t="s">
        <v>134</v>
      </c>
      <c r="F82" s="6" t="s">
        <v>7</v>
      </c>
      <c r="G82" s="6"/>
      <c r="H82" s="90"/>
      <c r="I82" s="6" t="str">
        <f t="shared" si="34"/>
        <v>DoubleSinglePSVAVNatural Gas</v>
      </c>
      <c r="J82" s="93">
        <v>0</v>
      </c>
      <c r="K82" s="19">
        <f t="shared" si="49"/>
        <v>4.1235925616999998</v>
      </c>
      <c r="L82" s="19">
        <f>'Regresson List_PS'!G15+'Regresson List_PS'!H15*School!$C$23+'Regresson List_PS'!I15*School!$C$23^2</f>
        <v>0.47046931098540001</v>
      </c>
      <c r="N82" s="58" t="s">
        <v>44</v>
      </c>
      <c r="P82" s="19">
        <f>'Regresson List_PS'!G33+'Regresson List_PS'!H33*School!$C$23+'Regresson List_PS'!I33*School!$C$23^2</f>
        <v>59.594348152599999</v>
      </c>
      <c r="Q82" s="56">
        <f>P82-School!$F$35</f>
        <v>56.27793393947573</v>
      </c>
      <c r="R82" s="59">
        <f t="shared" si="35"/>
        <v>5.5649811029598095E-2</v>
      </c>
      <c r="S82" s="5" t="s">
        <v>44</v>
      </c>
      <c r="U82" s="53">
        <f t="shared" si="48"/>
        <v>26.3231637845</v>
      </c>
      <c r="V82" s="19">
        <f t="shared" si="48"/>
        <v>16.8092610922</v>
      </c>
      <c r="W82" s="115"/>
      <c r="X82" s="83">
        <f>U82*School!$F$18</f>
        <v>7896949.1353500001</v>
      </c>
      <c r="Y82">
        <f t="shared" si="45"/>
        <v>658.07909461250006</v>
      </c>
      <c r="Z82">
        <f>V82*School!$F$27</f>
        <v>252138.916383</v>
      </c>
      <c r="AA82">
        <f t="shared" si="46"/>
        <v>21.011576365250001</v>
      </c>
      <c r="AB82" s="60">
        <f t="shared" si="47"/>
        <v>637.06751824725006</v>
      </c>
      <c r="AC82" s="108" t="s">
        <v>44</v>
      </c>
      <c r="AG82" s="189">
        <f>AG94</f>
        <v>0.32199101333899993</v>
      </c>
    </row>
    <row r="83" spans="1:33" x14ac:dyDescent="0.25">
      <c r="A83" s="2" t="s">
        <v>17</v>
      </c>
      <c r="B83" s="2" t="s">
        <v>17</v>
      </c>
      <c r="C83" s="6"/>
      <c r="D83" s="6" t="s">
        <v>1213</v>
      </c>
      <c r="E83" s="6" t="s">
        <v>140</v>
      </c>
      <c r="F83" s="6" t="s">
        <v>29</v>
      </c>
      <c r="G83" s="6"/>
      <c r="H83" s="90"/>
      <c r="I83" s="6" t="str">
        <f t="shared" si="34"/>
        <v>SingleSingleSSFCUElectric</v>
      </c>
      <c r="J83" s="19">
        <f>'Regresson List_SS'!G4+'Regresson List_SS'!H4*School!$C$23+'Regresson List_SS'!I4*School!$C$23^2</f>
        <v>12.499592979199999</v>
      </c>
      <c r="K83" s="19">
        <f>'Regresson List_SS'!J4+'Regresson List_SS'!K4*School!$C$24+'Regresson List_SS'!L4*School!$C$24^2</f>
        <v>1.2873886282999998</v>
      </c>
      <c r="L83" s="93">
        <v>0</v>
      </c>
      <c r="N83" s="58" t="s">
        <v>44</v>
      </c>
      <c r="P83" s="19">
        <f>'Regresson List_SS'!G34+'Regresson List_SS'!H34*School!$C$23+'Regresson List_SS'!I34*School!$C$23^2</f>
        <v>74.587310494500002</v>
      </c>
      <c r="Q83" s="56">
        <f>P83-School!$F$35</f>
        <v>71.270896281375741</v>
      </c>
      <c r="R83" s="59">
        <f t="shared" si="35"/>
        <v>4.4463517871029978E-2</v>
      </c>
      <c r="S83" s="5" t="s">
        <v>44</v>
      </c>
      <c r="U83" s="53">
        <f>'Regresson List_SS'!G23+'Regresson List_SS'!H23*School!$C$24+'Regresson List_SS'!I23*School!$C$24^2</f>
        <v>19.1569770298</v>
      </c>
      <c r="V83" s="19">
        <f>'Regresson List_SS'!J23+'Regresson List_SS'!K23*School!$C$24+'Regresson List_SS'!L23*School!$C$24^2</f>
        <v>24.7759603073</v>
      </c>
      <c r="W83" s="115"/>
      <c r="X83" s="83">
        <f>U83*School!$F$18</f>
        <v>5747093.1089399997</v>
      </c>
      <c r="Y83">
        <f>X83/12000</f>
        <v>478.92442574499995</v>
      </c>
      <c r="Z83">
        <f>V83*School!$F$27</f>
        <v>371639.40460950002</v>
      </c>
      <c r="AA83">
        <f>Z83/12000</f>
        <v>30.969950384125003</v>
      </c>
      <c r="AB83" s="60">
        <f t="shared" si="47"/>
        <v>447.95447536087494</v>
      </c>
      <c r="AC83" s="108" t="s">
        <v>44</v>
      </c>
      <c r="AG83" s="192">
        <f>AG84</f>
        <v>0.68904541628300009</v>
      </c>
    </row>
    <row r="84" spans="1:33" x14ac:dyDescent="0.25">
      <c r="A84" s="2" t="s">
        <v>17</v>
      </c>
      <c r="B84" s="2" t="s">
        <v>12</v>
      </c>
      <c r="C84" s="6"/>
      <c r="D84" s="6" t="s">
        <v>1213</v>
      </c>
      <c r="E84" s="6" t="s">
        <v>140</v>
      </c>
      <c r="F84" s="6" t="s">
        <v>29</v>
      </c>
      <c r="G84" s="6"/>
      <c r="H84" s="90"/>
      <c r="I84" s="6" t="str">
        <f t="shared" si="34"/>
        <v>SingleDoubleSSFCUElectric</v>
      </c>
      <c r="J84" s="19">
        <f>'Regresson List_SS'!G5+'Regresson List_SS'!H5*School!$C$23+'Regresson List_SS'!I5*School!$C$23^2</f>
        <v>11.500752687226601</v>
      </c>
      <c r="K84" s="19">
        <f>'Regresson List_SS'!J5+'Regresson List_SS'!K5*School!$C$24+'Regresson List_SS'!L5*School!$C$24^2</f>
        <v>2.4130059844999998</v>
      </c>
      <c r="L84" s="93">
        <v>0</v>
      </c>
      <c r="N84" s="58" t="s">
        <v>44</v>
      </c>
      <c r="P84" s="19">
        <f>P83</f>
        <v>74.587310494500002</v>
      </c>
      <c r="Q84" s="56">
        <f>P84-School!$F$35</f>
        <v>71.270896281375741</v>
      </c>
      <c r="R84" s="59">
        <f t="shared" si="35"/>
        <v>4.4463517871029978E-2</v>
      </c>
      <c r="S84" s="5" t="s">
        <v>44</v>
      </c>
      <c r="U84" s="53">
        <f>'Regresson List_SS'!G24+'Regresson List_SS'!H24*School!$C$24+'Regresson List_SS'!I24*School!$C$24^2</f>
        <v>19.012868342899999</v>
      </c>
      <c r="V84" s="19">
        <f>'Regresson List_SS'!J24+'Regresson List_SS'!K24*School!$C$24+'Regresson List_SS'!L24*School!$C$24^2</f>
        <v>45.779274175799998</v>
      </c>
      <c r="W84" s="115"/>
      <c r="X84" s="83">
        <f>U84*School!$F$18</f>
        <v>5703860.50287</v>
      </c>
      <c r="Y84">
        <f t="shared" ref="Y84:Y94" si="50">X84/12000</f>
        <v>475.32170857249997</v>
      </c>
      <c r="Z84">
        <f>V84*School!$F$27</f>
        <v>686689.11263699993</v>
      </c>
      <c r="AA84">
        <f t="shared" ref="AA84:AA94" si="51">Z84/12000</f>
        <v>57.224092719749997</v>
      </c>
      <c r="AB84" s="60">
        <f t="shared" si="47"/>
        <v>418.09761585274998</v>
      </c>
      <c r="AC84" s="108" t="s">
        <v>44</v>
      </c>
      <c r="AG84" s="192">
        <f>AG85</f>
        <v>0.68904541628300009</v>
      </c>
    </row>
    <row r="85" spans="1:33" x14ac:dyDescent="0.25">
      <c r="A85" s="2" t="s">
        <v>12</v>
      </c>
      <c r="B85" s="2" t="s">
        <v>17</v>
      </c>
      <c r="C85" s="6"/>
      <c r="D85" s="6" t="s">
        <v>1213</v>
      </c>
      <c r="E85" s="6" t="s">
        <v>140</v>
      </c>
      <c r="F85" s="6" t="s">
        <v>29</v>
      </c>
      <c r="G85" s="6"/>
      <c r="H85" s="90"/>
      <c r="I85" s="6" t="str">
        <f t="shared" si="34"/>
        <v>DoubleSingleSSFCUElectric</v>
      </c>
      <c r="J85" s="19">
        <f>'Regresson List_SS'!G6+'Regresson List_SS'!H6*School!$C$23+'Regresson List_SS'!I6*School!$C$23^2</f>
        <v>6.4472649312000012</v>
      </c>
      <c r="K85" s="19">
        <f>'Regresson List_SS'!J6+'Regresson List_SS'!K6*School!$C$24+'Regresson List_SS'!L6*School!$C$24^2</f>
        <v>1.0903582671000001</v>
      </c>
      <c r="L85" s="93">
        <v>0</v>
      </c>
      <c r="N85" s="58" t="s">
        <v>44</v>
      </c>
      <c r="P85" s="19">
        <f>'Regresson List_SS'!G35+'Regresson List_SS'!H35*School!$C$23+'Regresson List_SS'!I35*School!$C$23^2</f>
        <v>70.260096327900001</v>
      </c>
      <c r="Q85" s="56">
        <f>P85-School!$F$35</f>
        <v>66.943682114775726</v>
      </c>
      <c r="R85" s="59">
        <f t="shared" si="35"/>
        <v>4.72019593831291E-2</v>
      </c>
      <c r="S85" s="5" t="s">
        <v>44</v>
      </c>
      <c r="U85" s="53">
        <f>'Regresson List_SS'!G25+'Regresson List_SS'!H25*School!$C$24+'Regresson List_SS'!I25*School!$C$24^2</f>
        <v>17.257577065700001</v>
      </c>
      <c r="V85" s="19">
        <f>'Regresson List_SS'!J25+'Regresson List_SS'!K25*School!$C$24+'Regresson List_SS'!L25*School!$C$24^2</f>
        <v>15.6764114714</v>
      </c>
      <c r="W85" s="115"/>
      <c r="X85" s="83">
        <f>U85*School!$F$18</f>
        <v>5177273.1197100002</v>
      </c>
      <c r="Y85">
        <f t="shared" si="50"/>
        <v>431.4394266425</v>
      </c>
      <c r="Z85">
        <f>V85*School!$F$27</f>
        <v>235146.17207100001</v>
      </c>
      <c r="AA85">
        <f t="shared" si="51"/>
        <v>19.595514339250002</v>
      </c>
      <c r="AB85" s="60">
        <f t="shared" si="47"/>
        <v>411.84391230325002</v>
      </c>
      <c r="AC85" s="108" t="s">
        <v>44</v>
      </c>
      <c r="AG85" s="92">
        <f>'Regresson List_SS'!$D$41+'Regresson List_SS'!$E$41*School!$C$24+'Regresson List_SS'!$F$41*School!$C$24^2+'Regresson List_SS'!$G$41*School!$C$24^3</f>
        <v>0.68904541628300009</v>
      </c>
    </row>
    <row r="86" spans="1:33" x14ac:dyDescent="0.25">
      <c r="A86" s="2" t="s">
        <v>17</v>
      </c>
      <c r="B86" s="2" t="s">
        <v>17</v>
      </c>
      <c r="C86" s="6"/>
      <c r="D86" s="6" t="s">
        <v>1213</v>
      </c>
      <c r="E86" s="6" t="s">
        <v>134</v>
      </c>
      <c r="F86" s="6" t="s">
        <v>29</v>
      </c>
      <c r="G86" s="6"/>
      <c r="H86" s="90"/>
      <c r="I86" s="6" t="str">
        <f t="shared" si="34"/>
        <v>SingleSingleSSVAVElectric</v>
      </c>
      <c r="J86" s="19">
        <f>'Regresson List_SS'!G7+'Regresson List_SS'!H7*School!$C$23+'Regresson List_SS'!I7*School!$C$23^2</f>
        <v>16.952786221349299</v>
      </c>
      <c r="K86" s="19">
        <f>'Regresson List_SS'!J7+'Regresson List_SS'!K7*School!$C$24+'Regresson List_SS'!L7*School!$C$24^2</f>
        <v>5.3602857646972994</v>
      </c>
      <c r="L86" s="93">
        <v>0</v>
      </c>
      <c r="N86" s="58" t="s">
        <v>44</v>
      </c>
      <c r="P86" s="19">
        <f>'Regresson List_SS'!G30+'Regresson List_SS'!H30*School!$C$23+'Regresson List_SS'!I30*School!$C$23^2</f>
        <v>78.358458281200001</v>
      </c>
      <c r="Q86" s="56">
        <f>P86-School!$F$35</f>
        <v>75.042044068075739</v>
      </c>
      <c r="R86" s="59">
        <f t="shared" si="35"/>
        <v>4.232362767045339E-2</v>
      </c>
      <c r="S86" s="58" t="s">
        <v>44</v>
      </c>
      <c r="U86" s="53">
        <f t="shared" ref="U86:V88" si="52">U83</f>
        <v>19.1569770298</v>
      </c>
      <c r="V86" s="19">
        <f t="shared" si="52"/>
        <v>24.7759603073</v>
      </c>
      <c r="W86" s="115"/>
      <c r="X86" s="83">
        <f>U86*School!$F$18</f>
        <v>5747093.1089399997</v>
      </c>
      <c r="Y86">
        <f t="shared" si="50"/>
        <v>478.92442574499995</v>
      </c>
      <c r="Z86">
        <f>V86*School!$F$27</f>
        <v>371639.40460950002</v>
      </c>
      <c r="AA86">
        <f t="shared" si="51"/>
        <v>30.969950384125003</v>
      </c>
      <c r="AB86" s="60">
        <f t="shared" si="47"/>
        <v>447.95447536087494</v>
      </c>
      <c r="AC86" s="108" t="s">
        <v>44</v>
      </c>
      <c r="AG86" s="189">
        <f>AG87</f>
        <v>0.32199101333899993</v>
      </c>
    </row>
    <row r="87" spans="1:33" x14ac:dyDescent="0.25">
      <c r="A87" s="2" t="s">
        <v>17</v>
      </c>
      <c r="B87" s="2" t="s">
        <v>12</v>
      </c>
      <c r="C87" s="6"/>
      <c r="D87" s="6" t="s">
        <v>1213</v>
      </c>
      <c r="E87" s="6" t="s">
        <v>134</v>
      </c>
      <c r="F87" s="6" t="s">
        <v>29</v>
      </c>
      <c r="G87" s="6"/>
      <c r="H87" s="90"/>
      <c r="I87" s="6" t="str">
        <f t="shared" si="34"/>
        <v>SingleDoubleSSVAVElectric</v>
      </c>
      <c r="J87" s="19">
        <f>'Regresson List_SS'!G8+'Regresson List_SS'!H8*School!$C$23+'Regresson List_SS'!I8*School!$C$23^2</f>
        <v>15.612931372896597</v>
      </c>
      <c r="K87" s="19">
        <f>'Regresson List_SS'!J8+'Regresson List_SS'!K8*School!$C$24+'Regresson List_SS'!L8*School!$C$24^2</f>
        <v>9.1059322430322016</v>
      </c>
      <c r="L87" s="93">
        <v>0</v>
      </c>
      <c r="N87" s="58" t="s">
        <v>44</v>
      </c>
      <c r="P87" s="19">
        <f>P86</f>
        <v>78.358458281200001</v>
      </c>
      <c r="Q87" s="56">
        <f>P87-School!$F$35</f>
        <v>75.042044068075739</v>
      </c>
      <c r="R87" s="59">
        <f t="shared" si="35"/>
        <v>4.232362767045339E-2</v>
      </c>
      <c r="S87" s="58" t="s">
        <v>44</v>
      </c>
      <c r="U87" s="53">
        <f t="shared" si="52"/>
        <v>19.012868342899999</v>
      </c>
      <c r="V87" s="19">
        <f t="shared" si="52"/>
        <v>45.779274175799998</v>
      </c>
      <c r="W87" s="115"/>
      <c r="X87" s="83">
        <f>U87*School!$F$18</f>
        <v>5703860.50287</v>
      </c>
      <c r="Y87">
        <f t="shared" si="50"/>
        <v>475.32170857249997</v>
      </c>
      <c r="Z87">
        <f>V87*School!$F$27</f>
        <v>686689.11263699993</v>
      </c>
      <c r="AA87">
        <f t="shared" si="51"/>
        <v>57.224092719749997</v>
      </c>
      <c r="AB87" s="60">
        <f t="shared" si="47"/>
        <v>418.09761585274998</v>
      </c>
      <c r="AC87" s="108" t="s">
        <v>44</v>
      </c>
      <c r="AG87" s="189">
        <f>AG88</f>
        <v>0.32199101333899993</v>
      </c>
    </row>
    <row r="88" spans="1:33" x14ac:dyDescent="0.25">
      <c r="A88" s="2" t="s">
        <v>12</v>
      </c>
      <c r="B88" s="2" t="s">
        <v>17</v>
      </c>
      <c r="C88" s="6"/>
      <c r="D88" s="6" t="s">
        <v>1213</v>
      </c>
      <c r="E88" s="6" t="s">
        <v>134</v>
      </c>
      <c r="F88" s="6" t="s">
        <v>29</v>
      </c>
      <c r="G88" s="6"/>
      <c r="H88" s="90"/>
      <c r="I88" s="6" t="str">
        <f t="shared" si="34"/>
        <v>DoubleSingleSSVAVElectric</v>
      </c>
      <c r="J88" s="19">
        <f>'Regresson List_SS'!G9+'Regresson List_SS'!H9*School!$C$23+'Regresson List_SS'!I9*School!$C$23^2</f>
        <v>12.0935825708778</v>
      </c>
      <c r="K88" s="19">
        <f>'Regresson List_SS'!J9+'Regresson List_SS'!K9*School!$C$24+'Regresson List_SS'!L9*School!$C$24^2</f>
        <v>4.3338616722722998</v>
      </c>
      <c r="L88" s="93">
        <v>0</v>
      </c>
      <c r="N88" s="58" t="s">
        <v>44</v>
      </c>
      <c r="P88" s="19">
        <f>'Regresson List_SS'!G31+'Regresson List_SS'!H31*School!$C$23+'Regresson List_SS'!I31*School!$C$23^2</f>
        <v>73.786271612699991</v>
      </c>
      <c r="Q88" s="56">
        <f>P88-School!$F$35</f>
        <v>70.469857399575716</v>
      </c>
      <c r="R88" s="59">
        <f t="shared" si="35"/>
        <v>4.4946222930627888E-2</v>
      </c>
      <c r="S88" s="58" t="s">
        <v>44</v>
      </c>
      <c r="U88" s="53">
        <f t="shared" si="52"/>
        <v>17.257577065700001</v>
      </c>
      <c r="V88" s="19">
        <f t="shared" si="52"/>
        <v>15.6764114714</v>
      </c>
      <c r="W88" s="115"/>
      <c r="X88" s="83">
        <f>U88*School!$F$18</f>
        <v>5177273.1197100002</v>
      </c>
      <c r="Y88">
        <f t="shared" si="50"/>
        <v>431.4394266425</v>
      </c>
      <c r="Z88">
        <f>V88*School!$F$27</f>
        <v>235146.17207100001</v>
      </c>
      <c r="AA88">
        <f t="shared" si="51"/>
        <v>19.595514339250002</v>
      </c>
      <c r="AB88" s="60">
        <f t="shared" si="47"/>
        <v>411.84391230325002</v>
      </c>
      <c r="AC88" s="108" t="s">
        <v>44</v>
      </c>
      <c r="AG88" s="189">
        <f>AG92</f>
        <v>0.32199101333899993</v>
      </c>
    </row>
    <row r="89" spans="1:33" x14ac:dyDescent="0.25">
      <c r="A89" s="2" t="s">
        <v>17</v>
      </c>
      <c r="B89" s="2" t="s">
        <v>17</v>
      </c>
      <c r="C89" s="6"/>
      <c r="D89" s="6" t="s">
        <v>1213</v>
      </c>
      <c r="E89" s="6" t="s">
        <v>140</v>
      </c>
      <c r="F89" s="6" t="s">
        <v>7</v>
      </c>
      <c r="G89" s="6"/>
      <c r="H89" s="90"/>
      <c r="I89" s="6" t="str">
        <f t="shared" si="34"/>
        <v>SingleSingleSSFCUNatural Gas</v>
      </c>
      <c r="J89" s="93">
        <v>0</v>
      </c>
      <c r="K89" s="19">
        <f>K83</f>
        <v>1.2873886282999998</v>
      </c>
      <c r="L89" s="19">
        <f>'Regresson List_SS'!G10+'Regresson List_SS'!H10*School!$C$23+'Regresson List_SS'!I10*School!$C$23^2</f>
        <v>0.53310792676109997</v>
      </c>
      <c r="N89" s="58" t="s">
        <v>44</v>
      </c>
      <c r="P89" s="19">
        <f>'Regresson List_SS'!G36+'Regresson List_SS'!H36*School!$C$23+'Regresson List_SS'!I36*School!$C$23^2</f>
        <v>82.11126214570001</v>
      </c>
      <c r="Q89" s="56">
        <f>P89-School!$F$35</f>
        <v>78.794847932575749</v>
      </c>
      <c r="R89" s="59">
        <f t="shared" si="35"/>
        <v>4.0389273364712652E-2</v>
      </c>
      <c r="S89" s="58" t="s">
        <v>44</v>
      </c>
      <c r="U89" s="53">
        <f t="shared" ref="U89:V94" si="53">U86</f>
        <v>19.1569770298</v>
      </c>
      <c r="V89" s="19">
        <f t="shared" si="53"/>
        <v>24.7759603073</v>
      </c>
      <c r="W89" s="115"/>
      <c r="X89" s="83">
        <f>U89*School!$F$18</f>
        <v>5747093.1089399997</v>
      </c>
      <c r="Y89">
        <f t="shared" si="50"/>
        <v>478.92442574499995</v>
      </c>
      <c r="Z89">
        <f>V89*School!$F$27</f>
        <v>371639.40460950002</v>
      </c>
      <c r="AA89">
        <f t="shared" si="51"/>
        <v>30.969950384125003</v>
      </c>
      <c r="AB89" s="60">
        <f t="shared" si="47"/>
        <v>447.95447536087494</v>
      </c>
      <c r="AC89" s="108" t="s">
        <v>44</v>
      </c>
      <c r="AG89" s="192">
        <f>AG90</f>
        <v>0.68904541628300009</v>
      </c>
    </row>
    <row r="90" spans="1:33" x14ac:dyDescent="0.25">
      <c r="A90" s="2" t="s">
        <v>17</v>
      </c>
      <c r="B90" s="2" t="s">
        <v>12</v>
      </c>
      <c r="C90" s="6"/>
      <c r="D90" s="6" t="s">
        <v>1213</v>
      </c>
      <c r="E90" s="6" t="s">
        <v>140</v>
      </c>
      <c r="F90" s="6" t="s">
        <v>7</v>
      </c>
      <c r="G90" s="6"/>
      <c r="H90" s="90"/>
      <c r="I90" s="6" t="str">
        <f t="shared" si="34"/>
        <v>SingleDoubleSSFCUNatural Gas</v>
      </c>
      <c r="J90" s="93">
        <v>0</v>
      </c>
      <c r="K90" s="19">
        <f t="shared" ref="K90:K94" si="54">K84</f>
        <v>2.4130059844999998</v>
      </c>
      <c r="L90" s="19">
        <f>'Regresson List_SS'!G11+'Regresson List_SS'!H11*School!$C$23+'Regresson List_SS'!I11*School!$C$23^2</f>
        <v>0.49050815402269998</v>
      </c>
      <c r="N90" s="58" t="s">
        <v>44</v>
      </c>
      <c r="P90" s="19">
        <f>P89</f>
        <v>82.11126214570001</v>
      </c>
      <c r="Q90" s="56">
        <f>P90-School!$F$35</f>
        <v>78.794847932575749</v>
      </c>
      <c r="R90" s="59">
        <f t="shared" si="35"/>
        <v>4.0389273364712652E-2</v>
      </c>
      <c r="S90" s="58" t="s">
        <v>44</v>
      </c>
      <c r="U90" s="53">
        <f t="shared" si="53"/>
        <v>19.012868342899999</v>
      </c>
      <c r="V90" s="19">
        <f t="shared" si="53"/>
        <v>45.779274175799998</v>
      </c>
      <c r="W90" s="115"/>
      <c r="X90" s="83">
        <f>U90*School!$F$18</f>
        <v>5703860.50287</v>
      </c>
      <c r="Y90">
        <f t="shared" si="50"/>
        <v>475.32170857249997</v>
      </c>
      <c r="Z90">
        <f>V90*School!$F$27</f>
        <v>686689.11263699993</v>
      </c>
      <c r="AA90">
        <f t="shared" si="51"/>
        <v>57.224092719749997</v>
      </c>
      <c r="AB90" s="60">
        <f t="shared" si="47"/>
        <v>418.09761585274998</v>
      </c>
      <c r="AC90" s="108" t="s">
        <v>44</v>
      </c>
      <c r="AG90" s="192">
        <f>AG91</f>
        <v>0.68904541628300009</v>
      </c>
    </row>
    <row r="91" spans="1:33" x14ac:dyDescent="0.25">
      <c r="A91" s="2" t="s">
        <v>12</v>
      </c>
      <c r="B91" s="2" t="s">
        <v>17</v>
      </c>
      <c r="C91" s="6"/>
      <c r="D91" s="6" t="s">
        <v>1213</v>
      </c>
      <c r="E91" s="6" t="s">
        <v>140</v>
      </c>
      <c r="F91" s="6" t="s">
        <v>7</v>
      </c>
      <c r="G91" s="6"/>
      <c r="H91" s="90"/>
      <c r="I91" s="6" t="str">
        <f t="shared" si="34"/>
        <v>DoubleSingleSSFCUNatural Gas</v>
      </c>
      <c r="J91" s="93">
        <v>0</v>
      </c>
      <c r="K91" s="19">
        <f t="shared" si="54"/>
        <v>1.0903582671000001</v>
      </c>
      <c r="L91" s="19">
        <f>'Regresson List_SS'!G12+'Regresson List_SS'!H12*School!$C$23+'Regresson List_SS'!I12*School!$C$23^2</f>
        <v>0.27497656511889995</v>
      </c>
      <c r="N91" s="58" t="s">
        <v>44</v>
      </c>
      <c r="P91" s="19">
        <f>'Regresson List_SS'!G37+'Regresson List_SS'!H37*School!$C$23+'Regresson List_SS'!I37*School!$C$23^2</f>
        <v>77.093839300799999</v>
      </c>
      <c r="Q91" s="56">
        <f>P91-School!$F$35</f>
        <v>73.777425087675738</v>
      </c>
      <c r="R91" s="59">
        <f t="shared" si="35"/>
        <v>4.3017888889726685E-2</v>
      </c>
      <c r="S91" s="58" t="s">
        <v>44</v>
      </c>
      <c r="U91" s="53">
        <f t="shared" si="53"/>
        <v>17.257577065700001</v>
      </c>
      <c r="V91" s="19">
        <f t="shared" si="53"/>
        <v>15.6764114714</v>
      </c>
      <c r="W91" s="115"/>
      <c r="X91" s="83">
        <f>U91*School!$F$18</f>
        <v>5177273.1197100002</v>
      </c>
      <c r="Y91">
        <f t="shared" si="50"/>
        <v>431.4394266425</v>
      </c>
      <c r="Z91">
        <f>V91*School!$F$27</f>
        <v>235146.17207100001</v>
      </c>
      <c r="AA91">
        <f t="shared" si="51"/>
        <v>19.595514339250002</v>
      </c>
      <c r="AB91" s="60">
        <f t="shared" si="47"/>
        <v>411.84391230325002</v>
      </c>
      <c r="AC91" s="108" t="s">
        <v>44</v>
      </c>
      <c r="AG91" s="192">
        <f>AG85</f>
        <v>0.68904541628300009</v>
      </c>
    </row>
    <row r="92" spans="1:33" x14ac:dyDescent="0.25">
      <c r="A92" s="2" t="s">
        <v>17</v>
      </c>
      <c r="B92" s="2" t="s">
        <v>17</v>
      </c>
      <c r="C92" s="6"/>
      <c r="D92" s="6" t="s">
        <v>1213</v>
      </c>
      <c r="E92" s="6" t="s">
        <v>134</v>
      </c>
      <c r="F92" s="6" t="s">
        <v>7</v>
      </c>
      <c r="G92" s="6"/>
      <c r="H92" s="90"/>
      <c r="I92" s="6" t="str">
        <f t="shared" si="34"/>
        <v>SingleSingleSSVAVNatural Gas</v>
      </c>
      <c r="J92" s="93">
        <v>0</v>
      </c>
      <c r="K92" s="19">
        <f t="shared" si="54"/>
        <v>5.3602857646972994</v>
      </c>
      <c r="L92" s="19">
        <f>'Regresson List_SS'!G13+'Regresson List_SS'!H13*School!$C$23+'Regresson List_SS'!I13*School!$C$23^2</f>
        <v>0.72303615199740001</v>
      </c>
      <c r="N92" s="58" t="s">
        <v>44</v>
      </c>
      <c r="P92" s="19">
        <f>'Regresson List_SS'!G32+'Regresson List_SS'!H32*School!$C$23+'Regresson List_SS'!I32*School!$C$23^2</f>
        <v>87.113906747599998</v>
      </c>
      <c r="Q92" s="56">
        <f>P92-School!$F$35</f>
        <v>83.797492534475737</v>
      </c>
      <c r="R92" s="59">
        <f t="shared" si="35"/>
        <v>3.8069859761118208E-2</v>
      </c>
      <c r="S92" s="5" t="s">
        <v>44</v>
      </c>
      <c r="U92" s="53">
        <f t="shared" si="53"/>
        <v>19.1569770298</v>
      </c>
      <c r="V92" s="19">
        <f t="shared" ref="V92" si="55">V89</f>
        <v>24.7759603073</v>
      </c>
      <c r="W92" s="115"/>
      <c r="X92" s="83">
        <f>U92*School!$F$18</f>
        <v>5747093.1089399997</v>
      </c>
      <c r="Y92">
        <f t="shared" si="50"/>
        <v>478.92442574499995</v>
      </c>
      <c r="Z92">
        <f>V92*School!$F$27</f>
        <v>371639.40460950002</v>
      </c>
      <c r="AA92">
        <f t="shared" si="51"/>
        <v>30.969950384125003</v>
      </c>
      <c r="AB92" s="60">
        <f t="shared" si="47"/>
        <v>447.95447536087494</v>
      </c>
      <c r="AC92" s="108" t="s">
        <v>44</v>
      </c>
      <c r="AG92" s="189">
        <f>AG93</f>
        <v>0.32199101333899993</v>
      </c>
    </row>
    <row r="93" spans="1:33" x14ac:dyDescent="0.25">
      <c r="A93" s="2" t="s">
        <v>17</v>
      </c>
      <c r="B93" s="2" t="s">
        <v>12</v>
      </c>
      <c r="C93" s="6"/>
      <c r="D93" s="6" t="s">
        <v>1213</v>
      </c>
      <c r="E93" s="6" t="s">
        <v>134</v>
      </c>
      <c r="F93" s="6" t="s">
        <v>7</v>
      </c>
      <c r="G93" s="6"/>
      <c r="H93" s="90"/>
      <c r="I93" s="6" t="str">
        <f t="shared" si="34"/>
        <v>SingleDoubleSSVAVNatural Gas</v>
      </c>
      <c r="J93" s="93">
        <v>0</v>
      </c>
      <c r="K93" s="19">
        <f t="shared" si="54"/>
        <v>9.1059322430322016</v>
      </c>
      <c r="L93" s="19">
        <f>'Regresson List_SS'!G14+'Regresson List_SS'!H14*School!$C$23+'Regresson List_SS'!I14*School!$C$23^2</f>
        <v>0.66589129727349994</v>
      </c>
      <c r="N93" s="58" t="s">
        <v>44</v>
      </c>
      <c r="P93" s="19">
        <f>P92</f>
        <v>87.113906747599998</v>
      </c>
      <c r="Q93" s="56">
        <f>P93-School!$F$35</f>
        <v>83.797492534475737</v>
      </c>
      <c r="R93" s="59">
        <f t="shared" si="35"/>
        <v>3.8069859761118208E-2</v>
      </c>
      <c r="S93" s="5" t="s">
        <v>44</v>
      </c>
      <c r="U93" s="53">
        <f t="shared" si="53"/>
        <v>19.012868342899999</v>
      </c>
      <c r="V93" s="19">
        <f t="shared" ref="V93" si="56">V90</f>
        <v>45.779274175799998</v>
      </c>
      <c r="W93" s="115"/>
      <c r="X93" s="83">
        <f>U93*School!$F$18</f>
        <v>5703860.50287</v>
      </c>
      <c r="Y93">
        <f t="shared" si="50"/>
        <v>475.32170857249997</v>
      </c>
      <c r="Z93">
        <f>V93*School!$F$27</f>
        <v>686689.11263699993</v>
      </c>
      <c r="AA93">
        <f t="shared" si="51"/>
        <v>57.224092719749997</v>
      </c>
      <c r="AB93" s="60">
        <f t="shared" si="47"/>
        <v>418.09761585274998</v>
      </c>
      <c r="AC93" s="108" t="s">
        <v>44</v>
      </c>
      <c r="AG93" s="189">
        <f>AG94</f>
        <v>0.32199101333899993</v>
      </c>
    </row>
    <row r="94" spans="1:33" x14ac:dyDescent="0.25">
      <c r="A94" s="2" t="s">
        <v>12</v>
      </c>
      <c r="B94" s="2" t="s">
        <v>17</v>
      </c>
      <c r="C94" s="6"/>
      <c r="D94" s="6" t="s">
        <v>1213</v>
      </c>
      <c r="E94" s="6" t="s">
        <v>134</v>
      </c>
      <c r="F94" s="6" t="s">
        <v>7</v>
      </c>
      <c r="G94" s="6"/>
      <c r="H94" s="90"/>
      <c r="I94" s="6" t="str">
        <f t="shared" si="34"/>
        <v>DoubleSingleSSVAVNatural Gas</v>
      </c>
      <c r="J94" s="93">
        <v>0</v>
      </c>
      <c r="K94" s="19">
        <f t="shared" si="54"/>
        <v>4.3338616722722998</v>
      </c>
      <c r="L94" s="19">
        <f>'Regresson List_SS'!G15+'Regresson List_SS'!H15*School!$C$23+'Regresson List_SS'!I15*School!$C$23^2</f>
        <v>0.51536814375020001</v>
      </c>
      <c r="N94" s="58" t="s">
        <v>44</v>
      </c>
      <c r="P94" s="19">
        <f>'Regresson List_SS'!G33+'Regresson List_SS'!H33*School!$C$23+'Regresson List_SS'!I33*School!$C$23^2</f>
        <v>82.27462925399999</v>
      </c>
      <c r="Q94" s="56">
        <f>P94-School!$F$35</f>
        <v>78.958215040875729</v>
      </c>
      <c r="R94" s="59">
        <f t="shared" si="35"/>
        <v>4.0309075144972728E-2</v>
      </c>
      <c r="S94" s="5" t="s">
        <v>44</v>
      </c>
      <c r="U94" s="53">
        <f t="shared" si="53"/>
        <v>17.257577065700001</v>
      </c>
      <c r="V94" s="19">
        <f t="shared" ref="V94" si="57">V91</f>
        <v>15.6764114714</v>
      </c>
      <c r="W94" s="115"/>
      <c r="X94" s="83">
        <f>U94*School!$F$18</f>
        <v>5177273.1197100002</v>
      </c>
      <c r="Y94">
        <f t="shared" si="50"/>
        <v>431.4394266425</v>
      </c>
      <c r="Z94">
        <f>V94*School!$F$27</f>
        <v>235146.17207100001</v>
      </c>
      <c r="AA94">
        <f t="shared" si="51"/>
        <v>19.595514339250002</v>
      </c>
      <c r="AB94" s="60">
        <f t="shared" si="47"/>
        <v>411.84391230325002</v>
      </c>
      <c r="AC94" s="108" t="s">
        <v>44</v>
      </c>
      <c r="AG94" s="52">
        <f>'Regresson List_SS'!$D$40+'Regresson List_SS'!$E$40*School!$C$24+'Regresson List_SS'!$F$40*School!$C$24^2+'Regresson List_SS'!$G$40*School!$C$24^3</f>
        <v>0.32199101333899993</v>
      </c>
    </row>
    <row r="95" spans="1:33" x14ac:dyDescent="0.25">
      <c r="A95" s="2" t="s">
        <v>17</v>
      </c>
      <c r="B95" s="2" t="s">
        <v>17</v>
      </c>
      <c r="C95" s="6"/>
      <c r="D95" s="6" t="s">
        <v>151</v>
      </c>
      <c r="E95" s="6" t="s">
        <v>134</v>
      </c>
      <c r="F95" s="6" t="s">
        <v>29</v>
      </c>
      <c r="G95" s="6"/>
      <c r="H95" s="6"/>
      <c r="I95" s="6" t="str">
        <f t="shared" ref="I95:I109" si="58">CONCATENATE(A95,B95,C95,D95,E95,F95)</f>
        <v>SingleSingleHospVAVElectric</v>
      </c>
      <c r="J95" s="52">
        <f>('Regresson List_Hosp'!G4+'Regresson List_Hosp'!H4*Hospital!$C$23+'Regresson List_Hosp'!I4*Hospital!$C$23^2)</f>
        <v>28.833162681499999</v>
      </c>
      <c r="K95" s="19">
        <f>('Regresson List_Hosp'!J4+'Regresson List_Hosp'!K4*Hospital!$C$24+'Regresson List_Hosp'!L4*Hospital!$C$24^2)</f>
        <v>12.382448161743101</v>
      </c>
      <c r="L95" s="93">
        <v>0</v>
      </c>
      <c r="N95" s="58" t="s">
        <v>44</v>
      </c>
      <c r="P95" s="19">
        <f>'Regresson List_Hosp'!$G$22+'Regresson List_Hosp'!$H$22*Hospital!$C$23+'Regresson List_Hosp'!$I$22*Hospital!$C$23^2</f>
        <v>204.4147705988</v>
      </c>
      <c r="Q95" s="56">
        <f>P95-Hospital!$F$35</f>
        <v>192.76237215934421</v>
      </c>
      <c r="R95" s="59">
        <f t="shared" ref="R95" si="59">1-(Q95/P95)</f>
        <v>5.7003700883854758E-2</v>
      </c>
      <c r="S95" s="5" t="s">
        <v>44</v>
      </c>
      <c r="U95">
        <f>'Regresson List_Hosp'!$G$14+'Regresson List_Hosp'!$H$14*Hospital!$C$24+'Regresson List_Hosp'!$I$14*Hospital!$C$24^2</f>
        <v>20.864656076299998</v>
      </c>
      <c r="V95" s="19">
        <f>('Regresson List_Hosp'!$J$14+'Regresson List_Hosp'!$K$14*Hospital!$C$24+'Regresson List_Hosp'!$L$14*Hospital!$C$24^2)</f>
        <v>14.0630228995</v>
      </c>
      <c r="W95" s="115"/>
      <c r="X95" s="83">
        <f>U95*Hospital!$F$18</f>
        <v>4381577.7760229995</v>
      </c>
      <c r="Y95">
        <f t="shared" ref="Y95" si="60">X95/12000</f>
        <v>365.13148133524999</v>
      </c>
      <c r="Z95">
        <f>V95*Hospital!$F$27</f>
        <v>168756.274794</v>
      </c>
      <c r="AA95">
        <f t="shared" ref="AA95" si="61">Z95/12000</f>
        <v>14.0630228995</v>
      </c>
      <c r="AB95" s="60">
        <f t="shared" ref="AB95" si="62">Y95-AA95</f>
        <v>351.06845843574996</v>
      </c>
      <c r="AC95" s="108" t="s">
        <v>44</v>
      </c>
      <c r="AG95" s="192">
        <f t="shared" ref="AG95:AG98" si="63">AG96</f>
        <v>0.57541549487199994</v>
      </c>
    </row>
    <row r="96" spans="1:33" x14ac:dyDescent="0.25">
      <c r="A96" s="2" t="s">
        <v>17</v>
      </c>
      <c r="B96" s="2" t="s">
        <v>12</v>
      </c>
      <c r="C96" s="6"/>
      <c r="D96" s="6" t="s">
        <v>151</v>
      </c>
      <c r="E96" s="6" t="s">
        <v>134</v>
      </c>
      <c r="F96" s="6" t="s">
        <v>29</v>
      </c>
      <c r="G96" s="6"/>
      <c r="H96" s="6"/>
      <c r="I96" s="6" t="str">
        <f t="shared" si="58"/>
        <v>SingleDoubleHospVAVElectric</v>
      </c>
      <c r="J96" s="52">
        <f>('Regresson List_Hosp'!G5+'Regresson List_Hosp'!H5*Hospital!$C$23+'Regresson List_Hosp'!I5*Hospital!$C$23^2)</f>
        <v>34.011392519399998</v>
      </c>
      <c r="K96" s="19">
        <f>('Regresson List_Hosp'!J5+'Regresson List_Hosp'!K5*Hospital!$C$24+'Regresson List_Hosp'!L5*Hospital!$C$24^2)</f>
        <v>15.705779759881798</v>
      </c>
      <c r="L96" s="93">
        <v>0</v>
      </c>
      <c r="N96" s="58" t="s">
        <v>44</v>
      </c>
      <c r="P96" s="19">
        <f>'Regresson List_Hosp'!$G$22+'Regresson List_Hosp'!$H$22*Hospital!$C$23+'Regresson List_Hosp'!$I$22*Hospital!$C$23^2</f>
        <v>204.4147705988</v>
      </c>
      <c r="Q96" s="56">
        <f>P96-Hospital!$F$35</f>
        <v>192.76237215934421</v>
      </c>
      <c r="R96" s="59">
        <f t="shared" ref="R96:R97" si="64">1-(Q96/P96)</f>
        <v>5.7003700883854758E-2</v>
      </c>
      <c r="S96" s="5" t="s">
        <v>44</v>
      </c>
      <c r="U96">
        <f>'Regresson List_Hosp'!$G$15+'Regresson List_Hosp'!$H$15*Hospital!$C$24+'Regresson List_Hosp'!$I$15*Hospital!$C$24^2</f>
        <v>20.864656076299998</v>
      </c>
      <c r="V96" s="19">
        <f>('Regresson List_Hosp'!$J$15+'Regresson List_Hosp'!$K$15*Hospital!$C$24+'Regresson List_Hosp'!$L$15*Hospital!$C$24^2)</f>
        <v>24.289219391100001</v>
      </c>
      <c r="W96" s="115"/>
      <c r="X96" s="83">
        <f>U96*Hospital!$F$18</f>
        <v>4381577.7760229995</v>
      </c>
      <c r="Y96">
        <f t="shared" ref="Y96:Y98" si="65">X96/12000</f>
        <v>365.13148133524999</v>
      </c>
      <c r="Z96">
        <f>V96*Hospital!$F$27</f>
        <v>291470.63269320002</v>
      </c>
      <c r="AA96">
        <f t="shared" ref="AA96" si="66">Z96/12000</f>
        <v>24.289219391100001</v>
      </c>
      <c r="AB96" s="60">
        <f t="shared" ref="AB96:AB98" si="67">Y96-AA96</f>
        <v>340.84226194414998</v>
      </c>
      <c r="AC96" s="108" t="s">
        <v>44</v>
      </c>
      <c r="AG96" s="192">
        <f t="shared" si="63"/>
        <v>0.57541549487199994</v>
      </c>
    </row>
    <row r="97" spans="1:33" x14ac:dyDescent="0.25">
      <c r="A97" s="2" t="s">
        <v>12</v>
      </c>
      <c r="B97" s="2" t="s">
        <v>17</v>
      </c>
      <c r="C97" s="6"/>
      <c r="D97" s="6" t="s">
        <v>151</v>
      </c>
      <c r="E97" s="6" t="s">
        <v>134</v>
      </c>
      <c r="F97" s="6" t="s">
        <v>29</v>
      </c>
      <c r="G97" s="6"/>
      <c r="H97" s="6"/>
      <c r="I97" s="6" t="str">
        <f t="shared" si="58"/>
        <v>DoubleSingleHospVAVElectric</v>
      </c>
      <c r="J97" s="52">
        <f>('Regresson List_Hosp'!G6+'Regresson List_Hosp'!H6*Hospital!$C$23+'Regresson List_Hosp'!I6*Hospital!$C$23^2)</f>
        <v>17.049892449359501</v>
      </c>
      <c r="K97" s="19">
        <f>('Regresson List_Hosp'!J6+'Regresson List_Hosp'!K6*Hospital!$C$24+'Regresson List_Hosp'!L6*Hospital!$C$24^2)</f>
        <v>6.9357862339299992</v>
      </c>
      <c r="L97" s="93">
        <v>0</v>
      </c>
      <c r="N97" s="58" t="s">
        <v>44</v>
      </c>
      <c r="P97" s="19">
        <f>'Regresson List_Hosp'!$G$22+'Regresson List_Hosp'!$H$22*Hospital!$C$23+'Regresson List_Hosp'!$I$22*Hospital!$C$23^2</f>
        <v>204.4147705988</v>
      </c>
      <c r="Q97" s="56">
        <f>P97-Hospital!$F$35</f>
        <v>192.76237215934421</v>
      </c>
      <c r="R97" s="59">
        <f t="shared" si="64"/>
        <v>5.7003700883854758E-2</v>
      </c>
      <c r="S97" s="5" t="s">
        <v>44</v>
      </c>
      <c r="U97">
        <f>'Regresson List_Hosp'!$G$16+'Regresson List_Hosp'!$H$16*Hospital!$C$24+'Regresson List_Hosp'!$I$16*Hospital!$C$24^2</f>
        <v>22.101029129300002</v>
      </c>
      <c r="V97" s="19">
        <f>('Regresson List_Hosp'!$J$16+'Regresson List_Hosp'!$K$16*Hospital!$C$24+'Regresson List_Hosp'!$L$16*Hospital!$C$24^2)</f>
        <v>8.2078868912000011</v>
      </c>
      <c r="W97" s="115"/>
      <c r="X97" s="83">
        <f>U97*Hospital!$F$18</f>
        <v>4641216.1171530001</v>
      </c>
      <c r="Y97">
        <f t="shared" si="65"/>
        <v>386.76800976275001</v>
      </c>
      <c r="Z97">
        <f>V97*Hospital!$F$27</f>
        <v>98494.642694400012</v>
      </c>
      <c r="AA97">
        <f t="shared" ref="AA97:AA99" si="68">Z97/12000</f>
        <v>8.2078868912000011</v>
      </c>
      <c r="AB97" s="60">
        <f t="shared" si="67"/>
        <v>378.56012287154999</v>
      </c>
      <c r="AC97" s="108" t="s">
        <v>44</v>
      </c>
      <c r="AG97" s="192">
        <f t="shared" si="63"/>
        <v>0.57541549487199994</v>
      </c>
    </row>
    <row r="98" spans="1:33" x14ac:dyDescent="0.25">
      <c r="A98" s="2" t="s">
        <v>17</v>
      </c>
      <c r="B98" s="2" t="s">
        <v>17</v>
      </c>
      <c r="C98" s="6"/>
      <c r="D98" s="6" t="s">
        <v>151</v>
      </c>
      <c r="E98" s="6" t="s">
        <v>134</v>
      </c>
      <c r="F98" s="6" t="s">
        <v>7</v>
      </c>
      <c r="G98" s="6"/>
      <c r="H98" s="6"/>
      <c r="I98" s="6" t="str">
        <f t="shared" si="58"/>
        <v>SingleSingleHospVAVNatural Gas</v>
      </c>
      <c r="J98" s="93">
        <v>0</v>
      </c>
      <c r="K98" s="19">
        <f>('Regresson List_Hosp'!J7+'Regresson List_Hosp'!K7*Hospital!$C$24+'Regresson List_Hosp'!L7*Hospital!$C$24^2)</f>
        <v>12.382448161743101</v>
      </c>
      <c r="L98" s="19">
        <f>('Regresson List_Hosp'!G7+'Regresson List_Hosp'!H7*School!$C$23+'Regresson List_Hosp'!I7*School!$C$23^2)</f>
        <v>1.2603297618</v>
      </c>
      <c r="N98" s="58" t="s">
        <v>44</v>
      </c>
      <c r="P98" s="19">
        <f>'Regresson List_Hosp'!$G$23+'Regresson List_Hosp'!$H$23*Hospital!$C$23+'Regresson List_Hosp'!$I$23*Hospital!$C$23^2</f>
        <v>230.19917887899999</v>
      </c>
      <c r="Q98" s="56">
        <f>P98-Hospital!$F$35</f>
        <v>218.54678043954419</v>
      </c>
      <c r="R98" s="59">
        <f t="shared" ref="R98:R103" si="69">1-(Q98/P98)</f>
        <v>5.0618766305768004E-2</v>
      </c>
      <c r="S98" s="5" t="s">
        <v>44</v>
      </c>
      <c r="U98">
        <f>'Regresson List_Hosp'!$G$14+'Regresson List_Hosp'!$H$14*Hospital!$C$24+'Regresson List_Hosp'!$I$14*Hospital!$C$24^2</f>
        <v>20.864656076299998</v>
      </c>
      <c r="V98" s="19">
        <f>('Regresson List_Hosp'!$J$14+'Regresson List_Hosp'!$K$14*Hospital!$C$24+'Regresson List_Hosp'!$L$14*Hospital!$C$24^2)</f>
        <v>14.0630228995</v>
      </c>
      <c r="W98" s="115"/>
      <c r="X98" s="83">
        <f>U98*Hospital!$F$18</f>
        <v>4381577.7760229995</v>
      </c>
      <c r="Y98">
        <f t="shared" si="65"/>
        <v>365.13148133524999</v>
      </c>
      <c r="Z98">
        <f>V98*Hospital!$F$27</f>
        <v>168756.274794</v>
      </c>
      <c r="AA98">
        <f t="shared" si="68"/>
        <v>14.0630228995</v>
      </c>
      <c r="AB98" s="60">
        <f t="shared" si="67"/>
        <v>351.06845843574996</v>
      </c>
      <c r="AC98" s="108" t="s">
        <v>44</v>
      </c>
      <c r="AG98" s="192">
        <f t="shared" si="63"/>
        <v>0.57541549487199994</v>
      </c>
    </row>
    <row r="99" spans="1:33" x14ac:dyDescent="0.25">
      <c r="A99" s="2" t="s">
        <v>17</v>
      </c>
      <c r="B99" s="2" t="s">
        <v>12</v>
      </c>
      <c r="C99" s="6"/>
      <c r="D99" s="6" t="s">
        <v>151</v>
      </c>
      <c r="E99" s="6" t="s">
        <v>134</v>
      </c>
      <c r="F99" s="6" t="s">
        <v>7</v>
      </c>
      <c r="G99" s="6"/>
      <c r="H99" s="6"/>
      <c r="I99" s="6" t="str">
        <f t="shared" si="58"/>
        <v>SingleDoubleHospVAVNatural Gas</v>
      </c>
      <c r="J99" s="93">
        <v>0</v>
      </c>
      <c r="K99" s="19">
        <f>('Regresson List_Hosp'!J8+'Regresson List_Hosp'!K8*Hospital!$C$24+'Regresson List_Hosp'!L8*Hospital!$C$24^2)</f>
        <v>15.705779759881798</v>
      </c>
      <c r="L99" s="19">
        <f>('Regresson List_Hosp'!G8+'Regresson List_Hosp'!H8*School!$C$23+'Regresson List_Hosp'!I8*School!$C$23^2)</f>
        <v>1.5031314636999999</v>
      </c>
      <c r="N99" s="58" t="s">
        <v>44</v>
      </c>
      <c r="P99" s="19">
        <f>'Regresson List_Hosp'!$G$23+'Regresson List_Hosp'!$H$23*Hospital!$C$23+'Regresson List_Hosp'!$I$23*Hospital!$C$23^2</f>
        <v>230.19917887899999</v>
      </c>
      <c r="Q99" s="56">
        <f>P99-Hospital!$F$35</f>
        <v>218.54678043954419</v>
      </c>
      <c r="R99" s="59">
        <f t="shared" si="69"/>
        <v>5.0618766305768004E-2</v>
      </c>
      <c r="S99" s="5" t="s">
        <v>44</v>
      </c>
      <c r="U99">
        <f>'Regresson List_Hosp'!$G$15+'Regresson List_Hosp'!$H$15*Hospital!$C$24+'Regresson List_Hosp'!$I$15*Hospital!$C$24^2</f>
        <v>20.864656076299998</v>
      </c>
      <c r="V99" s="19">
        <f>('Regresson List_Hosp'!$J$15+'Regresson List_Hosp'!$K$15*Hospital!$C$24+'Regresson List_Hosp'!$L$15*Hospital!$C$24^2)</f>
        <v>24.289219391100001</v>
      </c>
      <c r="W99" s="115"/>
      <c r="X99" s="83">
        <f>U99*Hospital!$F$18</f>
        <v>4381577.7760229995</v>
      </c>
      <c r="Y99">
        <f t="shared" ref="Y99:Y100" si="70">X99/12000</f>
        <v>365.13148133524999</v>
      </c>
      <c r="Z99">
        <f>V99*Hospital!$F$27</f>
        <v>291470.63269320002</v>
      </c>
      <c r="AA99">
        <f t="shared" si="68"/>
        <v>24.289219391100001</v>
      </c>
      <c r="AB99" s="60">
        <f t="shared" ref="AB99:AB100" si="71">Y99-AA99</f>
        <v>340.84226194414998</v>
      </c>
      <c r="AC99" s="108" t="s">
        <v>44</v>
      </c>
      <c r="AG99" s="192">
        <f>AG100</f>
        <v>0.57541549487199994</v>
      </c>
    </row>
    <row r="100" spans="1:33" x14ac:dyDescent="0.25">
      <c r="A100" s="2" t="s">
        <v>12</v>
      </c>
      <c r="B100" s="2" t="s">
        <v>17</v>
      </c>
      <c r="C100" s="6"/>
      <c r="D100" s="6" t="s">
        <v>151</v>
      </c>
      <c r="E100" s="6" t="s">
        <v>134</v>
      </c>
      <c r="F100" s="6" t="s">
        <v>7</v>
      </c>
      <c r="G100" s="6"/>
      <c r="H100" s="6"/>
      <c r="I100" s="6" t="str">
        <f t="shared" si="58"/>
        <v>DoubleSingleHospVAVNatural Gas</v>
      </c>
      <c r="J100" s="93">
        <v>0</v>
      </c>
      <c r="K100" s="19">
        <f>('Regresson List_Hosp'!J9+'Regresson List_Hosp'!K9*Hospital!$C$24+'Regresson List_Hosp'!L9*Hospital!$C$24^2)</f>
        <v>6.9357862339299992</v>
      </c>
      <c r="L100" s="19">
        <f>('Regresson List_Hosp'!G9+'Regresson List_Hosp'!H9*School!$C$23+'Regresson List_Hosp'!I9*School!$C$23^2)</f>
        <v>0.73652503662049995</v>
      </c>
      <c r="N100" s="58" t="s">
        <v>44</v>
      </c>
      <c r="P100" s="19">
        <f>'Regresson List_Hosp'!$G$23+'Regresson List_Hosp'!$H$23*Hospital!$C$23+'Regresson List_Hosp'!$I$23*Hospital!$C$23^2</f>
        <v>230.19917887899999</v>
      </c>
      <c r="Q100" s="56">
        <f>P100-Hospital!$F$35</f>
        <v>218.54678043954419</v>
      </c>
      <c r="R100" s="59">
        <f t="shared" si="69"/>
        <v>5.0618766305768004E-2</v>
      </c>
      <c r="S100" s="5" t="s">
        <v>44</v>
      </c>
      <c r="U100">
        <f>'Regresson List_Hosp'!$G$16+'Regresson List_Hosp'!$H$16*Hospital!$C$24+'Regresson List_Hosp'!$I$16*Hospital!$C$24^2</f>
        <v>22.101029129300002</v>
      </c>
      <c r="V100" s="19">
        <f>('Regresson List_Hosp'!$J$16+'Regresson List_Hosp'!$K$16*Hospital!$C$24+'Regresson List_Hosp'!$L$16*Hospital!$C$24^2)</f>
        <v>8.2078868912000011</v>
      </c>
      <c r="W100" s="115"/>
      <c r="X100" s="83">
        <f>U100*Hospital!$F$18</f>
        <v>4641216.1171530001</v>
      </c>
      <c r="Y100">
        <f t="shared" si="70"/>
        <v>386.76800976275001</v>
      </c>
      <c r="Z100">
        <f>V100*Hospital!$F$27</f>
        <v>98494.642694400012</v>
      </c>
      <c r="AA100">
        <f t="shared" ref="AA100" si="72">Z100/12000</f>
        <v>8.2078868912000011</v>
      </c>
      <c r="AB100" s="60">
        <f t="shared" si="71"/>
        <v>378.56012287154999</v>
      </c>
      <c r="AC100" s="108" t="s">
        <v>44</v>
      </c>
      <c r="AG100" s="92">
        <f>'Regresson List_Hosp'!$D$27+'Regresson List_Hosp'!$E$27*Hospital!$C$24+'Regresson List_Hosp'!$F$27*Hospital!$C$24^2+'Regresson List_Hosp'!$G$27*Hospital!$C$24^3</f>
        <v>0.57541549487199994</v>
      </c>
    </row>
    <row r="101" spans="1:33" x14ac:dyDescent="0.25">
      <c r="A101" s="2" t="s">
        <v>17</v>
      </c>
      <c r="B101" s="2" t="s">
        <v>17</v>
      </c>
      <c r="C101" s="6" t="s">
        <v>155</v>
      </c>
      <c r="D101" s="6" t="s">
        <v>1033</v>
      </c>
      <c r="E101" s="6" t="s">
        <v>132</v>
      </c>
      <c r="F101" s="6" t="s">
        <v>29</v>
      </c>
      <c r="G101" s="6"/>
      <c r="H101" s="6"/>
      <c r="I101" s="6" t="str">
        <f t="shared" si="58"/>
        <v>SingleSingleLowMFPTACElectric</v>
      </c>
      <c r="J101" s="52">
        <f>('Regresson List_MF'!H4+'Regresson List_MF'!I4*'Multi-family'!$C$23+'Regresson List_MF'!J4*'Multi-family'!$C$23^2)</f>
        <v>9.3267983469552007</v>
      </c>
      <c r="K101" s="52">
        <f>('Regresson List_MF'!K4+'Regresson List_MF'!L4*'Multi-family'!$C$24+'Regresson List_MF'!M4*'Multi-family'!$C$24^2)</f>
        <v>5.4637066696999996</v>
      </c>
      <c r="L101" s="93">
        <v>0</v>
      </c>
      <c r="M101" s="8"/>
      <c r="N101" s="58" t="s">
        <v>44</v>
      </c>
      <c r="O101" s="53"/>
      <c r="P101" s="19">
        <f>'Regresson List_MF'!$H$27+'Regresson List_MF'!$I$27*'Multi-family'!C23+'Regresson List_MF'!$J$27*'Multi-family'!C23^2</f>
        <v>44.472006336900002</v>
      </c>
      <c r="Q101" s="125">
        <f>P101-'Multi-family'!$F$36</f>
        <v>31.852007931438955</v>
      </c>
      <c r="R101" s="126">
        <f t="shared" si="69"/>
        <v>0.28377398379235674</v>
      </c>
      <c r="S101" s="58" t="s">
        <v>44</v>
      </c>
      <c r="T101" s="8"/>
      <c r="U101">
        <f>'Regresson List_MF'!$G$17+'Regresson List_MF'!$H$17*'Multi-family'!$C$24+'Regresson List_MF'!$I$17*'Multi-family'!$C$24^2</f>
        <v>16.957787363999998</v>
      </c>
      <c r="V101" s="19">
        <f>('Regresson List_MF'!$J$17+'Regresson List_MF'!$K$17*'Multi-family'!$C$24+'Regresson List_MF'!$L$17*'Multi-family'!$C$24^2)</f>
        <v>31.711671111499996</v>
      </c>
      <c r="W101" s="114"/>
      <c r="X101" s="83">
        <f>U101*'Multi-family'!$F$18</f>
        <v>339155.74727999995</v>
      </c>
      <c r="Y101">
        <f t="shared" ref="Y101" si="73">X101/12000</f>
        <v>28.262978939999996</v>
      </c>
      <c r="Z101">
        <f>V101*'Multi-family'!$F$28</f>
        <v>158558.35555749998</v>
      </c>
      <c r="AA101">
        <f t="shared" ref="AA101" si="74">Z101/12000</f>
        <v>13.213196296458332</v>
      </c>
      <c r="AB101" s="60">
        <f t="shared" ref="AB101:AB109" si="75">Y101-AA101</f>
        <v>15.049782643541665</v>
      </c>
      <c r="AC101" s="108" t="s">
        <v>44</v>
      </c>
      <c r="AE101" s="2">
        <f>'Regresson List_MF'!H37+'Regresson List_MF'!I37*'Multi-family'!$C$23+'Regresson List_MF'!J37*'Multi-family'!$C$23^2+'Regresson List_MF'!K37*'Multi-family'!$C$23^3</f>
        <v>0.80801654718399984</v>
      </c>
      <c r="AF101" s="188">
        <f>'Regresson List_MF'!H50+'Regresson List_MF'!I50*'Multi-family'!$C$24+'Regresson List_MF'!J50*'Multi-family'!$C$24^2+'Regresson List_MF'!K50*'Multi-family'!$C$24^3</f>
        <v>0.91799538974170003</v>
      </c>
      <c r="AG101" s="192">
        <f>AG102</f>
        <v>0.28906699292000004</v>
      </c>
    </row>
    <row r="102" spans="1:33" x14ac:dyDescent="0.25">
      <c r="A102" s="2" t="s">
        <v>17</v>
      </c>
      <c r="B102" s="2" t="s">
        <v>12</v>
      </c>
      <c r="C102" s="6" t="s">
        <v>155</v>
      </c>
      <c r="D102" s="6" t="s">
        <v>1033</v>
      </c>
      <c r="E102" s="6" t="s">
        <v>132</v>
      </c>
      <c r="F102" s="6" t="s">
        <v>29</v>
      </c>
      <c r="G102" s="6"/>
      <c r="H102" s="6"/>
      <c r="I102" s="6" t="str">
        <f t="shared" si="58"/>
        <v>SingleDoubleLowMFPTACElectric</v>
      </c>
      <c r="J102" s="52">
        <f>('Regresson List_MF'!H5+'Regresson List_MF'!I5*'Multi-family'!$C$23+'Regresson List_MF'!J5*'Multi-family'!$C$23^2)</f>
        <v>6.817538589105899</v>
      </c>
      <c r="K102" s="52">
        <f>('Regresson List_MF'!K5+'Regresson List_MF'!L5*'Multi-family'!$C$24+'Regresson List_MF'!M5*'Multi-family'!$C$24^2)</f>
        <v>10.2373614052</v>
      </c>
      <c r="L102" s="93">
        <v>0</v>
      </c>
      <c r="M102" s="8"/>
      <c r="N102" s="58" t="s">
        <v>44</v>
      </c>
      <c r="O102" s="53"/>
      <c r="P102" s="19">
        <f>'Regresson List_MF'!$H$27+'Regresson List_MF'!$I$27*'Multi-family'!C24+'Regresson List_MF'!$J$27*'Multi-family'!C24^2</f>
        <v>45.613737929099997</v>
      </c>
      <c r="Q102" s="125">
        <f>P102-'Multi-family'!$F$36</f>
        <v>32.993739523638951</v>
      </c>
      <c r="R102" s="126">
        <f t="shared" si="69"/>
        <v>0.27667099822156693</v>
      </c>
      <c r="S102" s="58" t="s">
        <v>44</v>
      </c>
      <c r="T102" s="8"/>
      <c r="U102">
        <f>'Regresson List_MF'!$G$18+'Regresson List_MF'!$H$18*'Multi-family'!$C$24+'Regresson List_MF'!$I$18*'Multi-family'!$C$24^2</f>
        <v>16.957787363999998</v>
      </c>
      <c r="V102" s="19">
        <f>('Regresson List_MF'!$J$18+'Regresson List_MF'!$K$18*'Multi-family'!$C$24+'Regresson List_MF'!$L$18*'Multi-family'!$C$24^2)</f>
        <v>58.504850286699998</v>
      </c>
      <c r="W102" s="114"/>
      <c r="X102" s="83">
        <f>U102*'Multi-family'!$F$18</f>
        <v>339155.74727999995</v>
      </c>
      <c r="Y102">
        <f t="shared" ref="Y102:Y103" si="76">X102/12000</f>
        <v>28.262978939999996</v>
      </c>
      <c r="Z102">
        <f>V102*'Multi-family'!$F$28</f>
        <v>292524.25143349997</v>
      </c>
      <c r="AA102">
        <f t="shared" ref="AA102:AA103" si="77">Z102/12000</f>
        <v>24.377020952791664</v>
      </c>
      <c r="AB102" s="60">
        <f t="shared" si="75"/>
        <v>3.8859579872083323</v>
      </c>
      <c r="AC102" s="108" t="s">
        <v>44</v>
      </c>
      <c r="AE102" s="2">
        <f>'Regresson List_MF'!H38+'Regresson List_MF'!I38*'Multi-family'!$C$23+'Regresson List_MF'!J38*'Multi-family'!$C$23^2+'Regresson List_MF'!K38*'Multi-family'!$C$23^3</f>
        <v>0.80801654718399984</v>
      </c>
      <c r="AF102" s="188">
        <f>'Regresson List_MF'!H51+'Regresson List_MF'!I51*'Multi-family'!$C$24+'Regresson List_MF'!J51*'Multi-family'!$C$24^2+'Regresson List_MF'!K51*'Multi-family'!$C$24^3</f>
        <v>0.91799538974170003</v>
      </c>
      <c r="AG102" s="192">
        <f>AG103</f>
        <v>0.28906699292000004</v>
      </c>
    </row>
    <row r="103" spans="1:33" x14ac:dyDescent="0.25">
      <c r="A103" s="2" t="s">
        <v>12</v>
      </c>
      <c r="B103" s="2" t="s">
        <v>17</v>
      </c>
      <c r="C103" s="6" t="s">
        <v>155</v>
      </c>
      <c r="D103" s="6" t="s">
        <v>1033</v>
      </c>
      <c r="E103" s="6" t="s">
        <v>132</v>
      </c>
      <c r="F103" s="6" t="s">
        <v>29</v>
      </c>
      <c r="G103" s="6"/>
      <c r="H103" s="6"/>
      <c r="I103" s="6" t="str">
        <f t="shared" si="58"/>
        <v>DoubleSingleLowMFPTACElectric</v>
      </c>
      <c r="J103" s="52">
        <f>('Regresson List_MF'!H6+'Regresson List_MF'!I6*'Multi-family'!$C$23+'Regresson List_MF'!J6*'Multi-family'!$C$23^2)</f>
        <v>4.2241121170436999</v>
      </c>
      <c r="K103" s="52">
        <f>('Regresson List_MF'!K6+'Regresson List_MF'!L6*'Multi-family'!$C$24+'Regresson List_MF'!M6*'Multi-family'!$C$24^2)</f>
        <v>3.9651811232000003</v>
      </c>
      <c r="L103" s="93">
        <v>0</v>
      </c>
      <c r="M103" s="8"/>
      <c r="N103" s="58" t="s">
        <v>44</v>
      </c>
      <c r="O103" s="53"/>
      <c r="P103" s="19">
        <f>'Regresson List_MF'!$H$28+'Regresson List_MF'!$I$28*'Multi-family'!C25+'Regresson List_MF'!$J$28*'Multi-family'!C25^2</f>
        <v>42.489195614099998</v>
      </c>
      <c r="Q103" s="125">
        <f>P103-'Multi-family'!$F$36</f>
        <v>29.869197208638951</v>
      </c>
      <c r="R103" s="126">
        <f t="shared" si="69"/>
        <v>0.29701664677485951</v>
      </c>
      <c r="S103" s="58" t="s">
        <v>44</v>
      </c>
      <c r="T103" s="8"/>
      <c r="U103">
        <f>'Regresson List_MF'!$G$19+'Regresson List_MF'!$H$19*'Multi-family'!$C$24+'Regresson List_MF'!$I$19*'Multi-family'!$C$24^2</f>
        <v>14.0724113323</v>
      </c>
      <c r="V103" s="19">
        <f>('Regresson List_MF'!$J$19+'Regresson List_MF'!$K$19*'Multi-family'!$C$24+'Regresson List_MF'!$L$19*'Multi-family'!$C$24^2)</f>
        <v>21.589698615300001</v>
      </c>
      <c r="W103" s="114"/>
      <c r="X103" s="83">
        <f>U103*'Multi-family'!$F$18</f>
        <v>281448.226646</v>
      </c>
      <c r="Y103">
        <f t="shared" si="76"/>
        <v>23.454018887166665</v>
      </c>
      <c r="Z103">
        <f>V103*'Multi-family'!$F$28</f>
        <v>107948.4930765</v>
      </c>
      <c r="AA103">
        <f t="shared" si="77"/>
        <v>8.9957077563749994</v>
      </c>
      <c r="AB103" s="60">
        <f t="shared" si="75"/>
        <v>14.458311130791666</v>
      </c>
      <c r="AC103" s="108" t="s">
        <v>44</v>
      </c>
      <c r="AE103" s="2">
        <f>'Regresson List_MF'!H39+'Regresson List_MF'!I39*'Multi-family'!$C$23+'Regresson List_MF'!J39*'Multi-family'!$C$23^2+'Regresson List_MF'!K39*'Multi-family'!$C$23^3</f>
        <v>0.80801654718399984</v>
      </c>
      <c r="AF103" s="188">
        <f>'Regresson List_MF'!H52+'Regresson List_MF'!I52*'Multi-family'!$C$24+'Regresson List_MF'!J52*'Multi-family'!$C$24^2+'Regresson List_MF'!K52*'Multi-family'!$C$24^3</f>
        <v>0.91799538974170003</v>
      </c>
      <c r="AG103" s="92">
        <f>'Regresson List_MF'!$H$62+'Regresson List_MF'!$I$62*'Multi-family'!$C$24+'Regresson List_MF'!$J$62*'Multi-family'!$C$24^2+'Regresson List_MF'!$K$62*'Multi-family'!$C$24^3</f>
        <v>0.28906699292000004</v>
      </c>
    </row>
    <row r="104" spans="1:33" x14ac:dyDescent="0.25">
      <c r="A104" s="2" t="s">
        <v>17</v>
      </c>
      <c r="B104" s="2" t="s">
        <v>17</v>
      </c>
      <c r="C104" s="6" t="s">
        <v>14</v>
      </c>
      <c r="D104" s="6" t="s">
        <v>1033</v>
      </c>
      <c r="E104" s="6" t="s">
        <v>140</v>
      </c>
      <c r="F104" s="6" t="s">
        <v>29</v>
      </c>
      <c r="G104" s="6"/>
      <c r="H104" s="6"/>
      <c r="I104" s="6" t="str">
        <f t="shared" si="58"/>
        <v>SingleSingleMidMFFCUElectric</v>
      </c>
      <c r="J104" s="52">
        <f>('Regresson List_MF'!H7+'Regresson List_MF'!I7*'Multi-family'!$C$23+'Regresson List_MF'!J7*'Multi-family'!$C$23^2)</f>
        <v>8.0949987187165995</v>
      </c>
      <c r="K104" s="52">
        <f>('Regresson List_MF'!K7+'Regresson List_MF'!L7*'Multi-family'!$C$24+'Regresson List_MF'!M7*'Multi-family'!$C$24^2)</f>
        <v>4.722940184900799</v>
      </c>
      <c r="L104" s="93">
        <v>0</v>
      </c>
      <c r="M104" s="8"/>
      <c r="N104" s="58" t="s">
        <v>44</v>
      </c>
      <c r="O104" s="8"/>
      <c r="P104" s="19">
        <f>'Regresson List_MF'!$H$29+'Regresson List_MF'!$I$29*'Multi-family'!$C$23+'Regresson List_MF'!$J$29*'Multi-family'!$C$23^2</f>
        <v>42.1564935651</v>
      </c>
      <c r="Q104" s="56">
        <f>P104-'Multi-family'!$F$36</f>
        <v>29.536495159638953</v>
      </c>
      <c r="R104" s="59">
        <f t="shared" ref="R104:R106" si="78">1-(Q104/P104)</f>
        <v>0.29936072330049612</v>
      </c>
      <c r="S104" s="58" t="s">
        <v>44</v>
      </c>
      <c r="T104" s="8"/>
      <c r="U104">
        <f>'Regresson List_MF'!$G$20+'Regresson List_MF'!$H$20*'Multi-family'!$C$24+'Regresson List_MF'!$I$20*'Multi-family'!$C$24^2</f>
        <v>14.1333439429</v>
      </c>
      <c r="V104" s="19">
        <f>('Regresson List_MF'!$J$20+'Regresson List_MF'!$K$20*'Multi-family'!$C$24+'Regresson List_MF'!$L$20*'Multi-family'!$C$24^2)</f>
        <v>24.134745796799997</v>
      </c>
      <c r="W104" s="114"/>
      <c r="X104" s="83">
        <f>U104*'Multi-family'!$F$18</f>
        <v>282666.87885799998</v>
      </c>
      <c r="Y104">
        <f t="shared" ref="Y104:Y106" si="79">X104/12000</f>
        <v>23.555573238166666</v>
      </c>
      <c r="Z104">
        <f>V104*'Multi-family'!$F$28</f>
        <v>120673.72898399999</v>
      </c>
      <c r="AA104">
        <f t="shared" ref="AA104:AA106" si="80">Z104/12000</f>
        <v>10.056144081999999</v>
      </c>
      <c r="AB104" s="60">
        <f t="shared" si="75"/>
        <v>13.499429156166666</v>
      </c>
      <c r="AC104" s="108" t="s">
        <v>44</v>
      </c>
      <c r="AE104" s="2">
        <f>'Regresson List_MF'!H40+'Regresson List_MF'!I40*'Multi-family'!$C$23+'Regresson List_MF'!J40*'Multi-family'!$C$23^2+'Regresson List_MF'!K40*'Multi-family'!$C$23^3</f>
        <v>0.80801654718399984</v>
      </c>
      <c r="AF104" s="188">
        <f>'Regresson List_MF'!H53+'Regresson List_MF'!I53*'Multi-family'!$C$24+'Regresson List_MF'!J53*'Multi-family'!$C$24^2+'Regresson List_MF'!K53*'Multi-family'!$C$24^3</f>
        <v>0.91799538974170003</v>
      </c>
      <c r="AG104" s="192">
        <f t="shared" ref="AG104:AG107" si="81">AG105</f>
        <v>0.55232528017999993</v>
      </c>
    </row>
    <row r="105" spans="1:33" x14ac:dyDescent="0.25">
      <c r="A105" s="2" t="s">
        <v>17</v>
      </c>
      <c r="B105" s="2" t="s">
        <v>12</v>
      </c>
      <c r="C105" s="6" t="s">
        <v>14</v>
      </c>
      <c r="D105" s="6" t="s">
        <v>1033</v>
      </c>
      <c r="E105" s="6" t="s">
        <v>140</v>
      </c>
      <c r="F105" s="6" t="s">
        <v>29</v>
      </c>
      <c r="G105" s="6"/>
      <c r="H105" s="6"/>
      <c r="I105" s="6" t="str">
        <f t="shared" si="58"/>
        <v>SingleDoubleMidMFFCUElectric</v>
      </c>
      <c r="J105" s="52">
        <f>('Regresson List_MF'!H8+'Regresson List_MF'!I8*'Multi-family'!$C$23+'Regresson List_MF'!J8*'Multi-family'!$C$23^2)</f>
        <v>5.8829750509606997</v>
      </c>
      <c r="K105" s="52">
        <f>('Regresson List_MF'!K8+'Regresson List_MF'!L8*'Multi-family'!$C$24+'Regresson List_MF'!M8*'Multi-family'!$C$24^2)</f>
        <v>9.4893119340810994</v>
      </c>
      <c r="L105" s="93">
        <v>0</v>
      </c>
      <c r="M105" s="8"/>
      <c r="N105" s="58" t="s">
        <v>44</v>
      </c>
      <c r="O105" s="8"/>
      <c r="P105" s="19">
        <f>'Regresson List_MF'!$H$29+'Regresson List_MF'!$I$29*'Multi-family'!$C$23+'Regresson List_MF'!$J$29*'Multi-family'!$C$23^2</f>
        <v>42.1564935651</v>
      </c>
      <c r="Q105" s="56">
        <f>P105-'Multi-family'!$F$36</f>
        <v>29.536495159638953</v>
      </c>
      <c r="R105" s="59">
        <f t="shared" si="78"/>
        <v>0.29936072330049612</v>
      </c>
      <c r="S105" s="58" t="s">
        <v>44</v>
      </c>
      <c r="T105" s="8"/>
      <c r="U105">
        <f>'Regresson List_MF'!$G$21+'Regresson List_MF'!$H$21*'Multi-family'!$C$24+'Regresson List_MF'!$I$21*'Multi-family'!$C$24^2</f>
        <v>14.1333439429</v>
      </c>
      <c r="V105" s="19">
        <f>('Regresson List_MF'!$J$21+'Regresson List_MF'!$K$21*'Multi-family'!$C$24+'Regresson List_MF'!$L$21*'Multi-family'!$C$24^2)</f>
        <v>46.374116786499997</v>
      </c>
      <c r="W105" s="114"/>
      <c r="X105" s="83">
        <f>U105*'Multi-family'!$F$18</f>
        <v>282666.87885799998</v>
      </c>
      <c r="Y105">
        <f t="shared" si="79"/>
        <v>23.555573238166666</v>
      </c>
      <c r="Z105">
        <f>V105*'Multi-family'!$F$28</f>
        <v>231870.58393249998</v>
      </c>
      <c r="AA105">
        <f t="shared" si="80"/>
        <v>19.322548661041665</v>
      </c>
      <c r="AB105" s="60">
        <f t="shared" si="75"/>
        <v>4.2330245771250006</v>
      </c>
      <c r="AC105" s="108" t="s">
        <v>44</v>
      </c>
      <c r="AE105" s="2">
        <f>'Regresson List_MF'!H41+'Regresson List_MF'!I41*'Multi-family'!$C$23+'Regresson List_MF'!J41*'Multi-family'!$C$23^2+'Regresson List_MF'!K41*'Multi-family'!$C$23^3</f>
        <v>0.80801654718399984</v>
      </c>
      <c r="AF105" s="188">
        <f>'Regresson List_MF'!H54+'Regresson List_MF'!I54*'Multi-family'!$C$24+'Regresson List_MF'!J54*'Multi-family'!$C$24^2+'Regresson List_MF'!K54*'Multi-family'!$C$24^3</f>
        <v>0.91799538974170003</v>
      </c>
      <c r="AG105" s="192">
        <f t="shared" si="81"/>
        <v>0.55232528017999993</v>
      </c>
    </row>
    <row r="106" spans="1:33" x14ac:dyDescent="0.25">
      <c r="A106" s="2" t="s">
        <v>12</v>
      </c>
      <c r="B106" s="2" t="s">
        <v>17</v>
      </c>
      <c r="C106" s="6" t="s">
        <v>14</v>
      </c>
      <c r="D106" s="6" t="s">
        <v>1033</v>
      </c>
      <c r="E106" s="6" t="s">
        <v>140</v>
      </c>
      <c r="F106" s="6" t="s">
        <v>29</v>
      </c>
      <c r="G106" s="6"/>
      <c r="H106" s="6"/>
      <c r="I106" s="6" t="str">
        <f t="shared" si="58"/>
        <v>DoubleSingleMidMFFCUElectric</v>
      </c>
      <c r="J106" s="52">
        <f>('Regresson List_MF'!H9+'Regresson List_MF'!I9*'Multi-family'!$C$23+'Regresson List_MF'!J9*'Multi-family'!$C$23^2)</f>
        <v>3.1959784889124006</v>
      </c>
      <c r="K106" s="52">
        <f>('Regresson List_MF'!K9+'Regresson List_MF'!L9*'Multi-family'!$C$24+'Regresson List_MF'!M9*'Multi-family'!$C$24^2)</f>
        <v>3.4119514775121997</v>
      </c>
      <c r="L106" s="93">
        <v>0</v>
      </c>
      <c r="M106" s="8"/>
      <c r="N106" s="58" t="s">
        <v>44</v>
      </c>
      <c r="O106" s="8"/>
      <c r="P106" s="19">
        <f>'Regresson List_MF'!$H$30+'Regresson List_MF'!$I$30*'Multi-family'!$C$23+'Regresson List_MF'!$J$30*'Multi-family'!$C$23^2</f>
        <v>39.366115920899993</v>
      </c>
      <c r="Q106" s="56">
        <f>P106-'Multi-family'!$F$36</f>
        <v>26.746117515438947</v>
      </c>
      <c r="R106" s="59">
        <f t="shared" si="78"/>
        <v>0.32058022769680772</v>
      </c>
      <c r="S106" s="58" t="s">
        <v>44</v>
      </c>
      <c r="T106" s="8"/>
      <c r="U106">
        <f>'Regresson List_MF'!$G$22+'Regresson List_MF'!$H$22*'Multi-family'!$C$24+'Regresson List_MF'!$I$22*'Multi-family'!$C$24^2</f>
        <v>11.838008606700001</v>
      </c>
      <c r="V106" s="19">
        <f>('Regresson List_MF'!$J$22+'Regresson List_MF'!$K$22*'Multi-family'!$C$24+'Regresson List_MF'!$L$22*'Multi-family'!$C$24^2)</f>
        <v>10.534613199000001</v>
      </c>
      <c r="W106" s="114"/>
      <c r="X106" s="83">
        <f>U106*'Multi-family'!$F$18</f>
        <v>236760.17213400002</v>
      </c>
      <c r="Y106">
        <f t="shared" si="79"/>
        <v>19.730014344500002</v>
      </c>
      <c r="Z106">
        <f>V106*'Multi-family'!$F$28</f>
        <v>52673.065995000004</v>
      </c>
      <c r="AA106">
        <f t="shared" si="80"/>
        <v>4.3894221662500001</v>
      </c>
      <c r="AB106" s="60">
        <f t="shared" si="75"/>
        <v>15.340592178250002</v>
      </c>
      <c r="AC106" s="108" t="s">
        <v>44</v>
      </c>
      <c r="AE106" s="2">
        <f>'Regresson List_MF'!H42+'Regresson List_MF'!I42*'Multi-family'!$C$23+'Regresson List_MF'!J42*'Multi-family'!$C$23^2+'Regresson List_MF'!K42*'Multi-family'!$C$23^3</f>
        <v>0.80801654718399984</v>
      </c>
      <c r="AF106" s="188">
        <f>'Regresson List_MF'!H55+'Regresson List_MF'!I55*'Multi-family'!$C$24+'Regresson List_MF'!J55*'Multi-family'!$C$24^2+'Regresson List_MF'!K55*'Multi-family'!$C$24^3</f>
        <v>0.91799538974170003</v>
      </c>
      <c r="AG106" s="192">
        <f t="shared" si="81"/>
        <v>0.55232528017999993</v>
      </c>
    </row>
    <row r="107" spans="1:33" x14ac:dyDescent="0.25">
      <c r="A107" s="2" t="s">
        <v>17</v>
      </c>
      <c r="B107" s="2" t="s">
        <v>17</v>
      </c>
      <c r="C107" s="6" t="s">
        <v>14</v>
      </c>
      <c r="D107" s="6" t="s">
        <v>1033</v>
      </c>
      <c r="E107" s="6" t="s">
        <v>140</v>
      </c>
      <c r="F107" s="6" t="s">
        <v>7</v>
      </c>
      <c r="G107" s="6"/>
      <c r="H107" s="6"/>
      <c r="I107" s="6" t="str">
        <f t="shared" si="58"/>
        <v>SingleSingleMidMFFCUNatural Gas</v>
      </c>
      <c r="J107" s="183">
        <v>0</v>
      </c>
      <c r="K107" s="52">
        <f>('Regresson List_MF'!K10+'Regresson List_MF'!L10*'Multi-family'!$C$24+'Regresson List_MF'!M10*'Multi-family'!$C$24^2)</f>
        <v>4.722940184900799</v>
      </c>
      <c r="L107" s="52">
        <f>'Regresson List_MF'!H10+'Regresson List_MF'!I10*'Multi-family'!$C$23+'Regresson List_MF'!J10*'Multi-family'!$C$23^2</f>
        <v>0.34525171700879997</v>
      </c>
      <c r="M107" s="8"/>
      <c r="N107" s="58" t="s">
        <v>44</v>
      </c>
      <c r="O107" s="8"/>
      <c r="P107" s="19">
        <f>'Regresson List_MF'!$H$31+'Regresson List_MF'!$I$31*'Multi-family'!$C$23+'Regresson List_MF'!$J$31*'Multi-family'!$C$23^2</f>
        <v>44.492010056299996</v>
      </c>
      <c r="Q107" s="56">
        <f>P107-'Multi-family'!$F$36</f>
        <v>31.872011650838949</v>
      </c>
      <c r="R107" s="59">
        <f t="shared" ref="R107:R109" si="82">1-(Q107/P107)</f>
        <v>0.28364639829694716</v>
      </c>
      <c r="S107" s="58" t="s">
        <v>44</v>
      </c>
      <c r="T107" s="8"/>
      <c r="U107">
        <f>'Regresson List_MF'!$G$20+'Regresson List_MF'!$H$20*'Multi-family'!$C$24+'Regresson List_MF'!$I$20*'Multi-family'!$C$24^2</f>
        <v>14.1333439429</v>
      </c>
      <c r="V107" s="19">
        <f>('Regresson List_MF'!$J$20+'Regresson List_MF'!$K$20*'Multi-family'!$C$24+'Regresson List_MF'!$L$20*'Multi-family'!$C$24^2)</f>
        <v>24.134745796799997</v>
      </c>
      <c r="W107" s="114"/>
      <c r="X107" s="83">
        <f>U107*'Multi-family'!$F$18</f>
        <v>282666.87885799998</v>
      </c>
      <c r="Y107">
        <f t="shared" ref="Y107:Y109" si="83">X107/12000</f>
        <v>23.555573238166666</v>
      </c>
      <c r="Z107">
        <f>V107*'Multi-family'!$F$28</f>
        <v>120673.72898399999</v>
      </c>
      <c r="AA107">
        <f t="shared" ref="AA107:AA109" si="84">Z107/12000</f>
        <v>10.056144081999999</v>
      </c>
      <c r="AB107" s="60">
        <f t="shared" si="75"/>
        <v>13.499429156166666</v>
      </c>
      <c r="AC107" s="108" t="s">
        <v>44</v>
      </c>
      <c r="AE107" s="2">
        <f>'Regresson List_MF'!H43+'Regresson List_MF'!I43*'Multi-family'!$C$23+'Regresson List_MF'!J43*'Multi-family'!$C$23^2+'Regresson List_MF'!K43*'Multi-family'!$C$23^3</f>
        <v>0.80801654718399984</v>
      </c>
      <c r="AF107" s="188">
        <f>'Regresson List_MF'!H56+'Regresson List_MF'!I56*'Multi-family'!$C$24+'Regresson List_MF'!J56*'Multi-family'!$C$24^2+'Regresson List_MF'!K56*'Multi-family'!$C$24^3</f>
        <v>0.91799538974170003</v>
      </c>
      <c r="AG107" s="192">
        <f t="shared" si="81"/>
        <v>0.55232528017999993</v>
      </c>
    </row>
    <row r="108" spans="1:33" x14ac:dyDescent="0.25">
      <c r="A108" s="2" t="s">
        <v>17</v>
      </c>
      <c r="B108" s="2" t="s">
        <v>12</v>
      </c>
      <c r="C108" s="6" t="s">
        <v>14</v>
      </c>
      <c r="D108" s="6" t="s">
        <v>1033</v>
      </c>
      <c r="E108" s="6" t="s">
        <v>140</v>
      </c>
      <c r="F108" s="6" t="s">
        <v>7</v>
      </c>
      <c r="G108" s="6"/>
      <c r="H108" s="6"/>
      <c r="I108" s="6" t="str">
        <f t="shared" si="58"/>
        <v>SingleDoubleMidMFFCUNatural Gas</v>
      </c>
      <c r="J108" s="183">
        <v>0</v>
      </c>
      <c r="K108" s="52">
        <f>('Regresson List_MF'!K11+'Regresson List_MF'!L11*'Multi-family'!$C$24+'Regresson List_MF'!M11*'Multi-family'!$C$24^2)</f>
        <v>9.4893119340810994</v>
      </c>
      <c r="L108" s="52">
        <f>'Regresson List_MF'!H11+'Regresson List_MF'!I11*'Multi-family'!$C$23+'Regresson List_MF'!J11*'Multi-family'!$C$23^2</f>
        <v>0.25090835487340002</v>
      </c>
      <c r="M108" s="8"/>
      <c r="N108" s="58" t="s">
        <v>44</v>
      </c>
      <c r="O108" s="8"/>
      <c r="P108" s="19">
        <f>'Regresson List_MF'!$H$31+'Regresson List_MF'!$I$31*'Multi-family'!$C$23+'Regresson List_MF'!$J$31*'Multi-family'!$C$23^2</f>
        <v>44.492010056299996</v>
      </c>
      <c r="Q108" s="56">
        <f>P108-'Multi-family'!$F$36</f>
        <v>31.872011650838949</v>
      </c>
      <c r="R108" s="59">
        <f t="shared" ref="R108" si="85">1-(Q108/P108)</f>
        <v>0.28364639829694716</v>
      </c>
      <c r="S108" s="58" t="s">
        <v>44</v>
      </c>
      <c r="T108" s="8"/>
      <c r="U108">
        <f>'Regresson List_MF'!$G$21+'Regresson List_MF'!$H$21*'Multi-family'!$C$24+'Regresson List_MF'!$I$21*'Multi-family'!$C$24^2</f>
        <v>14.1333439429</v>
      </c>
      <c r="V108" s="19">
        <f>('Regresson List_MF'!$J$21+'Regresson List_MF'!$K$21*'Multi-family'!$C$24+'Regresson List_MF'!$L$21*'Multi-family'!$C$24^2)</f>
        <v>46.374116786499997</v>
      </c>
      <c r="W108" s="114"/>
      <c r="X108" s="83">
        <f>U108*'Multi-family'!$F$18</f>
        <v>282666.87885799998</v>
      </c>
      <c r="Y108">
        <f t="shared" si="83"/>
        <v>23.555573238166666</v>
      </c>
      <c r="Z108">
        <f>V108*'Multi-family'!$F$28</f>
        <v>231870.58393249998</v>
      </c>
      <c r="AA108">
        <f t="shared" si="84"/>
        <v>19.322548661041665</v>
      </c>
      <c r="AB108" s="60">
        <f t="shared" si="75"/>
        <v>4.2330245771250006</v>
      </c>
      <c r="AC108" s="108" t="s">
        <v>44</v>
      </c>
      <c r="AE108" s="2">
        <f>'Regresson List_MF'!H44+'Regresson List_MF'!I44*'Multi-family'!$C$23+'Regresson List_MF'!J44*'Multi-family'!$C$23^2+'Regresson List_MF'!K44*'Multi-family'!$C$23^3</f>
        <v>0.80801654718399984</v>
      </c>
      <c r="AF108" s="188">
        <f>'Regresson List_MF'!H57+'Regresson List_MF'!I57*'Multi-family'!$C$24+'Regresson List_MF'!J57*'Multi-family'!$C$24^2+'Regresson List_MF'!K57*'Multi-family'!$C$24^3</f>
        <v>0.91799538974170003</v>
      </c>
      <c r="AG108" s="192">
        <f>AG109</f>
        <v>0.55232528017999993</v>
      </c>
    </row>
    <row r="109" spans="1:33" x14ac:dyDescent="0.25">
      <c r="A109" s="2" t="s">
        <v>12</v>
      </c>
      <c r="B109" s="2" t="s">
        <v>17</v>
      </c>
      <c r="C109" s="6" t="s">
        <v>14</v>
      </c>
      <c r="D109" s="6" t="s">
        <v>1033</v>
      </c>
      <c r="E109" s="6" t="s">
        <v>140</v>
      </c>
      <c r="F109" s="6" t="s">
        <v>7</v>
      </c>
      <c r="G109" s="6"/>
      <c r="H109" s="6"/>
      <c r="I109" s="6" t="str">
        <f t="shared" si="58"/>
        <v>DoubleSingleMidMFFCUNatural Gas</v>
      </c>
      <c r="J109" s="183">
        <v>0</v>
      </c>
      <c r="K109" s="52">
        <f>('Regresson List_MF'!K12+'Regresson List_MF'!L12*'Multi-family'!$C$24+'Regresson List_MF'!M12*'Multi-family'!$C$24^2)</f>
        <v>3.4119514775121997</v>
      </c>
      <c r="L109" s="52">
        <f>'Regresson List_MF'!H12+'Regresson List_MF'!I12*'Multi-family'!$C$23+'Regresson List_MF'!J12*'Multi-family'!$C$23^2</f>
        <v>0.13630843485549998</v>
      </c>
      <c r="M109" s="8"/>
      <c r="N109" s="58" t="s">
        <v>44</v>
      </c>
      <c r="O109" s="8"/>
      <c r="P109" s="19">
        <f>'Regresson List_MF'!$H$32+'Regresson List_MF'!$I$32*'Multi-family'!$C$23+'Regresson List_MF'!$J$32*'Multi-family'!$C$23^2</f>
        <v>41.099206962000004</v>
      </c>
      <c r="Q109" s="56">
        <f>P109-'Multi-family'!$F$36</f>
        <v>28.479208556538957</v>
      </c>
      <c r="R109" s="59">
        <f t="shared" si="82"/>
        <v>0.30706184713319151</v>
      </c>
      <c r="S109" s="58" t="s">
        <v>44</v>
      </c>
      <c r="T109" s="8"/>
      <c r="U109">
        <f>'Regresson List_MF'!$G$22+'Regresson List_MF'!$H$22*'Multi-family'!$C$24+'Regresson List_MF'!$I$22*'Multi-family'!$C$24^2</f>
        <v>11.838008606700001</v>
      </c>
      <c r="V109" s="19">
        <f>('Regresson List_MF'!$J$22+'Regresson List_MF'!$K$22*'Multi-family'!$C$24+'Regresson List_MF'!$L$22*'Multi-family'!$C$24^2)</f>
        <v>10.534613199000001</v>
      </c>
      <c r="W109" s="114"/>
      <c r="X109" s="83">
        <f>U109*'Multi-family'!$F$18</f>
        <v>236760.17213400002</v>
      </c>
      <c r="Y109">
        <f t="shared" si="83"/>
        <v>19.730014344500002</v>
      </c>
      <c r="Z109">
        <f>V109*'Multi-family'!$F$28</f>
        <v>52673.065995000004</v>
      </c>
      <c r="AA109">
        <f t="shared" si="84"/>
        <v>4.3894221662500001</v>
      </c>
      <c r="AB109" s="60">
        <f t="shared" si="75"/>
        <v>15.340592178250002</v>
      </c>
      <c r="AC109" s="108" t="s">
        <v>44</v>
      </c>
      <c r="AE109" s="2">
        <f>'Regresson List_MF'!H45+'Regresson List_MF'!I45*'Multi-family'!$C$23+'Regresson List_MF'!J45*'Multi-family'!$C$23^2+'Regresson List_MF'!K45*'Multi-family'!$C$23^3</f>
        <v>0.80801654718399984</v>
      </c>
      <c r="AF109" s="188">
        <f>'Regresson List_MF'!H58+'Regresson List_MF'!I58*'Multi-family'!$C$24+'Regresson List_MF'!J58*'Multi-family'!$C$24^2+'Regresson List_MF'!K58*'Multi-family'!$C$24^3</f>
        <v>0.91799538974170003</v>
      </c>
      <c r="AG109" s="92">
        <f>'Regresson List_MF'!$H$61+'Regresson List_MF'!$I$61*'Multi-family'!$C$24+'Regresson List_MF'!$J$61*'Multi-family'!$C$24^2+'Regresson List_MF'!$K$61*'Multi-family'!$C$24^3</f>
        <v>0.55232528017999993</v>
      </c>
    </row>
    <row r="110" spans="1:33" x14ac:dyDescent="0.25">
      <c r="C110" s="65"/>
      <c r="D110" s="65"/>
      <c r="E110" s="65"/>
      <c r="F110" s="65"/>
      <c r="G110" s="65"/>
      <c r="H110" s="65"/>
      <c r="I110" s="65"/>
      <c r="J110" s="53"/>
      <c r="K110" s="65"/>
      <c r="L110" s="79"/>
      <c r="N110" s="11"/>
      <c r="P110" s="53"/>
      <c r="Q110" s="42"/>
      <c r="R110" s="80"/>
      <c r="S110" s="11"/>
      <c r="V110" s="65"/>
      <c r="W110" s="65"/>
      <c r="X110" s="65"/>
      <c r="AB110" s="60"/>
    </row>
    <row r="111" spans="1:33" x14ac:dyDescent="0.25">
      <c r="J111" s="79"/>
      <c r="K111" s="79"/>
      <c r="L111" s="53"/>
      <c r="M111" s="53"/>
      <c r="N111" s="8"/>
      <c r="O111" s="8"/>
      <c r="P111" s="53"/>
      <c r="Q111" s="42"/>
      <c r="R111" s="80"/>
      <c r="S111" s="11"/>
    </row>
    <row r="112" spans="1:33" x14ac:dyDescent="0.25">
      <c r="J112" s="4"/>
      <c r="K112" s="199"/>
      <c r="P112" s="53"/>
      <c r="Q112" s="42"/>
      <c r="R112" s="80"/>
      <c r="S112" s="11"/>
    </row>
    <row r="113" spans="10:19" x14ac:dyDescent="0.25">
      <c r="J113" s="4"/>
      <c r="K113" s="199"/>
      <c r="L113" s="42"/>
      <c r="M113" s="54"/>
      <c r="N113" s="54"/>
      <c r="O113" s="54"/>
      <c r="P113" s="53"/>
      <c r="Q113" s="42"/>
      <c r="R113" s="80"/>
      <c r="S113" s="11"/>
    </row>
    <row r="114" spans="10:19" x14ac:dyDescent="0.25">
      <c r="P114" s="53"/>
      <c r="Q114" s="42"/>
      <c r="R114" s="80"/>
      <c r="S114" s="11"/>
    </row>
    <row r="115" spans="10:19" x14ac:dyDescent="0.25">
      <c r="J115" s="4"/>
      <c r="K115" s="199"/>
      <c r="P115" s="53"/>
      <c r="Q115" s="42"/>
      <c r="R115" s="80"/>
      <c r="S115" s="11"/>
    </row>
    <row r="116" spans="10:19" x14ac:dyDescent="0.25">
      <c r="J116" s="4"/>
      <c r="K116" s="199"/>
      <c r="L116" s="42"/>
      <c r="M116" s="54"/>
      <c r="P116" s="53"/>
      <c r="Q116" s="42"/>
      <c r="R116" s="80"/>
      <c r="S116" s="11"/>
    </row>
    <row r="117" spans="10:19" x14ac:dyDescent="0.25">
      <c r="P117" s="53"/>
      <c r="Q117" s="42"/>
      <c r="R117" s="80"/>
      <c r="S117" s="11"/>
    </row>
    <row r="118" spans="10:19" x14ac:dyDescent="0.25">
      <c r="J118" s="4"/>
      <c r="K118" s="11"/>
      <c r="L118" s="11"/>
      <c r="P118" s="53"/>
      <c r="Q118" s="42"/>
      <c r="R118" s="80"/>
      <c r="S118" s="11"/>
    </row>
    <row r="119" spans="10:19" x14ac:dyDescent="0.25">
      <c r="J119" s="67"/>
      <c r="K119" s="11"/>
      <c r="L119" s="11"/>
      <c r="M119" s="11"/>
      <c r="N119" t="s">
        <v>3</v>
      </c>
      <c r="P119" s="53"/>
      <c r="Q119" s="42"/>
      <c r="R119" s="80"/>
      <c r="S119" s="11"/>
    </row>
    <row r="120" spans="10:19" x14ac:dyDescent="0.25">
      <c r="J120" s="67"/>
      <c r="K120" s="11"/>
      <c r="L120" s="11"/>
      <c r="M120" s="11"/>
      <c r="N120" t="str">
        <f t="shared" ref="N120:N158" si="86">IF(M120="OC",L120,"")</f>
        <v/>
      </c>
      <c r="P120" s="53"/>
      <c r="Q120" s="42"/>
      <c r="R120" s="80"/>
      <c r="S120" s="11"/>
    </row>
    <row r="121" spans="10:19" x14ac:dyDescent="0.25">
      <c r="J121" s="67"/>
      <c r="K121" s="11"/>
      <c r="L121" s="11"/>
      <c r="M121" s="11"/>
      <c r="N121" t="str">
        <f t="shared" si="86"/>
        <v/>
      </c>
      <c r="P121" s="53"/>
      <c r="Q121" s="42"/>
      <c r="R121" s="80"/>
      <c r="S121" s="11"/>
    </row>
    <row r="122" spans="10:19" x14ac:dyDescent="0.25">
      <c r="J122" s="67"/>
      <c r="K122" s="11"/>
      <c r="L122" s="11"/>
      <c r="M122" s="11"/>
      <c r="N122" t="str">
        <f t="shared" si="86"/>
        <v/>
      </c>
      <c r="P122" s="53"/>
      <c r="Q122" s="42"/>
      <c r="R122" s="80"/>
      <c r="S122" s="11"/>
    </row>
    <row r="123" spans="10:19" x14ac:dyDescent="0.25">
      <c r="J123" s="67"/>
      <c r="K123" s="11"/>
      <c r="L123" s="11"/>
      <c r="M123" s="11"/>
      <c r="P123" s="53"/>
      <c r="Q123" s="42"/>
      <c r="R123" s="80"/>
      <c r="S123" s="11"/>
    </row>
    <row r="124" spans="10:19" x14ac:dyDescent="0.25">
      <c r="J124" s="67"/>
      <c r="K124" s="11"/>
      <c r="L124" s="11"/>
      <c r="M124" s="11"/>
      <c r="P124" s="53"/>
      <c r="Q124" s="42"/>
      <c r="R124" s="80"/>
      <c r="S124" s="11"/>
    </row>
    <row r="125" spans="10:19" x14ac:dyDescent="0.25">
      <c r="J125" s="67"/>
      <c r="K125" s="11"/>
      <c r="L125" s="11"/>
      <c r="M125" s="11"/>
      <c r="P125" s="53"/>
      <c r="Q125" s="42"/>
      <c r="R125" s="80"/>
      <c r="S125" s="11"/>
    </row>
    <row r="126" spans="10:19" x14ac:dyDescent="0.25">
      <c r="J126" s="67"/>
      <c r="K126" s="11"/>
      <c r="L126" s="11"/>
      <c r="M126" s="11"/>
      <c r="P126" s="53"/>
      <c r="Q126" s="42"/>
      <c r="R126" s="80"/>
      <c r="S126" s="11"/>
    </row>
    <row r="127" spans="10:19" x14ac:dyDescent="0.25">
      <c r="J127" s="67"/>
      <c r="K127" s="11"/>
      <c r="L127" s="11"/>
      <c r="M127" s="11"/>
      <c r="P127" s="53"/>
      <c r="Q127" s="42"/>
      <c r="R127" s="80"/>
      <c r="S127" s="11"/>
    </row>
    <row r="128" spans="10:19" x14ac:dyDescent="0.25">
      <c r="J128" s="67"/>
      <c r="K128" s="11"/>
      <c r="L128" s="11"/>
      <c r="M128" s="11"/>
      <c r="P128" s="53"/>
      <c r="Q128" s="42"/>
      <c r="R128" s="80"/>
      <c r="S128" s="11"/>
    </row>
    <row r="129" spans="10:19" x14ac:dyDescent="0.25">
      <c r="J129" s="67"/>
      <c r="K129" s="11"/>
      <c r="L129" s="11"/>
      <c r="M129" s="11"/>
      <c r="P129" s="53"/>
      <c r="Q129" s="42"/>
      <c r="R129" s="80"/>
      <c r="S129" s="11"/>
    </row>
    <row r="130" spans="10:19" x14ac:dyDescent="0.25">
      <c r="J130" s="67"/>
      <c r="K130" s="11"/>
      <c r="L130" s="11"/>
      <c r="M130" s="11"/>
      <c r="P130" s="53"/>
      <c r="Q130" s="42"/>
      <c r="R130" s="80"/>
      <c r="S130" s="11"/>
    </row>
    <row r="131" spans="10:19" x14ac:dyDescent="0.25">
      <c r="J131" s="67"/>
      <c r="K131" s="11"/>
      <c r="L131" s="11"/>
      <c r="M131" s="11"/>
      <c r="P131" s="53"/>
      <c r="Q131" s="42"/>
      <c r="R131" s="80"/>
      <c r="S131" s="11"/>
    </row>
    <row r="132" spans="10:19" x14ac:dyDescent="0.25">
      <c r="J132" s="67"/>
      <c r="K132" s="11"/>
      <c r="L132" s="11"/>
      <c r="M132" s="11"/>
      <c r="P132" s="53"/>
      <c r="Q132" s="42"/>
      <c r="R132" s="80"/>
      <c r="S132" s="11"/>
    </row>
    <row r="133" spans="10:19" x14ac:dyDescent="0.25">
      <c r="J133" s="67"/>
      <c r="K133" s="11"/>
      <c r="L133" s="11"/>
      <c r="M133" s="11"/>
      <c r="P133" s="53"/>
      <c r="Q133" s="42"/>
      <c r="R133" s="80"/>
      <c r="S133" s="11"/>
    </row>
    <row r="134" spans="10:19" x14ac:dyDescent="0.25">
      <c r="J134" s="67"/>
      <c r="K134" s="11"/>
      <c r="L134" s="11"/>
      <c r="M134" s="11"/>
      <c r="P134" s="53"/>
      <c r="Q134" s="42"/>
      <c r="R134" s="80"/>
      <c r="S134" s="11"/>
    </row>
    <row r="135" spans="10:19" x14ac:dyDescent="0.25">
      <c r="J135" s="67"/>
      <c r="K135" s="11"/>
      <c r="L135" s="11"/>
      <c r="M135" s="11"/>
      <c r="P135" s="53"/>
      <c r="Q135" s="42"/>
      <c r="R135" s="80"/>
      <c r="S135" s="11"/>
    </row>
    <row r="136" spans="10:19" x14ac:dyDescent="0.25">
      <c r="J136" s="67"/>
      <c r="K136" s="11"/>
      <c r="L136" s="11"/>
      <c r="M136" s="11"/>
      <c r="P136" s="53"/>
      <c r="Q136" s="42"/>
      <c r="R136" s="80"/>
      <c r="S136" s="11"/>
    </row>
    <row r="137" spans="10:19" x14ac:dyDescent="0.25">
      <c r="J137" s="67"/>
      <c r="K137" s="11"/>
      <c r="L137" s="11"/>
      <c r="M137" s="11"/>
      <c r="P137" s="53"/>
      <c r="Q137" s="42"/>
      <c r="R137" s="80"/>
      <c r="S137" s="11"/>
    </row>
    <row r="138" spans="10:19" x14ac:dyDescent="0.25">
      <c r="J138" s="67"/>
      <c r="K138" s="11"/>
      <c r="L138" s="11"/>
      <c r="M138" s="11"/>
      <c r="P138" s="53"/>
      <c r="Q138" s="42"/>
      <c r="R138" s="80"/>
      <c r="S138" s="11"/>
    </row>
    <row r="139" spans="10:19" x14ac:dyDescent="0.25">
      <c r="J139" s="67"/>
      <c r="K139" s="11"/>
      <c r="L139" s="11"/>
      <c r="M139" s="11"/>
      <c r="N139" t="str">
        <f t="shared" si="86"/>
        <v/>
      </c>
      <c r="P139" s="53"/>
      <c r="Q139" s="42"/>
      <c r="R139" s="80"/>
      <c r="S139" s="11"/>
    </row>
    <row r="140" spans="10:19" x14ac:dyDescent="0.25">
      <c r="J140" s="67"/>
      <c r="K140" s="11"/>
      <c r="L140" s="11"/>
      <c r="M140" s="11"/>
      <c r="N140" t="str">
        <f t="shared" si="86"/>
        <v/>
      </c>
      <c r="P140" s="53"/>
      <c r="Q140" s="42"/>
      <c r="R140" s="80"/>
      <c r="S140" s="11"/>
    </row>
    <row r="141" spans="10:19" x14ac:dyDescent="0.25">
      <c r="J141" s="67"/>
      <c r="K141" s="11"/>
      <c r="L141" s="11"/>
      <c r="M141" s="11"/>
      <c r="N141" t="str">
        <f t="shared" si="86"/>
        <v/>
      </c>
      <c r="P141" s="53"/>
      <c r="Q141" s="42"/>
      <c r="R141" s="80"/>
      <c r="S141" s="11"/>
    </row>
    <row r="142" spans="10:19" x14ac:dyDescent="0.25">
      <c r="J142" s="67"/>
      <c r="K142" s="11"/>
      <c r="L142" s="11"/>
      <c r="M142" s="11"/>
      <c r="P142" s="53"/>
      <c r="Q142" s="42"/>
      <c r="R142" s="80"/>
      <c r="S142" s="11"/>
    </row>
    <row r="143" spans="10:19" x14ac:dyDescent="0.25">
      <c r="J143" s="67"/>
      <c r="K143" s="11"/>
      <c r="L143" s="11"/>
      <c r="M143" s="11"/>
    </row>
    <row r="144" spans="10:19" x14ac:dyDescent="0.25">
      <c r="J144" s="67"/>
      <c r="K144" s="11"/>
      <c r="L144" s="11"/>
      <c r="M144" s="11"/>
    </row>
    <row r="145" spans="10:14" x14ac:dyDescent="0.25">
      <c r="J145" s="67"/>
      <c r="K145" s="11"/>
      <c r="L145" s="11"/>
      <c r="M145" s="11"/>
    </row>
    <row r="146" spans="10:14" x14ac:dyDescent="0.25">
      <c r="J146" s="67"/>
      <c r="K146" s="11"/>
      <c r="L146" s="11"/>
      <c r="M146" s="11"/>
      <c r="N146" t="str">
        <f t="shared" si="86"/>
        <v/>
      </c>
    </row>
    <row r="147" spans="10:14" x14ac:dyDescent="0.25">
      <c r="J147" s="67"/>
      <c r="K147" s="11"/>
      <c r="L147" s="11"/>
      <c r="M147" s="11"/>
      <c r="N147" t="str">
        <f t="shared" si="86"/>
        <v/>
      </c>
    </row>
    <row r="148" spans="10:14" x14ac:dyDescent="0.25">
      <c r="J148" s="67"/>
      <c r="K148" s="11"/>
      <c r="L148" s="11"/>
      <c r="M148" s="11"/>
      <c r="N148" t="str">
        <f t="shared" si="86"/>
        <v/>
      </c>
    </row>
    <row r="149" spans="10:14" x14ac:dyDescent="0.25">
      <c r="J149" s="67"/>
      <c r="K149" s="11"/>
      <c r="L149" s="11"/>
      <c r="M149" s="11"/>
      <c r="N149" t="str">
        <f t="shared" si="86"/>
        <v/>
      </c>
    </row>
    <row r="150" spans="10:14" x14ac:dyDescent="0.25">
      <c r="J150" s="67"/>
      <c r="K150" s="11"/>
      <c r="L150" s="11"/>
      <c r="M150" s="11"/>
      <c r="N150" t="str">
        <f t="shared" si="86"/>
        <v/>
      </c>
    </row>
    <row r="151" spans="10:14" x14ac:dyDescent="0.25">
      <c r="J151" s="67"/>
      <c r="K151" s="11"/>
      <c r="L151" s="11"/>
      <c r="M151" s="11"/>
      <c r="N151" t="str">
        <f t="shared" si="86"/>
        <v/>
      </c>
    </row>
    <row r="152" spans="10:14" x14ac:dyDescent="0.25">
      <c r="J152" s="67"/>
      <c r="K152" s="11"/>
      <c r="L152" s="11"/>
      <c r="M152" s="11"/>
      <c r="N152" t="str">
        <f t="shared" si="86"/>
        <v/>
      </c>
    </row>
    <row r="153" spans="10:14" x14ac:dyDescent="0.25">
      <c r="J153" s="67"/>
      <c r="K153" s="11"/>
      <c r="L153" s="11"/>
      <c r="M153" s="11"/>
      <c r="N153" t="str">
        <f t="shared" si="86"/>
        <v/>
      </c>
    </row>
    <row r="154" spans="10:14" x14ac:dyDescent="0.25">
      <c r="J154" s="67"/>
      <c r="K154" s="11"/>
      <c r="L154" s="11"/>
      <c r="M154" s="11"/>
      <c r="N154" t="str">
        <f t="shared" si="86"/>
        <v/>
      </c>
    </row>
    <row r="155" spans="10:14" x14ac:dyDescent="0.25">
      <c r="J155" s="67"/>
      <c r="K155" s="11"/>
      <c r="L155" s="11"/>
      <c r="M155" s="11"/>
      <c r="N155" t="str">
        <f t="shared" si="86"/>
        <v/>
      </c>
    </row>
    <row r="156" spans="10:14" x14ac:dyDescent="0.25">
      <c r="J156" s="67"/>
      <c r="K156" s="11"/>
      <c r="L156" s="11"/>
      <c r="M156" s="11"/>
      <c r="N156" t="str">
        <f t="shared" si="86"/>
        <v/>
      </c>
    </row>
    <row r="157" spans="10:14" x14ac:dyDescent="0.25">
      <c r="J157" s="67"/>
      <c r="K157" s="11"/>
      <c r="L157" s="11"/>
      <c r="M157" s="11"/>
      <c r="N157" t="str">
        <f t="shared" si="86"/>
        <v/>
      </c>
    </row>
    <row r="158" spans="10:14" x14ac:dyDescent="0.25">
      <c r="J158" s="67"/>
      <c r="K158" s="11"/>
      <c r="L158" s="11"/>
      <c r="M158" s="11"/>
      <c r="N158" t="str">
        <f t="shared" si="86"/>
        <v/>
      </c>
    </row>
    <row r="161" spans="14:14" x14ac:dyDescent="0.25">
      <c r="N161">
        <f>MIN(N119:N158)</f>
        <v>0</v>
      </c>
    </row>
    <row r="162" spans="14:14" x14ac:dyDescent="0.25">
      <c r="N162">
        <f>MAX(N119:N158)</f>
        <v>0</v>
      </c>
    </row>
  </sheetData>
  <mergeCells count="4">
    <mergeCell ref="J3:K3"/>
    <mergeCell ref="P2:R2"/>
    <mergeCell ref="J2:L2"/>
    <mergeCell ref="AE3:AF3"/>
  </mergeCells>
  <pageMargins left="0.7" right="0.7" top="0.75" bottom="0.75" header="0.3" footer="0.3"/>
  <pageSetup orientation="portrait" r:id="rId1"/>
  <ignoredErrors>
    <ignoredError sqref="P55 P57"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1EC30-DCCF-48D7-82FC-1DAE38324D79}">
  <sheetPr codeName="Sheet13"/>
  <dimension ref="A1:R81"/>
  <sheetViews>
    <sheetView topLeftCell="C1" zoomScale="115" zoomScaleNormal="115" workbookViewId="0">
      <selection activeCell="H29" sqref="H29"/>
    </sheetView>
  </sheetViews>
  <sheetFormatPr defaultColWidth="8.85546875" defaultRowHeight="15" x14ac:dyDescent="0.25"/>
  <cols>
    <col min="2" max="2" width="12.140625" customWidth="1"/>
    <col min="3" max="3" width="16.42578125" customWidth="1"/>
    <col min="4" max="4" width="17.7109375" customWidth="1"/>
    <col min="5" max="5" width="18.28515625" customWidth="1"/>
    <col min="6" max="6" width="14.85546875" customWidth="1"/>
    <col min="7" max="7" width="15.7109375" customWidth="1"/>
    <col min="8" max="8" width="19.42578125" customWidth="1"/>
    <col min="9" max="9" width="15.7109375" customWidth="1"/>
    <col min="10" max="10" width="16" customWidth="1"/>
    <col min="11" max="11" width="16.5703125" customWidth="1"/>
    <col min="12" max="12" width="14.7109375" customWidth="1"/>
    <col min="13" max="13" width="16.28515625" customWidth="1"/>
    <col min="14" max="14" width="24.28515625" customWidth="1"/>
    <col min="15" max="15" width="14.7109375" bestFit="1" customWidth="1"/>
  </cols>
  <sheetData>
    <row r="1" spans="1:18" x14ac:dyDescent="0.25">
      <c r="A1" s="1" t="s">
        <v>125</v>
      </c>
      <c r="B1" s="1"/>
      <c r="H1" s="226" t="s">
        <v>120</v>
      </c>
      <c r="I1" s="226"/>
      <c r="J1" s="226"/>
      <c r="K1" s="226"/>
      <c r="L1" s="226"/>
      <c r="M1" s="226"/>
    </row>
    <row r="2" spans="1:18" x14ac:dyDescent="0.25">
      <c r="H2" s="226" t="s">
        <v>121</v>
      </c>
      <c r="I2" s="226"/>
      <c r="J2" s="226"/>
      <c r="K2" s="226" t="s">
        <v>124</v>
      </c>
      <c r="L2" s="226"/>
      <c r="M2" s="226"/>
      <c r="N2" t="s">
        <v>136</v>
      </c>
      <c r="O2" t="s">
        <v>1182</v>
      </c>
    </row>
    <row r="3" spans="1:18" x14ac:dyDescent="0.25">
      <c r="A3" s="5" t="s">
        <v>129</v>
      </c>
      <c r="B3" s="5" t="s">
        <v>1030</v>
      </c>
      <c r="C3" s="2" t="s">
        <v>5</v>
      </c>
      <c r="D3" s="5" t="s">
        <v>1162</v>
      </c>
      <c r="E3" s="5" t="s">
        <v>130</v>
      </c>
      <c r="F3" s="74" t="s">
        <v>135</v>
      </c>
      <c r="G3" s="74" t="s">
        <v>1159</v>
      </c>
      <c r="H3" s="5" t="s">
        <v>116</v>
      </c>
      <c r="I3" s="5" t="s">
        <v>122</v>
      </c>
      <c r="J3" s="5" t="s">
        <v>123</v>
      </c>
      <c r="K3" s="5" t="s">
        <v>116</v>
      </c>
      <c r="L3" s="5" t="s">
        <v>122</v>
      </c>
      <c r="M3" s="5" t="s">
        <v>123</v>
      </c>
      <c r="O3" s="139" t="s">
        <v>4</v>
      </c>
      <c r="P3" s="263" t="s">
        <v>1183</v>
      </c>
      <c r="Q3" s="264"/>
      <c r="R3" s="11" t="s">
        <v>1184</v>
      </c>
    </row>
    <row r="4" spans="1:18" x14ac:dyDescent="0.25">
      <c r="A4" s="5">
        <v>1</v>
      </c>
      <c r="B4" s="5" t="s">
        <v>17</v>
      </c>
      <c r="C4" s="2" t="s">
        <v>17</v>
      </c>
      <c r="D4" s="6" t="s">
        <v>14</v>
      </c>
      <c r="E4" s="6" t="s">
        <v>16</v>
      </c>
      <c r="F4" s="66" t="s">
        <v>29</v>
      </c>
      <c r="G4" s="152">
        <v>2080</v>
      </c>
      <c r="H4" s="82">
        <v>0.87046682559989996</v>
      </c>
      <c r="I4" s="82">
        <v>1.6759854E-3</v>
      </c>
      <c r="J4" s="82">
        <v>-5.8199999999999998E-8</v>
      </c>
      <c r="K4" s="82">
        <v>2.4042885599999999</v>
      </c>
      <c r="L4" s="82">
        <v>5.6251269999999995E-4</v>
      </c>
      <c r="M4" s="82">
        <v>-9.6999999999999992E-9</v>
      </c>
      <c r="O4" s="157">
        <v>0</v>
      </c>
      <c r="P4">
        <f>$H$4+$I$4*O4+$J$4*O4^2</f>
        <v>0.87046682559989996</v>
      </c>
      <c r="Q4">
        <f>$H$13+$I$13*O4+$J$13*O4^2</f>
        <v>1.0450550325248</v>
      </c>
      <c r="R4" s="158">
        <f>(P4-Q4)/P4</f>
        <v>-0.20056847864888941</v>
      </c>
    </row>
    <row r="5" spans="1:18" x14ac:dyDescent="0.25">
      <c r="A5" s="5">
        <v>2</v>
      </c>
      <c r="B5" s="5" t="s">
        <v>17</v>
      </c>
      <c r="C5" s="2" t="s">
        <v>17</v>
      </c>
      <c r="D5" s="6" t="s">
        <v>14</v>
      </c>
      <c r="E5" s="6" t="s">
        <v>16</v>
      </c>
      <c r="F5" s="66" t="s">
        <v>29</v>
      </c>
      <c r="G5" s="152">
        <v>2912</v>
      </c>
      <c r="H5" s="82">
        <v>1.6949778209999</v>
      </c>
      <c r="I5" s="82">
        <v>2.305175E-3</v>
      </c>
      <c r="J5" s="82">
        <v>-8.5500000000000005E-8</v>
      </c>
      <c r="K5" s="82">
        <v>3.7647661055000001</v>
      </c>
      <c r="L5" s="82">
        <v>1.1532145E-3</v>
      </c>
      <c r="M5" s="82">
        <v>-6.6500000000000007E-8</v>
      </c>
      <c r="N5" t="s">
        <v>3</v>
      </c>
      <c r="O5" s="157">
        <v>1000</v>
      </c>
      <c r="P5">
        <f t="shared" ref="P5:P16" si="0">$H$4+$I$4*O5+$J$4*O5^2</f>
        <v>2.4882522255999002</v>
      </c>
      <c r="Q5">
        <f t="shared" ref="Q5:Q16" si="1">$H$13+$I$13*O5+$J$13*O5^2</f>
        <v>2.7874767513248</v>
      </c>
      <c r="R5" s="158">
        <f t="shared" ref="R5:R16" si="2">(P5-Q5)/P5</f>
        <v>-0.12025490127021139</v>
      </c>
    </row>
    <row r="6" spans="1:18" x14ac:dyDescent="0.25">
      <c r="A6" s="5">
        <v>3</v>
      </c>
      <c r="B6" s="5" t="s">
        <v>17</v>
      </c>
      <c r="C6" s="2" t="s">
        <v>17</v>
      </c>
      <c r="D6" s="6" t="s">
        <v>14</v>
      </c>
      <c r="E6" s="6" t="s">
        <v>16</v>
      </c>
      <c r="F6" s="66" t="s">
        <v>29</v>
      </c>
      <c r="G6" s="152">
        <v>8760</v>
      </c>
      <c r="H6" s="82">
        <v>16.004060569799801</v>
      </c>
      <c r="I6" s="82">
        <v>2.5681481000000002E-3</v>
      </c>
      <c r="J6" s="82">
        <v>-6.3899999999999996E-8</v>
      </c>
      <c r="K6" s="82">
        <v>6.1823179496999998</v>
      </c>
      <c r="L6" s="82">
        <v>4.0023764999999999E-3</v>
      </c>
      <c r="M6" s="82">
        <v>-2.4139999999999998E-7</v>
      </c>
      <c r="O6" s="157">
        <v>2000</v>
      </c>
      <c r="P6">
        <f t="shared" si="0"/>
        <v>3.9896376255999</v>
      </c>
      <c r="Q6">
        <f t="shared" si="1"/>
        <v>4.4055462701248</v>
      </c>
      <c r="R6" s="158">
        <f t="shared" si="2"/>
        <v>-0.10424722332078021</v>
      </c>
    </row>
    <row r="7" spans="1:18" x14ac:dyDescent="0.25">
      <c r="A7" s="5">
        <v>4</v>
      </c>
      <c r="B7" s="5" t="s">
        <v>17</v>
      </c>
      <c r="C7" s="2" t="s">
        <v>12</v>
      </c>
      <c r="D7" s="6" t="s">
        <v>14</v>
      </c>
      <c r="E7" s="6" t="s">
        <v>16</v>
      </c>
      <c r="F7" s="66" t="s">
        <v>29</v>
      </c>
      <c r="G7" s="152">
        <v>2080</v>
      </c>
      <c r="H7" s="82">
        <v>1.2309323298999</v>
      </c>
      <c r="I7" s="82">
        <v>1.2506949E-3</v>
      </c>
      <c r="J7" s="82">
        <v>-9.1000000000000004E-9</v>
      </c>
      <c r="K7" s="82">
        <v>4.2025198124000003</v>
      </c>
      <c r="L7" s="82">
        <v>1.0760659000000001E-3</v>
      </c>
      <c r="M7" s="82">
        <v>-7.2800000000000003E-8</v>
      </c>
      <c r="O7" s="157">
        <v>3000</v>
      </c>
      <c r="P7">
        <f t="shared" si="0"/>
        <v>5.3746230255999006</v>
      </c>
      <c r="Q7">
        <f t="shared" si="1"/>
        <v>5.8992635889248008</v>
      </c>
      <c r="R7" s="158">
        <f t="shared" si="2"/>
        <v>-9.7614392828293539E-2</v>
      </c>
    </row>
    <row r="8" spans="1:18" x14ac:dyDescent="0.25">
      <c r="A8" s="5">
        <v>5</v>
      </c>
      <c r="B8" s="5" t="s">
        <v>17</v>
      </c>
      <c r="C8" s="2" t="s">
        <v>12</v>
      </c>
      <c r="D8" s="6" t="s">
        <v>14</v>
      </c>
      <c r="E8" s="6" t="s">
        <v>16</v>
      </c>
      <c r="F8" s="66" t="s">
        <v>29</v>
      </c>
      <c r="G8" s="152">
        <v>2912</v>
      </c>
      <c r="H8" s="82">
        <v>1.9904024125999</v>
      </c>
      <c r="I8" s="82">
        <v>1.8291340000000001E-3</v>
      </c>
      <c r="J8" s="82">
        <v>-2.5799999999999999E-8</v>
      </c>
      <c r="K8" s="82">
        <v>5.4562582093999996</v>
      </c>
      <c r="L8" s="82">
        <v>2.4884702000000001E-3</v>
      </c>
      <c r="M8" s="82">
        <v>-2.2359999999999999E-7</v>
      </c>
      <c r="O8" s="157">
        <v>4000</v>
      </c>
      <c r="P8">
        <f t="shared" si="0"/>
        <v>6.6432084255998998</v>
      </c>
      <c r="Q8">
        <f t="shared" si="1"/>
        <v>7.2686287077248002</v>
      </c>
      <c r="R8" s="158">
        <f t="shared" si="2"/>
        <v>-9.4144311311205514E-2</v>
      </c>
    </row>
    <row r="9" spans="1:18" x14ac:dyDescent="0.25">
      <c r="A9" s="5">
        <v>6</v>
      </c>
      <c r="B9" s="5" t="s">
        <v>17</v>
      </c>
      <c r="C9" s="2" t="s">
        <v>12</v>
      </c>
      <c r="D9" s="6" t="s">
        <v>14</v>
      </c>
      <c r="E9" s="6" t="s">
        <v>16</v>
      </c>
      <c r="F9" s="66" t="s">
        <v>29</v>
      </c>
      <c r="G9" s="152">
        <v>8760</v>
      </c>
      <c r="H9" s="82">
        <v>19.729430819999699</v>
      </c>
      <c r="I9" s="82">
        <v>1.9486799999999999E-3</v>
      </c>
      <c r="J9" s="82">
        <v>-3.5999999999999998E-8</v>
      </c>
      <c r="K9" s="82">
        <v>7.49238888</v>
      </c>
      <c r="L9" s="82">
        <v>5.5275000000000003E-3</v>
      </c>
      <c r="M9" s="82">
        <v>-3.5999999999999999E-7</v>
      </c>
      <c r="O9" s="157">
        <v>5000</v>
      </c>
      <c r="P9">
        <f t="shared" si="0"/>
        <v>7.7953938255999002</v>
      </c>
      <c r="Q9">
        <f t="shared" si="1"/>
        <v>8.5136416265247998</v>
      </c>
      <c r="R9" s="158">
        <f t="shared" si="2"/>
        <v>-9.2137461813178667E-2</v>
      </c>
    </row>
    <row r="10" spans="1:18" x14ac:dyDescent="0.25">
      <c r="A10" s="5">
        <v>7</v>
      </c>
      <c r="B10" s="5" t="s">
        <v>12</v>
      </c>
      <c r="C10" s="2" t="s">
        <v>17</v>
      </c>
      <c r="D10" s="6" t="s">
        <v>14</v>
      </c>
      <c r="E10" s="6" t="s">
        <v>16</v>
      </c>
      <c r="F10" s="66" t="s">
        <v>29</v>
      </c>
      <c r="G10" s="152">
        <v>2080</v>
      </c>
      <c r="H10" s="82">
        <v>0.36808554999999998</v>
      </c>
      <c r="I10" s="82">
        <v>7.8223599999999996E-4</v>
      </c>
      <c r="J10" s="82">
        <v>-2.9399999999999999E-8</v>
      </c>
      <c r="K10" s="82">
        <v>1.2340869921183999</v>
      </c>
      <c r="L10" s="82">
        <v>8.6290793210000005E-4</v>
      </c>
      <c r="M10" s="82">
        <v>-8.2843999999999997E-8</v>
      </c>
      <c r="O10" s="157">
        <v>6000</v>
      </c>
      <c r="P10">
        <f t="shared" si="0"/>
        <v>8.8311792255999002</v>
      </c>
      <c r="Q10">
        <f t="shared" si="1"/>
        <v>9.6343023453248016</v>
      </c>
      <c r="R10" s="158">
        <f t="shared" si="2"/>
        <v>-9.0941775634764715E-2</v>
      </c>
    </row>
    <row r="11" spans="1:18" x14ac:dyDescent="0.25">
      <c r="A11" s="5">
        <v>8</v>
      </c>
      <c r="B11" s="5" t="s">
        <v>12</v>
      </c>
      <c r="C11" s="2" t="s">
        <v>17</v>
      </c>
      <c r="D11" s="6" t="s">
        <v>14</v>
      </c>
      <c r="E11" s="6" t="s">
        <v>16</v>
      </c>
      <c r="F11" s="66" t="s">
        <v>29</v>
      </c>
      <c r="G11" s="152">
        <v>2912</v>
      </c>
      <c r="H11" s="82">
        <v>0.90209407679989995</v>
      </c>
      <c r="I11" s="82">
        <v>8.5224200000000002E-4</v>
      </c>
      <c r="J11" s="82">
        <v>-1.8399999999999999E-8</v>
      </c>
      <c r="K11" s="82">
        <v>1.2423496865765</v>
      </c>
      <c r="L11" s="82">
        <v>1.8366905584E-3</v>
      </c>
      <c r="M11" s="82">
        <v>-1.7057870000000001E-7</v>
      </c>
      <c r="O11" s="157">
        <v>7000</v>
      </c>
      <c r="P11">
        <f t="shared" si="0"/>
        <v>9.7505646255998997</v>
      </c>
      <c r="Q11">
        <f t="shared" si="1"/>
        <v>10.630610864124801</v>
      </c>
      <c r="R11" s="158">
        <f t="shared" si="2"/>
        <v>-9.025592591985479E-2</v>
      </c>
    </row>
    <row r="12" spans="1:18" x14ac:dyDescent="0.25">
      <c r="A12" s="5">
        <v>9</v>
      </c>
      <c r="B12" s="5" t="s">
        <v>12</v>
      </c>
      <c r="C12" s="2" t="s">
        <v>17</v>
      </c>
      <c r="D12" s="6" t="s">
        <v>14</v>
      </c>
      <c r="E12" s="6" t="s">
        <v>16</v>
      </c>
      <c r="F12" s="66" t="s">
        <v>29</v>
      </c>
      <c r="G12" s="152">
        <v>8760</v>
      </c>
      <c r="H12" s="82">
        <v>10.3088854007999</v>
      </c>
      <c r="I12" s="82">
        <v>6.0965100000000001E-4</v>
      </c>
      <c r="J12" s="82">
        <v>-6.3000000000000002E-9</v>
      </c>
      <c r="K12" s="82">
        <v>1.6695080450999999</v>
      </c>
      <c r="L12" s="82">
        <v>3.3280569000000001E-3</v>
      </c>
      <c r="M12" s="82">
        <v>-2.2679999999999999E-7</v>
      </c>
      <c r="O12" s="157">
        <v>8000</v>
      </c>
      <c r="P12">
        <f t="shared" si="0"/>
        <v>10.5535500255999</v>
      </c>
      <c r="Q12">
        <f t="shared" si="1"/>
        <v>11.5025671829248</v>
      </c>
      <c r="R12" s="158">
        <f t="shared" si="2"/>
        <v>-8.9923973925632089E-2</v>
      </c>
    </row>
    <row r="13" spans="1:18" x14ac:dyDescent="0.25">
      <c r="A13" s="5">
        <v>10</v>
      </c>
      <c r="B13" s="5" t="s">
        <v>17</v>
      </c>
      <c r="C13" s="2" t="s">
        <v>17</v>
      </c>
      <c r="D13" s="6" t="s">
        <v>56</v>
      </c>
      <c r="E13" s="6" t="s">
        <v>134</v>
      </c>
      <c r="F13" s="66" t="s">
        <v>29</v>
      </c>
      <c r="G13" s="152">
        <v>2080</v>
      </c>
      <c r="H13" s="82">
        <v>1.0450550325248</v>
      </c>
      <c r="I13" s="82">
        <v>1.8045978188E-3</v>
      </c>
      <c r="J13" s="82">
        <v>-6.2176100000000006E-8</v>
      </c>
      <c r="K13" s="82">
        <v>2.9951823980196002</v>
      </c>
      <c r="L13" s="82">
        <v>5.4436226780000001E-4</v>
      </c>
      <c r="M13" s="82">
        <v>-1.19223E-8</v>
      </c>
      <c r="O13" s="157">
        <v>9000</v>
      </c>
      <c r="P13">
        <f t="shared" si="0"/>
        <v>11.240135425599901</v>
      </c>
      <c r="Q13">
        <f t="shared" si="1"/>
        <v>12.250171301724802</v>
      </c>
      <c r="R13" s="158">
        <f t="shared" si="2"/>
        <v>-8.9859760392610566E-2</v>
      </c>
    </row>
    <row r="14" spans="1:18" x14ac:dyDescent="0.25">
      <c r="A14" s="5">
        <v>11</v>
      </c>
      <c r="B14" s="5" t="s">
        <v>17</v>
      </c>
      <c r="C14" s="2" t="s">
        <v>17</v>
      </c>
      <c r="D14" s="6" t="s">
        <v>56</v>
      </c>
      <c r="E14" s="6" t="s">
        <v>134</v>
      </c>
      <c r="F14" s="66" t="s">
        <v>29</v>
      </c>
      <c r="G14" s="152">
        <v>2912</v>
      </c>
      <c r="H14" s="82">
        <v>1.9632126070335001</v>
      </c>
      <c r="I14" s="82">
        <v>2.4799912346E-3</v>
      </c>
      <c r="J14" s="82">
        <v>-8.4256999999999998E-8</v>
      </c>
      <c r="K14" s="82">
        <v>4.6910108842016998</v>
      </c>
      <c r="L14" s="82">
        <v>1.137080156E-3</v>
      </c>
      <c r="M14" s="82">
        <v>-6.8371400000000006E-8</v>
      </c>
      <c r="O14" s="157">
        <v>10000</v>
      </c>
      <c r="P14">
        <f t="shared" si="0"/>
        <v>11.810320825599902</v>
      </c>
      <c r="Q14">
        <f t="shared" si="1"/>
        <v>12.873423220524799</v>
      </c>
      <c r="R14" s="158">
        <f t="shared" si="2"/>
        <v>-9.0014692286811526E-2</v>
      </c>
    </row>
    <row r="15" spans="1:18" x14ac:dyDescent="0.25">
      <c r="A15" s="5">
        <v>12</v>
      </c>
      <c r="B15" s="5" t="s">
        <v>17</v>
      </c>
      <c r="C15" s="2" t="s">
        <v>17</v>
      </c>
      <c r="D15" s="6" t="s">
        <v>56</v>
      </c>
      <c r="E15" s="6" t="s">
        <v>134</v>
      </c>
      <c r="F15" s="66" t="s">
        <v>29</v>
      </c>
      <c r="G15" s="152">
        <v>8760</v>
      </c>
      <c r="H15" s="82">
        <v>17.881665489718198</v>
      </c>
      <c r="I15" s="82">
        <v>2.7347243182000002E-3</v>
      </c>
      <c r="J15" s="82">
        <v>-6.9506699999999999E-8</v>
      </c>
      <c r="K15" s="82">
        <v>7.8630931031136999</v>
      </c>
      <c r="L15" s="82">
        <v>4.1844902139000001E-3</v>
      </c>
      <c r="M15" s="82">
        <v>-2.5865530000000001E-7</v>
      </c>
      <c r="O15" s="157">
        <v>11000</v>
      </c>
      <c r="P15">
        <f t="shared" si="0"/>
        <v>12.264106225599896</v>
      </c>
      <c r="Q15">
        <f t="shared" si="1"/>
        <v>13.3723229393248</v>
      </c>
      <c r="R15" s="158">
        <f t="shared" si="2"/>
        <v>-9.0362615370342292E-2</v>
      </c>
    </row>
    <row r="16" spans="1:18" x14ac:dyDescent="0.25">
      <c r="A16" s="5">
        <v>13</v>
      </c>
      <c r="B16" s="5" t="s">
        <v>17</v>
      </c>
      <c r="C16" s="2" t="s">
        <v>12</v>
      </c>
      <c r="D16" s="6" t="s">
        <v>56</v>
      </c>
      <c r="E16" s="6" t="s">
        <v>134</v>
      </c>
      <c r="F16" s="66" t="s">
        <v>29</v>
      </c>
      <c r="G16" s="152">
        <v>2080</v>
      </c>
      <c r="H16" s="82">
        <v>1.4247504147596</v>
      </c>
      <c r="I16" s="82">
        <v>1.3539388697E-3</v>
      </c>
      <c r="J16" s="82">
        <v>-1.02647E-8</v>
      </c>
      <c r="K16" s="82">
        <v>5.1829375742785997</v>
      </c>
      <c r="L16" s="82">
        <v>1.0798818489E-3</v>
      </c>
      <c r="M16" s="82">
        <v>-8.2356800000000003E-8</v>
      </c>
      <c r="O16" s="157">
        <v>12000</v>
      </c>
      <c r="P16">
        <f t="shared" si="0"/>
        <v>12.6014916255999</v>
      </c>
      <c r="Q16">
        <f t="shared" si="1"/>
        <v>13.746870458124802</v>
      </c>
      <c r="R16" s="158">
        <f t="shared" si="2"/>
        <v>-9.0892321842127574E-2</v>
      </c>
    </row>
    <row r="17" spans="1:18" x14ac:dyDescent="0.25">
      <c r="A17" s="5">
        <v>14</v>
      </c>
      <c r="B17" s="5" t="s">
        <v>17</v>
      </c>
      <c r="C17" s="2" t="s">
        <v>12</v>
      </c>
      <c r="D17" s="6" t="s">
        <v>56</v>
      </c>
      <c r="E17" s="6" t="s">
        <v>134</v>
      </c>
      <c r="F17" s="66" t="s">
        <v>29</v>
      </c>
      <c r="G17" s="152">
        <v>2912</v>
      </c>
      <c r="H17" s="82">
        <v>2.3365575077674001</v>
      </c>
      <c r="I17" s="82">
        <v>1.9451616135000001E-3</v>
      </c>
      <c r="J17" s="82">
        <v>-2.53086E-8</v>
      </c>
      <c r="K17" s="82">
        <v>6.7949827164281</v>
      </c>
      <c r="L17" s="82">
        <v>2.5987321275E-3</v>
      </c>
      <c r="M17" s="82">
        <v>-2.47981E-7</v>
      </c>
    </row>
    <row r="18" spans="1:18" x14ac:dyDescent="0.25">
      <c r="A18" s="5">
        <v>15</v>
      </c>
      <c r="B18" s="5" t="s">
        <v>17</v>
      </c>
      <c r="C18" s="2" t="s">
        <v>12</v>
      </c>
      <c r="D18" s="6" t="s">
        <v>56</v>
      </c>
      <c r="E18" s="6" t="s">
        <v>134</v>
      </c>
      <c r="F18" s="66" t="s">
        <v>29</v>
      </c>
      <c r="G18" s="152">
        <v>8760</v>
      </c>
      <c r="H18" s="82">
        <v>22.022153103735899</v>
      </c>
      <c r="I18" s="82">
        <v>2.0809483691000001E-3</v>
      </c>
      <c r="J18" s="82">
        <v>-4.0988100000000002E-8</v>
      </c>
      <c r="K18" s="82">
        <v>9.5018884828489991</v>
      </c>
      <c r="L18" s="82">
        <v>5.9375221572000002E-3</v>
      </c>
      <c r="M18" s="82">
        <v>-4.1904410000000002E-7</v>
      </c>
      <c r="O18" s="139" t="s">
        <v>4</v>
      </c>
      <c r="P18" s="263" t="s">
        <v>1185</v>
      </c>
      <c r="Q18" s="264"/>
      <c r="R18" s="11" t="s">
        <v>1184</v>
      </c>
    </row>
    <row r="19" spans="1:18" x14ac:dyDescent="0.25">
      <c r="A19" s="5">
        <v>16</v>
      </c>
      <c r="B19" s="5" t="s">
        <v>12</v>
      </c>
      <c r="C19" s="2" t="s">
        <v>17</v>
      </c>
      <c r="D19" s="6" t="s">
        <v>56</v>
      </c>
      <c r="E19" s="6" t="s">
        <v>134</v>
      </c>
      <c r="F19" s="66" t="s">
        <v>29</v>
      </c>
      <c r="G19" s="152">
        <v>2080</v>
      </c>
      <c r="H19" s="82">
        <v>0.4341957405138</v>
      </c>
      <c r="I19" s="82">
        <v>8.5232784519999999E-4</v>
      </c>
      <c r="J19" s="82">
        <v>-3.2054800000000001E-8</v>
      </c>
      <c r="K19" s="82">
        <v>1.5493838764825001</v>
      </c>
      <c r="L19" s="82">
        <v>9.1567904680000005E-4</v>
      </c>
      <c r="M19" s="82">
        <v>-9.2913599999999999E-8</v>
      </c>
      <c r="O19" s="157">
        <v>0</v>
      </c>
      <c r="P19">
        <f>$H$5+$I$5*O19+$J$5*O19^2</f>
        <v>1.6949778209999</v>
      </c>
      <c r="Q19">
        <f>$H$14+$I$14*O19+$J$14*O19^2</f>
        <v>1.9632126070335001</v>
      </c>
      <c r="R19" s="158">
        <f>(P19-Q19)/P19</f>
        <v>-0.158252681958613</v>
      </c>
    </row>
    <row r="20" spans="1:18" x14ac:dyDescent="0.25">
      <c r="A20" s="5">
        <v>17</v>
      </c>
      <c r="B20" s="5" t="s">
        <v>12</v>
      </c>
      <c r="C20" s="2" t="s">
        <v>17</v>
      </c>
      <c r="D20" s="6" t="s">
        <v>56</v>
      </c>
      <c r="E20" s="6" t="s">
        <v>134</v>
      </c>
      <c r="F20" s="66" t="s">
        <v>29</v>
      </c>
      <c r="G20" s="152">
        <v>2912</v>
      </c>
      <c r="H20" s="82">
        <v>1.0306121837466999</v>
      </c>
      <c r="I20" s="82">
        <v>9.3112001950000005E-4</v>
      </c>
      <c r="J20" s="82">
        <v>-2.0723200000000001E-8</v>
      </c>
      <c r="K20" s="82">
        <v>1.5594199852179</v>
      </c>
      <c r="L20" s="82">
        <v>2.0586147562E-3</v>
      </c>
      <c r="M20" s="82">
        <v>-2.0486390000000001E-7</v>
      </c>
      <c r="O20" s="157">
        <v>1000</v>
      </c>
      <c r="P20">
        <f t="shared" ref="P20:P31" si="3">$H$5+$I$5*O20+$J$5*O20^2</f>
        <v>3.9146528209998999</v>
      </c>
      <c r="Q20">
        <f t="shared" ref="Q20:Q31" si="4">$H$14+$I$14*O20+$J$14*O20^2</f>
        <v>4.3589468416335002</v>
      </c>
      <c r="R20" s="158">
        <f t="shared" ref="R20:R31" si="5">(P20-Q20)/P20</f>
        <v>-0.1134951273967934</v>
      </c>
    </row>
    <row r="21" spans="1:18" x14ac:dyDescent="0.25">
      <c r="A21" s="5">
        <v>18</v>
      </c>
      <c r="B21" s="5" t="s">
        <v>12</v>
      </c>
      <c r="C21" s="2" t="s">
        <v>17</v>
      </c>
      <c r="D21" s="6" t="s">
        <v>56</v>
      </c>
      <c r="E21" s="6" t="s">
        <v>134</v>
      </c>
      <c r="F21" s="66" t="s">
        <v>29</v>
      </c>
      <c r="G21" s="152">
        <v>8760</v>
      </c>
      <c r="H21" s="82">
        <v>11.4975939563842</v>
      </c>
      <c r="I21" s="82">
        <v>6.2221038989999998E-4</v>
      </c>
      <c r="J21" s="82">
        <v>-5.8971000000000002E-9</v>
      </c>
      <c r="K21" s="82">
        <v>2.2114532502570001</v>
      </c>
      <c r="L21" s="82">
        <v>3.6710734379999999E-3</v>
      </c>
      <c r="M21" s="82">
        <v>-2.6306770000000001E-7</v>
      </c>
      <c r="O21" s="157">
        <v>2000</v>
      </c>
      <c r="P21">
        <f t="shared" si="3"/>
        <v>5.9633278209999006</v>
      </c>
      <c r="Q21">
        <f t="shared" si="4"/>
        <v>6.5861670762335001</v>
      </c>
      <c r="R21" s="158">
        <f t="shared" si="5"/>
        <v>-0.10444491296290416</v>
      </c>
    </row>
    <row r="22" spans="1:18" x14ac:dyDescent="0.25">
      <c r="A22" s="5">
        <v>19</v>
      </c>
      <c r="B22" s="5" t="s">
        <v>17</v>
      </c>
      <c r="C22" s="2" t="s">
        <v>17</v>
      </c>
      <c r="D22" s="6" t="s">
        <v>14</v>
      </c>
      <c r="E22" s="6" t="s">
        <v>55</v>
      </c>
      <c r="F22" s="66" t="s">
        <v>7</v>
      </c>
      <c r="G22" s="152">
        <v>2080</v>
      </c>
      <c r="H22" s="82">
        <v>4.2694602603600001E-2</v>
      </c>
      <c r="I22" s="82">
        <v>8.1866821399999997E-5</v>
      </c>
      <c r="J22" s="82">
        <v>-2.8551999999999998E-9</v>
      </c>
      <c r="K22" s="82">
        <v>2.4042885599999999</v>
      </c>
      <c r="L22" s="82">
        <v>5.6251269999999995E-4</v>
      </c>
      <c r="M22" s="82">
        <v>-9.6999999999999992E-9</v>
      </c>
      <c r="O22" s="157">
        <v>3000</v>
      </c>
      <c r="P22">
        <f t="shared" si="3"/>
        <v>7.8410028209998996</v>
      </c>
      <c r="Q22">
        <f t="shared" si="4"/>
        <v>8.6448733108334999</v>
      </c>
      <c r="R22" s="158">
        <f t="shared" si="5"/>
        <v>-0.10252138765728554</v>
      </c>
    </row>
    <row r="23" spans="1:18" x14ac:dyDescent="0.25">
      <c r="A23" s="5">
        <v>20</v>
      </c>
      <c r="B23" s="5" t="s">
        <v>17</v>
      </c>
      <c r="C23" s="2" t="s">
        <v>17</v>
      </c>
      <c r="D23" s="6" t="s">
        <v>14</v>
      </c>
      <c r="E23" s="6" t="s">
        <v>55</v>
      </c>
      <c r="F23" s="66" t="s">
        <v>7</v>
      </c>
      <c r="G23" s="152">
        <v>2912</v>
      </c>
      <c r="H23" s="82">
        <v>8.3712755469999997E-2</v>
      </c>
      <c r="I23" s="82">
        <v>1.119435819E-4</v>
      </c>
      <c r="J23" s="82">
        <v>-4.1327E-9</v>
      </c>
      <c r="K23" s="82">
        <v>3.7647661055000001</v>
      </c>
      <c r="L23" s="82">
        <v>1.1532145E-3</v>
      </c>
      <c r="M23" s="82">
        <v>-6.6500000000000007E-8</v>
      </c>
      <c r="O23" s="157">
        <v>4000</v>
      </c>
      <c r="P23">
        <f t="shared" si="3"/>
        <v>9.5476778209999011</v>
      </c>
      <c r="Q23">
        <f t="shared" si="4"/>
        <v>10.535065545433499</v>
      </c>
      <c r="R23" s="158">
        <f t="shared" si="5"/>
        <v>-0.10341653153208213</v>
      </c>
    </row>
    <row r="24" spans="1:18" x14ac:dyDescent="0.25">
      <c r="A24" s="5">
        <v>21</v>
      </c>
      <c r="B24" s="5" t="s">
        <v>17</v>
      </c>
      <c r="C24" s="2" t="s">
        <v>17</v>
      </c>
      <c r="D24" s="6" t="s">
        <v>14</v>
      </c>
      <c r="E24" s="6" t="s">
        <v>55</v>
      </c>
      <c r="F24" s="66" t="s">
        <v>7</v>
      </c>
      <c r="G24" s="152">
        <v>8760</v>
      </c>
      <c r="H24" s="82">
        <v>0.78713867920010006</v>
      </c>
      <c r="I24" s="82">
        <v>1.2298120269999999E-4</v>
      </c>
      <c r="J24" s="82">
        <v>-1.782036E-7</v>
      </c>
      <c r="K24" s="82">
        <v>6.1823179496999998</v>
      </c>
      <c r="L24" s="82">
        <v>4.0023764999999999E-3</v>
      </c>
      <c r="M24" s="82">
        <v>-2.4139999999999998E-7</v>
      </c>
      <c r="O24" s="157">
        <v>5000</v>
      </c>
      <c r="P24">
        <f t="shared" si="3"/>
        <v>11.083352820999902</v>
      </c>
      <c r="Q24">
        <f t="shared" si="4"/>
        <v>12.256743780033499</v>
      </c>
      <c r="R24" s="158">
        <f t="shared" si="5"/>
        <v>-0.10586967481630144</v>
      </c>
    </row>
    <row r="25" spans="1:18" x14ac:dyDescent="0.25">
      <c r="A25" s="5">
        <v>22</v>
      </c>
      <c r="B25" s="5" t="s">
        <v>17</v>
      </c>
      <c r="C25" s="2" t="s">
        <v>12</v>
      </c>
      <c r="D25" s="6" t="s">
        <v>14</v>
      </c>
      <c r="E25" s="6" t="s">
        <v>55</v>
      </c>
      <c r="F25" s="66" t="s">
        <v>7</v>
      </c>
      <c r="G25" s="152">
        <v>2080</v>
      </c>
      <c r="H25" s="82">
        <v>5.8867404037100002E-2</v>
      </c>
      <c r="I25" s="82">
        <v>6.1356589599999994E-5</v>
      </c>
      <c r="J25" s="82">
        <v>-4.908E-10</v>
      </c>
      <c r="K25" s="82">
        <v>4.2025198124000003</v>
      </c>
      <c r="L25" s="82">
        <v>1.0760659000000001E-3</v>
      </c>
      <c r="M25" s="82">
        <v>-7.2800000000000003E-8</v>
      </c>
      <c r="O25" s="157">
        <v>6000</v>
      </c>
      <c r="P25">
        <f t="shared" si="3"/>
        <v>12.448027820999901</v>
      </c>
      <c r="Q25">
        <f t="shared" si="4"/>
        <v>13.8099080146335</v>
      </c>
      <c r="R25" s="158">
        <f t="shared" si="5"/>
        <v>-0.109405298029307</v>
      </c>
    </row>
    <row r="26" spans="1:18" x14ac:dyDescent="0.25">
      <c r="A26" s="5">
        <v>23</v>
      </c>
      <c r="B26" s="5" t="s">
        <v>17</v>
      </c>
      <c r="C26" s="2" t="s">
        <v>12</v>
      </c>
      <c r="D26" s="6" t="s">
        <v>14</v>
      </c>
      <c r="E26" s="6" t="s">
        <v>55</v>
      </c>
      <c r="F26" s="66" t="s">
        <v>7</v>
      </c>
      <c r="G26" s="152">
        <v>2912</v>
      </c>
      <c r="H26" s="82">
        <v>9.6359463181399999E-2</v>
      </c>
      <c r="I26" s="82">
        <v>8.9419712599999996E-5</v>
      </c>
      <c r="J26" s="82">
        <v>-1.2781E-9</v>
      </c>
      <c r="K26" s="82">
        <v>5.4562582093999996</v>
      </c>
      <c r="L26" s="82">
        <v>2.4884702000000001E-3</v>
      </c>
      <c r="M26" s="82">
        <v>-2.2359999999999999E-7</v>
      </c>
      <c r="O26" s="157">
        <v>7000</v>
      </c>
      <c r="P26">
        <f t="shared" si="3"/>
        <v>13.641702820999898</v>
      </c>
      <c r="Q26">
        <f t="shared" si="4"/>
        <v>15.194558249233502</v>
      </c>
      <c r="R26" s="158">
        <f t="shared" si="5"/>
        <v>-0.11383149513000346</v>
      </c>
    </row>
    <row r="27" spans="1:18" x14ac:dyDescent="0.25">
      <c r="A27" s="5">
        <v>24</v>
      </c>
      <c r="B27" s="5" t="s">
        <v>17</v>
      </c>
      <c r="C27" s="2" t="s">
        <v>12</v>
      </c>
      <c r="D27" s="6" t="s">
        <v>14</v>
      </c>
      <c r="E27" s="6" t="s">
        <v>55</v>
      </c>
      <c r="F27" s="66" t="s">
        <v>7</v>
      </c>
      <c r="G27" s="152">
        <v>8760</v>
      </c>
      <c r="H27" s="82">
        <v>0.95972350223379999</v>
      </c>
      <c r="I27" s="82">
        <v>9.5435887099999995E-5</v>
      </c>
      <c r="J27" s="82">
        <v>-1.8077000000000001E-9</v>
      </c>
      <c r="K27" s="82">
        <v>7.49238888</v>
      </c>
      <c r="L27" s="82">
        <v>5.5275000000000003E-3</v>
      </c>
      <c r="M27" s="82">
        <v>-3.5999999999999999E-7</v>
      </c>
      <c r="O27" s="157">
        <v>8000</v>
      </c>
      <c r="P27">
        <f t="shared" si="3"/>
        <v>14.664377820999899</v>
      </c>
      <c r="Q27">
        <f t="shared" si="4"/>
        <v>16.410694483833502</v>
      </c>
      <c r="R27" s="158">
        <f t="shared" si="5"/>
        <v>-0.11908562941775935</v>
      </c>
    </row>
    <row r="28" spans="1:18" x14ac:dyDescent="0.25">
      <c r="A28" s="5">
        <v>25</v>
      </c>
      <c r="B28" s="5" t="s">
        <v>12</v>
      </c>
      <c r="C28" s="2" t="s">
        <v>17</v>
      </c>
      <c r="D28" s="6" t="s">
        <v>14</v>
      </c>
      <c r="E28" s="6" t="s">
        <v>55</v>
      </c>
      <c r="F28" s="66" t="s">
        <v>7</v>
      </c>
      <c r="G28" s="152">
        <v>2080</v>
      </c>
      <c r="H28" s="82">
        <v>1.7464607034999999E-2</v>
      </c>
      <c r="I28" s="82">
        <v>3.8239825099999999E-5</v>
      </c>
      <c r="J28" s="82">
        <v>-1.4539999999999999E-9</v>
      </c>
      <c r="K28" s="82">
        <v>1.2340869921183999</v>
      </c>
      <c r="L28" s="82">
        <v>8.6290793210000005E-4</v>
      </c>
      <c r="M28" s="82">
        <v>-8.2843999999999997E-8</v>
      </c>
      <c r="O28" s="157">
        <v>9000</v>
      </c>
      <c r="P28">
        <f t="shared" si="3"/>
        <v>15.516052820999899</v>
      </c>
      <c r="Q28">
        <f t="shared" si="4"/>
        <v>17.458316718433501</v>
      </c>
      <c r="R28" s="158">
        <f t="shared" si="5"/>
        <v>-0.12517770594367161</v>
      </c>
    </row>
    <row r="29" spans="1:18" x14ac:dyDescent="0.25">
      <c r="A29" s="5">
        <v>26</v>
      </c>
      <c r="B29" s="5" t="s">
        <v>12</v>
      </c>
      <c r="C29" s="2" t="s">
        <v>17</v>
      </c>
      <c r="D29" s="6" t="s">
        <v>14</v>
      </c>
      <c r="E29" s="6" t="s">
        <v>55</v>
      </c>
      <c r="F29" s="66" t="s">
        <v>7</v>
      </c>
      <c r="G29" s="152">
        <v>2912</v>
      </c>
      <c r="H29" s="82">
        <v>4.32950427463E-2</v>
      </c>
      <c r="I29" s="82">
        <v>4.15921277E-5</v>
      </c>
      <c r="J29" s="82">
        <v>-9.0410000000000001E-10</v>
      </c>
      <c r="K29" s="82">
        <v>1.2423496865765</v>
      </c>
      <c r="L29" s="82">
        <v>1.8366905584E-3</v>
      </c>
      <c r="M29" s="82">
        <v>-1.7057870000000001E-7</v>
      </c>
      <c r="O29" s="157">
        <v>10000</v>
      </c>
      <c r="P29">
        <f t="shared" si="3"/>
        <v>16.1967278209999</v>
      </c>
      <c r="Q29">
        <f t="shared" si="4"/>
        <v>18.337424953033501</v>
      </c>
      <c r="R29" s="158">
        <f t="shared" si="5"/>
        <v>-0.13216849450653087</v>
      </c>
    </row>
    <row r="30" spans="1:18" x14ac:dyDescent="0.25">
      <c r="A30" s="5">
        <v>27</v>
      </c>
      <c r="B30" s="5" t="s">
        <v>12</v>
      </c>
      <c r="C30" s="2" t="s">
        <v>17</v>
      </c>
      <c r="D30" s="6" t="s">
        <v>14</v>
      </c>
      <c r="E30" s="6" t="s">
        <v>55</v>
      </c>
      <c r="F30" s="66" t="s">
        <v>7</v>
      </c>
      <c r="G30" s="152">
        <v>8760</v>
      </c>
      <c r="H30" s="82">
        <v>0.50114865146630005</v>
      </c>
      <c r="I30" s="82">
        <v>2.95161651E-5</v>
      </c>
      <c r="J30" s="82">
        <v>-2.9700000000000001E-10</v>
      </c>
      <c r="K30" s="82">
        <v>1.6695080450999999</v>
      </c>
      <c r="L30" s="82">
        <v>3.3280569000000001E-3</v>
      </c>
      <c r="M30" s="82">
        <v>-2.2679999999999999E-7</v>
      </c>
      <c r="O30" s="157">
        <v>11000</v>
      </c>
      <c r="P30">
        <f t="shared" si="3"/>
        <v>16.706402820999898</v>
      </c>
      <c r="Q30">
        <f t="shared" si="4"/>
        <v>19.0480191876335</v>
      </c>
      <c r="R30" s="158">
        <f t="shared" si="5"/>
        <v>-0.14016281013469861</v>
      </c>
    </row>
    <row r="31" spans="1:18" x14ac:dyDescent="0.25">
      <c r="A31" s="5">
        <v>28</v>
      </c>
      <c r="B31" s="5" t="s">
        <v>17</v>
      </c>
      <c r="C31" s="2" t="s">
        <v>17</v>
      </c>
      <c r="D31" s="6" t="s">
        <v>56</v>
      </c>
      <c r="E31" s="6" t="s">
        <v>134</v>
      </c>
      <c r="F31" s="66" t="s">
        <v>7</v>
      </c>
      <c r="G31" s="152">
        <v>2080</v>
      </c>
      <c r="H31" s="82">
        <v>5.1033615967599998E-2</v>
      </c>
      <c r="I31" s="82">
        <v>8.7884980300000003E-5</v>
      </c>
      <c r="J31" s="82">
        <v>-3.0212999999999999E-9</v>
      </c>
      <c r="K31" s="82">
        <v>2.9951823980196002</v>
      </c>
      <c r="L31" s="82">
        <v>5.4436226780000001E-4</v>
      </c>
      <c r="M31" s="82">
        <v>-1.19223E-8</v>
      </c>
      <c r="O31" s="157">
        <v>12000</v>
      </c>
      <c r="P31">
        <f t="shared" si="3"/>
        <v>17.045077820999897</v>
      </c>
      <c r="Q31">
        <f t="shared" si="4"/>
        <v>19.5900994222335</v>
      </c>
      <c r="R31" s="158">
        <f t="shared" si="5"/>
        <v>-0.1493112338917035</v>
      </c>
    </row>
    <row r="32" spans="1:18" x14ac:dyDescent="0.25">
      <c r="A32" s="5">
        <v>29</v>
      </c>
      <c r="B32" s="5" t="s">
        <v>17</v>
      </c>
      <c r="C32" s="2" t="s">
        <v>17</v>
      </c>
      <c r="D32" s="6" t="s">
        <v>56</v>
      </c>
      <c r="E32" s="6" t="s">
        <v>134</v>
      </c>
      <c r="F32" s="66" t="s">
        <v>7</v>
      </c>
      <c r="G32" s="152">
        <v>2912</v>
      </c>
      <c r="H32" s="82">
        <v>9.6220364822200005E-2</v>
      </c>
      <c r="I32" s="82">
        <v>1.2082256010000001E-4</v>
      </c>
      <c r="J32" s="82">
        <v>-4.1033000000000001E-9</v>
      </c>
      <c r="K32" s="82">
        <v>4.6910108842016998</v>
      </c>
      <c r="L32" s="82">
        <v>1.137080156E-3</v>
      </c>
      <c r="M32" s="82">
        <v>-6.8371400000000006E-8</v>
      </c>
    </row>
    <row r="33" spans="1:18" x14ac:dyDescent="0.25">
      <c r="A33" s="5">
        <v>30</v>
      </c>
      <c r="B33" s="5" t="s">
        <v>17</v>
      </c>
      <c r="C33" s="2" t="s">
        <v>17</v>
      </c>
      <c r="D33" s="6" t="s">
        <v>56</v>
      </c>
      <c r="E33" s="6" t="s">
        <v>134</v>
      </c>
      <c r="F33" s="66" t="s">
        <v>7</v>
      </c>
      <c r="G33" s="152">
        <v>8760</v>
      </c>
      <c r="H33" s="82">
        <v>0.87218372612399997</v>
      </c>
      <c r="I33" s="82">
        <v>1.3318501650000001E-4</v>
      </c>
      <c r="J33" s="82">
        <v>-3.3866999999999999E-9</v>
      </c>
      <c r="K33" s="82">
        <v>7.8630931031136999</v>
      </c>
      <c r="L33" s="82">
        <v>4.1844902139000001E-3</v>
      </c>
      <c r="M33" s="82">
        <v>-2.5865530000000001E-7</v>
      </c>
      <c r="O33" s="139" t="s">
        <v>4</v>
      </c>
      <c r="P33" s="263" t="s">
        <v>1186</v>
      </c>
      <c r="Q33" s="264"/>
      <c r="R33" s="11" t="s">
        <v>1184</v>
      </c>
    </row>
    <row r="34" spans="1:18" x14ac:dyDescent="0.25">
      <c r="A34" s="5">
        <v>31</v>
      </c>
      <c r="B34" s="5" t="s">
        <v>17</v>
      </c>
      <c r="C34" s="2" t="s">
        <v>12</v>
      </c>
      <c r="D34" s="6" t="s">
        <v>56</v>
      </c>
      <c r="E34" s="6" t="s">
        <v>134</v>
      </c>
      <c r="F34" s="66" t="s">
        <v>7</v>
      </c>
      <c r="G34" s="152">
        <v>2080</v>
      </c>
      <c r="H34" s="82">
        <v>6.8584135745200003E-2</v>
      </c>
      <c r="I34" s="82">
        <v>6.57527702E-5</v>
      </c>
      <c r="J34" s="82">
        <v>-4.8250000000000004E-10</v>
      </c>
      <c r="K34" s="82">
        <v>5.1829375742785997</v>
      </c>
      <c r="L34" s="82">
        <v>1.0798818489E-3</v>
      </c>
      <c r="M34" s="82">
        <v>-8.2356800000000003E-8</v>
      </c>
      <c r="O34" s="157">
        <v>0</v>
      </c>
      <c r="P34">
        <f>$H$6+$I$6*O34+$J$6*O34^2</f>
        <v>16.004060569799801</v>
      </c>
      <c r="Q34">
        <f>$H$15+$I$15*O34+$J$15*O34^2</f>
        <v>17.881665489718198</v>
      </c>
      <c r="R34" s="158">
        <f>(P34-Q34)/P34</f>
        <v>-0.1173205332315163</v>
      </c>
    </row>
    <row r="35" spans="1:18" x14ac:dyDescent="0.25">
      <c r="A35" s="5">
        <v>32</v>
      </c>
      <c r="B35" s="5" t="s">
        <v>17</v>
      </c>
      <c r="C35" s="2" t="s">
        <v>12</v>
      </c>
      <c r="D35" s="6" t="s">
        <v>56</v>
      </c>
      <c r="E35" s="6" t="s">
        <v>134</v>
      </c>
      <c r="F35" s="66" t="s">
        <v>7</v>
      </c>
      <c r="G35" s="152">
        <v>2912</v>
      </c>
      <c r="H35" s="82">
        <v>0.11084425872839999</v>
      </c>
      <c r="I35" s="82">
        <v>9.4884187599999996E-5</v>
      </c>
      <c r="J35" s="82">
        <v>-1.2252000000000001E-9</v>
      </c>
      <c r="K35" s="82">
        <v>6.7949827164281</v>
      </c>
      <c r="L35" s="82">
        <v>2.5987321275E-3</v>
      </c>
      <c r="M35" s="82">
        <v>-2.47981E-7</v>
      </c>
      <c r="O35" s="157">
        <v>1000</v>
      </c>
      <c r="P35">
        <f t="shared" ref="P35:P46" si="6">$H$6+$I$6*O35+$J$6*O35^2</f>
        <v>18.508308669799799</v>
      </c>
      <c r="Q35">
        <f t="shared" ref="Q35:Q46" si="7">$H$15+$I$15*O35+$J$15*O35^2</f>
        <v>20.546883107918198</v>
      </c>
      <c r="R35" s="158">
        <f t="shared" ref="R35:R46" si="8">(P35-Q35)/P35</f>
        <v>-0.11014374541120348</v>
      </c>
    </row>
    <row r="36" spans="1:18" x14ac:dyDescent="0.25">
      <c r="A36" s="5">
        <v>33</v>
      </c>
      <c r="B36" s="5" t="s">
        <v>17</v>
      </c>
      <c r="C36" s="2" t="s">
        <v>12</v>
      </c>
      <c r="D36" s="6" t="s">
        <v>56</v>
      </c>
      <c r="E36" s="6" t="s">
        <v>134</v>
      </c>
      <c r="F36" s="66" t="s">
        <v>7</v>
      </c>
      <c r="G36" s="152">
        <v>8760</v>
      </c>
      <c r="H36" s="82">
        <v>1.0745531119272</v>
      </c>
      <c r="I36" s="82">
        <v>1.011670958E-4</v>
      </c>
      <c r="J36" s="82">
        <v>-2.0052000000000001E-9</v>
      </c>
      <c r="K36" s="82">
        <v>9.5018884828489991</v>
      </c>
      <c r="L36" s="82">
        <v>5.9375221572000002E-3</v>
      </c>
      <c r="M36" s="82">
        <v>-4.1904410000000002E-7</v>
      </c>
      <c r="O36" s="157">
        <v>2000</v>
      </c>
      <c r="P36">
        <f t="shared" si="6"/>
        <v>20.8847567697998</v>
      </c>
      <c r="Q36">
        <f t="shared" si="7"/>
        <v>23.073087326118198</v>
      </c>
      <c r="R36" s="158">
        <f t="shared" si="8"/>
        <v>-0.10478123257259152</v>
      </c>
    </row>
    <row r="37" spans="1:18" x14ac:dyDescent="0.25">
      <c r="A37" s="5">
        <v>34</v>
      </c>
      <c r="B37" s="5" t="s">
        <v>12</v>
      </c>
      <c r="C37" s="2" t="s">
        <v>17</v>
      </c>
      <c r="D37" s="6" t="s">
        <v>56</v>
      </c>
      <c r="E37" s="6" t="s">
        <v>134</v>
      </c>
      <c r="F37" s="66" t="s">
        <v>7</v>
      </c>
      <c r="G37" s="152">
        <v>2080</v>
      </c>
      <c r="H37" s="82">
        <v>2.10814047191E-2</v>
      </c>
      <c r="I37" s="82">
        <v>4.12817383E-5</v>
      </c>
      <c r="J37" s="82">
        <v>-1.5476999999999999E-9</v>
      </c>
      <c r="K37" s="82">
        <v>1.5493838764825001</v>
      </c>
      <c r="L37" s="82">
        <v>9.1567904680000005E-4</v>
      </c>
      <c r="M37" s="82">
        <v>-9.2913599999999999E-8</v>
      </c>
      <c r="O37" s="157">
        <v>3000</v>
      </c>
      <c r="P37">
        <f t="shared" si="6"/>
        <v>23.133404869799804</v>
      </c>
      <c r="Q37">
        <f t="shared" si="7"/>
        <v>25.460278144318199</v>
      </c>
      <c r="R37" s="158">
        <f t="shared" si="8"/>
        <v>-0.10058498900678824</v>
      </c>
    </row>
    <row r="38" spans="1:18" x14ac:dyDescent="0.25">
      <c r="A38" s="5">
        <v>35</v>
      </c>
      <c r="B38" s="5" t="s">
        <v>12</v>
      </c>
      <c r="C38" s="2" t="s">
        <v>17</v>
      </c>
      <c r="D38" s="6" t="s">
        <v>56</v>
      </c>
      <c r="E38" s="6" t="s">
        <v>134</v>
      </c>
      <c r="F38" s="66" t="s">
        <v>7</v>
      </c>
      <c r="G38" s="152">
        <v>2912</v>
      </c>
      <c r="H38" s="82">
        <v>4.9486535919500002E-2</v>
      </c>
      <c r="I38" s="82">
        <v>4.5562858599999998E-5</v>
      </c>
      <c r="J38" s="82">
        <v>-1.0304999999999999E-9</v>
      </c>
      <c r="K38" s="82">
        <v>1.5594199852179</v>
      </c>
      <c r="L38" s="82">
        <v>2.0586147562E-3</v>
      </c>
      <c r="M38" s="82">
        <v>-2.0486390000000001E-7</v>
      </c>
      <c r="O38" s="157">
        <v>4000</v>
      </c>
      <c r="P38">
        <f t="shared" si="6"/>
        <v>25.254252969799801</v>
      </c>
      <c r="Q38">
        <f t="shared" si="7"/>
        <v>27.7084555625182</v>
      </c>
      <c r="R38" s="158">
        <f t="shared" si="8"/>
        <v>-9.7179773864356542E-2</v>
      </c>
    </row>
    <row r="39" spans="1:18" x14ac:dyDescent="0.25">
      <c r="A39" s="5">
        <v>36</v>
      </c>
      <c r="B39" s="5" t="s">
        <v>12</v>
      </c>
      <c r="C39" s="2" t="s">
        <v>17</v>
      </c>
      <c r="D39" s="6" t="s">
        <v>56</v>
      </c>
      <c r="E39" s="6" t="s">
        <v>134</v>
      </c>
      <c r="F39" s="66" t="s">
        <v>7</v>
      </c>
      <c r="G39" s="152">
        <v>8760</v>
      </c>
      <c r="H39" s="82">
        <v>0.55670014401760004</v>
      </c>
      <c r="I39" s="82">
        <v>3.1069429500000002E-5</v>
      </c>
      <c r="J39" s="82">
        <v>-3.4980000000000002E-10</v>
      </c>
      <c r="K39" s="82">
        <v>2.2114532502570001</v>
      </c>
      <c r="L39" s="82">
        <v>3.6710734379999999E-3</v>
      </c>
      <c r="M39" s="82">
        <v>-2.6306770000000001E-7</v>
      </c>
      <c r="O39" s="157">
        <v>5000</v>
      </c>
      <c r="P39">
        <f t="shared" si="6"/>
        <v>27.2473010697998</v>
      </c>
      <c r="Q39">
        <f t="shared" si="7"/>
        <v>29.817619580718201</v>
      </c>
      <c r="R39" s="158">
        <f t="shared" si="8"/>
        <v>-9.4332958127998787E-2</v>
      </c>
    </row>
    <row r="40" spans="1:18" x14ac:dyDescent="0.25">
      <c r="O40" s="157">
        <v>6000</v>
      </c>
      <c r="P40">
        <f t="shared" si="6"/>
        <v>29.112549169799802</v>
      </c>
      <c r="Q40">
        <f t="shared" si="7"/>
        <v>31.787770198918196</v>
      </c>
      <c r="R40" s="158">
        <f t="shared" si="8"/>
        <v>-9.1892366192843092E-2</v>
      </c>
    </row>
    <row r="41" spans="1:18" x14ac:dyDescent="0.25">
      <c r="A41" s="1" t="s">
        <v>126</v>
      </c>
      <c r="B41" s="1"/>
      <c r="C41" s="1"/>
      <c r="H41" s="226" t="s">
        <v>120</v>
      </c>
      <c r="I41" s="226"/>
      <c r="J41" s="226"/>
      <c r="K41" s="226"/>
      <c r="L41" s="226"/>
      <c r="M41" s="226"/>
      <c r="O41" s="157">
        <v>7000</v>
      </c>
      <c r="P41">
        <f t="shared" si="6"/>
        <v>30.849997269799804</v>
      </c>
      <c r="Q41">
        <f t="shared" si="7"/>
        <v>33.618907417118201</v>
      </c>
      <c r="R41" s="158">
        <f t="shared" si="8"/>
        <v>-8.9753983545048335E-2</v>
      </c>
    </row>
    <row r="42" spans="1:18" x14ac:dyDescent="0.25">
      <c r="H42" s="226" t="s">
        <v>1163</v>
      </c>
      <c r="I42" s="226"/>
      <c r="J42" s="226"/>
      <c r="K42" s="226" t="s">
        <v>124</v>
      </c>
      <c r="L42" s="226"/>
      <c r="M42" s="226"/>
      <c r="O42" s="157">
        <v>8000</v>
      </c>
      <c r="P42">
        <f t="shared" si="6"/>
        <v>32.459645369799809</v>
      </c>
      <c r="Q42">
        <f t="shared" si="7"/>
        <v>35.311031235318197</v>
      </c>
      <c r="R42" s="158">
        <f t="shared" si="8"/>
        <v>-8.7844023957553599E-2</v>
      </c>
    </row>
    <row r="43" spans="1:18" x14ac:dyDescent="0.25">
      <c r="A43" s="5" t="s">
        <v>129</v>
      </c>
      <c r="B43" s="5" t="s">
        <v>1030</v>
      </c>
      <c r="C43" s="2" t="s">
        <v>5</v>
      </c>
      <c r="D43" s="5" t="s">
        <v>1162</v>
      </c>
      <c r="E43" s="5" t="s">
        <v>15</v>
      </c>
      <c r="F43" s="74" t="s">
        <v>60</v>
      </c>
      <c r="G43" s="74"/>
      <c r="H43" s="5" t="s">
        <v>116</v>
      </c>
      <c r="I43" s="5" t="s">
        <v>122</v>
      </c>
      <c r="J43" s="5" t="s">
        <v>123</v>
      </c>
      <c r="K43" s="5" t="s">
        <v>116</v>
      </c>
      <c r="L43" s="5" t="s">
        <v>122</v>
      </c>
      <c r="M43" s="5" t="s">
        <v>123</v>
      </c>
      <c r="O43" s="157">
        <v>9000</v>
      </c>
      <c r="P43">
        <f t="shared" si="6"/>
        <v>33.941493469799809</v>
      </c>
      <c r="Q43">
        <f t="shared" si="7"/>
        <v>36.864141653518203</v>
      </c>
      <c r="R43" s="158">
        <f t="shared" si="8"/>
        <v>-8.6108414360696425E-2</v>
      </c>
    </row>
    <row r="44" spans="1:18" x14ac:dyDescent="0.25">
      <c r="A44" s="5">
        <v>1</v>
      </c>
      <c r="B44" s="5" t="s">
        <v>17</v>
      </c>
      <c r="C44" s="2" t="s">
        <v>17</v>
      </c>
      <c r="D44" s="6" t="s">
        <v>14</v>
      </c>
      <c r="E44" s="76"/>
      <c r="F44" s="76"/>
      <c r="G44" s="76"/>
      <c r="H44" s="82">
        <v>19.793732016</v>
      </c>
      <c r="I44" s="82">
        <v>3.4282865000000002E-3</v>
      </c>
      <c r="J44" s="82">
        <v>-3.1530000000000002E-7</v>
      </c>
      <c r="K44" s="82">
        <v>21.147402796600002</v>
      </c>
      <c r="L44" s="82">
        <v>6.0444886E-3</v>
      </c>
      <c r="M44" s="82">
        <v>-5.6029999999999995E-7</v>
      </c>
      <c r="N44" t="s">
        <v>3</v>
      </c>
      <c r="O44" s="157">
        <v>10000</v>
      </c>
      <c r="P44">
        <f t="shared" si="6"/>
        <v>35.295541569799802</v>
      </c>
      <c r="Q44">
        <f t="shared" si="7"/>
        <v>38.278238671718199</v>
      </c>
      <c r="R44" s="158">
        <f t="shared" si="8"/>
        <v>-8.4506341856799991E-2</v>
      </c>
    </row>
    <row r="45" spans="1:18" x14ac:dyDescent="0.25">
      <c r="A45" s="5">
        <v>2</v>
      </c>
      <c r="B45" s="5" t="s">
        <v>17</v>
      </c>
      <c r="C45" s="2" t="s">
        <v>12</v>
      </c>
      <c r="D45" s="6" t="s">
        <v>14</v>
      </c>
      <c r="E45" s="76"/>
      <c r="F45" s="76"/>
      <c r="G45" s="76"/>
      <c r="H45" s="82">
        <v>19.793732016</v>
      </c>
      <c r="I45" s="82">
        <v>3.4282865000000002E-3</v>
      </c>
      <c r="J45" s="82">
        <v>-3.1530000000000002E-7</v>
      </c>
      <c r="K45" s="82">
        <v>45.406169412499999</v>
      </c>
      <c r="L45" s="82">
        <v>9.6501752999999992E-3</v>
      </c>
      <c r="M45" s="82">
        <v>-8.1149999999999998E-7</v>
      </c>
      <c r="O45" s="157">
        <v>11000</v>
      </c>
      <c r="P45">
        <f t="shared" si="6"/>
        <v>36.521789669799801</v>
      </c>
      <c r="Q45">
        <f t="shared" si="7"/>
        <v>39.553322289918199</v>
      </c>
      <c r="R45" s="158">
        <f t="shared" si="8"/>
        <v>-8.3006135447551727E-2</v>
      </c>
    </row>
    <row r="46" spans="1:18" x14ac:dyDescent="0.25">
      <c r="A46" s="5">
        <v>3</v>
      </c>
      <c r="B46" s="5" t="s">
        <v>12</v>
      </c>
      <c r="C46" s="2" t="s">
        <v>17</v>
      </c>
      <c r="D46" s="6" t="s">
        <v>14</v>
      </c>
      <c r="E46" s="76"/>
      <c r="F46" s="76"/>
      <c r="G46" s="76"/>
      <c r="H46" s="82">
        <v>17.804127819400001</v>
      </c>
      <c r="I46" s="82">
        <v>2.7898491000000001E-3</v>
      </c>
      <c r="J46" s="82">
        <v>-2.34E-7</v>
      </c>
      <c r="K46" s="82">
        <v>15.694426548999999</v>
      </c>
      <c r="L46" s="82">
        <v>3.4110821000000002E-3</v>
      </c>
      <c r="M46" s="82">
        <v>-2.9890000000000001E-7</v>
      </c>
      <c r="O46" s="157">
        <v>12000</v>
      </c>
      <c r="P46">
        <f t="shared" si="6"/>
        <v>37.6202377697998</v>
      </c>
      <c r="Q46">
        <f t="shared" si="7"/>
        <v>40.689392508118203</v>
      </c>
      <c r="R46" s="158">
        <f t="shared" si="8"/>
        <v>-8.1582544934955523E-2</v>
      </c>
    </row>
    <row r="47" spans="1:18" x14ac:dyDescent="0.25">
      <c r="A47" s="5">
        <v>4</v>
      </c>
      <c r="B47" s="5" t="s">
        <v>17</v>
      </c>
      <c r="C47" s="2" t="s">
        <v>17</v>
      </c>
      <c r="D47" s="6" t="s">
        <v>56</v>
      </c>
      <c r="E47" s="76"/>
      <c r="F47" s="76"/>
      <c r="G47" s="76"/>
      <c r="H47" s="82">
        <v>24.307269287</v>
      </c>
      <c r="I47" s="82">
        <v>2.3954098000000001E-3</v>
      </c>
      <c r="J47" s="82">
        <v>-2.005E-7</v>
      </c>
      <c r="K47" s="82">
        <v>19.967295302499998</v>
      </c>
      <c r="L47" s="82">
        <v>7.0543283999999996E-3</v>
      </c>
      <c r="M47" s="82">
        <v>-7.6120000000000001E-7</v>
      </c>
    </row>
    <row r="48" spans="1:18" x14ac:dyDescent="0.25">
      <c r="A48" s="5">
        <v>5</v>
      </c>
      <c r="B48" s="5" t="s">
        <v>17</v>
      </c>
      <c r="C48" s="2" t="s">
        <v>12</v>
      </c>
      <c r="D48" s="6" t="s">
        <v>56</v>
      </c>
      <c r="E48" s="76"/>
      <c r="F48" s="76"/>
      <c r="G48" s="76"/>
      <c r="H48" s="82">
        <v>24.307269287</v>
      </c>
      <c r="I48" s="82">
        <v>2.3954098000000001E-3</v>
      </c>
      <c r="J48" s="82">
        <v>-2.005E-7</v>
      </c>
      <c r="K48" s="82">
        <v>46.026564086800001</v>
      </c>
      <c r="L48" s="82">
        <v>1.17868204E-2</v>
      </c>
      <c r="M48" s="82">
        <v>-1.1328E-6</v>
      </c>
    </row>
    <row r="49" spans="1:13" x14ac:dyDescent="0.25">
      <c r="A49" s="5">
        <v>6</v>
      </c>
      <c r="B49" s="5" t="s">
        <v>12</v>
      </c>
      <c r="C49" s="2" t="s">
        <v>17</v>
      </c>
      <c r="D49" s="6" t="s">
        <v>56</v>
      </c>
      <c r="E49" s="76"/>
      <c r="F49" s="76"/>
      <c r="G49" s="76"/>
      <c r="H49" s="82">
        <v>23.019693891399999</v>
      </c>
      <c r="I49" s="82">
        <v>1.5841550000000001E-3</v>
      </c>
      <c r="J49" s="82">
        <v>-7.3500000000000003E-8</v>
      </c>
      <c r="K49" s="82">
        <v>16.636361648800001</v>
      </c>
      <c r="L49" s="82">
        <v>4.7085492000000003E-3</v>
      </c>
      <c r="M49" s="82">
        <v>-5.4850000000000002E-7</v>
      </c>
    </row>
    <row r="51" spans="1:13" x14ac:dyDescent="0.25">
      <c r="A51" s="1" t="s">
        <v>128</v>
      </c>
      <c r="B51" s="1"/>
      <c r="C51" s="1"/>
      <c r="H51" s="226" t="s">
        <v>120</v>
      </c>
      <c r="I51" s="226"/>
      <c r="J51" s="226"/>
    </row>
    <row r="52" spans="1:13" x14ac:dyDescent="0.25">
      <c r="H52" s="226" t="s">
        <v>131</v>
      </c>
      <c r="I52" s="226"/>
      <c r="J52" s="226"/>
      <c r="K52" s="264"/>
      <c r="L52" s="264"/>
      <c r="M52" s="264"/>
    </row>
    <row r="53" spans="1:13" x14ac:dyDescent="0.25">
      <c r="A53" s="5" t="s">
        <v>129</v>
      </c>
      <c r="B53" s="5" t="s">
        <v>1030</v>
      </c>
      <c r="C53" s="2" t="s">
        <v>190</v>
      </c>
      <c r="D53" s="5" t="s">
        <v>1162</v>
      </c>
      <c r="E53" s="5" t="s">
        <v>6</v>
      </c>
      <c r="F53" s="74" t="s">
        <v>60</v>
      </c>
      <c r="G53" s="74" t="s">
        <v>1159</v>
      </c>
      <c r="H53" s="5" t="s">
        <v>116</v>
      </c>
      <c r="I53" s="5" t="s">
        <v>122</v>
      </c>
      <c r="J53" s="5" t="s">
        <v>123</v>
      </c>
      <c r="K53" s="11"/>
      <c r="L53" s="11"/>
      <c r="M53" s="11"/>
    </row>
    <row r="54" spans="1:13" x14ac:dyDescent="0.25">
      <c r="A54" s="5">
        <v>1</v>
      </c>
      <c r="B54" s="5" t="s">
        <v>17</v>
      </c>
      <c r="C54" s="78" t="s">
        <v>127</v>
      </c>
      <c r="D54" s="6" t="s">
        <v>14</v>
      </c>
      <c r="E54" s="66" t="s">
        <v>29</v>
      </c>
      <c r="F54" s="76" t="s">
        <v>127</v>
      </c>
      <c r="G54" s="88">
        <v>2080</v>
      </c>
      <c r="H54" s="82">
        <v>55.181131659999998</v>
      </c>
      <c r="I54" s="82">
        <v>-2.8390199999999998E-3</v>
      </c>
      <c r="J54" s="82">
        <v>4.0999999999999999E-7</v>
      </c>
      <c r="K54" s="77"/>
      <c r="L54" s="77"/>
      <c r="M54" s="77"/>
    </row>
    <row r="55" spans="1:13" x14ac:dyDescent="0.25">
      <c r="A55" s="5">
        <v>2</v>
      </c>
      <c r="B55" s="5" t="s">
        <v>17</v>
      </c>
      <c r="C55" s="78" t="s">
        <v>127</v>
      </c>
      <c r="D55" s="6" t="s">
        <v>14</v>
      </c>
      <c r="E55" s="66" t="s">
        <v>29</v>
      </c>
      <c r="F55" s="76" t="s">
        <v>127</v>
      </c>
      <c r="G55" s="88">
        <v>2912</v>
      </c>
      <c r="H55" s="82">
        <v>69.341885809999994</v>
      </c>
      <c r="I55" s="82">
        <v>-5.1024699999999996E-3</v>
      </c>
      <c r="J55" s="82">
        <v>6.6000000000000003E-7</v>
      </c>
      <c r="K55" s="77"/>
      <c r="L55" s="77"/>
      <c r="M55" s="77"/>
    </row>
    <row r="56" spans="1:13" x14ac:dyDescent="0.25">
      <c r="A56" s="5">
        <v>3</v>
      </c>
      <c r="B56" s="5" t="s">
        <v>17</v>
      </c>
      <c r="C56" s="78" t="s">
        <v>127</v>
      </c>
      <c r="D56" s="6" t="s">
        <v>14</v>
      </c>
      <c r="E56" s="66" t="s">
        <v>29</v>
      </c>
      <c r="F56" s="76" t="s">
        <v>127</v>
      </c>
      <c r="G56" s="88">
        <v>8760</v>
      </c>
      <c r="H56" s="82">
        <v>155.28825773</v>
      </c>
      <c r="I56" s="82">
        <v>-1.240227E-2</v>
      </c>
      <c r="J56" s="82">
        <v>1.42E-6</v>
      </c>
      <c r="K56" s="77"/>
      <c r="L56" s="77"/>
      <c r="M56" s="77"/>
    </row>
    <row r="57" spans="1:13" x14ac:dyDescent="0.25">
      <c r="A57" s="5">
        <v>4</v>
      </c>
      <c r="B57" s="5" t="s">
        <v>12</v>
      </c>
      <c r="C57" s="78" t="s">
        <v>127</v>
      </c>
      <c r="D57" s="6" t="s">
        <v>14</v>
      </c>
      <c r="E57" s="66" t="s">
        <v>29</v>
      </c>
      <c r="F57" s="76" t="s">
        <v>127</v>
      </c>
      <c r="G57" s="88">
        <v>2080</v>
      </c>
      <c r="H57" s="82">
        <v>56.468723060000002</v>
      </c>
      <c r="I57" s="82">
        <v>-3.6288100000000001E-3</v>
      </c>
      <c r="J57" s="82">
        <v>3.8000000000000001E-7</v>
      </c>
    </row>
    <row r="58" spans="1:13" x14ac:dyDescent="0.25">
      <c r="A58" s="5">
        <v>5</v>
      </c>
      <c r="B58" s="5" t="s">
        <v>12</v>
      </c>
      <c r="C58" s="78" t="s">
        <v>127</v>
      </c>
      <c r="D58" s="6" t="s">
        <v>14</v>
      </c>
      <c r="E58" s="66" t="s">
        <v>29</v>
      </c>
      <c r="F58" s="76" t="s">
        <v>127</v>
      </c>
      <c r="G58" s="88">
        <v>2912</v>
      </c>
      <c r="H58" s="82">
        <v>66.122231029999995</v>
      </c>
      <c r="I58" s="82">
        <v>-5.0972600000000002E-3</v>
      </c>
      <c r="J58" s="82">
        <v>5.9999999999999997E-7</v>
      </c>
    </row>
    <row r="59" spans="1:13" x14ac:dyDescent="0.25">
      <c r="A59" s="5">
        <v>6</v>
      </c>
      <c r="B59" s="5" t="s">
        <v>12</v>
      </c>
      <c r="C59" s="78" t="s">
        <v>127</v>
      </c>
      <c r="D59" s="6" t="s">
        <v>14</v>
      </c>
      <c r="E59" s="66" t="s">
        <v>29</v>
      </c>
      <c r="F59" s="76" t="s">
        <v>127</v>
      </c>
      <c r="G59" s="88">
        <v>8760</v>
      </c>
      <c r="H59" s="82">
        <v>132.81035158</v>
      </c>
      <c r="I59" s="82">
        <v>-7.4260400000000001E-3</v>
      </c>
      <c r="J59" s="82">
        <v>8.0999999999999997E-7</v>
      </c>
    </row>
    <row r="60" spans="1:13" x14ac:dyDescent="0.25">
      <c r="A60" s="5">
        <v>7</v>
      </c>
      <c r="B60" s="5" t="s">
        <v>17</v>
      </c>
      <c r="C60" s="78" t="s">
        <v>127</v>
      </c>
      <c r="D60" s="6" t="s">
        <v>14</v>
      </c>
      <c r="E60" s="6" t="s">
        <v>142</v>
      </c>
      <c r="F60" s="76" t="s">
        <v>127</v>
      </c>
      <c r="G60" s="88">
        <v>2080</v>
      </c>
      <c r="H60" s="82">
        <v>59.312424970000002</v>
      </c>
      <c r="I60" s="82">
        <v>-2.4399600000000001E-3</v>
      </c>
      <c r="J60" s="82">
        <v>4.0999999999999999E-7</v>
      </c>
    </row>
    <row r="61" spans="1:13" x14ac:dyDescent="0.25">
      <c r="A61" s="5">
        <v>8</v>
      </c>
      <c r="B61" s="5" t="s">
        <v>17</v>
      </c>
      <c r="C61" s="78" t="s">
        <v>127</v>
      </c>
      <c r="D61" s="6" t="s">
        <v>14</v>
      </c>
      <c r="E61" s="6" t="s">
        <v>142</v>
      </c>
      <c r="F61" s="76" t="s">
        <v>127</v>
      </c>
      <c r="G61" s="88">
        <v>2912</v>
      </c>
      <c r="H61" s="82">
        <v>74.882355669999995</v>
      </c>
      <c r="I61" s="82">
        <v>-4.8032099999999996E-3</v>
      </c>
      <c r="J61" s="82">
        <v>1.1149631922450401E-6</v>
      </c>
    </row>
    <row r="62" spans="1:13" x14ac:dyDescent="0.25">
      <c r="A62" s="5">
        <v>9</v>
      </c>
      <c r="B62" s="5" t="s">
        <v>17</v>
      </c>
      <c r="C62" s="78" t="s">
        <v>127</v>
      </c>
      <c r="D62" s="6" t="s">
        <v>14</v>
      </c>
      <c r="E62" s="6" t="s">
        <v>142</v>
      </c>
      <c r="F62" s="76" t="s">
        <v>127</v>
      </c>
      <c r="G62" s="88">
        <v>8760</v>
      </c>
      <c r="H62" s="82">
        <v>163.52028407</v>
      </c>
      <c r="I62" s="82">
        <v>-6.2067199999999998E-3</v>
      </c>
      <c r="J62" s="82">
        <v>9.7999999999999993E-7</v>
      </c>
    </row>
    <row r="63" spans="1:13" x14ac:dyDescent="0.25">
      <c r="A63" s="5">
        <v>10</v>
      </c>
      <c r="B63" s="5" t="s">
        <v>12</v>
      </c>
      <c r="C63" s="78" t="s">
        <v>127</v>
      </c>
      <c r="D63" s="6" t="s">
        <v>14</v>
      </c>
      <c r="E63" s="6" t="s">
        <v>142</v>
      </c>
      <c r="F63" s="76" t="s">
        <v>127</v>
      </c>
      <c r="G63" s="88">
        <v>2080</v>
      </c>
      <c r="H63" s="82">
        <v>59.701321829999998</v>
      </c>
      <c r="I63" s="82">
        <v>-4.7265299999999996E-3</v>
      </c>
      <c r="J63" s="82">
        <v>4.7E-7</v>
      </c>
    </row>
    <row r="64" spans="1:13" x14ac:dyDescent="0.25">
      <c r="A64" s="5">
        <v>11</v>
      </c>
      <c r="B64" s="5" t="s">
        <v>12</v>
      </c>
      <c r="C64" s="78" t="s">
        <v>127</v>
      </c>
      <c r="D64" s="6" t="s">
        <v>14</v>
      </c>
      <c r="E64" s="6" t="s">
        <v>142</v>
      </c>
      <c r="F64" s="76" t="s">
        <v>127</v>
      </c>
      <c r="G64" s="88">
        <v>2912</v>
      </c>
      <c r="H64" s="82">
        <v>70.942498560000004</v>
      </c>
      <c r="I64" s="82">
        <v>-6.35858E-3</v>
      </c>
      <c r="J64" s="82">
        <v>6.5000000000000002E-7</v>
      </c>
    </row>
    <row r="65" spans="1:11" x14ac:dyDescent="0.25">
      <c r="A65" s="5">
        <v>12</v>
      </c>
      <c r="B65" s="5" t="s">
        <v>12</v>
      </c>
      <c r="C65" s="78" t="s">
        <v>127</v>
      </c>
      <c r="D65" s="6" t="s">
        <v>14</v>
      </c>
      <c r="E65" s="6" t="s">
        <v>142</v>
      </c>
      <c r="F65" s="76" t="s">
        <v>127</v>
      </c>
      <c r="G65" s="88">
        <v>8760</v>
      </c>
      <c r="H65" s="82">
        <v>139.88997587</v>
      </c>
      <c r="I65" s="82">
        <v>-1.048295E-2</v>
      </c>
      <c r="J65" s="82">
        <v>1.1400000000000001E-6</v>
      </c>
    </row>
    <row r="66" spans="1:11" x14ac:dyDescent="0.25">
      <c r="A66" s="5">
        <v>13</v>
      </c>
      <c r="B66" s="5" t="s">
        <v>17</v>
      </c>
      <c r="C66" s="78" t="s">
        <v>127</v>
      </c>
      <c r="D66" s="6" t="s">
        <v>56</v>
      </c>
      <c r="E66" s="66" t="s">
        <v>29</v>
      </c>
      <c r="F66" s="76" t="s">
        <v>127</v>
      </c>
      <c r="G66" s="88">
        <v>2080</v>
      </c>
      <c r="H66" s="82">
        <v>58.241462349999999</v>
      </c>
      <c r="I66" s="82">
        <v>-4.7300299999999997E-3</v>
      </c>
      <c r="J66" s="82">
        <v>7.0999999999999998E-7</v>
      </c>
    </row>
    <row r="67" spans="1:11" x14ac:dyDescent="0.25">
      <c r="A67" s="5">
        <v>14</v>
      </c>
      <c r="B67" s="5" t="s">
        <v>17</v>
      </c>
      <c r="C67" s="78" t="s">
        <v>127</v>
      </c>
      <c r="D67" s="6" t="str">
        <f>D66</f>
        <v>Large</v>
      </c>
      <c r="E67" s="66" t="s">
        <v>29</v>
      </c>
      <c r="F67" s="76" t="s">
        <v>127</v>
      </c>
      <c r="G67" s="88">
        <v>2912</v>
      </c>
      <c r="H67" s="82">
        <v>90.299469000000002</v>
      </c>
      <c r="I67" s="82">
        <v>-7.5784399999999997E-3</v>
      </c>
      <c r="J67" s="82">
        <v>1.08E-6</v>
      </c>
    </row>
    <row r="68" spans="1:11" x14ac:dyDescent="0.25">
      <c r="A68" s="5">
        <v>15</v>
      </c>
      <c r="B68" s="5" t="s">
        <v>17</v>
      </c>
      <c r="C68" s="78" t="s">
        <v>127</v>
      </c>
      <c r="D68" s="6" t="str">
        <f t="shared" ref="D68:D77" si="9">D67</f>
        <v>Large</v>
      </c>
      <c r="E68" s="66" t="s">
        <v>29</v>
      </c>
      <c r="F68" s="76" t="s">
        <v>127</v>
      </c>
      <c r="G68" s="88">
        <v>8760</v>
      </c>
      <c r="H68" s="82">
        <v>151.39705717000001</v>
      </c>
      <c r="I68" s="82">
        <v>-8.8016799999999992E-3</v>
      </c>
      <c r="J68" s="82">
        <v>1.2100000000000001E-6</v>
      </c>
    </row>
    <row r="69" spans="1:11" x14ac:dyDescent="0.25">
      <c r="A69" s="5">
        <v>16</v>
      </c>
      <c r="B69" s="5" t="s">
        <v>12</v>
      </c>
      <c r="C69" s="78" t="s">
        <v>127</v>
      </c>
      <c r="D69" s="6" t="str">
        <f t="shared" si="9"/>
        <v>Large</v>
      </c>
      <c r="E69" s="66" t="s">
        <v>29</v>
      </c>
      <c r="F69" s="76" t="s">
        <v>127</v>
      </c>
      <c r="G69" s="88">
        <v>2080</v>
      </c>
      <c r="H69" s="82">
        <v>59.529589450000003</v>
      </c>
      <c r="I69" s="82">
        <v>5.8856400000000001E-3</v>
      </c>
      <c r="J69" s="82">
        <v>7.8000000000000005E-7</v>
      </c>
    </row>
    <row r="70" spans="1:11" x14ac:dyDescent="0.25">
      <c r="A70" s="5">
        <v>17</v>
      </c>
      <c r="B70" s="5" t="s">
        <v>12</v>
      </c>
      <c r="C70" s="78" t="s">
        <v>127</v>
      </c>
      <c r="D70" s="6" t="str">
        <f t="shared" si="9"/>
        <v>Large</v>
      </c>
      <c r="E70" s="66" t="s">
        <v>29</v>
      </c>
      <c r="F70" s="76" t="s">
        <v>127</v>
      </c>
      <c r="G70" s="88">
        <v>2912</v>
      </c>
      <c r="H70" s="82">
        <v>88.842812519999995</v>
      </c>
      <c r="I70" s="82">
        <v>-8.8189099999999992E-3</v>
      </c>
      <c r="J70" s="82">
        <v>1.1599999999999999E-6</v>
      </c>
    </row>
    <row r="71" spans="1:11" x14ac:dyDescent="0.25">
      <c r="A71" s="5">
        <v>18</v>
      </c>
      <c r="B71" s="5" t="s">
        <v>12</v>
      </c>
      <c r="C71" s="78" t="s">
        <v>127</v>
      </c>
      <c r="D71" s="6" t="str">
        <f t="shared" si="9"/>
        <v>Large</v>
      </c>
      <c r="E71" s="66" t="s">
        <v>29</v>
      </c>
      <c r="F71" s="76" t="s">
        <v>127</v>
      </c>
      <c r="G71" s="88">
        <v>8760</v>
      </c>
      <c r="H71" s="82">
        <v>143.14186848</v>
      </c>
      <c r="I71" s="82">
        <v>-9.6108600000000006E-3</v>
      </c>
      <c r="J71" s="82">
        <v>1.1599999999999999E-6</v>
      </c>
    </row>
    <row r="72" spans="1:11" x14ac:dyDescent="0.25">
      <c r="A72" s="5">
        <v>19</v>
      </c>
      <c r="B72" s="5" t="s">
        <v>17</v>
      </c>
      <c r="C72" s="78" t="s">
        <v>127</v>
      </c>
      <c r="D72" s="6" t="str">
        <f t="shared" si="9"/>
        <v>Large</v>
      </c>
      <c r="E72" s="6" t="s">
        <v>142</v>
      </c>
      <c r="F72" s="76" t="s">
        <v>127</v>
      </c>
      <c r="G72" s="88">
        <v>2080</v>
      </c>
      <c r="H72" s="82">
        <v>59.461158380000001</v>
      </c>
      <c r="I72" s="82">
        <v>-4.1881699999999997E-3</v>
      </c>
      <c r="J72" s="82">
        <v>5.9999999999999997E-7</v>
      </c>
    </row>
    <row r="73" spans="1:11" x14ac:dyDescent="0.25">
      <c r="A73" s="5">
        <v>20</v>
      </c>
      <c r="B73" s="5" t="s">
        <v>17</v>
      </c>
      <c r="C73" s="78" t="s">
        <v>127</v>
      </c>
      <c r="D73" s="6" t="str">
        <f t="shared" si="9"/>
        <v>Large</v>
      </c>
      <c r="E73" s="6" t="s">
        <v>142</v>
      </c>
      <c r="F73" s="76" t="s">
        <v>127</v>
      </c>
      <c r="G73" s="88">
        <v>2912</v>
      </c>
      <c r="H73" s="82">
        <v>93.554480299999994</v>
      </c>
      <c r="I73" s="82">
        <v>-6.6677899999999998E-3</v>
      </c>
      <c r="J73" s="82">
        <v>1.02E-6</v>
      </c>
    </row>
    <row r="74" spans="1:11" x14ac:dyDescent="0.25">
      <c r="A74" s="5">
        <v>21</v>
      </c>
      <c r="B74" s="5" t="s">
        <v>17</v>
      </c>
      <c r="C74" s="78" t="s">
        <v>127</v>
      </c>
      <c r="D74" s="6" t="str">
        <f t="shared" si="9"/>
        <v>Large</v>
      </c>
      <c r="E74" s="6" t="s">
        <v>142</v>
      </c>
      <c r="F74" s="76" t="s">
        <v>127</v>
      </c>
      <c r="G74" s="88">
        <v>8760</v>
      </c>
      <c r="H74" s="82">
        <v>154.71483323000001</v>
      </c>
      <c r="I74" s="82">
        <v>-6.5439000000000001E-3</v>
      </c>
      <c r="J74" s="82">
        <v>1.04E-6</v>
      </c>
    </row>
    <row r="75" spans="1:11" x14ac:dyDescent="0.25">
      <c r="A75" s="5">
        <v>22</v>
      </c>
      <c r="B75" s="5" t="s">
        <v>12</v>
      </c>
      <c r="C75" s="78" t="s">
        <v>127</v>
      </c>
      <c r="D75" s="6" t="str">
        <f t="shared" si="9"/>
        <v>Large</v>
      </c>
      <c r="E75" s="6" t="s">
        <v>142</v>
      </c>
      <c r="F75" s="76" t="s">
        <v>127</v>
      </c>
      <c r="G75" s="88">
        <v>2080</v>
      </c>
      <c r="H75" s="82">
        <v>61.096038829999998</v>
      </c>
      <c r="I75" s="82">
        <v>-4.8999899999999999E-3</v>
      </c>
      <c r="J75" s="82">
        <v>6.7000000000000004E-7</v>
      </c>
    </row>
    <row r="76" spans="1:11" x14ac:dyDescent="0.25">
      <c r="A76" s="5">
        <v>23</v>
      </c>
      <c r="B76" s="5" t="s">
        <v>12</v>
      </c>
      <c r="C76" s="78" t="s">
        <v>127</v>
      </c>
      <c r="D76" s="6" t="str">
        <f t="shared" si="9"/>
        <v>Large</v>
      </c>
      <c r="E76" s="6" t="s">
        <v>142</v>
      </c>
      <c r="F76" s="76" t="s">
        <v>127</v>
      </c>
      <c r="G76" s="88">
        <v>2912</v>
      </c>
      <c r="H76" s="82">
        <v>90.444929700000003</v>
      </c>
      <c r="I76" s="82">
        <v>-6.6077999999999996E-3</v>
      </c>
      <c r="J76" s="82">
        <v>9.1999999999999998E-7</v>
      </c>
    </row>
    <row r="77" spans="1:11" x14ac:dyDescent="0.25">
      <c r="A77" s="5">
        <v>24</v>
      </c>
      <c r="B77" s="5" t="s">
        <v>12</v>
      </c>
      <c r="C77" s="78" t="s">
        <v>127</v>
      </c>
      <c r="D77" s="6" t="str">
        <f t="shared" si="9"/>
        <v>Large</v>
      </c>
      <c r="E77" s="6" t="s">
        <v>142</v>
      </c>
      <c r="F77" s="76" t="s">
        <v>127</v>
      </c>
      <c r="G77" s="88">
        <v>8760</v>
      </c>
      <c r="H77" s="82">
        <v>151.34760657000001</v>
      </c>
      <c r="I77" s="82">
        <v>-1.011687E-2</v>
      </c>
      <c r="J77" s="82">
        <v>1.22E-6</v>
      </c>
    </row>
    <row r="79" spans="1:11" ht="17.25" customHeight="1" x14ac:dyDescent="0.25">
      <c r="A79" s="1" t="s">
        <v>1214</v>
      </c>
      <c r="H79" s="2" t="s">
        <v>116</v>
      </c>
      <c r="I79" s="2" t="s">
        <v>122</v>
      </c>
      <c r="J79" s="2" t="s">
        <v>123</v>
      </c>
      <c r="K79" s="2" t="s">
        <v>1193</v>
      </c>
    </row>
    <row r="80" spans="1:11" x14ac:dyDescent="0.25">
      <c r="A80" t="s">
        <v>1215</v>
      </c>
      <c r="H80" s="190">
        <v>0.69721514516619998</v>
      </c>
      <c r="I80" s="190">
        <v>-1.078176371E-4</v>
      </c>
      <c r="J80" s="190">
        <v>3.60507E-8</v>
      </c>
      <c r="K80" s="190">
        <v>-6.4000000000000002E-12</v>
      </c>
    </row>
    <row r="81" spans="1:11" x14ac:dyDescent="0.25">
      <c r="A81" t="s">
        <v>1216</v>
      </c>
      <c r="H81" s="191">
        <v>0.77929537367699997</v>
      </c>
      <c r="I81" s="191">
        <v>4.9630331000000003E-5</v>
      </c>
      <c r="J81" s="191">
        <v>-2.8839000000000001E-8</v>
      </c>
      <c r="K81" s="191">
        <v>9.9999999999999998E-13</v>
      </c>
    </row>
  </sheetData>
  <mergeCells count="12">
    <mergeCell ref="H1:M1"/>
    <mergeCell ref="H2:J2"/>
    <mergeCell ref="K2:M2"/>
    <mergeCell ref="H41:M41"/>
    <mergeCell ref="H42:J42"/>
    <mergeCell ref="K42:M42"/>
    <mergeCell ref="P3:Q3"/>
    <mergeCell ref="P18:Q18"/>
    <mergeCell ref="P33:Q33"/>
    <mergeCell ref="H51:J51"/>
    <mergeCell ref="H52:J52"/>
    <mergeCell ref="K52:M52"/>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P37"/>
  <sheetViews>
    <sheetView workbookViewId="0">
      <selection activeCell="P89" sqref="P89"/>
    </sheetView>
  </sheetViews>
  <sheetFormatPr defaultRowHeight="15" x14ac:dyDescent="0.25"/>
  <cols>
    <col min="2" max="2" width="12.140625" customWidth="1"/>
    <col min="3" max="3" width="16.42578125" customWidth="1"/>
    <col min="4" max="4" width="17.7109375" customWidth="1"/>
    <col min="5" max="5" width="14.85546875" customWidth="1"/>
    <col min="6" max="6" width="13.7109375" customWidth="1"/>
    <col min="7" max="7" width="15.7109375" customWidth="1"/>
    <col min="8" max="8" width="15" customWidth="1"/>
    <col min="9" max="9" width="17.140625" customWidth="1"/>
    <col min="10" max="11" width="14.42578125" customWidth="1"/>
    <col min="12" max="13" width="13.42578125" customWidth="1"/>
    <col min="14" max="14" width="16.7109375" customWidth="1"/>
    <col min="15" max="15" width="14.28515625" customWidth="1"/>
    <col min="16" max="16" width="16.28515625" customWidth="1"/>
  </cols>
  <sheetData>
    <row r="1" spans="1:16" x14ac:dyDescent="0.25">
      <c r="A1" s="1" t="s">
        <v>125</v>
      </c>
      <c r="B1" s="1"/>
      <c r="H1" s="264" t="s">
        <v>1231</v>
      </c>
      <c r="I1" s="264"/>
      <c r="J1" s="264"/>
      <c r="K1" s="264"/>
      <c r="L1" s="264"/>
      <c r="M1" s="264"/>
    </row>
    <row r="2" spans="1:16" x14ac:dyDescent="0.25">
      <c r="H2" s="226" t="s">
        <v>121</v>
      </c>
      <c r="I2" s="226"/>
      <c r="J2" s="226"/>
      <c r="K2" s="226" t="s">
        <v>124</v>
      </c>
      <c r="L2" s="226"/>
      <c r="M2" s="226"/>
      <c r="N2" s="226" t="s">
        <v>1230</v>
      </c>
      <c r="O2" s="226"/>
      <c r="P2" s="226"/>
    </row>
    <row r="3" spans="1:16" x14ac:dyDescent="0.25">
      <c r="A3" s="5" t="s">
        <v>129</v>
      </c>
      <c r="B3" s="2" t="s">
        <v>1030</v>
      </c>
      <c r="C3" s="5" t="s">
        <v>190</v>
      </c>
      <c r="D3" s="5" t="s">
        <v>118</v>
      </c>
      <c r="E3" s="74" t="s">
        <v>130</v>
      </c>
      <c r="F3" s="74" t="s">
        <v>135</v>
      </c>
      <c r="G3" s="5" t="s">
        <v>1188</v>
      </c>
      <c r="H3" s="5" t="s">
        <v>116</v>
      </c>
      <c r="I3" s="5" t="s">
        <v>122</v>
      </c>
      <c r="J3" s="5" t="s">
        <v>123</v>
      </c>
      <c r="K3" s="5" t="s">
        <v>116</v>
      </c>
      <c r="L3" s="5" t="s">
        <v>122</v>
      </c>
      <c r="M3" s="5" t="s">
        <v>123</v>
      </c>
      <c r="N3" s="2"/>
      <c r="O3" s="2"/>
      <c r="P3" s="2"/>
    </row>
    <row r="4" spans="1:16" x14ac:dyDescent="0.25">
      <c r="A4" s="5">
        <v>1</v>
      </c>
      <c r="B4" s="2" t="s">
        <v>17</v>
      </c>
      <c r="C4" s="6" t="s">
        <v>17</v>
      </c>
      <c r="D4" s="6" t="s">
        <v>117</v>
      </c>
      <c r="E4" s="66" t="s">
        <v>132</v>
      </c>
      <c r="F4" s="74" t="s">
        <v>29</v>
      </c>
      <c r="G4" s="166">
        <v>33</v>
      </c>
      <c r="H4" s="82">
        <v>0.2619527709999</v>
      </c>
      <c r="I4" s="82">
        <v>1.1672150000000001E-3</v>
      </c>
      <c r="J4" s="82">
        <v>7.0700000000000004E-8</v>
      </c>
      <c r="K4" s="82">
        <v>1.04158823989</v>
      </c>
      <c r="L4" s="82">
        <v>1.4358879700000001E-3</v>
      </c>
      <c r="M4" s="82">
        <v>-7.4250000000000006E-8</v>
      </c>
      <c r="N4" s="2"/>
      <c r="O4" s="2"/>
      <c r="P4" s="2"/>
    </row>
    <row r="5" spans="1:16" x14ac:dyDescent="0.25">
      <c r="A5" s="5">
        <v>2</v>
      </c>
      <c r="B5" s="2" t="s">
        <v>17</v>
      </c>
      <c r="C5" s="6" t="s">
        <v>17</v>
      </c>
      <c r="D5" s="6" t="s">
        <v>117</v>
      </c>
      <c r="E5" s="66" t="s">
        <v>132</v>
      </c>
      <c r="F5" s="87" t="s">
        <v>29</v>
      </c>
      <c r="G5" s="166">
        <v>100</v>
      </c>
      <c r="H5" s="82">
        <v>0.346283696295</v>
      </c>
      <c r="I5" s="82">
        <v>1.7405995495E-3</v>
      </c>
      <c r="J5" s="82">
        <v>3.3032500000000001E-8</v>
      </c>
      <c r="K5" s="82">
        <v>1.9827868029425999</v>
      </c>
      <c r="L5" s="82">
        <v>1.3241617147999999E-3</v>
      </c>
      <c r="M5" s="82">
        <v>-3.5574300000000001E-8</v>
      </c>
      <c r="N5" s="2"/>
      <c r="O5" s="2"/>
      <c r="P5" s="2"/>
    </row>
    <row r="6" spans="1:16" x14ac:dyDescent="0.25">
      <c r="A6" s="5">
        <v>3</v>
      </c>
      <c r="B6" s="2" t="s">
        <v>17</v>
      </c>
      <c r="C6" s="6" t="s">
        <v>12</v>
      </c>
      <c r="D6" s="6" t="s">
        <v>117</v>
      </c>
      <c r="E6" s="66" t="s">
        <v>132</v>
      </c>
      <c r="F6" s="87" t="s">
        <v>29</v>
      </c>
      <c r="G6" s="166">
        <v>33</v>
      </c>
      <c r="H6" s="82">
        <v>0.33832319829169999</v>
      </c>
      <c r="I6" s="82">
        <v>9.3325310040000004E-4</v>
      </c>
      <c r="J6" s="82">
        <v>8.5301399999999999E-8</v>
      </c>
      <c r="K6" s="82">
        <v>2.4891240562000001</v>
      </c>
      <c r="L6" s="82">
        <v>2.5642320000000001E-3</v>
      </c>
      <c r="M6" s="82">
        <v>-1.423E-7</v>
      </c>
      <c r="N6" s="2"/>
      <c r="O6" s="2"/>
      <c r="P6" s="2"/>
    </row>
    <row r="7" spans="1:16" x14ac:dyDescent="0.25">
      <c r="A7" s="5">
        <v>4</v>
      </c>
      <c r="B7" s="2" t="s">
        <v>17</v>
      </c>
      <c r="C7" s="6" t="s">
        <v>12</v>
      </c>
      <c r="D7" s="6" t="s">
        <v>117</v>
      </c>
      <c r="E7" s="66" t="s">
        <v>132</v>
      </c>
      <c r="F7" s="87" t="s">
        <v>29</v>
      </c>
      <c r="G7" s="166">
        <v>100</v>
      </c>
      <c r="H7" s="82">
        <v>0.45927179190799999</v>
      </c>
      <c r="I7" s="82">
        <v>1.4362078581E-3</v>
      </c>
      <c r="J7" s="82">
        <v>5.3246900000000001E-8</v>
      </c>
      <c r="K7" s="82">
        <v>3.8609913082</v>
      </c>
      <c r="L7" s="82">
        <v>2.6634509999999998E-3</v>
      </c>
      <c r="M7" s="82">
        <v>-1.156E-7</v>
      </c>
      <c r="N7" s="2"/>
      <c r="O7" s="2"/>
      <c r="P7" s="2"/>
    </row>
    <row r="8" spans="1:16" x14ac:dyDescent="0.25">
      <c r="A8" s="5">
        <v>5</v>
      </c>
      <c r="B8" s="2" t="s">
        <v>12</v>
      </c>
      <c r="C8" s="6" t="s">
        <v>17</v>
      </c>
      <c r="D8" s="6" t="s">
        <v>117</v>
      </c>
      <c r="E8" s="66" t="s">
        <v>132</v>
      </c>
      <c r="F8" s="87" t="s">
        <v>29</v>
      </c>
      <c r="G8" s="166">
        <v>33</v>
      </c>
      <c r="H8" s="82">
        <v>0.23855113850000001</v>
      </c>
      <c r="I8" s="82">
        <v>2.4276199999999999E-4</v>
      </c>
      <c r="J8" s="82">
        <v>5.6099999999999999E-8</v>
      </c>
      <c r="K8" s="82">
        <v>0.7743625528186</v>
      </c>
      <c r="L8" s="82">
        <v>1.127641858E-3</v>
      </c>
      <c r="M8" s="82">
        <v>-6.5352399999999997E-8</v>
      </c>
      <c r="N8" s="2"/>
      <c r="O8" s="2"/>
      <c r="P8" s="2"/>
    </row>
    <row r="9" spans="1:16" x14ac:dyDescent="0.25">
      <c r="A9" s="5">
        <v>6</v>
      </c>
      <c r="B9" s="2" t="s">
        <v>12</v>
      </c>
      <c r="C9" s="6" t="s">
        <v>17</v>
      </c>
      <c r="D9" s="6" t="s">
        <v>117</v>
      </c>
      <c r="E9" s="66" t="s">
        <v>132</v>
      </c>
      <c r="F9" s="87" t="s">
        <v>29</v>
      </c>
      <c r="G9" s="166">
        <v>100</v>
      </c>
      <c r="H9" s="82">
        <v>0.23945047739870001</v>
      </c>
      <c r="I9" s="82">
        <v>8.0162807890000001E-4</v>
      </c>
      <c r="J9" s="82">
        <v>1.49553E-8</v>
      </c>
      <c r="K9" s="82">
        <v>0.96196936189060001</v>
      </c>
      <c r="L9" s="82">
        <v>1.3187956103E-3</v>
      </c>
      <c r="M9" s="82">
        <v>-6.1447999999999995E-8</v>
      </c>
      <c r="N9" s="2"/>
      <c r="O9" s="2"/>
      <c r="P9" s="2"/>
    </row>
    <row r="10" spans="1:16" x14ac:dyDescent="0.25">
      <c r="A10" s="5">
        <v>7</v>
      </c>
      <c r="B10" s="2" t="s">
        <v>17</v>
      </c>
      <c r="C10" s="6" t="s">
        <v>17</v>
      </c>
      <c r="D10" s="6" t="s">
        <v>117</v>
      </c>
      <c r="E10" s="66" t="s">
        <v>109</v>
      </c>
      <c r="F10" s="87" t="s">
        <v>29</v>
      </c>
      <c r="G10" s="166">
        <v>33</v>
      </c>
      <c r="H10" s="82">
        <v>0.1190476926136</v>
      </c>
      <c r="I10" s="82">
        <v>4.2363809359999998E-4</v>
      </c>
      <c r="J10" s="82">
        <v>4.7420700000000002E-8</v>
      </c>
      <c r="K10" s="82">
        <v>1.04158823989</v>
      </c>
      <c r="L10" s="82">
        <v>1.4358879700000001E-3</v>
      </c>
      <c r="M10" s="82">
        <v>-7.4250000000000006E-8</v>
      </c>
      <c r="N10" s="82">
        <v>47.503570481732602</v>
      </c>
      <c r="O10" s="82">
        <v>-1.10313395645E-2</v>
      </c>
      <c r="P10" s="82">
        <v>7.4216409999999997E-7</v>
      </c>
    </row>
    <row r="11" spans="1:16" x14ac:dyDescent="0.25">
      <c r="A11" s="5">
        <v>8</v>
      </c>
      <c r="B11" s="2" t="s">
        <v>17</v>
      </c>
      <c r="C11" s="6" t="s">
        <v>17</v>
      </c>
      <c r="D11" s="6" t="s">
        <v>117</v>
      </c>
      <c r="E11" s="66" t="s">
        <v>109</v>
      </c>
      <c r="F11" s="87" t="s">
        <v>29</v>
      </c>
      <c r="G11" s="166">
        <v>100</v>
      </c>
      <c r="H11" s="82">
        <v>0.1473375899354</v>
      </c>
      <c r="I11" s="82">
        <v>6.5798153050000002E-4</v>
      </c>
      <c r="J11" s="82">
        <v>3.4171000000000002E-8</v>
      </c>
      <c r="K11" s="82">
        <v>1.9827868029425999</v>
      </c>
      <c r="L11" s="82">
        <v>1.3241617147999999E-3</v>
      </c>
      <c r="M11" s="82">
        <v>-3.5574300000000001E-8</v>
      </c>
      <c r="N11" s="82">
        <v>47.5333390499922</v>
      </c>
      <c r="O11" s="82">
        <v>-1.0875198530199999E-2</v>
      </c>
      <c r="P11" s="82">
        <v>7.3863990000000001E-7</v>
      </c>
    </row>
    <row r="12" spans="1:16" x14ac:dyDescent="0.25">
      <c r="A12" s="5">
        <v>9</v>
      </c>
      <c r="B12" s="2" t="s">
        <v>17</v>
      </c>
      <c r="C12" s="6" t="s">
        <v>12</v>
      </c>
      <c r="D12" s="6" t="s">
        <v>117</v>
      </c>
      <c r="E12" s="66" t="s">
        <v>109</v>
      </c>
      <c r="F12" s="87" t="s">
        <v>29</v>
      </c>
      <c r="G12" s="166">
        <v>33</v>
      </c>
      <c r="H12" s="82">
        <v>0.1506637514617</v>
      </c>
      <c r="I12" s="82">
        <v>3.2914243900000002E-4</v>
      </c>
      <c r="J12" s="82">
        <v>5.2461399999999998E-8</v>
      </c>
      <c r="K12" s="82">
        <v>2.4891240562000001</v>
      </c>
      <c r="L12" s="82">
        <v>2.5642320000000001E-3</v>
      </c>
      <c r="M12" s="82">
        <v>-1.423E-7</v>
      </c>
      <c r="N12" s="82">
        <v>47.425222662092601</v>
      </c>
      <c r="O12" s="82">
        <v>-1.1070699953800001E-2</v>
      </c>
      <c r="P12" s="82">
        <v>7.4203549999999997E-7</v>
      </c>
    </row>
    <row r="13" spans="1:16" x14ac:dyDescent="0.25">
      <c r="A13" s="5">
        <v>10</v>
      </c>
      <c r="B13" s="2" t="s">
        <v>17</v>
      </c>
      <c r="C13" s="6" t="s">
        <v>12</v>
      </c>
      <c r="D13" s="6" t="s">
        <v>117</v>
      </c>
      <c r="E13" s="66" t="s">
        <v>109</v>
      </c>
      <c r="F13" s="87" t="s">
        <v>29</v>
      </c>
      <c r="G13" s="166">
        <v>100</v>
      </c>
      <c r="H13" s="82">
        <v>0.19401338022369999</v>
      </c>
      <c r="I13" s="82">
        <v>5.3469659330000004E-4</v>
      </c>
      <c r="J13" s="82">
        <v>4.1346200000000003E-8</v>
      </c>
      <c r="K13" s="82">
        <v>3.8609913082</v>
      </c>
      <c r="L13" s="82">
        <v>2.6634509999999998E-3</v>
      </c>
      <c r="M13" s="82">
        <v>-1.156E-7</v>
      </c>
      <c r="N13" s="82">
        <v>47.844317059557198</v>
      </c>
      <c r="O13" s="82">
        <v>-1.1024197251500001E-2</v>
      </c>
      <c r="P13" s="82">
        <v>7.4493409999999998E-7</v>
      </c>
    </row>
    <row r="14" spans="1:16" x14ac:dyDescent="0.25">
      <c r="A14" s="5">
        <v>11</v>
      </c>
      <c r="B14" s="2" t="s">
        <v>12</v>
      </c>
      <c r="C14" s="6" t="s">
        <v>17</v>
      </c>
      <c r="D14" s="6" t="s">
        <v>117</v>
      </c>
      <c r="E14" s="66" t="s">
        <v>109</v>
      </c>
      <c r="F14" s="87" t="s">
        <v>29</v>
      </c>
      <c r="G14" s="166">
        <v>33</v>
      </c>
      <c r="H14" s="82">
        <v>0.10405060596769999</v>
      </c>
      <c r="I14" s="82">
        <v>7.4317338800000004E-5</v>
      </c>
      <c r="J14" s="82">
        <v>3.0789699999999997E-8</v>
      </c>
      <c r="K14" s="82">
        <v>0.7743625528186</v>
      </c>
      <c r="L14" s="82">
        <v>1.127641858E-3</v>
      </c>
      <c r="M14" s="82">
        <v>-6.5352399999999997E-8</v>
      </c>
      <c r="N14" s="82">
        <v>23.4641493550631</v>
      </c>
      <c r="O14" s="82">
        <v>-5.5317660318999996E-3</v>
      </c>
      <c r="P14" s="82">
        <v>3.6817019999999998E-7</v>
      </c>
    </row>
    <row r="15" spans="1:16" x14ac:dyDescent="0.25">
      <c r="A15" s="5">
        <v>12</v>
      </c>
      <c r="B15" s="2" t="s">
        <v>12</v>
      </c>
      <c r="C15" s="6" t="s">
        <v>17</v>
      </c>
      <c r="D15" s="6" t="s">
        <v>117</v>
      </c>
      <c r="E15" s="66" t="s">
        <v>109</v>
      </c>
      <c r="F15" s="87" t="s">
        <v>29</v>
      </c>
      <c r="G15" s="166">
        <v>100</v>
      </c>
      <c r="H15" s="82">
        <v>9.9064625830599995E-2</v>
      </c>
      <c r="I15" s="82">
        <v>3.0373466609999998E-4</v>
      </c>
      <c r="J15" s="82">
        <v>1.5623200000000001E-8</v>
      </c>
      <c r="K15" s="82">
        <v>0.96196936189060001</v>
      </c>
      <c r="L15" s="82">
        <v>1.3187956103E-3</v>
      </c>
      <c r="M15" s="82">
        <v>-6.1447999999999995E-8</v>
      </c>
      <c r="N15" s="82">
        <v>21.9388366388782</v>
      </c>
      <c r="O15" s="82">
        <v>-5.0137703501000001E-3</v>
      </c>
      <c r="P15" s="82">
        <v>3.4055340000000001E-7</v>
      </c>
    </row>
    <row r="16" spans="1:16" x14ac:dyDescent="0.25">
      <c r="A16" s="11"/>
      <c r="C16" s="65"/>
      <c r="D16" s="65"/>
      <c r="E16" s="65"/>
      <c r="F16" s="161"/>
      <c r="G16" s="167"/>
      <c r="H16" s="167"/>
      <c r="I16" s="167"/>
      <c r="J16" s="167"/>
      <c r="K16" s="167"/>
      <c r="L16" s="167"/>
      <c r="M16" s="124"/>
    </row>
    <row r="17" spans="1:14" x14ac:dyDescent="0.25">
      <c r="A17" s="162" t="s">
        <v>126</v>
      </c>
      <c r="B17" s="162"/>
      <c r="C17" s="168"/>
      <c r="D17" s="168"/>
      <c r="E17" s="168"/>
      <c r="F17" s="169"/>
      <c r="G17" s="170"/>
      <c r="H17" s="265" t="s">
        <v>120</v>
      </c>
      <c r="I17" s="265"/>
      <c r="J17" s="265"/>
      <c r="K17" s="265"/>
      <c r="L17" s="265"/>
      <c r="M17" s="265"/>
    </row>
    <row r="18" spans="1:14" x14ac:dyDescent="0.25">
      <c r="A18" s="11"/>
      <c r="C18" s="65"/>
      <c r="D18" s="65"/>
      <c r="E18" s="65"/>
      <c r="F18" s="161"/>
      <c r="G18" s="167"/>
      <c r="H18" s="265" t="s">
        <v>1176</v>
      </c>
      <c r="I18" s="265"/>
      <c r="J18" s="265"/>
      <c r="K18" s="266" t="s">
        <v>1177</v>
      </c>
      <c r="L18" s="267"/>
      <c r="M18" s="268"/>
    </row>
    <row r="19" spans="1:14" x14ac:dyDescent="0.25">
      <c r="A19" s="5" t="s">
        <v>129</v>
      </c>
      <c r="B19" s="2" t="s">
        <v>1030</v>
      </c>
      <c r="C19" s="6" t="s">
        <v>5</v>
      </c>
      <c r="D19" s="6" t="s">
        <v>118</v>
      </c>
      <c r="E19" s="6" t="s">
        <v>15</v>
      </c>
      <c r="F19" s="88" t="s">
        <v>60</v>
      </c>
      <c r="G19" s="153"/>
      <c r="H19" s="164" t="s">
        <v>116</v>
      </c>
      <c r="I19" s="164" t="s">
        <v>122</v>
      </c>
      <c r="J19" s="164" t="s">
        <v>123</v>
      </c>
      <c r="K19" s="164" t="s">
        <v>116</v>
      </c>
      <c r="L19" s="164" t="s">
        <v>122</v>
      </c>
      <c r="M19" s="164" t="s">
        <v>123</v>
      </c>
    </row>
    <row r="20" spans="1:14" x14ac:dyDescent="0.25">
      <c r="A20" s="5">
        <v>1</v>
      </c>
      <c r="B20" s="2" t="s">
        <v>17</v>
      </c>
      <c r="C20" s="6" t="s">
        <v>17</v>
      </c>
      <c r="D20" s="6" t="s">
        <v>117</v>
      </c>
      <c r="E20" s="6" t="s">
        <v>127</v>
      </c>
      <c r="F20" s="88" t="s">
        <v>127</v>
      </c>
      <c r="G20" s="153"/>
      <c r="H20" s="82">
        <v>16.482521514199998</v>
      </c>
      <c r="I20" s="82">
        <v>4.0935342999999999E-3</v>
      </c>
      <c r="J20" s="82">
        <v>-3.2440000000000002E-7</v>
      </c>
      <c r="K20" s="82">
        <v>13.683028782299999</v>
      </c>
      <c r="L20" s="82">
        <v>6.1770853999999998E-3</v>
      </c>
      <c r="M20" s="82">
        <v>-5.891E-7</v>
      </c>
      <c r="N20" t="s">
        <v>3</v>
      </c>
    </row>
    <row r="21" spans="1:14" x14ac:dyDescent="0.25">
      <c r="A21" s="5">
        <v>2</v>
      </c>
      <c r="B21" s="2" t="s">
        <v>17</v>
      </c>
      <c r="C21" s="6" t="s">
        <v>12</v>
      </c>
      <c r="D21" s="6" t="s">
        <v>117</v>
      </c>
      <c r="E21" s="6" t="s">
        <v>127</v>
      </c>
      <c r="F21" s="88" t="s">
        <v>127</v>
      </c>
      <c r="G21" s="153"/>
      <c r="H21" s="82">
        <v>16.482521514199998</v>
      </c>
      <c r="I21" s="82">
        <v>4.0935342999999999E-3</v>
      </c>
      <c r="J21" s="82">
        <v>-3.2440000000000002E-7</v>
      </c>
      <c r="K21" s="82">
        <v>24.790192875300001</v>
      </c>
      <c r="L21" s="82">
        <v>1.1710860599999999E-2</v>
      </c>
      <c r="M21" s="82">
        <v>-1.1299E-6</v>
      </c>
    </row>
    <row r="22" spans="1:14" x14ac:dyDescent="0.25">
      <c r="A22" s="5">
        <v>3</v>
      </c>
      <c r="B22" s="2" t="s">
        <v>12</v>
      </c>
      <c r="C22" s="2" t="s">
        <v>17</v>
      </c>
      <c r="D22" s="2" t="s">
        <v>117</v>
      </c>
      <c r="E22" s="6" t="s">
        <v>127</v>
      </c>
      <c r="F22" s="88" t="s">
        <v>127</v>
      </c>
      <c r="G22" s="2"/>
      <c r="H22" s="82">
        <v>16.254300143999998</v>
      </c>
      <c r="I22" s="82">
        <v>4.0813324000000002E-3</v>
      </c>
      <c r="J22" s="82">
        <v>-4.0200000000000003E-7</v>
      </c>
      <c r="K22" s="82">
        <v>8.6454974845999999</v>
      </c>
      <c r="L22" s="82">
        <v>4.3684344999999998E-3</v>
      </c>
      <c r="M22" s="82">
        <v>-4.0610000000000002E-7</v>
      </c>
    </row>
    <row r="23" spans="1:14" x14ac:dyDescent="0.25">
      <c r="A23" s="1"/>
      <c r="B23" s="1"/>
    </row>
    <row r="24" spans="1:14" x14ac:dyDescent="0.25">
      <c r="A24" s="1" t="s">
        <v>1189</v>
      </c>
      <c r="H24" s="226" t="s">
        <v>120</v>
      </c>
      <c r="I24" s="226"/>
      <c r="J24" s="226"/>
    </row>
    <row r="25" spans="1:14" x14ac:dyDescent="0.25">
      <c r="A25" s="11"/>
      <c r="C25" s="11"/>
      <c r="D25" s="11"/>
      <c r="E25" s="11"/>
      <c r="F25" s="11"/>
      <c r="G25" s="11"/>
      <c r="H25" s="226" t="s">
        <v>131</v>
      </c>
      <c r="I25" s="226"/>
      <c r="J25" s="226"/>
      <c r="K25" s="11"/>
      <c r="L25" s="11"/>
      <c r="M25" s="11"/>
    </row>
    <row r="26" spans="1:14" x14ac:dyDescent="0.25">
      <c r="A26" s="5" t="s">
        <v>129</v>
      </c>
      <c r="B26" s="2" t="s">
        <v>1030</v>
      </c>
      <c r="C26" s="6" t="s">
        <v>190</v>
      </c>
      <c r="D26" s="6" t="s">
        <v>118</v>
      </c>
      <c r="E26" s="6" t="s">
        <v>130</v>
      </c>
      <c r="F26" s="6" t="s">
        <v>60</v>
      </c>
      <c r="G26" s="74" t="s">
        <v>1188</v>
      </c>
      <c r="H26" s="171" t="s">
        <v>116</v>
      </c>
      <c r="I26" s="171" t="s">
        <v>122</v>
      </c>
      <c r="J26" s="171" t="s">
        <v>123</v>
      </c>
      <c r="K26" s="77"/>
      <c r="L26" s="77"/>
      <c r="M26" s="77"/>
    </row>
    <row r="27" spans="1:14" x14ac:dyDescent="0.25">
      <c r="A27" s="5">
        <v>1</v>
      </c>
      <c r="B27" s="2" t="s">
        <v>17</v>
      </c>
      <c r="C27" s="6" t="s">
        <v>127</v>
      </c>
      <c r="D27" s="6" t="s">
        <v>117</v>
      </c>
      <c r="E27" s="6" t="s">
        <v>132</v>
      </c>
      <c r="F27" s="6" t="s">
        <v>127</v>
      </c>
      <c r="G27" s="172">
        <v>33</v>
      </c>
      <c r="H27" s="82">
        <v>53.384224500400002</v>
      </c>
      <c r="I27" s="82">
        <v>-1.8385420999999999E-3</v>
      </c>
      <c r="J27" s="82">
        <v>5.9120000000000005E-7</v>
      </c>
      <c r="K27" s="124"/>
      <c r="L27" s="124"/>
      <c r="M27" s="124"/>
    </row>
    <row r="28" spans="1:14" x14ac:dyDescent="0.25">
      <c r="A28" s="5">
        <v>3</v>
      </c>
      <c r="B28" s="2" t="s">
        <v>17</v>
      </c>
      <c r="C28" s="6" t="s">
        <v>127</v>
      </c>
      <c r="D28" s="6" t="s">
        <v>117</v>
      </c>
      <c r="E28" s="6" t="s">
        <v>132</v>
      </c>
      <c r="F28" s="6" t="s">
        <v>127</v>
      </c>
      <c r="G28" s="172">
        <v>100</v>
      </c>
      <c r="H28" s="82">
        <v>61.754775780000003</v>
      </c>
      <c r="I28" s="82">
        <v>-2.89427E-3</v>
      </c>
      <c r="J28" s="82">
        <v>6.6000000000000003E-7</v>
      </c>
    </row>
    <row r="29" spans="1:14" x14ac:dyDescent="0.25">
      <c r="A29" s="5">
        <v>4</v>
      </c>
      <c r="B29" s="2" t="s">
        <v>12</v>
      </c>
      <c r="C29" s="6" t="s">
        <v>127</v>
      </c>
      <c r="D29" s="6" t="s">
        <v>117</v>
      </c>
      <c r="E29" s="6" t="s">
        <v>132</v>
      </c>
      <c r="F29" s="6" t="s">
        <v>127</v>
      </c>
      <c r="G29" s="172">
        <v>33</v>
      </c>
      <c r="H29" s="82">
        <v>56.625768393400001</v>
      </c>
      <c r="I29" s="82">
        <v>-2.1876602000000002E-3</v>
      </c>
      <c r="J29" s="82">
        <v>5.9480000000000001E-7</v>
      </c>
    </row>
    <row r="30" spans="1:14" x14ac:dyDescent="0.25">
      <c r="A30" s="5">
        <v>6</v>
      </c>
      <c r="B30" s="2" t="s">
        <v>12</v>
      </c>
      <c r="C30" s="6" t="s">
        <v>127</v>
      </c>
      <c r="D30" s="6" t="s">
        <v>117</v>
      </c>
      <c r="E30" s="6" t="s">
        <v>132</v>
      </c>
      <c r="F30" s="6" t="s">
        <v>127</v>
      </c>
      <c r="G30" s="172">
        <v>100</v>
      </c>
      <c r="H30" s="82">
        <v>61.992445749300003</v>
      </c>
      <c r="I30" s="82">
        <v>-3.1040516999999998E-3</v>
      </c>
      <c r="J30" s="82">
        <v>6.7010000000000005E-7</v>
      </c>
      <c r="K30" s="11"/>
      <c r="L30" s="11"/>
      <c r="M30" s="11"/>
    </row>
    <row r="31" spans="1:14" x14ac:dyDescent="0.25">
      <c r="A31" s="5">
        <v>7</v>
      </c>
      <c r="B31" s="2" t="s">
        <v>17</v>
      </c>
      <c r="C31" s="6" t="s">
        <v>127</v>
      </c>
      <c r="D31" s="6" t="s">
        <v>117</v>
      </c>
      <c r="E31" s="6" t="s">
        <v>109</v>
      </c>
      <c r="F31" s="6" t="s">
        <v>127</v>
      </c>
      <c r="G31" s="172">
        <v>33</v>
      </c>
      <c r="H31" s="82">
        <v>50.711216823199997</v>
      </c>
      <c r="I31" s="82">
        <v>-5.3320794999999997E-3</v>
      </c>
      <c r="J31" s="82">
        <v>7.5880000000000004E-7</v>
      </c>
      <c r="K31" s="11"/>
      <c r="L31" s="11"/>
      <c r="M31" s="11"/>
    </row>
    <row r="32" spans="1:14" x14ac:dyDescent="0.25">
      <c r="A32" s="5">
        <v>9</v>
      </c>
      <c r="B32" s="2" t="s">
        <v>17</v>
      </c>
      <c r="C32" s="6" t="s">
        <v>127</v>
      </c>
      <c r="D32" s="6" t="s">
        <v>117</v>
      </c>
      <c r="E32" s="6" t="s">
        <v>109</v>
      </c>
      <c r="F32" s="6" t="s">
        <v>127</v>
      </c>
      <c r="G32" s="172">
        <v>100</v>
      </c>
      <c r="H32" s="82">
        <v>56.6865005513</v>
      </c>
      <c r="I32" s="82">
        <v>-5.558187E-3</v>
      </c>
      <c r="J32" s="82">
        <v>7.7850000000000004E-7</v>
      </c>
      <c r="K32" s="77"/>
      <c r="L32" s="77"/>
      <c r="M32" s="77"/>
    </row>
    <row r="33" spans="1:13" x14ac:dyDescent="0.25">
      <c r="A33" s="5">
        <v>10</v>
      </c>
      <c r="B33" s="2" t="s">
        <v>12</v>
      </c>
      <c r="C33" s="6" t="s">
        <v>127</v>
      </c>
      <c r="D33" s="6" t="s">
        <v>117</v>
      </c>
      <c r="E33" s="6" t="s">
        <v>109</v>
      </c>
      <c r="F33" s="6" t="s">
        <v>127</v>
      </c>
      <c r="G33" s="172">
        <v>33</v>
      </c>
      <c r="H33" s="82">
        <v>48.835874213099999</v>
      </c>
      <c r="I33" s="82">
        <v>-4.6747474999999997E-3</v>
      </c>
      <c r="J33" s="82">
        <v>6.7670000000000002E-7</v>
      </c>
      <c r="K33" s="77"/>
      <c r="L33" s="77"/>
      <c r="M33" s="77"/>
    </row>
    <row r="34" spans="1:13" x14ac:dyDescent="0.25">
      <c r="A34" s="5">
        <v>12</v>
      </c>
      <c r="B34" s="2" t="s">
        <v>12</v>
      </c>
      <c r="C34" s="6" t="s">
        <v>127</v>
      </c>
      <c r="D34" s="6" t="s">
        <v>117</v>
      </c>
      <c r="E34" s="6" t="s">
        <v>109</v>
      </c>
      <c r="F34" s="6" t="s">
        <v>127</v>
      </c>
      <c r="G34" s="172">
        <v>100</v>
      </c>
      <c r="H34" s="82">
        <v>55.801386743199998</v>
      </c>
      <c r="I34" s="82">
        <v>-4.7837556999999996E-3</v>
      </c>
      <c r="J34" s="82">
        <v>6.5150000000000003E-7</v>
      </c>
    </row>
    <row r="36" spans="1:13" x14ac:dyDescent="0.25">
      <c r="A36" s="1" t="s">
        <v>1192</v>
      </c>
      <c r="D36" s="5" t="s">
        <v>116</v>
      </c>
      <c r="E36" s="5" t="s">
        <v>122</v>
      </c>
      <c r="F36" s="5" t="s">
        <v>123</v>
      </c>
      <c r="G36" s="5" t="s">
        <v>1193</v>
      </c>
    </row>
    <row r="37" spans="1:13" x14ac:dyDescent="0.25">
      <c r="D37" s="181">
        <v>0.46863894540000001</v>
      </c>
      <c r="E37" s="181">
        <v>-3.6016387999999999E-4</v>
      </c>
      <c r="F37" s="181">
        <v>1.0366E-7</v>
      </c>
      <c r="G37" s="181">
        <v>-9.9999999999999994E-12</v>
      </c>
    </row>
  </sheetData>
  <mergeCells count="9">
    <mergeCell ref="N2:P2"/>
    <mergeCell ref="H25:J25"/>
    <mergeCell ref="H24:J24"/>
    <mergeCell ref="H1:M1"/>
    <mergeCell ref="H2:J2"/>
    <mergeCell ref="K2:M2"/>
    <mergeCell ref="H17:M17"/>
    <mergeCell ref="H18:J18"/>
    <mergeCell ref="K18:M1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57</vt:i4>
      </vt:variant>
    </vt:vector>
  </HeadingPairs>
  <TitlesOfParts>
    <vt:vector size="73" baseType="lpstr">
      <vt:lpstr>User Documentation</vt:lpstr>
      <vt:lpstr>Office</vt:lpstr>
      <vt:lpstr>Hotel</vt:lpstr>
      <vt:lpstr>School</vt:lpstr>
      <vt:lpstr>Hospital</vt:lpstr>
      <vt:lpstr>Multi-family</vt:lpstr>
      <vt:lpstr>Savings Lookup</vt:lpstr>
      <vt:lpstr>Regresson List_Office</vt:lpstr>
      <vt:lpstr>Regresson List_SH</vt:lpstr>
      <vt:lpstr>Regresson List_LH</vt:lpstr>
      <vt:lpstr>Regresson List_PS</vt:lpstr>
      <vt:lpstr>Regresson List_SS</vt:lpstr>
      <vt:lpstr>Regresson List_Hosp</vt:lpstr>
      <vt:lpstr>Regresson List_MF</vt:lpstr>
      <vt:lpstr>Lists</vt:lpstr>
      <vt:lpstr>Weather Information</vt:lpstr>
      <vt:lpstr>Alabama</vt:lpstr>
      <vt:lpstr>Alaska</vt:lpstr>
      <vt:lpstr>Arizona</vt:lpstr>
      <vt:lpstr>Arkansas</vt:lpstr>
      <vt:lpstr>California</vt:lpstr>
      <vt:lpstr>Colorado</vt:lpstr>
      <vt:lpstr>Connecticut</vt:lpstr>
      <vt:lpstr>Delaware</vt:lpstr>
      <vt:lpstr>Dist._Of_Columbia</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New_Hampshire</vt:lpstr>
      <vt:lpstr>New_Jersey</vt:lpstr>
      <vt:lpstr>New_Mexico</vt:lpstr>
      <vt:lpstr>New_York</vt:lpstr>
      <vt:lpstr>North_Carolina</vt:lpstr>
      <vt:lpstr>North_Dakota</vt:lpstr>
      <vt:lpstr>Ohio</vt:lpstr>
      <vt:lpstr>Oklahoma</vt:lpstr>
      <vt:lpstr>Oregon</vt:lpstr>
      <vt:lpstr>Pennsylvania</vt:lpstr>
      <vt:lpstr>Hospital!Print_Area</vt:lpstr>
      <vt:lpstr>Hotel!Print_Area</vt:lpstr>
      <vt:lpstr>'Multi-family'!Print_Area</vt:lpstr>
      <vt:lpstr>Office!Print_Area</vt:lpstr>
      <vt:lpstr>School!Print_Area</vt:lpstr>
      <vt:lpstr>'User Documentation'!Print_Area</vt:lpstr>
      <vt:lpstr>Rhode_Island</vt:lpstr>
      <vt:lpstr>South_Carolina</vt:lpstr>
      <vt:lpstr>South_Dakota</vt:lpstr>
      <vt:lpstr>Tennessee</vt:lpstr>
      <vt:lpstr>Texas</vt:lpstr>
      <vt:lpstr>Utah</vt:lpstr>
      <vt:lpstr>Vermont</vt:lpstr>
      <vt:lpstr>Virginia</vt:lpstr>
      <vt:lpstr>Washington</vt:lpstr>
      <vt:lpstr>West_Virginia</vt:lpstr>
      <vt:lpstr>Wisconsin</vt:lpstr>
      <vt:lpstr>Wyoming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dc:creator>
  <cp:lastModifiedBy>Kyle Biega</cp:lastModifiedBy>
  <cp:lastPrinted>2025-01-10T18:56:17Z</cp:lastPrinted>
  <dcterms:created xsi:type="dcterms:W3CDTF">2017-02-14T00:57:55Z</dcterms:created>
  <dcterms:modified xsi:type="dcterms:W3CDTF">2025-09-16T20:08:23Z</dcterms:modified>
</cp:coreProperties>
</file>