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Burns\Dropbox (Truveris, Inc.)\Other\_TruGuard\SQL Queries\"/>
    </mc:Choice>
  </mc:AlternateContent>
  <xr:revisionPtr revIDLastSave="0" documentId="13_ncr:1_{41820441-0F09-4160-970B-54FC709A240E}" xr6:coauthVersionLast="40" xr6:coauthVersionMax="40" xr10:uidLastSave="{00000000-0000-0000-0000-000000000000}"/>
  <bookViews>
    <workbookView xWindow="-120" yWindow="-120" windowWidth="20730" windowHeight="11160" xr2:uid="{4F133B34-2240-41B8-9134-943C058CB497}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" i="3" l="1"/>
  <c r="F19" i="3" l="1"/>
  <c r="I1" i="3"/>
  <c r="D54" i="3" s="1"/>
  <c r="K1" i="3"/>
  <c r="L1" i="3"/>
  <c r="M1" i="3"/>
  <c r="N1" i="3"/>
  <c r="O1" i="3"/>
  <c r="J1" i="3"/>
  <c r="A20" i="3"/>
  <c r="A38" i="3"/>
  <c r="C38" i="3"/>
  <c r="C39" i="3"/>
  <c r="C40" i="3"/>
  <c r="C41" i="3"/>
  <c r="C42" i="3"/>
  <c r="C43" i="3"/>
  <c r="C44" i="3"/>
  <c r="C45" i="3"/>
  <c r="C46" i="3"/>
  <c r="C47" i="3"/>
  <c r="C48" i="3"/>
  <c r="D48" i="3" s="1"/>
  <c r="E48" i="3" s="1"/>
  <c r="F48" i="3" s="1"/>
  <c r="G48" i="3" s="1"/>
  <c r="H48" i="3" s="1"/>
  <c r="I48" i="3" s="1"/>
  <c r="J48" i="3" s="1"/>
  <c r="K48" i="3" s="1"/>
  <c r="C49" i="3"/>
  <c r="D49" i="3" s="1"/>
  <c r="E49" i="3" s="1"/>
  <c r="F49" i="3" s="1"/>
  <c r="G49" i="3" s="1"/>
  <c r="H49" i="3" s="1"/>
  <c r="I49" i="3" s="1"/>
  <c r="J49" i="3" s="1"/>
  <c r="K49" i="3" s="1"/>
  <c r="C50" i="3"/>
  <c r="D50" i="3" s="1"/>
  <c r="E50" i="3" s="1"/>
  <c r="F50" i="3" s="1"/>
  <c r="G50" i="3" s="1"/>
  <c r="H50" i="3" s="1"/>
  <c r="I50" i="3" s="1"/>
  <c r="J50" i="3" s="1"/>
  <c r="K50" i="3" s="1"/>
  <c r="C51" i="3"/>
  <c r="D51" i="3" s="1"/>
  <c r="E51" i="3" s="1"/>
  <c r="F51" i="3" s="1"/>
  <c r="G51" i="3" s="1"/>
  <c r="H51" i="3" s="1"/>
  <c r="I51" i="3" s="1"/>
  <c r="J51" i="3" s="1"/>
  <c r="K51" i="3" s="1"/>
  <c r="C52" i="3"/>
  <c r="D52" i="3" s="1"/>
  <c r="E52" i="3" s="1"/>
  <c r="F52" i="3" s="1"/>
  <c r="G52" i="3" s="1"/>
  <c r="H52" i="3" s="1"/>
  <c r="I52" i="3" s="1"/>
  <c r="J52" i="3" s="1"/>
  <c r="K52" i="3" s="1"/>
  <c r="A62" i="3"/>
  <c r="B62" i="3"/>
  <c r="C62" i="3"/>
  <c r="G3" i="3"/>
  <c r="G4" i="3"/>
  <c r="G5" i="3"/>
  <c r="G6" i="3"/>
  <c r="G7" i="3"/>
  <c r="G8" i="3"/>
  <c r="G9" i="3"/>
  <c r="G2" i="3"/>
  <c r="F3" i="3"/>
  <c r="F4" i="3"/>
  <c r="F5" i="3"/>
  <c r="F6" i="3"/>
  <c r="F7" i="3"/>
  <c r="F8" i="3"/>
  <c r="F9" i="3"/>
  <c r="F2" i="3"/>
  <c r="H62" i="3"/>
  <c r="G62" i="3"/>
  <c r="F62" i="3"/>
  <c r="E62" i="3"/>
  <c r="D62" i="3"/>
  <c r="F16" i="3" l="1"/>
  <c r="J54" i="3"/>
  <c r="F15" i="3"/>
  <c r="I54" i="3"/>
  <c r="F14" i="3"/>
  <c r="H54" i="3"/>
  <c r="F13" i="3"/>
  <c r="G54" i="3"/>
  <c r="F12" i="3"/>
  <c r="F54" i="3"/>
  <c r="F11" i="3"/>
  <c r="E54" i="3"/>
  <c r="F10" i="3"/>
  <c r="P1" i="3"/>
  <c r="P2" i="3" s="1"/>
  <c r="B2" i="3"/>
  <c r="H63" i="3" l="1"/>
  <c r="K54" i="3"/>
  <c r="F17" i="3"/>
  <c r="I6" i="3" s="1"/>
  <c r="B1" i="3"/>
  <c r="K36" i="3"/>
  <c r="J36" i="3"/>
  <c r="I36" i="3"/>
  <c r="H36" i="3"/>
  <c r="H11" i="3" s="1"/>
  <c r="G36" i="3"/>
  <c r="F36" i="3"/>
  <c r="E36" i="3"/>
  <c r="D36" i="3"/>
  <c r="D35" i="3"/>
  <c r="D34" i="3"/>
  <c r="K37" i="3" l="1"/>
  <c r="K53" i="3"/>
  <c r="H14" i="3"/>
  <c r="J37" i="3"/>
  <c r="H13" i="3"/>
  <c r="I37" i="3"/>
  <c r="H12" i="3"/>
  <c r="G37" i="3"/>
  <c r="H10" i="3"/>
  <c r="F37" i="3"/>
  <c r="H9" i="3"/>
  <c r="E37" i="3"/>
  <c r="H8" i="3"/>
  <c r="D37" i="3"/>
  <c r="H7" i="3"/>
  <c r="G63" i="3"/>
  <c r="F63" i="3" s="1"/>
  <c r="E63" i="3" s="1"/>
  <c r="D63" i="3" s="1"/>
  <c r="C63" i="3" s="1"/>
  <c r="B63" i="3" s="1"/>
  <c r="A63" i="3" s="1"/>
  <c r="H37" i="3"/>
  <c r="A16" i="3" l="1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A9" i="3" l="1"/>
  <c r="C9" i="3"/>
  <c r="A10" i="3"/>
  <c r="C10" i="3"/>
  <c r="A11" i="3"/>
  <c r="C11" i="3"/>
  <c r="A12" i="3"/>
  <c r="C12" i="3"/>
  <c r="A13" i="3"/>
  <c r="C13" i="3"/>
  <c r="A14" i="3"/>
  <c r="C14" i="3"/>
  <c r="A15" i="3"/>
  <c r="C15" i="3"/>
  <c r="C16" i="3"/>
  <c r="C3" i="3"/>
  <c r="B23" i="3" s="1"/>
  <c r="C4" i="3"/>
  <c r="C5" i="3"/>
  <c r="B25" i="3" s="1"/>
  <c r="C6" i="3"/>
  <c r="B26" i="3" s="1"/>
  <c r="C7" i="3"/>
  <c r="C8" i="3"/>
  <c r="C2" i="3"/>
  <c r="A22" i="3" s="1"/>
  <c r="A8" i="3"/>
  <c r="A7" i="3"/>
  <c r="A6" i="3"/>
  <c r="A5" i="3"/>
  <c r="A4" i="3"/>
  <c r="A3" i="3"/>
  <c r="A2" i="3"/>
  <c r="D12" i="3" l="1"/>
  <c r="B32" i="3"/>
  <c r="D16" i="3"/>
  <c r="B36" i="3"/>
  <c r="D14" i="3"/>
  <c r="B34" i="3"/>
  <c r="D15" i="3"/>
  <c r="B35" i="3"/>
  <c r="B33" i="3"/>
  <c r="D13" i="3"/>
  <c r="D11" i="3"/>
  <c r="D47" i="3" s="1"/>
  <c r="E47" i="3" s="1"/>
  <c r="F47" i="3" s="1"/>
  <c r="G47" i="3" s="1"/>
  <c r="H47" i="3" s="1"/>
  <c r="I47" i="3" s="1"/>
  <c r="J47" i="3" s="1"/>
  <c r="K47" i="3" s="1"/>
  <c r="B31" i="3"/>
  <c r="B30" i="3"/>
  <c r="B29" i="3"/>
  <c r="B28" i="3"/>
  <c r="B27" i="3"/>
  <c r="B24" i="3"/>
  <c r="I14" i="3"/>
  <c r="D10" i="3" l="1"/>
  <c r="D46" i="3" s="1"/>
  <c r="E46" i="3" s="1"/>
  <c r="F46" i="3" s="1"/>
  <c r="G46" i="3" s="1"/>
  <c r="H46" i="3" s="1"/>
  <c r="I46" i="3" s="1"/>
  <c r="J46" i="3" s="1"/>
  <c r="K46" i="3" s="1"/>
  <c r="D9" i="3" l="1"/>
  <c r="D45" i="3" s="1"/>
  <c r="E45" i="3" s="1"/>
  <c r="F45" i="3" s="1"/>
  <c r="G45" i="3" s="1"/>
  <c r="H45" i="3" s="1"/>
  <c r="I45" i="3" s="1"/>
  <c r="J45" i="3" s="1"/>
  <c r="K45" i="3" s="1"/>
  <c r="D8" i="3" l="1"/>
  <c r="D44" i="3" s="1"/>
  <c r="E44" i="3" s="1"/>
  <c r="F44" i="3" s="1"/>
  <c r="G44" i="3" s="1"/>
  <c r="H44" i="3" s="1"/>
  <c r="I44" i="3" s="1"/>
  <c r="J44" i="3" s="1"/>
  <c r="K44" i="3" s="1"/>
  <c r="D7" i="3" l="1"/>
  <c r="D43" i="3" s="1"/>
  <c r="E43" i="3" s="1"/>
  <c r="F43" i="3" s="1"/>
  <c r="G43" i="3" s="1"/>
  <c r="H43" i="3" s="1"/>
  <c r="I43" i="3" s="1"/>
  <c r="J43" i="3" s="1"/>
  <c r="K43" i="3" s="1"/>
  <c r="D6" i="3" l="1"/>
  <c r="D42" i="3" s="1"/>
  <c r="E42" i="3" s="1"/>
  <c r="F42" i="3" s="1"/>
  <c r="G42" i="3" s="1"/>
  <c r="H42" i="3" s="1"/>
  <c r="I42" i="3" s="1"/>
  <c r="J42" i="3" s="1"/>
  <c r="K42" i="3" s="1"/>
  <c r="D5" i="3" l="1"/>
  <c r="D4" i="3" s="1"/>
  <c r="D41" i="3" l="1"/>
  <c r="E41" i="3" s="1"/>
  <c r="F41" i="3" s="1"/>
  <c r="G41" i="3" s="1"/>
  <c r="H41" i="3" s="1"/>
  <c r="I41" i="3" s="1"/>
  <c r="J41" i="3" s="1"/>
  <c r="K41" i="3" s="1"/>
  <c r="D3" i="3"/>
  <c r="D40" i="3"/>
  <c r="E40" i="3" s="1"/>
  <c r="F40" i="3" s="1"/>
  <c r="G40" i="3" s="1"/>
  <c r="H40" i="3" s="1"/>
  <c r="I40" i="3" s="1"/>
  <c r="J40" i="3" s="1"/>
  <c r="K40" i="3" s="1"/>
  <c r="D2" i="3" l="1"/>
  <c r="D38" i="3" s="1"/>
  <c r="D39" i="3"/>
  <c r="E39" i="3" s="1"/>
  <c r="F39" i="3" s="1"/>
  <c r="G39" i="3" s="1"/>
  <c r="H39" i="3" s="1"/>
  <c r="I39" i="3" s="1"/>
  <c r="J39" i="3" s="1"/>
  <c r="K39" i="3" s="1"/>
  <c r="D53" i="3" l="1"/>
  <c r="I7" i="3" s="1"/>
  <c r="I2" i="3"/>
  <c r="E38" i="3"/>
  <c r="E53" i="3" l="1"/>
  <c r="I8" i="3" s="1"/>
  <c r="J2" i="3"/>
  <c r="F38" i="3"/>
  <c r="K2" i="3" l="1"/>
  <c r="G38" i="3"/>
  <c r="F53" i="3"/>
  <c r="I9" i="3" s="1"/>
  <c r="K7" i="3" s="1"/>
  <c r="G53" i="3" l="1"/>
  <c r="I10" i="3" s="1"/>
  <c r="L2" i="3"/>
  <c r="H38" i="3"/>
  <c r="I38" i="3" l="1"/>
  <c r="M2" i="3"/>
  <c r="H53" i="3"/>
  <c r="I11" i="3" s="1"/>
  <c r="N2" i="3" l="1"/>
  <c r="J38" i="3"/>
  <c r="I53" i="3"/>
  <c r="I12" i="3" s="1"/>
  <c r="K38" i="3" l="1"/>
  <c r="J53" i="3"/>
  <c r="I13" i="3" s="1"/>
  <c r="F2" i="1" s="1"/>
  <c r="O2" i="3"/>
  <c r="I3" i="3" s="1"/>
  <c r="K8" i="3" l="1"/>
  <c r="F3" i="1" s="1"/>
</calcChain>
</file>

<file path=xl/sharedStrings.xml><?xml version="1.0" encoding="utf-8"?>
<sst xmlns="http://schemas.openxmlformats.org/spreadsheetml/2006/main" count="76" uniqueCount="43">
  <si>
    <t>dmr</t>
  </si>
  <si>
    <t>cm</t>
  </si>
  <si>
    <t>Contract Exclusions</t>
  </si>
  <si>
    <t>Contract ID</t>
  </si>
  <si>
    <t>Start</t>
  </si>
  <si>
    <t>Finish</t>
  </si>
  <si>
    <t>&lt;--</t>
  </si>
  <si>
    <t>--&gt;</t>
  </si>
  <si>
    <t>Each exclusion needs it's own component/rate/etc. tag</t>
  </si>
  <si>
    <t>Up to 15 exclusions</t>
  </si>
  <si>
    <t>Delete " at very beginning and very end of pasted query in SQL</t>
  </si>
  <si>
    <t>-Kevin Burns</t>
  </si>
  <si>
    <t>mobr</t>
  </si>
  <si>
    <t>mogn</t>
  </si>
  <si>
    <t>GTs</t>
  </si>
  <si>
    <t>^included</t>
  </si>
  <si>
    <t>^not included</t>
  </si>
  <si>
    <t>name the inc ex</t>
  </si>
  <si>
    <t>Exclusion</t>
  </si>
  <si>
    <t>All</t>
  </si>
  <si>
    <t>@@@@@</t>
  </si>
  <si>
    <t>.</t>
  </si>
  <si>
    <t>All, no ex</t>
  </si>
  <si>
    <t>discs</t>
  </si>
  <si>
    <t>Temp table</t>
  </si>
  <si>
    <t>2^</t>
  </si>
  <si>
    <t>6,7</t>
  </si>
  <si>
    <t>FINAL</t>
  </si>
  <si>
    <t>TmpTbl</t>
  </si>
  <si>
    <t>create temp table gtcontract as select claim_tags, COUNT ( claim_tags ) AS amt,
ISNULL ( SUM ( submittedawp * submitted_quantity_dispensed ), 0 ) AS S_AWP,
ISNULL ( SUM ( submittedingredientcost ), 0 ) AS S_IC,
ISNULL ( SUM ( dispensing_fee ), 0 ) AS S_DF,
CASE WHEN claim_tags like '%,rtgn,%'  then 0.76 WHEN claim_tags like '%,rtbr,%'  then 0.165 WHEN claim_tags like '%,mogn,%'  then 0.79 WHEN claim_tags like '%,mobr,%'  then 0.2425 WHEN claim_tags like '%,sp,%'  then 0.16 WHEN claim_tags like '%,rtgn90,%'  then 0.8 WHEN claim_tags like '%,rtbr90,%'   then 0.2 else 0 end as gtdiscount,CASE
		WHEN s_awp = 0 THEN
		NULL ELSE ( 1-s_ic / s_awp ) 
	END AS Discount,
	( discount - gtdiscount ) * s_awp AS Surplus,
	ISNULL ( AVG ( submittedawp * submitted_quantity_dispensed ), 0 ) AS Avg_AWP,
	ISNULL ( AVG ( dispensing_fee ), 0 ) AS avg_DF,
	ISNULL ( AVG ( submittedingredientcost ), 0 ) AS avg_IC 
FROM
	claims 
WHERE contract_id = '74313' and is_reversal = 'f' and datedispensed between '2017-09-01' and '2018-08-31' group by claim_tags;select 'rtgnGTdmr'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'%dmr%'  UNION select 'rtgnGTcm'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'%cm%'  and not ( claim_tags like '%dmr%' )UNION select 'rtgnGTvaccines'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'%vaccines%'  and not ( claim_tags like '%cm%'  or claim_tags like '%dmr%' ) UNION select 'rtgnGTsubrogation'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'%subrogation%'  and not ( claim_tags like '%vaccines%'  or claim_tags like '%cm%'  or claim_tags like '%dmr%' )UNION select 'rtgnGTcob'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'%cob%'  and not ( claim_tags like '%subrogation%'  or claim_tags like '%vaccines%'  or claim_tags like '%cm%'  or claim_tags like '%dmr%' )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'%,rtgn,%'  and claim_tags like select 'rtbrGTdmr'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'%dmr%'  UNION select 'rtbrGTcm'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'%cm%'  and not ( claim_tags like '%dmr%' )UNION select 'rtbrGTvaccines'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'%vaccines%'  and not ( claim_tags like '%cm%'  or claim_tags like '%dmr%' ) UNION select 'rtbrGTsubrogation'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'%subrogation%'  and not ( claim_tags like '%vaccines%'  or claim_tags like '%cm%'  or claim_tags like '%dmr%' )UNION select 'rtbrGTcob'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'%cob%'  and not ( claim_tags like '%subrogation%'  or claim_tags like '%vaccines%'  or claim_tags like '%cm%'  or claim_tags like '%dmr%' )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'%,rtbr,%'  and claim_tags like select 'mognGTdmr'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'%dmr%'  UNION select 'mognGTcm'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'%cm%'  and not ( claim_tags like '%dmr%' )UNION select 'mognGTvaccines'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'%vaccines%'  and not ( claim_tags like '%cm%'  or claim_tags like '%dmr%' ) UNION select 'mognGTsubrogation'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'%subrogation%'  and not ( claim_tags like '%vaccines%'  or claim_tags like '%cm%'  or claim_tags like '%dmr%' )UNION select 'mognGTcob'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'%cob%'  and not ( claim_tags like '%subrogation%'  or claim_tags like '%vaccines%'  or claim_tags like '%cm%'  or claim_tags like '%dmr%' )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'%,mogn,%'  and claim_tags like select 'mobrGTdmr'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'%dmr%'  UNION select 'mobrGTcm'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'%cm%'  and not ( claim_tags like '%dmr%' )UNION select 'mobrGTvaccines'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'%vaccines%'  and not ( claim_tags like '%cm%'  or claim_tags like '%dmr%' ) UNION select 'mobrGTsubrogation'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'%subrogation%'  and not ( claim_tags like '%vaccines%'  or claim_tags like '%cm%'  or claim_tags like '%dmr%' )UNION select 'mobrGTcob'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'%cob%'  and not ( claim_tags like '%subrogation%'  or claim_tags like '%vaccines%'  or claim_tags like '%cm%'  or claim_tags like '%dmr%' )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'%,mobr,%'  and claim_tags like select 'spGTdmr'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'%dmr%'  UNION select 'spGTcm'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'%cm%'  and not ( claim_tags like '%dmr%' )UNION select 'spGTvaccines'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'%vaccines%'  and not ( claim_tags like '%cm%'  or claim_tags like '%dmr%' ) UNION select 'spGTsubrogation'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'%subrogation%'  and not ( claim_tags like '%vaccines%'  or claim_tags like '%cm%'  or claim_tags like '%dmr%' )UNION select 'spGTcob'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'%cob%'  and not ( claim_tags like '%subrogation%'  or claim_tags like '%vaccines%'  or claim_tags like '%cm%'  or claim_tags like '%dmr%' )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'%,sp,%'  and claim_tags like select 'rtgn90GTdmr'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'%dmr%'  UNION select 'rtgn90GTcm'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'%cm%'  and not ( claim_tags like '%dmr%' )UNION select 'rtgn90GTvaccines'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'%vaccines%'  and not ( claim_tags like '%cm%'  or claim_tags like '%dmr%' ) UNION select 'rtgn90GTsubrogation'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'%subrogation%'  and not ( claim_tags like '%vaccines%'  or claim_tags like '%cm%'  or claim_tags like '%dmr%' )UNION select 'rtgn90GTcob'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'%cob%'  and not ( claim_tags like '%subrogation%'  or claim_tags like '%vaccines%'  or claim_tags like '%cm%'  or claim_tags like '%dmr%' )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'%,rtgn90,%'  and claim_tags like select 'rtbr90GTdmr' as exclusion, 	sum(amt) as amt,
	sum(S_IC) as s_ic,
	sum(S_AWP)as s_awp,
	sum(S_DF) as s_df,
	sum(Discount)as discount,
	avg(gtdiscount)as gtdiscount,
	sum(Surplus) as surplus,
	avg(avg_IC) as avg_ic,
	avg(Avg_AWP) as avg_awp,
	avg(avg_DF) as avg_df
FROM
	GTcontract
WHERE
	claim_tags LIKE '%,rtbr90,%'   and claim_tags like '%dmr%'  UNION select 'rtbr90GTcm' as exclusion, 	sum(amt) as amt,
	sum(S_IC) as s_ic,
	sum(S_AWP)as s_awp,
	sum(S_DF) as s_df,
	sum(Discount)as discount,
	avg(gtdi</t>
  </si>
  <si>
    <t>D38,D54,$C$2,$D$2</t>
  </si>
  <si>
    <t>2018-12-31</t>
  </si>
  <si>
    <t>2018-01-01</t>
  </si>
  <si>
    <t>Copy and Paste Each into 1 Query</t>
  </si>
  <si>
    <t>340b</t>
  </si>
  <si>
    <t>rtbr</t>
  </si>
  <si>
    <t>rtgn</t>
  </si>
  <si>
    <t>rate tags must follow same format as gt tags</t>
  </si>
  <si>
    <t>rtbr30 --&gt; rtbr30gt</t>
  </si>
  <si>
    <t>otherpayor</t>
  </si>
  <si>
    <t>state</t>
  </si>
  <si>
    <t>vacc</t>
  </si>
  <si>
    <t>ihs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</si>
</sst>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1" fillId="2" borderId="0" xfId="1"/>
    <xf numFmtId="0" fontId="4" fillId="0" borderId="0" xfId="0" applyFont="1"/>
    <xf numFmtId="0" fontId="2" fillId="3" borderId="1" xfId="2"/>
    <xf numFmtId="49" fontId="2" fillId="3" borderId="1" xfId="2" applyNumberFormat="1"/>
    <xf numFmtId="0" fontId="2" fillId="3" borderId="3" xfId="2" applyBorder="1"/>
    <xf numFmtId="9" fontId="0" fillId="0" borderId="0" xfId="3" applyFont="1"/>
    <xf numFmtId="9" fontId="0" fillId="0" borderId="2" xfId="3" applyFont="1" applyBorder="1" applyAlignment="1">
      <alignment wrapText="1"/>
    </xf>
    <xf numFmtId="0" fontId="2" fillId="3" borderId="1" xfId="2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quotePrefix="1" applyBorder="1"/>
    <xf numFmtId="0" fontId="0" fillId="0" borderId="10" xfId="0" applyBorder="1" applyAlignment="1">
      <alignment wrapText="1"/>
    </xf>
    <xf numFmtId="9" fontId="0" fillId="0" borderId="8" xfId="0" applyNumberFormat="1" applyBorder="1"/>
    <xf numFmtId="0" fontId="6" fillId="0" borderId="4" xfId="0" applyFont="1" applyBorder="1"/>
    <xf numFmtId="0" fontId="0" fillId="0" borderId="12" xfId="0" applyBorder="1"/>
    <xf numFmtId="0" fontId="0" fillId="0" borderId="13" xfId="0" applyBorder="1"/>
    <xf numFmtId="9" fontId="0" fillId="0" borderId="0" xfId="0" applyNumberFormat="1" applyBorder="1"/>
    <xf numFmtId="9" fontId="0" fillId="0" borderId="10" xfId="0" applyNumberFormat="1" applyBorder="1"/>
    <xf numFmtId="0" fontId="4" fillId="0" borderId="5" xfId="0" applyFont="1" applyBorder="1"/>
    <xf numFmtId="0" fontId="0" fillId="0" borderId="0" xfId="0" applyFont="1" applyBorder="1"/>
    <xf numFmtId="0" fontId="0" fillId="0" borderId="0" xfId="0" applyFill="1" applyBorder="1"/>
    <xf numFmtId="10" fontId="0" fillId="0" borderId="0" xfId="3" applyNumberFormat="1" applyFont="1"/>
  </cellXfs>
  <cellStyles count="4">
    <cellStyle name="Good" xfId="1" builtinId="26"/>
    <cellStyle name="Input" xfId="2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959F-984E-448D-A655-F5E80049A7E3}">
  <dimension ref="A1:G33"/>
  <sheetViews>
    <sheetView tabSelected="1" workbookViewId="0">
      <selection activeCell="F3" sqref="F3"/>
    </sheetView>
  </sheetViews>
  <sheetFormatPr defaultRowHeight="15" x14ac:dyDescent="0.25"/>
  <cols>
    <col min="2" max="2" width="10.7109375" bestFit="1" customWidth="1"/>
  </cols>
  <sheetData>
    <row r="1" spans="1:7" x14ac:dyDescent="0.25">
      <c r="A1" s="6" t="s">
        <v>3</v>
      </c>
      <c r="B1" s="6" t="s">
        <v>4</v>
      </c>
      <c r="C1" s="6" t="s">
        <v>2</v>
      </c>
      <c r="D1" s="6"/>
      <c r="E1" s="6"/>
      <c r="F1" s="6" t="s">
        <v>33</v>
      </c>
    </row>
    <row r="2" spans="1:7" ht="15" customHeight="1" x14ac:dyDescent="0.35">
      <c r="A2" s="7">
        <v>89934</v>
      </c>
      <c r="B2" s="8" t="s">
        <v>32</v>
      </c>
      <c r="C2" s="12" t="s">
        <v>0</v>
      </c>
      <c r="E2" s="4" t="s">
        <v>7</v>
      </c>
      <c r="F2" s="5" t="str">
        <f>Sheet3!K7</f>
        <v>create temp table gtcontract as select claim_tags, COUNT ( claim_tags ) AS amt,
ISNULL ( SUM ( submittedawp * submitted_quantity_dispensed ), 0 ) AS S_AWP,
ISNULL ( SUM ( submittedingredientcost ), 0 ) AS S_IC,
ISNULL ( SUM ( dispensing_fee ), 0 ) AS S_DF,
CASE WHEN claim_tags like '%,mobr,%'  then 0.255 WHEN claim_tags like '%,mogn,%'  then 0.8425 WHEN claim_tags like '%,rtbr,%'  then 0.1725 WHEN claim_tags like '%,rtgn,%'  then 0.81 else 0 end as gtdiscount,CASE
		WHEN s_awp = 0 THEN
		NULL ELSE ( 1-s_ic / s_awp ) 
	END AS Discount,
	( discount - gtdiscount ) * s_awp AS Surplus,
	ISNULL ( AVG ( submittedawp * submitted_quantity_dispensed ), 0 ) AS Avg_AWP,
	ISNULL ( AVG ( dispensing_fee ), 0 ) AS avg_DF,
	ISNULL ( AVG ( submittedingredientcost ), 0 ) AS avg_IC 
FROM
	claims 
WHERE contract_id = '89934' and is_reversal = 'f' and datedispensed between '2018-01-01' and '2018-12-31' group by claim_tags;select 'mobrGTdmr'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'%dmr%'  UNION select 'mobrGTcm'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'%cm%'  and not ( claim_tags like '%dmr%' )UNION select 'mobrGT340b'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'%340b%'  and not ( claim_tags like '%cm%'  or claim_tags like '%dmr%' ) UNION select 'mobrGTihs'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'%ihs%'  and not ( claim_tags like '%340b%'  or claim_tags like '%cm%'  or claim_tags like '%dmr%' )UNION select 'mobrGTotherpayor'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'%otherpayor%'  and not ( claim_tags like '%ihs%'  or claim_tags like '%340b%'  or claim_tags like '%cm%'  or claim_tags like '%dmr%' ) UNION select 'mobrGTstate'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'%state%'  and not ( claim_tags like '%otherpayor%'  or claim_tags like '%ihs%'  or claim_tags like '%340b%'  or claim_tags like '%cm%'  or claim_tags like '%dmr%' ) UNION select 'mobrGTvacc'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'%vacc%'  and not ( claim_tags like '%state%'  or claim_tags like '%otherpayor%'  or claim_tags like '%ihs%'  or claim_tags like '%340b%'  or claim_tags like '%cm%'  or claim_tags like '%dmr%' )union select 'mognGTdmr'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'%dmr%'  UNION select 'mognGTcm'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'%cm%'  and not ( claim_tags like '%dmr%' )UNION select 'mognGT340b'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'%340b%'  and not ( claim_tags like '%cm%'  or claim_tags like '%dmr%' ) UNION select 'mognGTihs'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'%ihs%'  and not ( claim_tags like '%340b%'  or claim_tags like '%cm%'  or claim_tags like '%dmr%' )UNION select 'mognGTotherpayor'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'%otherpayor%'  and not ( claim_tags like '%ihs%'  or claim_tags like '%340b%'  or claim_tags like '%cm%'  or claim_tags like '%dmr%' ) UNION select 'mognGTstate'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'%state%'  and not ( claim_tags like '%otherpayor%'  or claim_tags like '%ihs%'  or claim_tags like '%340b%'  or claim_tags like '%cm%'  or claim_tags like '%dmr%' ) UNION select 'mognGTvacc'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'%vacc%'  and not ( claim_tags like '%state%'  or claim_tags like '%otherpayor%'  or claim_tags like '%ihs%'  or claim_tags like '%340b%'  or claim_tags like '%cm%'  or claim_tags like '%dmr%' )union select 'rtbrGTdmr'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'%dmr%'  UNION select 'rtbrGTcm'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'%cm%'  and not ( claim_tags like '%dmr%' )UNION select 'rtbrGT340b'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'%340b%'  and not ( claim_tags like '%cm%'  or claim_tags like '%dmr%' ) UNION select 'rtbrGTihs'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'%ihs%'  and not ( claim_tags like '%340b%'  or claim_tags like '%cm%'  or claim_tags like '%dmr%' )UNION select 'rtbrGTotherpayor'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'%otherpayor%'  and not ( claim_tags like '%ihs%'  or claim_tags like '%340b%'  or claim_tags like '%cm%'  or claim_tags like '%dmr%' ) UNION select 'rtbrGTstate'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'%state%'  and not ( claim_tags like '%otherpayor%'  or claim_tags like '%ihs%'  or claim_tags like '%340b%'  or claim_tags like '%cm%'  or claim_tags like '%dmr%' ) UNION select 'rtbrGTvacc'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'%vacc%'  and not ( claim_tags like '%state%'  or claim_tags like '%otherpayor%'  or claim_tags like '%ihs%'  or claim_tags like '%340b%'  or claim_tags like '%cm%'  or claim_tags like '%dmr%' )</v>
      </c>
      <c r="G2" s="3" t="s">
        <v>6</v>
      </c>
    </row>
    <row r="3" spans="1:7" ht="15" customHeight="1" x14ac:dyDescent="0.35">
      <c r="B3" s="6" t="s">
        <v>5</v>
      </c>
      <c r="C3" s="12" t="s">
        <v>1</v>
      </c>
      <c r="E3" s="4" t="s">
        <v>7</v>
      </c>
      <c r="F3" s="5" t="str">
        <f>Sheet3!K8</f>
        <v>union select 'rtgnGTdmr'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'%dmr%'  UNION select 'rtgnGTcm'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'%cm%'  and not ( claim_tags like '%dmr%' )UNION select 'rtgnGT340b'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'%340b%'  and not ( claim_tags like '%cm%'  or claim_tags like '%dmr%' ) UNION select 'rtgnGTihs'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'%ihs%'  and not ( claim_tags like '%340b%'  or claim_tags like '%cm%'  or claim_tags like '%dmr%' )UNION select 'rtgnGTotherpayor'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'%otherpayor%'  and not ( claim_tags like '%ihs%'  or claim_tags like '%340b%'  or claim_tags like '%cm%'  or claim_tags like '%dmr%' ) UNION select 'rtgnGTstate'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'%state%'  and not ( claim_tags like '%otherpayor%'  or claim_tags like '%ihs%'  or claim_tags like '%340b%'  or claim_tags like '%cm%'  or claim_tags like '%dmr%' ) UNION select 'rtgnGTvacc'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'%vacc%'  and not ( claim_tags like '%state%'  or claim_tags like '%otherpayor%'  or claim_tags like '%ihs%'  or claim_tags like '%340b%'  or claim_tags like '%cm%'  or claim_tags like '%dmr%' )</v>
      </c>
      <c r="G3" s="3" t="s">
        <v>6</v>
      </c>
    </row>
    <row r="4" spans="1:7" x14ac:dyDescent="0.25">
      <c r="A4" s="6" t="s">
        <v>14</v>
      </c>
      <c r="B4" s="8" t="s">
        <v>31</v>
      </c>
      <c r="C4" s="12" t="s">
        <v>34</v>
      </c>
    </row>
    <row r="5" spans="1:7" x14ac:dyDescent="0.25">
      <c r="A5" s="12" t="s">
        <v>12</v>
      </c>
      <c r="B5" s="34">
        <v>0.255</v>
      </c>
      <c r="C5" s="7" t="s">
        <v>42</v>
      </c>
      <c r="E5" t="s">
        <v>8</v>
      </c>
    </row>
    <row r="6" spans="1:7" x14ac:dyDescent="0.25">
      <c r="A6" s="12" t="s">
        <v>13</v>
      </c>
      <c r="B6" s="34">
        <v>0.84250000000000003</v>
      </c>
      <c r="C6" s="7" t="s">
        <v>39</v>
      </c>
    </row>
    <row r="7" spans="1:7" x14ac:dyDescent="0.25">
      <c r="A7" s="12" t="s">
        <v>35</v>
      </c>
      <c r="B7" s="34">
        <v>0.17249999999999999</v>
      </c>
      <c r="C7" s="7" t="s">
        <v>40</v>
      </c>
      <c r="E7" t="s">
        <v>10</v>
      </c>
    </row>
    <row r="8" spans="1:7" x14ac:dyDescent="0.25">
      <c r="A8" s="7" t="s">
        <v>36</v>
      </c>
      <c r="B8" s="34">
        <v>0.81</v>
      </c>
      <c r="C8" s="7" t="s">
        <v>41</v>
      </c>
    </row>
    <row r="9" spans="1:7" ht="15" customHeight="1" x14ac:dyDescent="0.25">
      <c r="A9" s="7"/>
      <c r="B9" s="11"/>
      <c r="C9" s="7"/>
      <c r="E9" t="s">
        <v>37</v>
      </c>
    </row>
    <row r="10" spans="1:7" x14ac:dyDescent="0.25">
      <c r="A10" s="7"/>
      <c r="B10" s="11"/>
      <c r="C10" s="7"/>
      <c r="F10" t="s">
        <v>38</v>
      </c>
    </row>
    <row r="11" spans="1:7" x14ac:dyDescent="0.25">
      <c r="A11" s="7"/>
      <c r="B11" s="10"/>
      <c r="C11" s="7"/>
    </row>
    <row r="12" spans="1:7" x14ac:dyDescent="0.25">
      <c r="A12" s="9"/>
      <c r="C12" s="7"/>
    </row>
    <row r="13" spans="1:7" x14ac:dyDescent="0.25">
      <c r="C13" s="7"/>
    </row>
    <row r="14" spans="1:7" x14ac:dyDescent="0.25">
      <c r="C14" s="7"/>
    </row>
    <row r="15" spans="1:7" x14ac:dyDescent="0.25">
      <c r="C15" s="7"/>
    </row>
    <row r="16" spans="1:7" x14ac:dyDescent="0.25">
      <c r="C16" s="7"/>
    </row>
    <row r="17" spans="3:3" x14ac:dyDescent="0.25">
      <c r="C17" t="s">
        <v>9</v>
      </c>
    </row>
    <row r="19" spans="3:3" ht="15" customHeight="1" x14ac:dyDescent="0.25"/>
    <row r="20" spans="3:3" ht="15" customHeight="1" x14ac:dyDescent="0.25"/>
    <row r="21" spans="3:3" ht="15" customHeight="1" x14ac:dyDescent="0.25"/>
    <row r="22" spans="3:3" ht="15" customHeight="1" x14ac:dyDescent="0.25"/>
    <row r="23" spans="3:3" ht="15" customHeight="1" x14ac:dyDescent="0.25"/>
    <row r="24" spans="3:3" ht="15" customHeight="1" x14ac:dyDescent="0.25"/>
    <row r="25" spans="3:3" ht="15" customHeight="1" x14ac:dyDescent="0.25"/>
    <row r="26" spans="3:3" ht="15" customHeight="1" x14ac:dyDescent="0.25"/>
    <row r="27" spans="3:3" ht="15" customHeight="1" x14ac:dyDescent="0.25"/>
    <row r="28" spans="3:3" ht="15" customHeight="1" x14ac:dyDescent="0.25"/>
    <row r="29" spans="3:3" ht="15" customHeight="1" x14ac:dyDescent="0.25"/>
    <row r="30" spans="3:3" ht="15" customHeight="1" x14ac:dyDescent="0.25"/>
    <row r="31" spans="3:3" ht="15" customHeight="1" x14ac:dyDescent="0.25"/>
    <row r="32" spans="3:3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6385-8FDC-47B9-9345-FB5CACB23B40}">
  <dimension ref="A1:S63"/>
  <sheetViews>
    <sheetView zoomScale="60" zoomScaleNormal="60" workbookViewId="0">
      <selection activeCell="K13" sqref="K13"/>
    </sheetView>
  </sheetViews>
  <sheetFormatPr defaultRowHeight="15" x14ac:dyDescent="0.25"/>
  <cols>
    <col min="1" max="1" width="9.7109375" customWidth="1"/>
    <col min="3" max="3" width="11.7109375" customWidth="1"/>
    <col min="4" max="4" width="9.140625" customWidth="1"/>
    <col min="7" max="7" width="9.140625" customWidth="1"/>
    <col min="11" max="11" width="10.140625" customWidth="1"/>
  </cols>
  <sheetData>
    <row r="1" spans="1:19" x14ac:dyDescent="0.25">
      <c r="A1" s="13" t="s">
        <v>19</v>
      </c>
      <c r="B1" s="14" t="str">
        <f>IF(COUNTBLANK(Sheet1!C1),"","COUNT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where claim_tags like 
")</f>
        <v xml:space="preserve"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where claim_tags like 
</v>
      </c>
      <c r="C1" s="14"/>
      <c r="D1" s="23" t="s">
        <v>20</v>
      </c>
      <c r="F1" s="13"/>
      <c r="G1" s="15" t="s">
        <v>23</v>
      </c>
      <c r="I1" s="13" t="str">
        <f>IF(COUNTBLANK(Sheet1!A5)&gt;0,"","'%,"&amp;Sheet1!A5&amp;",%' ")</f>
        <v xml:space="preserve">'%,mobr,%' </v>
      </c>
      <c r="J1" s="14" t="str">
        <f>IF(COUNTBLANK(Sheet1!A6)&gt;0,"","'%,"&amp;Sheet1!A6&amp;",%' ")</f>
        <v xml:space="preserve">'%,mogn,%' </v>
      </c>
      <c r="K1" s="14" t="str">
        <f>IF(COUNTBLANK(Sheet1!A7)&gt;0,"","'%,"&amp;Sheet1!A7&amp;",%' ")</f>
        <v xml:space="preserve">'%,rtbr,%' </v>
      </c>
      <c r="L1" s="14" t="str">
        <f>IF(COUNTBLANK(Sheet1!A8)&gt;0,"","'%,"&amp;Sheet1!A8&amp;",%' ")</f>
        <v xml:space="preserve">'%,rtgn,%' </v>
      </c>
      <c r="M1" s="14" t="str">
        <f>IF(COUNTBLANK(Sheet1!A9)&gt;0,"","'%,"&amp;Sheet1!A9&amp;",%' ")</f>
        <v/>
      </c>
      <c r="N1" s="14" t="str">
        <f>IF(COUNTBLANK(Sheet1!A10)&gt;0,"","'%,"&amp;Sheet1!A10&amp;",%' ")</f>
        <v/>
      </c>
      <c r="O1" s="14" t="str">
        <f>IF(COUNTBLANK(Sheet1!A11)&gt;0,"","'%,"&amp;Sheet1!A11&amp;",%'  ")</f>
        <v/>
      </c>
      <c r="P1" s="15" t="str">
        <f>IF(COUNTBLANK(Sheet1!A12)&gt;0,"","'%,"&amp;Sheet1!A12&amp;",%'  AND claim_tags like ")</f>
        <v/>
      </c>
    </row>
    <row r="2" spans="1:19" ht="15" customHeight="1" x14ac:dyDescent="0.25">
      <c r="A2" s="16" t="str">
        <f>IF(COUNTBLANK(Sheet1!C2),"","select '"&amp;Sheet1!C2&amp;"' as exclusion, ")</f>
        <v xml:space="preserve">select 'dmr' as exclusion, </v>
      </c>
      <c r="B2" s="19" t="str">
        <f>IF(COUNTBLANK(Sheet1!C2),"","COUNT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</v>
      </c>
      <c r="C2" s="17" t="str">
        <f>IF(COUNTBLANK(Sheet1!C2)&gt;0,"","'%"&amp;Sheet1!C2&amp;"%' ")</f>
        <v xml:space="preserve">'%dmr%' </v>
      </c>
      <c r="D2" s="18" t="str">
        <f>IF(COUNTBLANK(D3)&gt;0,""," UNION ")</f>
        <v xml:space="preserve"> UNION </v>
      </c>
      <c r="E2" t="s">
        <v>26</v>
      </c>
      <c r="F2" s="16" t="str">
        <f>IF(COUNTBLANK(Sheet1!A5)&gt;0,"",Sheet1!A5&amp;"disc ")</f>
        <v xml:space="preserve">mobrdisc </v>
      </c>
      <c r="G2" s="25">
        <f>IF(COUNTBLANK(Sheet1!B5)&gt;0,"",Sheet1!B5)</f>
        <v>0.255</v>
      </c>
      <c r="I2" s="20" t="str">
        <f t="shared" ref="I2:O2" si="0">CONCATENATE(D38,$B$2,I$1,$C$2,$D$2,D39,$B$3,I$1,$C$3,$D$3,D40,$B$4,I$1,$C$4,$D$4,D41,$B$5,I$1,$C$5,$D$5,D42,$B$6,I$1,$C$6,$D$6)</f>
        <v xml:space="preserve">select 'mobrGTdmr'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'%dmr%'  UNION select 'mobrGTcm'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'%cm%'  and not ( claim_tags like '%dmr%' )UNION select 'mobrGT340b'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'%340b%'  and not ( claim_tags like '%cm%'  or claim_tags like '%dmr%' ) UNION select 'mobrGTihs'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'%ihs%'  and not ( claim_tags like '%340b%'  or claim_tags like '%cm%'  or claim_tags like '%dmr%' )UNION select 'mobrGTotherpayor'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'%otherpayor%'  and not ( claim_tags like '%ihs%'  or claim_tags like '%340b%'  or claim_tags like '%cm%'  or claim_tags like '%dmr%' ) UNION </v>
      </c>
      <c r="J2" s="21" t="str">
        <f t="shared" si="0"/>
        <v xml:space="preserve">union select 'mognGTdmr'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'%dmr%'  UNION select 'mognGTcm'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'%cm%'  and not ( claim_tags like '%dmr%' )UNION select 'mognGT340b'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'%340b%'  and not ( claim_tags like '%cm%'  or claim_tags like '%dmr%' ) UNION select 'mognGTihs'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'%ihs%'  and not ( claim_tags like '%340b%'  or claim_tags like '%cm%'  or claim_tags like '%dmr%' )UNION select 'mognGTotherpayor'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'%otherpayor%'  and not ( claim_tags like '%ihs%'  or claim_tags like '%340b%'  or claim_tags like '%cm%'  or claim_tags like '%dmr%' ) UNION </v>
      </c>
      <c r="K2" s="21" t="str">
        <f t="shared" si="0"/>
        <v xml:space="preserve">union select 'rtbrGTdmr'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'%dmr%'  UNION select 'rtbrGTcm'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'%cm%'  and not ( claim_tags like '%dmr%' )UNION select 'rtbrGT340b'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'%340b%'  and not ( claim_tags like '%cm%'  or claim_tags like '%dmr%' ) UNION select 'rtbrGTihs'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'%ihs%'  and not ( claim_tags like '%340b%'  or claim_tags like '%cm%'  or claim_tags like '%dmr%' )UNION select 'rtbrGTotherpayor'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'%otherpayor%'  and not ( claim_tags like '%ihs%'  or claim_tags like '%340b%'  or claim_tags like '%cm%'  or claim_tags like '%dmr%' ) UNION </v>
      </c>
      <c r="L2" s="21" t="str">
        <f t="shared" si="0"/>
        <v xml:space="preserve">union select 'rtgnGTdmr'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'%dmr%'  UNION select 'rtgnGTcm'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'%cm%'  and not ( claim_tags like '%dmr%' )UNION select 'rtgnGT340b'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'%340b%'  and not ( claim_tags like '%cm%'  or claim_tags like '%dmr%' ) UNION select 'rtgnGTihs'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'%ihs%'  and not ( claim_tags like '%340b%'  or claim_tags like '%cm%'  or claim_tags like '%dmr%' )UNION select 'rtgnGTotherpayor'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'%otherpayor%'  and not ( claim_tags like '%ihs%'  or claim_tags like '%340b%'  or claim_tags like '%cm%'  or claim_tags like '%dmr%' ) UNION </v>
      </c>
      <c r="M2" s="21" t="str">
        <f t="shared" si="0"/>
        <v xml:space="preserve"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LIKE'%otherpayor%'  and not ( claim_tags like '%ihs%'  or claim_tags like '%340b%'  or claim_tags like '%cm%'  or claim_tags like '%dmr%' ) UNION </v>
      </c>
      <c r="N2" s="21" t="str">
        <f t="shared" si="0"/>
        <v xml:space="preserve"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LIKE'%otherpayor%'  and not ( claim_tags like '%ihs%'  or claim_tags like '%340b%'  or claim_tags like '%cm%'  or claim_tags like '%dmr%' ) UNION </v>
      </c>
      <c r="O2" s="21" t="str">
        <f t="shared" si="0"/>
        <v xml:space="preserve"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LIKE'%otherpayor%'  and not ( claim_tags like '%ihs%'  or claim_tags like '%340b%'  or claim_tags like '%cm%'  or claim_tags like '%dmr%' ) UNION </v>
      </c>
      <c r="P2" s="22" t="str">
        <f>IF(COUNTBLANK(P1)&gt;0,"","CONCATENATE(K38,$B$2,$C$2,$D$2,K39,$B$3,$C$3,$D$3,K40,$B$4,$C$4,$D$4,K41,$B$5,$C$5,$D$5,K42,$B$6,$C$6,$D$6")</f>
        <v/>
      </c>
    </row>
    <row r="3" spans="1:19" ht="13.5" customHeight="1" x14ac:dyDescent="0.25">
      <c r="A3" s="16" t="str">
        <f>IF(COUNTBLANK(Sheet1!C3),""," select '"&amp;Sheet1!C3&amp;"' as exclusion, ")</f>
        <v xml:space="preserve"> select 'cm' as exclusion, </v>
      </c>
      <c r="B3" s="19" t="str">
        <f>IF(COUNTBLANK(Sheet1!C3),"","COUNT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</v>
      </c>
      <c r="C3" s="17" t="str">
        <f>IF(COUNTBLANK(Sheet1!C3)&gt;0,"","'%"&amp;Sheet1!C3&amp;"%' ")</f>
        <v xml:space="preserve">'%cm%' </v>
      </c>
      <c r="D3" s="18" t="str">
        <f>IF(COUNTBLANK(C3)&gt;0,""," and not ( claim_tags like "&amp;C2&amp;")"&amp;IF(COUNTBLANK(D4)&gt;0,"","UNION "))</f>
        <v xml:space="preserve"> and not ( claim_tags like '%dmr%' )UNION </v>
      </c>
      <c r="E3" t="s">
        <v>21</v>
      </c>
      <c r="F3" s="16" t="str">
        <f>IF(COUNTBLANK(Sheet1!A6)&gt;0,"",Sheet1!A6&amp;"disc ")</f>
        <v xml:space="preserve">mogndisc </v>
      </c>
      <c r="G3" s="25">
        <f>IF(COUNTBLANK(Sheet1!B6)&gt;0,"",Sheet1!B6)</f>
        <v>0.84250000000000003</v>
      </c>
      <c r="I3" t="str">
        <f>A19&amp;I2&amp;J2&amp;K2&amp;L2&amp;M2&amp;N2&amp;O2&amp;P2&amp;A63&amp;B63&amp;C63&amp;D63&amp;E63&amp;F63&amp;G63</f>
        <v>create temp table gtcontract as select claim_tags, COUNT ( claim_tags ) AS amt,
ISNULL ( SUM ( submittedawp * submitted_quantity_dispensed ), 0 ) AS S_AWP,
ISNULL ( SUM ( submittedingredientcost ), 0 ) AS S_IC,
ISNULL ( SUM ( dispensing_fee ), 0 ) AS S_DF,
CASEselect 'mobrGTdmr'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'%dmr%'  UNION select 'mobrGTcm'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'%cm%'  and not ( claim_tags like '%dmr%' )UNION select 'mobrGT340b'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'%340b%'  and not ( claim_tags like '%cm%'  or claim_tags like '%dmr%' ) UNION select 'mobrGTihs'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'%ihs%'  and not ( claim_tags like '%340b%'  or claim_tags like '%cm%'  or claim_tags like '%dmr%' )UNION select 'mobrGTotherpayor'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LIKE'%,mobr,%' '%otherpayor%'  and not ( claim_tags like '%ihs%'  or claim_tags like '%340b%'  or claim_tags like '%cm%'  or claim_tags like '%dmr%' ) UNION union select 'mognGTdmr'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'%dmr%'  UNION select 'mognGTcm'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'%cm%'  and not ( claim_tags like '%dmr%' )UNION select 'mognGT340b'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'%340b%'  and not ( claim_tags like '%cm%'  or claim_tags like '%dmr%' ) UNION select 'mognGTihs'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'%ihs%'  and not ( claim_tags like '%340b%'  or claim_tags like '%cm%'  or claim_tags like '%dmr%' )UNION select 'mognGTotherpayor'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LIKE'%,mogn,%' '%otherpayor%'  and not ( claim_tags like '%ihs%'  or claim_tags like '%340b%'  or claim_tags like '%cm%'  or claim_tags like '%dmr%' ) UNION union select 'rtbrGTdmr'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'%dmr%'  UNION select 'rtbrGTcm'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'%cm%'  and not ( claim_tags like '%dmr%' )UNION select 'rtbrGT340b'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'%340b%'  and not ( claim_tags like '%cm%'  or claim_tags like '%dmr%' ) UNION select 'rtbrGTihs'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'%ihs%'  and not ( claim_tags like '%340b%'  or claim_tags like '%cm%'  or claim_tags like '%dmr%' )UNION select 'rtbrGTotherpayor'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LIKE'%,rtbr,%' '%otherpayor%'  and not ( claim_tags like '%ihs%'  or claim_tags like '%340b%'  or claim_tags like '%cm%'  or claim_tags like '%dmr%' ) UNION union select 'rtgnGTdmr'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'%dmr%'  UNION select 'rtgnGTcm'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'%cm%'  and not ( claim_tags like '%dmr%' )UNION select 'rtgnGT340b'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'%340b%'  and not ( claim_tags like '%cm%'  or claim_tags like '%dmr%' ) UNION select 'rtgnGTihs'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'%ihs%'  and not ( claim_tags like '%340b%'  or claim_tags like '%cm%'  or claim_tags like '%dmr%' )UNION select 'rtgnGTotherpayor'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LIKE'%,rtgn,%' 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LIKE'%otherpayor%'  and not ( claim_tags like '%ihs%'  or claim_tags like '%340b%'  or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LIKE'%dmr%' 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LIKE'%cm%'  and not (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LIKE'%340b%'  and not ( claim_tags like '%cm%'  or claim_tags like '%dmr%' ) 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LIKE'%ihs%'  and not ( claim_tags like '%340b%'  or claim_tags like '%cm%'  or claim_tags like '%dmr%' )UNION 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LIKE'%otherpayor%'  and not ( claim_tags like '%ihs%'  or claim_tags like '%340b%'  or claim_tags like '%cm%'  or claim_tags like '%dmr%' ) UNION SELECT
	'mobrGT' AS exclusion,
	COUNT ( claim_tags ) AS COUNT,
	ISNULL ( SUM ( submittedingredientcost ), 0 ) AS S_IC,
	ISNULL ( SUM ( submittedawp * submitted_quantity_dispensed ), 0 ) AS S_AWP,
	ISNULL ( SUM ( dispensing_fee ), 0 ) AS S_DF,
CASE
		WHEN s_awp = 0 THEN
		NULL ELSE ( 1-s_ic / s_awp ) 
	END AS Discount,
	.76 AS GTDisc,
	( discount - gtdisc ) * s_awp AS Surplus,
	ISNULL ( AVG ( submittedingredientcost ), 0 ) AS avg_IC,
	ISNULL ( AVG ( submittedawp * submitted_quantity_dispensed ), 0 ) AS Avg_AWP,
	ISNULL ( AVG ( dispensing_fee ), 0 ) AS avg_DF 
FROM
	GTcontract 
WHERE
	claim_tags LIKE'%,mobr,%'  union SELECT
	'mognGT' AS exclusion,
	COUNT ( claim_tags ) AS COUNT,
	ISNULL ( SUM ( submittedingredientcost ), 0 ) AS S_IC,
	ISNULL ( SUM ( submittedawp * submitted_quantity_dispensed ), 0 ) AS S_AWP,
	ISNULL ( SUM ( dispensing_fee ), 0 ) AS S_DF,
CASE
		WHEN s_awp = 0 THEN
		NULL ELSE ( 1-s_ic / s_awp ) 
	EN</v>
      </c>
    </row>
    <row r="4" spans="1:19" ht="15" customHeight="1" x14ac:dyDescent="0.25">
      <c r="A4" s="16" t="str">
        <f>IF(COUNTBLANK(Sheet1!C4),""," select '"&amp;Sheet1!C4&amp;"' as exclusion, ")</f>
        <v xml:space="preserve"> select '340b' as exclusion, </v>
      </c>
      <c r="B4" s="19" t="str">
        <f>IF(COUNTBLANK(Sheet1!C4),"","COUNT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</v>
      </c>
      <c r="C4" s="17" t="str">
        <f>IF(COUNTBLANK(Sheet1!C4)&gt;0,"","'%"&amp;Sheet1!C4&amp;"%' ")</f>
        <v xml:space="preserve">'%340b%' </v>
      </c>
      <c r="D4" s="18" t="str">
        <f>IF(COUNTBLANK(C4)&gt;0,""," and not ( claim_tags like "&amp;C3&amp;" or claim_tags like "&amp;C2&amp;")"&amp;IF(COUNTBLANK(D5)&gt;0,""," UNION "))</f>
        <v xml:space="preserve"> and not ( claim_tags like '%cm%'  or claim_tags like '%dmr%' ) UNION </v>
      </c>
      <c r="E4" t="s">
        <v>21</v>
      </c>
      <c r="F4" s="16" t="str">
        <f>IF(COUNTBLANK(Sheet1!A7)&gt;0,"",Sheet1!A7&amp;"disc ")</f>
        <v xml:space="preserve">rtbrdisc </v>
      </c>
      <c r="G4" s="25">
        <f>IF(COUNTBLANK(Sheet1!B7)&gt;0,"",Sheet1!B7)</f>
        <v>0.17249999999999999</v>
      </c>
    </row>
    <row r="5" spans="1:19" ht="15" customHeight="1" x14ac:dyDescent="0.25">
      <c r="A5" s="16" t="str">
        <f>IF(COUNTBLANK(Sheet1!C5),""," select '"&amp;Sheet1!C5&amp;"' as exclusion, ")</f>
        <v xml:space="preserve"> select 'ihs' as exclusion, </v>
      </c>
      <c r="B5" s="19" t="str">
        <f>IF(COUNTBLANK(Sheet1!C5),"","COUNT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</v>
      </c>
      <c r="C5" s="17" t="str">
        <f>IF(COUNTBLANK(Sheet1!C5)&gt;0,"","'%"&amp;Sheet1!C5&amp;"%' ")</f>
        <v xml:space="preserve">'%ihs%' </v>
      </c>
      <c r="D5" s="18" t="str">
        <f>IF(COUNTBLANK(C5)&gt;0,""," and not ( claim_tags like "&amp;C4&amp;" or claim_tags like "&amp;C3&amp;" or claim_tags like "&amp;C2&amp;")"&amp;IF(COUNTBLANK(D6)&gt;0,"","UNION "))</f>
        <v xml:space="preserve"> and not ( claim_tags like '%340b%'  or claim_tags like '%cm%'  or claim_tags like '%dmr%' )UNION </v>
      </c>
      <c r="E5" t="s">
        <v>21</v>
      </c>
      <c r="F5" s="16" t="str">
        <f>IF(COUNTBLANK(Sheet1!A8)&gt;0,"",Sheet1!A8&amp;"disc ")</f>
        <v xml:space="preserve">rtgndisc </v>
      </c>
      <c r="G5" s="29">
        <f>IF(COUNTBLANK(Sheet1!B8)&gt;0,"",Sheet1!B8)</f>
        <v>0.81</v>
      </c>
      <c r="H5" s="13"/>
      <c r="I5" s="31" t="s">
        <v>27</v>
      </c>
      <c r="J5" s="14"/>
      <c r="K5" s="14"/>
      <c r="L5" s="14"/>
      <c r="M5" s="14"/>
      <c r="N5" s="14"/>
      <c r="O5" s="14"/>
      <c r="P5" s="15"/>
    </row>
    <row r="6" spans="1:19" ht="15" customHeight="1" x14ac:dyDescent="0.25">
      <c r="A6" s="16" t="str">
        <f>IF(COUNTBLANK(Sheet1!C6),""," select '"&amp;Sheet1!C6&amp;"' as exclusion, ")</f>
        <v xml:space="preserve"> select 'otherpayor' as exclusion, </v>
      </c>
      <c r="B6" s="19" t="str">
        <f>IF(COUNTBLANK(Sheet1!C6),"","COUNT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</v>
      </c>
      <c r="C6" s="17" t="str">
        <f>IF(COUNTBLANK(Sheet1!C6)&gt;0,"","'%"&amp;Sheet1!C6&amp;"%' ")</f>
        <v xml:space="preserve">'%otherpayor%' </v>
      </c>
      <c r="D6" s="18" t="str">
        <f>IF(COUNTBLANK(C6)&gt;0,""," and not ( claim_tags like "&amp;C5&amp;" or claim_tags like "&amp;C4&amp;" or claim_tags like "&amp;C3&amp;" or claim_tags like "&amp;C2&amp;")"&amp;IF(COUNTBLANK(D7)&gt;0,""," UNION "))</f>
        <v xml:space="preserve"> and not ( claim_tags like '%ihs%'  or claim_tags like '%340b%'  or claim_tags like '%cm%'  or claim_tags like '%dmr%' ) UNION </v>
      </c>
      <c r="E6" t="s">
        <v>21</v>
      </c>
      <c r="F6" s="16" t="str">
        <f>IF(COUNTBLANK(Sheet1!A9)&gt;0,"",Sheet1!A9&amp;"disc ")</f>
        <v/>
      </c>
      <c r="G6" s="29" t="str">
        <f>IF(COUNTBLANK(Sheet1!B9)&gt;0,"",Sheet1!B9)</f>
        <v/>
      </c>
      <c r="H6" s="16" t="s">
        <v>28</v>
      </c>
      <c r="I6" s="32" t="str">
        <f>CONCATENATE(A19,F10,F11,F12,F13,F14,F15,F16,F17,F19)</f>
        <v>create temp table gtcontract as select claim_tags, COUNT ( claim_tags ) AS amt,
ISNULL ( SUM ( submittedawp * submitted_quantity_dispensed ), 0 ) AS S_AWP,
ISNULL ( SUM ( submittedingredientcost ), 0 ) AS S_IC,
ISNULL ( SUM ( dispensing_fee ), 0 ) AS S_DF,
CASE WHEN claim_tags like '%,mobr,%'  then 0.255 WHEN claim_tags like '%,mogn,%'  then 0.8425 WHEN claim_tags like '%,rtbr,%'  then 0.1725 WHEN claim_tags like '%,rtgn,%'  then 0.81 else 0 end as gtdiscount,CASE
		WHEN s_awp = 0 THEN
		NULL ELSE ( 1-s_ic / s_awp ) 
	END AS Discount,
	( discount - gtdiscount ) * s_awp AS Surplus,
	ISNULL ( AVG ( submittedawp * submitted_quantity_dispensed ), 0 ) AS Avg_AWP,
	ISNULL ( AVG ( dispensing_fee ), 0 ) AS avg_DF,
	ISNULL ( AVG ( submittedingredientcost ), 0 ) AS avg_IC 
FROM
	claims 
WHERE contract_id = '89934' and is_reversal = 'f' and datedispensed between '2018-01-01' and '2018-12-31' group by claim_tags;</v>
      </c>
      <c r="J6" s="17" t="s">
        <v>21</v>
      </c>
      <c r="K6" s="17"/>
      <c r="L6" s="17"/>
      <c r="M6" s="17"/>
      <c r="N6" s="17"/>
      <c r="O6" s="17"/>
      <c r="P6" s="18"/>
    </row>
    <row r="7" spans="1:19" ht="15" customHeight="1" x14ac:dyDescent="0.25">
      <c r="A7" s="16" t="str">
        <f>IF(COUNTBLANK(Sheet1!C7),""," select '"&amp;Sheet1!C7&amp;"' as exclusion, ")</f>
        <v xml:space="preserve"> select 'state' as exclusion, </v>
      </c>
      <c r="B7" s="19" t="str">
        <f>IF(COUNTBLANK(Sheet1!C7),"","COUNT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</v>
      </c>
      <c r="C7" s="17" t="str">
        <f>IF(COUNTBLANK(Sheet1!C7)&gt;0,"","'%"&amp;Sheet1!C7&amp;"%' ")</f>
        <v xml:space="preserve">'%state%' </v>
      </c>
      <c r="D7" s="18" t="str">
        <f>IF(COUNTBLANK(C7)&gt;0,""," and not ( claim_tags like "&amp;C6&amp;" or claim_tags like "&amp;C5&amp;" or claim_tags like "&amp;C4&amp;" or claim_tags like "&amp;C3&amp;" or claim_tags like "&amp;C2&amp;")"&amp;IF(COUNTBLANK(D8)&gt;0,""," UNION "))</f>
        <v xml:space="preserve"> and not ( claim_tags like '%otherpayor%'  or claim_tags like '%ihs%'  or claim_tags like '%340b%'  or claim_tags like '%cm%'  or claim_tags like '%dmr%' ) UNION </v>
      </c>
      <c r="E7" t="s">
        <v>21</v>
      </c>
      <c r="F7" s="16" t="str">
        <f>IF(COUNTBLANK(Sheet1!A10)&gt;0,"",Sheet1!A10&amp;"disc ")</f>
        <v/>
      </c>
      <c r="G7" s="29" t="str">
        <f>IF(COUNTBLANK(Sheet1!B10)&gt;0,"",Sheet1!B10)</f>
        <v/>
      </c>
      <c r="H7" s="16" t="str">
        <f>D36</f>
        <v>mobrGT</v>
      </c>
      <c r="I7" s="17" t="str">
        <f>D53</f>
        <v>select 'mobrGTdmr'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'%dmr%'  UNION select 'mobrGTcm'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'%cm%'  and not ( claim_tags like '%dmr%' )UNION select 'mobrGT340b'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'%340b%'  and not ( claim_tags like '%cm%'  or claim_tags like '%dmr%' ) UNION select 'mobrGTihs'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'%ihs%'  and not ( claim_tags like '%340b%'  or claim_tags like '%cm%'  or claim_tags like '%dmr%' )UNION select 'mobrGTotherpayor'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'%otherpayor%'  and not ( claim_tags like '%ihs%'  or claim_tags like '%340b%'  or claim_tags like '%cm%'  or claim_tags like '%dmr%' ) UNION select 'mobrGTstate'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'%state%'  and not ( claim_tags like '%otherpayor%'  or claim_tags like '%ihs%'  or claim_tags like '%340b%'  or claim_tags like '%cm%'  or claim_tags like '%dmr%' ) UNION select 'mobrGTvacc'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'%vacc%'  and not ( claim_tags like '%state%'  or claim_tags like '%otherpayor%'  or claim_tags like '%ihs%'  or claim_tags like '%340b%'  or claim_tags like '%cm%'  or claim_tags like '%dmr%' )</v>
      </c>
      <c r="J7" s="17" t="s">
        <v>21</v>
      </c>
      <c r="K7" s="17" t="str">
        <f>CONCATENATE(I6,I7,I8,I9)</f>
        <v>create temp table gtcontract as select claim_tags, COUNT ( claim_tags ) AS amt,
ISNULL ( SUM ( submittedawp * submitted_quantity_dispensed ), 0 ) AS S_AWP,
ISNULL ( SUM ( submittedingredientcost ), 0 ) AS S_IC,
ISNULL ( SUM ( dispensing_fee ), 0 ) AS S_DF,
CASE WHEN claim_tags like '%,mobr,%'  then 0.255 WHEN claim_tags like '%,mogn,%'  then 0.8425 WHEN claim_tags like '%,rtbr,%'  then 0.1725 WHEN claim_tags like '%,rtgn,%'  then 0.81 else 0 end as gtdiscount,CASE
		WHEN s_awp = 0 THEN
		NULL ELSE ( 1-s_ic / s_awp ) 
	END AS Discount,
	( discount - gtdiscount ) * s_awp AS Surplus,
	ISNULL ( AVG ( submittedawp * submitted_quantity_dispensed ), 0 ) AS Avg_AWP,
	ISNULL ( AVG ( dispensing_fee ), 0 ) AS avg_DF,
	ISNULL ( AVG ( submittedingredientcost ), 0 ) AS avg_IC 
FROM
	claims 
WHERE contract_id = '89934' and is_reversal = 'f' and datedispensed between '2018-01-01' and '2018-12-31' group by claim_tags;select 'mobrGTdmr'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'%dmr%'  UNION select 'mobrGTcm'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'%cm%'  and not ( claim_tags like '%dmr%' )UNION select 'mobrGT340b'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'%340b%'  and not ( claim_tags like '%cm%'  or claim_tags like '%dmr%' ) UNION select 'mobrGTihs'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'%ihs%'  and not ( claim_tags like '%340b%'  or claim_tags like '%cm%'  or claim_tags like '%dmr%' )UNION select 'mobrGTotherpayor'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'%otherpayor%'  and not ( claim_tags like '%ihs%'  or claim_tags like '%340b%'  or claim_tags like '%cm%'  or claim_tags like '%dmr%' ) UNION select 'mobrGTstate'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'%state%'  and not ( claim_tags like '%otherpayor%'  or claim_tags like '%ihs%'  or claim_tags like '%340b%'  or claim_tags like '%cm%'  or claim_tags like '%dmr%' ) UNION select 'mobrGTvacc'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'%vacc%'  and not ( claim_tags like '%state%'  or claim_tags like '%otherpayor%'  or claim_tags like '%ihs%'  or claim_tags like '%340b%'  or claim_tags like '%cm%'  or claim_tags like '%dmr%' )union select 'mognGTdmr'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'%dmr%'  UNION select 'mognGTcm'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'%cm%'  and not ( claim_tags like '%dmr%' )UNION select 'mognGT340b'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'%340b%'  and not ( claim_tags like '%cm%'  or claim_tags like '%dmr%' ) UNION select 'mognGTihs'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'%ihs%'  and not ( claim_tags like '%340b%'  or claim_tags like '%cm%'  or claim_tags like '%dmr%' )UNION select 'mognGTotherpayor'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'%otherpayor%'  and not ( claim_tags like '%ihs%'  or claim_tags like '%340b%'  or claim_tags like '%cm%'  or claim_tags like '%dmr%' ) UNION select 'mognGTstate'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'%state%'  and not ( claim_tags like '%otherpayor%'  or claim_tags like '%ihs%'  or claim_tags like '%340b%'  or claim_tags like '%cm%'  or claim_tags like '%dmr%' ) UNION select 'mognGTvacc'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'%vacc%'  and not ( claim_tags like '%state%'  or claim_tags like '%otherpayor%'  or claim_tags like '%ihs%'  or claim_tags like '%340b%'  or claim_tags like '%cm%'  or claim_tags like '%dmr%' )union select 'rtbrGTdmr'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'%dmr%'  UNION select 'rtbrGTcm'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'%cm%'  and not ( claim_tags like '%dmr%' )UNION select 'rtbrGT340b'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'%340b%'  and not ( claim_tags like '%cm%'  or claim_tags like '%dmr%' ) UNION select 'rtbrGTihs'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'%ihs%'  and not ( claim_tags like '%340b%'  or claim_tags like '%cm%'  or claim_tags like '%dmr%' )UNION select 'rtbrGTotherpayor'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'%otherpayor%'  and not ( claim_tags like '%ihs%'  or claim_tags like '%340b%'  or claim_tags like '%cm%'  or claim_tags like '%dmr%' ) UNION select 'rtbrGTstate'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'%state%'  and not ( claim_tags like '%otherpayor%'  or claim_tags like '%ihs%'  or claim_tags like '%340b%'  or claim_tags like '%cm%'  or claim_tags like '%dmr%' ) UNION select 'rtbrGTvacc'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'%vacc%'  and not ( claim_tags like '%state%'  or claim_tags like '%otherpayor%'  or claim_tags like '%ihs%'  or claim_tags like '%340b%'  or claim_tags like '%cm%'  or claim_tags like '%dmr%' )</v>
      </c>
      <c r="L7" s="17"/>
      <c r="M7" s="17"/>
      <c r="N7" s="17"/>
      <c r="O7" s="17"/>
      <c r="P7" s="18"/>
    </row>
    <row r="8" spans="1:19" ht="15" customHeight="1" x14ac:dyDescent="0.25">
      <c r="A8" s="16" t="str">
        <f>IF(COUNTBLANK(Sheet1!C8),""," select '"&amp;Sheet1!C8&amp;"' as exclusion, ")</f>
        <v xml:space="preserve"> select 'vacc' as exclusion, </v>
      </c>
      <c r="B8" s="19" t="str">
        <f>IF(COUNTBLANK(Sheet1!C8),"","COUNT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>COUNT ( claim_tags ) AS COUNT,
	ISNULL ( SUM ( submittedingredientcost), 0 ) AS S_IC,
	ISNULL ( SUM ( submittedawp*submitted_quantity_dispensed  ), 0 ) AS S_AWP,
	ISNULL ( SUM ( dispensing_fee ), 0 ) AS S_DF,case when s_awp= 0 then null else (1-s_ic/s_awp) end as Discount,.76 as GTDisc,
(discount-gtdisc)*s_awp as Surplus,
	ISNULL ( AVG ( submittedingredientcost), 0 ) AS avg_IC,
	ISNULL ( AVG ( submittedawp*submitted_quantity_dispensed  ), 0 ) AS Avg_AWP,
	ISNULL ( AVG ( dispensing_fee ), 0 ) AS avg_DF 
FROM
	GTcontract 
WHERE
	claim_tags LIKE</v>
      </c>
      <c r="C8" s="17" t="str">
        <f>IF(COUNTBLANK(Sheet1!C8)&gt;0,"","'%"&amp;Sheet1!C8&amp;"%' ")</f>
        <v xml:space="preserve">'%vacc%' </v>
      </c>
      <c r="D8" s="18" t="str">
        <f>IF(COUNTBLANK(C8)&gt;0,""," and not ( claim_tags like "&amp;C7&amp;" or claim_tags like "&amp;C6&amp;" or claim_tags like "&amp;C5&amp;" or claim_tags like "&amp;C4&amp;" or claim_tags like "&amp;C3&amp;" or claim_tags like "&amp;C2&amp;")"&amp;IF(COUNTBLANK(D9)&gt;0,""," UNION "))</f>
        <v xml:space="preserve"> and not ( claim_tags like '%state%'  or claim_tags like '%otherpayor%'  or claim_tags like '%ihs%'  or claim_tags like '%340b%'  or claim_tags like '%cm%'  or claim_tags like '%dmr%' )</v>
      </c>
      <c r="E8" t="s">
        <v>21</v>
      </c>
      <c r="F8" s="16" t="str">
        <f>IF(COUNTBLANK(Sheet1!A11)&gt;0,"",Sheet1!A11&amp;"disc ")</f>
        <v/>
      </c>
      <c r="G8" s="29" t="str">
        <f>IF(COUNTBLANK(Sheet1!B11)&gt;0,"",Sheet1!B11)</f>
        <v/>
      </c>
      <c r="H8" s="16" t="str">
        <f>E36</f>
        <v>mognGT</v>
      </c>
      <c r="I8" s="17" t="str">
        <f>E53</f>
        <v>union select 'mognGTdmr'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'%dmr%'  UNION select 'mognGTcm'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'%cm%'  and not ( claim_tags like '%dmr%' )UNION select 'mognGT340b'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'%340b%'  and not ( claim_tags like '%cm%'  or claim_tags like '%dmr%' ) UNION select 'mognGTihs'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'%ihs%'  and not ( claim_tags like '%340b%'  or claim_tags like '%cm%'  or claim_tags like '%dmr%' )UNION select 'mognGTotherpayor'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'%otherpayor%'  and not ( claim_tags like '%ihs%'  or claim_tags like '%340b%'  or claim_tags like '%cm%'  or claim_tags like '%dmr%' ) UNION select 'mognGTstate'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'%state%'  and not ( claim_tags like '%otherpayor%'  or claim_tags like '%ihs%'  or claim_tags like '%340b%'  or claim_tags like '%cm%'  or claim_tags like '%dmr%' ) UNION select 'mognGTvacc'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'%vacc%'  and not ( claim_tags like '%state%'  or claim_tags like '%otherpayor%'  or claim_tags like '%ihs%'  or claim_tags like '%340b%'  or claim_tags like '%cm%'  or claim_tags like '%dmr%' )</v>
      </c>
      <c r="J8" s="17" t="s">
        <v>21</v>
      </c>
      <c r="K8" s="17" t="str">
        <f>CONCATENATE(I10,I11,I12,I13)</f>
        <v>union select 'rtgnGTdmr'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'%dmr%'  UNION select 'rtgnGTcm'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'%cm%'  and not ( claim_tags like '%dmr%' )UNION select 'rtgnGT340b'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'%340b%'  and not ( claim_tags like '%cm%'  or claim_tags like '%dmr%' ) UNION select 'rtgnGTihs'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'%ihs%'  and not ( claim_tags like '%340b%'  or claim_tags like '%cm%'  or claim_tags like '%dmr%' )UNION select 'rtgnGTotherpayor'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'%otherpayor%'  and not ( claim_tags like '%ihs%'  or claim_tags like '%340b%'  or claim_tags like '%cm%'  or claim_tags like '%dmr%' ) UNION select 'rtgnGTstate'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'%state%'  and not ( claim_tags like '%otherpayor%'  or claim_tags like '%ihs%'  or claim_tags like '%340b%'  or claim_tags like '%cm%'  or claim_tags like '%dmr%' ) UNION select 'rtgnGTvacc'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'%vacc%'  and not ( claim_tags like '%state%'  or claim_tags like '%otherpayor%'  or claim_tags like '%ihs%'  or claim_tags like '%340b%'  or claim_tags like '%cm%'  or claim_tags like '%dmr%' )</v>
      </c>
      <c r="L8" s="17"/>
      <c r="M8" s="17"/>
      <c r="N8" s="17"/>
      <c r="O8" s="17"/>
      <c r="P8" s="18"/>
    </row>
    <row r="9" spans="1:19" ht="15" customHeight="1" x14ac:dyDescent="0.25">
      <c r="A9" s="16" t="str">
        <f>IF(COUNTBLANK(Sheet1!C9),""," select '"&amp;Sheet1!C9&amp;"' as exclusion, ")</f>
        <v/>
      </c>
      <c r="B9" s="19" t="str">
        <f>IF(COUNTBLANK(Sheet1!C9),"","COUNT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/>
      </c>
      <c r="C9" s="17" t="str">
        <f>IF(COUNTBLANK(Sheet1!C9)&gt;0,"","'%"&amp;Sheet1!C9&amp;"%' ")</f>
        <v/>
      </c>
      <c r="D9" s="18" t="str">
        <f>IF(COUNTBLANK(C9)&gt;0,""," and not ( claim_tags like "&amp;C8&amp;" or claim_tags like "&amp;C7&amp;" or claim_tags like "&amp;C6&amp;" or claim_tags like "&amp;C5&amp;" or claim_tags like "&amp;C4&amp;" or claim_tags like "&amp;C3&amp;" or claim_tags like "&amp;C2&amp;")"&amp;IF(COUNTBLANK(D10)&gt;0,""," UNION "))</f>
        <v/>
      </c>
      <c r="E9" t="s">
        <v>21</v>
      </c>
      <c r="F9" s="20" t="str">
        <f>IF(COUNTBLANK(Sheet1!A12)&gt;0,"",Sheet1!A12&amp;"disc ")</f>
        <v/>
      </c>
      <c r="G9" s="30" t="str">
        <f>IF(COUNTBLANK(Sheet1!B12)&gt;0,"",Sheet1!B12)</f>
        <v/>
      </c>
      <c r="H9" s="16" t="str">
        <f>F36</f>
        <v>rtbrGT</v>
      </c>
      <c r="I9" s="17" t="str">
        <f>F53</f>
        <v>union select 'rtbrGTdmr'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'%dmr%'  UNION select 'rtbrGTcm'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'%cm%'  and not ( claim_tags like '%dmr%' )UNION select 'rtbrGT340b'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'%340b%'  and not ( claim_tags like '%cm%'  or claim_tags like '%dmr%' ) UNION select 'rtbrGTihs'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'%ihs%'  and not ( claim_tags like '%340b%'  or claim_tags like '%cm%'  or claim_tags like '%dmr%' )UNION select 'rtbrGTotherpayor'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'%otherpayor%'  and not ( claim_tags like '%ihs%'  or claim_tags like '%340b%'  or claim_tags like '%cm%'  or claim_tags like '%dmr%' ) UNION select 'rtbrGTstate'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'%state%'  and not ( claim_tags like '%otherpayor%'  or claim_tags like '%ihs%'  or claim_tags like '%340b%'  or claim_tags like '%cm%'  or claim_tags like '%dmr%' ) UNION select 'rtbrGTvacc'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'%vacc%'  and not ( claim_tags like '%state%'  or claim_tags like '%otherpayor%'  or claim_tags like '%ihs%'  or claim_tags like '%340b%'  or claim_tags like '%cm%'  or claim_tags like '%dmr%' )</v>
      </c>
      <c r="J9" s="33" t="s">
        <v>21</v>
      </c>
      <c r="K9" s="17"/>
      <c r="L9" s="17"/>
      <c r="M9" s="17"/>
      <c r="N9" s="17"/>
      <c r="O9" s="17"/>
      <c r="P9" s="18"/>
    </row>
    <row r="10" spans="1:19" ht="15" customHeight="1" x14ac:dyDescent="0.25">
      <c r="A10" s="16" t="str">
        <f>IF(COUNTBLANK(Sheet1!C10),""," select '"&amp;Sheet1!C10&amp;"' as exclusion, ")</f>
        <v/>
      </c>
      <c r="B10" s="19" t="str">
        <f>IF(COUNTBLANK(Sheet1!C10),"","COUNT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/>
      </c>
      <c r="C10" s="17" t="str">
        <f>IF(COUNTBLANK(Sheet1!C10)&gt;0,"","'%"&amp;Sheet1!C10&amp;"%' ")</f>
        <v/>
      </c>
      <c r="D10" s="18" t="str">
        <f>IF(COUNTBLANK(C10)&gt;0,""," and not ( claim_tags like "&amp;C9&amp;" or claim_tags like "&amp;C8&amp;" or claim_tags like "&amp;C7&amp;" or claim_tags like "&amp;C6&amp;" or claim_tags like "&amp;C5&amp;" or claim_tags like "&amp;C4&amp;" or claim_tags like "&amp;C3&amp;" or claim_tags like "&amp;C2&amp;")"&amp;IF(COUNTBLANK(D11)&gt;0,""," UNION "))</f>
        <v/>
      </c>
      <c r="E10" t="s">
        <v>21</v>
      </c>
      <c r="F10" s="27" t="str">
        <f>IF(COUNTBLANK(I1)&gt;0,""," WHEN claim_tags like "&amp;I1&amp;" then "&amp;G2)</f>
        <v xml:space="preserve"> WHEN claim_tags like '%,mobr,%'  then 0.255</v>
      </c>
      <c r="G10" t="s">
        <v>21</v>
      </c>
      <c r="H10" s="16" t="str">
        <f>G36</f>
        <v>rtgnGT</v>
      </c>
      <c r="I10" s="17" t="str">
        <f>G53</f>
        <v>union select 'rtgnGTdmr'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'%dmr%'  UNION select 'rtgnGTcm'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'%cm%'  and not ( claim_tags like '%dmr%' )UNION select 'rtgnGT340b'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'%340b%'  and not ( claim_tags like '%cm%'  or claim_tags like '%dmr%' ) UNION select 'rtgnGTihs'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'%ihs%'  and not ( claim_tags like '%340b%'  or claim_tags like '%cm%'  or claim_tags like '%dmr%' )UNION select 'rtgnGTotherpayor'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'%otherpayor%'  and not ( claim_tags like '%ihs%'  or claim_tags like '%340b%'  or claim_tags like '%cm%'  or claim_tags like '%dmr%' ) UNION select 'rtgnGTstate'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'%state%'  and not ( claim_tags like '%otherpayor%'  or claim_tags like '%ihs%'  or claim_tags like '%340b%'  or claim_tags like '%cm%'  or claim_tags like '%dmr%' ) UNION select 'rtgnGTvacc'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'%vacc%'  and not ( claim_tags like '%state%'  or claim_tags like '%otherpayor%'  or claim_tags like '%ihs%'  or claim_tags like '%340b%'  or claim_tags like '%cm%'  or claim_tags like '%dmr%' )</v>
      </c>
      <c r="J10" s="33" t="s">
        <v>21</v>
      </c>
      <c r="K10" s="17"/>
      <c r="L10" s="17"/>
      <c r="M10" s="17"/>
      <c r="N10" s="17"/>
      <c r="O10" s="17"/>
      <c r="P10" s="18"/>
    </row>
    <row r="11" spans="1:19" ht="15" customHeight="1" x14ac:dyDescent="0.25">
      <c r="A11" s="16" t="str">
        <f>IF(COUNTBLANK(Sheet1!C11),""," select '"&amp;Sheet1!C11&amp;"' as exclusion, ")</f>
        <v/>
      </c>
      <c r="B11" s="19" t="str">
        <f>IF(COUNTBLANK(Sheet1!C11),"","COUNT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/>
      </c>
      <c r="C11" s="17" t="str">
        <f>IF(COUNTBLANK(Sheet1!C11)&gt;0,"","'%"&amp;Sheet1!C11&amp;"%' ")</f>
        <v/>
      </c>
      <c r="D11" s="18" t="str">
        <f>IF(COUNTBLANK(C11)&gt;0,""," and not ( claim_tags like "&amp;C10&amp;" or claim_tags like "&amp;C9&amp;" or claim_tags like "&amp;C8&amp;" or claim_tags like "&amp;C7&amp;" or claim_tags like "&amp;C6&amp;" or claim_tags like "&amp;C5&amp;" or claim_tags like "&amp;C4&amp;" or claim_tags like "&amp;C3&amp;" or claim_tags like "&amp;C2&amp;")"&amp;IF(COUNTBLANK(D12)&gt;0,""," UNION "))</f>
        <v/>
      </c>
      <c r="E11" t="s">
        <v>21</v>
      </c>
      <c r="F11" s="28" t="str">
        <f>IF(COUNTBLANK(J1)&gt;0,""," WHEN claim_tags like "&amp;J1&amp;" then "&amp;G3)</f>
        <v xml:space="preserve"> WHEN claim_tags like '%,mogn,%'  then 0.8425</v>
      </c>
      <c r="G11" t="s">
        <v>21</v>
      </c>
      <c r="H11" s="16" t="str">
        <f>H36</f>
        <v/>
      </c>
      <c r="I11" s="17" t="str">
        <f>H53</f>
        <v/>
      </c>
      <c r="J11" s="33" t="s">
        <v>21</v>
      </c>
      <c r="K11" s="17"/>
      <c r="L11" s="17"/>
      <c r="M11" s="17"/>
      <c r="N11" s="17"/>
      <c r="O11" s="17"/>
      <c r="P11" s="18"/>
      <c r="S11" t="s">
        <v>29</v>
      </c>
    </row>
    <row r="12" spans="1:19" ht="15" customHeight="1" x14ac:dyDescent="0.25">
      <c r="A12" s="16" t="str">
        <f>IF(COUNTBLANK(Sheet1!C12),""," select '"&amp;Sheet1!C12&amp;"' as exclusion, ")</f>
        <v/>
      </c>
      <c r="B12" s="19" t="str">
        <f>IF(COUNTBLANK(Sheet1!C12),"","COUNT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/>
      </c>
      <c r="C12" s="17" t="str">
        <f>IF(COUNTBLANK(Sheet1!C12)&gt;0,"","'%"&amp;Sheet1!C12&amp;"%' ")</f>
        <v/>
      </c>
      <c r="D12" s="18" t="str">
        <f>IF(COUNTBLANK(C12)&gt;0,""," and not ( claim_tags like "&amp;C11&amp;" or claim_tags like "&amp;C10&amp;" or claim_tags like "&amp;C9&amp;" or claim_tags like "&amp;C8&amp;" or claim_tags like "&amp;C7&amp;" or claim_tags like "&amp;C6&amp;" or claim_tags like "&amp;C5&amp;" or claim_tags like "&amp;C4&amp;" or claim_tags like "&amp;C3&amp;" or claim_tags like "&amp;C2&amp;IF(COUNTBLANK(D13)&gt;0,"",")"&amp;") UNION "))</f>
        <v/>
      </c>
      <c r="E12" t="s">
        <v>21</v>
      </c>
      <c r="F12" s="28" t="str">
        <f>IF(COUNTBLANK(K1)&gt;0,""," WHEN claim_tags like "&amp;K1&amp;" then "&amp;G4)</f>
        <v xml:space="preserve"> WHEN claim_tags like '%,rtbr,%'  then 0.1725</v>
      </c>
      <c r="G12" t="s">
        <v>21</v>
      </c>
      <c r="H12" s="16" t="str">
        <f>I36</f>
        <v/>
      </c>
      <c r="I12" s="17" t="str">
        <f>I53</f>
        <v/>
      </c>
      <c r="J12" s="33" t="s">
        <v>21</v>
      </c>
      <c r="K12" s="17"/>
      <c r="L12" s="17"/>
      <c r="M12" s="17"/>
      <c r="N12" s="17"/>
      <c r="O12" s="17"/>
      <c r="P12" s="18"/>
    </row>
    <row r="13" spans="1:19" ht="14.25" customHeight="1" x14ac:dyDescent="0.25">
      <c r="A13" s="16" t="str">
        <f>IF(COUNTBLANK(Sheet1!C13),""," select '"&amp;Sheet1!C13&amp;"' as exclusion, ")</f>
        <v/>
      </c>
      <c r="B13" s="19" t="str">
        <f>IF(COUNTBLANK(Sheet1!C13),"","COUNT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/>
      </c>
      <c r="C13" s="17" t="str">
        <f>IF(COUNTBLANK(Sheet1!C13)&gt;0,"","'%"&amp;Sheet1!C13&amp;"%' ")</f>
        <v/>
      </c>
      <c r="D13" s="18" t="str">
        <f>IF(COUNTBLANK(C13)&gt;0,""," and not ( claim_tags like "&amp;C12&amp;" or claim_tags like "&amp;C11&amp;" or claim_tags like "&amp;C10&amp;" or claim_tags like "&amp;C9&amp;" or claim_tags like "&amp;C8&amp;" or claim_tags like "&amp;C7&amp;" or claim_tags like "&amp;C6&amp;" or claim_tags like "&amp;C5&amp;" or claim_tags like "&amp;C4&amp;" or claim_tags like "&amp;C3&amp;" or claim_tags like "&amp;C2&amp;IF(COUNTBLANK(D14)&gt;0,"",")"&amp;") UNION "))</f>
        <v/>
      </c>
      <c r="E13" t="s">
        <v>21</v>
      </c>
      <c r="F13" s="28" t="str">
        <f>IF(COUNTBLANK(L1)&gt;0,""," WHEN claim_tags like "&amp;L1&amp;" then "&amp;G5)</f>
        <v xml:space="preserve"> WHEN claim_tags like '%,rtgn,%'  then 0.81</v>
      </c>
      <c r="G13" t="s">
        <v>21</v>
      </c>
      <c r="H13" s="16" t="str">
        <f>J36</f>
        <v/>
      </c>
      <c r="I13" s="17" t="str">
        <f>J53</f>
        <v/>
      </c>
      <c r="J13" s="33" t="s">
        <v>21</v>
      </c>
      <c r="K13" s="17"/>
      <c r="L13" s="17"/>
      <c r="M13" s="17"/>
      <c r="N13" s="17"/>
      <c r="O13" s="17"/>
      <c r="P13" s="18"/>
    </row>
    <row r="14" spans="1:19" ht="15" customHeight="1" x14ac:dyDescent="0.25">
      <c r="A14" s="16" t="str">
        <f>IF(COUNTBLANK(Sheet1!C14),""," select '"&amp;Sheet1!C14&amp;"' as exclusion, ")</f>
        <v/>
      </c>
      <c r="B14" s="19" t="str">
        <f>IF(COUNTBLANK(Sheet1!C14),"","COUNT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/>
      </c>
      <c r="C14" s="17" t="str">
        <f>IF(COUNTBLANK(Sheet1!C14)&gt;0,"","'%"&amp;Sheet1!C14&amp;"%' ")</f>
        <v/>
      </c>
      <c r="D14" s="18" t="str">
        <f>IF(COUNTBLANK(C14)&gt;0,""," and not ( claim_tags like "&amp;C13&amp;" or claim_tags like "&amp;C12&amp;" or claim_tags like "&amp;C11&amp;" or claim_tags like "&amp;C10&amp;" or claim_tags like "&amp;C9&amp;" or claim_tags like "&amp;C8&amp;" or claim_tags like "&amp;C7&amp;" or claim_tags like "&amp;C6&amp;" or claim_tags like "&amp;C5&amp;" or claim_tags like "&amp;C4&amp;" or claim_tags like "&amp;C3&amp;" or claim_tags like "&amp;C2&amp;")"&amp;IF(COUNTBLANK(D15)&gt;0,""," UNION "))</f>
        <v/>
      </c>
      <c r="E14" t="s">
        <v>21</v>
      </c>
      <c r="F14" s="28" t="str">
        <f>IF(COUNTBLANK(M1)&gt;0,""," WHEN claim_tags like "&amp;M1&amp;" then "&amp;G6)</f>
        <v/>
      </c>
      <c r="G14" s="16" t="s">
        <v>21</v>
      </c>
      <c r="H14" s="16" t="str">
        <f>K36</f>
        <v/>
      </c>
      <c r="I14" s="17" t="str">
        <f>K53</f>
        <v/>
      </c>
      <c r="J14" s="33" t="s">
        <v>21</v>
      </c>
      <c r="K14" s="17"/>
      <c r="L14" s="17"/>
      <c r="M14" s="17"/>
      <c r="N14" s="17"/>
      <c r="O14" s="17"/>
      <c r="P14" s="18"/>
    </row>
    <row r="15" spans="1:19" ht="15" customHeight="1" x14ac:dyDescent="0.25">
      <c r="A15" s="16" t="str">
        <f>IF(COUNTBLANK(Sheet1!C15),""," select '"&amp;Sheet1!C15&amp;"' as exclusion, ")</f>
        <v/>
      </c>
      <c r="B15" s="19" t="str">
        <f>IF(COUNTBLANK(Sheet1!C15),"","COUNT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/>
      </c>
      <c r="C15" s="17" t="str">
        <f>IF(COUNTBLANK(Sheet1!C15)&gt;0,"","'%"&amp;Sheet1!C15&amp;"%' ")</f>
        <v/>
      </c>
      <c r="D15" s="18" t="str">
        <f>IF(COUNTBLANK(C15)&gt;0,""," and not ( claim_tags like "&amp;C14&amp;" or claim_tags like "&amp;C13&amp;" or claim_tags like "&amp;C12&amp;" or claim_tags like "&amp;C11&amp;" or claim_tags like "&amp;C10&amp;" or claim_tags like "&amp;C9&amp;" or claim_tags like "&amp;C8&amp;" or claim_tags like "&amp;C7&amp;" or claim_tags like "&amp;C6&amp;" or claim_tags like "&amp;C5&amp;" or claim_tags like "&amp;C4&amp;" or claim_tags like "&amp;C3&amp;" or claim_tags like "&amp;C2&amp;")"&amp;IF(COUNTBLANK(D16)&gt;0,""," UNION "))</f>
        <v/>
      </c>
      <c r="E15" t="s">
        <v>21</v>
      </c>
      <c r="F15" s="28" t="str">
        <f>IF(COUNTBLANK(N1)&gt;0,""," WHEN claim_tags like "&amp;N1&amp;" then "&amp;G7)</f>
        <v/>
      </c>
      <c r="G15" t="s">
        <v>21</v>
      </c>
      <c r="H15" s="16"/>
      <c r="I15" s="17"/>
      <c r="J15" s="33"/>
      <c r="K15" s="17"/>
      <c r="L15" s="17"/>
      <c r="M15" s="17"/>
      <c r="N15" s="17"/>
      <c r="O15" s="17"/>
      <c r="P15" s="18"/>
    </row>
    <row r="16" spans="1:19" ht="15" customHeight="1" x14ac:dyDescent="0.25">
      <c r="A16" s="20" t="str">
        <f>IF(COUNTBLANK(Sheet1!C16),""," select '"&amp;Sheet1!C16&amp;"' as exclusion, ")</f>
        <v/>
      </c>
      <c r="B16" s="24" t="str">
        <f>IF(COUNTBLANK(Sheet1!C16),"","COUNT ( claim_tags ) AS COUNT,
	ISNULL ( SUM ( submittedingredientcost), 0 ) AS S_IC,
	ISNULL ( SUM ( submittedawp*submitted_quantity_dispensed  ), 0 ) AS S_AWP,
	ISNULL ( SUM ( dispensing_fee ), 0 ) AS S_DF,"&amp;"case when s_awp= 0 then null else (1-s_ic/s_awp) end as Discount,.76 as GTDisc,
(discount-gtdisc)*s_awp as Surplus,
	ISNULL ( AVG ( submittedingredientcost), 0 ) AS avg_IC,
	ISNULL "&amp;"( AVG ( submittedawp*submitted_quantity_dispensed  ), 0 ) AS Avg_AWP,
	ISNULL ( AVG ( dispensing_fee ), 0 ) AS avg_DF 
FROM
	GTcontract 
WHERE
	claim_tags LIKE")</f>
        <v/>
      </c>
      <c r="C16" s="21" t="str">
        <f>IF(COUNTBLANK(Sheet1!C16)&gt;0,"","'%"&amp;Sheet1!C16&amp;"%' ")</f>
        <v/>
      </c>
      <c r="D16" s="22" t="str">
        <f>IF(COUNTBLANK(C16)&gt;0,""," and not ( claim_tags like "&amp;C15&amp;" or claim_tags like "&amp;C14&amp;" or claim_tags like "&amp;C13&amp;" or claim_tags like "&amp;C12&amp;" or claim_tags like "&amp;C11&amp;" or claim_tags like "&amp;C10&amp;" or claim_tags like "&amp;C9&amp;" or claim_tags like "&amp;C8&amp;" or claim_tags like "&amp;C7&amp;" or claim_tags like "&amp;C6&amp;" or claim_tags like "&amp;C5&amp;" or claim_tags like "&amp;C4&amp;" or claim_tags like "&amp;C3&amp;" or claim_tags like "&amp;C2&amp;") ")</f>
        <v/>
      </c>
      <c r="E16" s="18"/>
      <c r="F16" s="28" t="str">
        <f>IF(COUNTBLANK(O1)&gt;0,""," WHEN claim_tags like "&amp;O1&amp;" then "&amp;G8)</f>
        <v/>
      </c>
      <c r="G16" t="s">
        <v>21</v>
      </c>
      <c r="H16" s="16"/>
      <c r="I16" s="17"/>
      <c r="J16" s="17"/>
      <c r="K16" s="17"/>
      <c r="L16" s="17"/>
      <c r="M16" s="17"/>
      <c r="N16" s="17"/>
      <c r="O16" s="17"/>
      <c r="P16" s="18"/>
    </row>
    <row r="17" spans="1:16" x14ac:dyDescent="0.25">
      <c r="A17" t="s">
        <v>17</v>
      </c>
      <c r="C17" t="s">
        <v>15</v>
      </c>
      <c r="D17" t="s">
        <v>16</v>
      </c>
      <c r="E17" s="22"/>
      <c r="F17" s="28" t="str">
        <f>IF(COUNTBLANK(P1)&gt;0,""," WHEN claim_tags like "&amp;P1&amp;" then "&amp;G9)</f>
        <v/>
      </c>
      <c r="G17" t="s">
        <v>21</v>
      </c>
      <c r="H17" s="16"/>
      <c r="I17" s="17"/>
      <c r="J17" s="17"/>
      <c r="K17" s="17"/>
      <c r="L17" s="17"/>
      <c r="M17" s="17"/>
      <c r="N17" s="17"/>
      <c r="O17" s="17"/>
      <c r="P17" s="18"/>
    </row>
    <row r="18" spans="1:16" x14ac:dyDescent="0.25">
      <c r="A18" s="26" t="s">
        <v>24</v>
      </c>
      <c r="B18" s="14"/>
      <c r="C18" s="14"/>
      <c r="D18" s="14"/>
      <c r="E18" s="14"/>
      <c r="F18" s="18" t="s">
        <v>25</v>
      </c>
      <c r="H18" s="16"/>
      <c r="I18" s="17"/>
      <c r="J18" s="17"/>
      <c r="K18" s="17"/>
      <c r="L18" s="17"/>
      <c r="M18" s="17"/>
      <c r="N18" s="17"/>
      <c r="O18" s="17"/>
      <c r="P18" s="18"/>
    </row>
    <row r="19" spans="1:16" x14ac:dyDescent="0.25">
      <c r="A19" s="20" t="str">
        <f>"create temp table gtcontract as select claim_tags, COUNT ( claim_tags ) AS amt,
ISNULL ( SUM ( submittedawp * submitted_quantity_dispensed ), 0 ) AS S_AWP,"&amp;"
ISNULL ( SUM ( submittedingredientcost ), 0 ) AS S_IC,
ISNULL ( SUM ( dispensing_fee ), 0 ) AS S_DF,
CASE"</f>
        <v>create temp table gtcontract as select claim_tags, COUNT ( claim_tags ) AS amt,
ISNULL ( SUM ( submittedawp * submitted_quantity_dispensed ), 0 ) AS S_AWP,
ISNULL ( SUM ( submittedingredientcost ), 0 ) AS S_IC,
ISNULL ( SUM ( dispensing_fee ), 0 ) AS S_DF,
CASE</v>
      </c>
      <c r="B19" s="21">
        <v>1</v>
      </c>
      <c r="C19" s="21"/>
      <c r="D19" s="21"/>
      <c r="E19" s="21">
        <v>3</v>
      </c>
      <c r="F19" s="22" t="str">
        <f>" else 0 end as gtdiscount,CASE
		WHEN s_awp = 0 THEN
		NULL ELSE ( 1-s_ic / s_awp ) 
	END AS Discount,
	( discount - gtdiscount ) * s_awp AS Surplus,"&amp;"
	ISNULL ( AVG ( submittedawp * submitted_quantity_dispensed ), 0 ) AS Avg_AWP,
	ISNULL ( AVG ( dispensing_fee ), 0 ) AS avg_DF,
	ISNULL ( AVG ( submittedingredientcost ), 0 ) AS avg_IC 
FROM
	claims 
WHERE"&amp;" contract_id = '"&amp;Sheet1!A2&amp;"' and is_reversal = 'f' and datedispensed between '"&amp;Sheet1!B2&amp;"' and '"&amp;Sheet1!B4&amp;"' group by claim_tags;"</f>
        <v xml:space="preserve"> else 0 end as gtdiscount,CASE
		WHEN s_awp = 0 THEN
		NULL ELSE ( 1-s_ic / s_awp ) 
	END AS Discount,
	( discount - gtdiscount ) * s_awp AS Surplus,
	ISNULL ( AVG ( submittedawp * submitted_quantity_dispensed ), 0 ) AS Avg_AWP,
	ISNULL ( AVG ( dispensing_fee ), 0 ) AS avg_DF,
	ISNULL ( AVG ( submittedingredientcost ), 0 ) AS avg_IC 
FROM
	claims 
WHERE contract_id = '89934' and is_reversal = 'f' and datedispensed between '2018-01-01' and '2018-12-31' group by claim_tags;</v>
      </c>
      <c r="G19" t="s">
        <v>21</v>
      </c>
      <c r="H19" s="20"/>
      <c r="I19" s="21"/>
      <c r="J19" s="21"/>
      <c r="K19" s="21"/>
      <c r="L19" s="21"/>
      <c r="M19" s="21"/>
      <c r="N19" s="21"/>
      <c r="O19" s="21"/>
      <c r="P19" s="22"/>
    </row>
    <row r="20" spans="1:16" x14ac:dyDescent="0.25">
      <c r="A20" t="str">
        <f>IF(COUNTBLANK(Sheet1!A7)&gt;0,"","AND claim_tags like '%"&amp;Sheet1!A7&amp;"%'")</f>
        <v>AND claim_tags like '%rtbr%'</v>
      </c>
    </row>
    <row r="22" spans="1:16" x14ac:dyDescent="0.25">
      <c r="A22" t="str">
        <f>" SELECT
	'All' AS Exclusion,
	COUNT ( claim_tags ) AS COUNT,
	ISNULL ( SUM ( submittedingredientcost ), 0 ) AS S_IC,
	ISNULL ( SUM ( submittedawp * submitted_quantity_dispensed ), 0 )"&amp;" AS S_AWP,
	ISNULL ( SUM ( dispensing_fee ), 0 ) AS S_DF,"&amp;"case when s_awp= 0 then null else (1-s_ic/s_awp) end as Discount,.76 as GTDisc,
(discount-gtdisc)*s_awp as Surplus,
	ISNULL ( AVG ( submittedingredientcost * submitted_quantity_dispensed ), 0 ) "&amp;"AS avg_IC,
	ISNULL ( AVG ( submittedawp ), 0 ) AS Avg_AWP,
	ISNULL ( AVG ( dispensing_fee ), 0 ) AS avg_DF 
FROM
	GTcontract 
WHERE
	claim_tags LIKE "&amp;C2</f>
        <v xml:space="preserve"> SELECT
	'All' AS Exclusion,
	COUNT ( claim_tags ) AS COUNT,
	ISNULL ( SUM ( submittedingredientcost ), 0 ) AS S_IC,
	ISNULL ( SUM ( submittedawp * submitted_quantity_dispensed ), 0 ) AS S_AWP,
	ISNULL ( SUM ( dispensing_fee ), 0 ) AS S_DF,case when s_awp= 0 then null else (1-s_ic/s_awp) end as Discount,.76 as GTDisc,
(discount-gtdisc)*s_awp as Surplus,
	ISNULL ( AVG ( submittedingredientcost * submitted_quantity_dispensed ), 0 ) AS avg_IC,
	ISNULL ( AVG ( submittedawp ), 0 ) AS Avg_AWP,
	ISNULL ( AVG ( dispensing_fee ), 0 ) AS avg_DF 
FROM
	GTcontract 
WHERE
	claim_tags LIKE '%dmr%' </v>
      </c>
    </row>
    <row r="23" spans="1:16" x14ac:dyDescent="0.25">
      <c r="B23" t="str">
        <f t="shared" ref="B23:B36" si="1">IF(COUNTBLANK(C3),"","or claim_tags like "&amp;C3)</f>
        <v xml:space="preserve">or claim_tags like '%cm%' </v>
      </c>
    </row>
    <row r="24" spans="1:16" x14ac:dyDescent="0.25">
      <c r="B24" t="str">
        <f t="shared" si="1"/>
        <v xml:space="preserve">or claim_tags like '%340b%' </v>
      </c>
    </row>
    <row r="25" spans="1:16" x14ac:dyDescent="0.25">
      <c r="B25" t="str">
        <f t="shared" si="1"/>
        <v xml:space="preserve">or claim_tags like '%ihs%' </v>
      </c>
    </row>
    <row r="26" spans="1:16" x14ac:dyDescent="0.25">
      <c r="B26" t="str">
        <f t="shared" si="1"/>
        <v xml:space="preserve">or claim_tags like '%otherpayor%' </v>
      </c>
    </row>
    <row r="27" spans="1:16" x14ac:dyDescent="0.25">
      <c r="B27" t="str">
        <f t="shared" si="1"/>
        <v xml:space="preserve">or claim_tags like '%state%' </v>
      </c>
      <c r="K27" s="2" t="s">
        <v>11</v>
      </c>
    </row>
    <row r="28" spans="1:16" x14ac:dyDescent="0.25">
      <c r="B28" t="str">
        <f t="shared" si="1"/>
        <v xml:space="preserve">or claim_tags like '%vacc%' </v>
      </c>
    </row>
    <row r="29" spans="1:16" x14ac:dyDescent="0.25">
      <c r="B29" t="str">
        <f t="shared" si="1"/>
        <v/>
      </c>
    </row>
    <row r="30" spans="1:16" x14ac:dyDescent="0.25">
      <c r="B30" t="str">
        <f t="shared" si="1"/>
        <v/>
      </c>
    </row>
    <row r="31" spans="1:16" x14ac:dyDescent="0.25">
      <c r="B31" t="str">
        <f t="shared" si="1"/>
        <v/>
      </c>
    </row>
    <row r="32" spans="1:16" x14ac:dyDescent="0.25">
      <c r="B32" t="str">
        <f t="shared" si="1"/>
        <v/>
      </c>
    </row>
    <row r="33" spans="1:11" x14ac:dyDescent="0.25">
      <c r="B33" t="str">
        <f t="shared" si="1"/>
        <v/>
      </c>
      <c r="E33" t="s">
        <v>30</v>
      </c>
    </row>
    <row r="34" spans="1:11" x14ac:dyDescent="0.25">
      <c r="B34" t="str">
        <f t="shared" si="1"/>
        <v/>
      </c>
      <c r="D34" t="str">
        <f>IF(COUNTBLANK(Sheet1!F34),"","select '"&amp;Sheet1!F34&amp;"' as exclusion, ")</f>
        <v/>
      </c>
    </row>
    <row r="35" spans="1:11" x14ac:dyDescent="0.25">
      <c r="B35" t="str">
        <f t="shared" si="1"/>
        <v/>
      </c>
      <c r="D35" t="str">
        <f>IF(COUNTBLANK(Sheet1!F35),""," select '"&amp;Sheet1!F35&amp;"' as exclusion, ")</f>
        <v/>
      </c>
      <c r="K35" s="21"/>
    </row>
    <row r="36" spans="1:11" x14ac:dyDescent="0.25">
      <c r="B36" t="str">
        <f t="shared" si="1"/>
        <v/>
      </c>
      <c r="C36" s="13" t="s">
        <v>18</v>
      </c>
      <c r="D36" s="14" t="str">
        <f>IF(COUNTBLANK(Sheet1!$A5)&gt;0,"",Sheet1!$A5&amp;"GT")</f>
        <v>mobrGT</v>
      </c>
      <c r="E36" s="14" t="str">
        <f>IF(COUNTBLANK(Sheet1!$A6)&gt;0,"",Sheet1!$A6&amp;"GT")</f>
        <v>mognGT</v>
      </c>
      <c r="F36" s="14" t="str">
        <f>IF(COUNTBLANK(Sheet1!$A7)&gt;0,"",Sheet1!$A7&amp;"GT")</f>
        <v>rtbrGT</v>
      </c>
      <c r="G36" s="14" t="str">
        <f>IF(COUNTBLANK(Sheet1!$A8)&gt;0,"",Sheet1!$A8&amp;"GT")</f>
        <v>rtgnGT</v>
      </c>
      <c r="H36" s="14" t="str">
        <f>IF(COUNTBLANK(Sheet1!$A9)&gt;0,"",Sheet1!$A9&amp;"GT")</f>
        <v/>
      </c>
      <c r="I36" s="14" t="str">
        <f>IF(COUNTBLANK(Sheet1!$A10)&gt;0,"",Sheet1!$A10&amp;"GT")</f>
        <v/>
      </c>
      <c r="J36" s="14" t="str">
        <f>IF(COUNTBLANK(Sheet1!$A11)&gt;0,"",Sheet1!$A11&amp;"GT")</f>
        <v/>
      </c>
      <c r="K36" s="15" t="str">
        <f>IF(COUNTBLANK(Sheet1!$A12)&gt;0,"",Sheet1!$A12&amp;"GT")</f>
        <v/>
      </c>
    </row>
    <row r="37" spans="1:11" x14ac:dyDescent="0.25">
      <c r="B37">
        <v>4</v>
      </c>
      <c r="C37" s="16" t="s">
        <v>19</v>
      </c>
      <c r="D37" s="17" t="str">
        <f>IF(COUNTBLANK(C37)&gt;0,"",IF(COUNTBLANK(D36),"","select '"&amp;D36&amp;"' as exclusion, "))</f>
        <v xml:space="preserve">select 'mobrGT' as exclusion, </v>
      </c>
      <c r="E37" s="17" t="str">
        <f t="shared" ref="E37:K37" si="2">IF(COUNTBLANK(E36),"","select '"&amp;E36&amp;"' as exclusion, ")</f>
        <v xml:space="preserve">select 'mognGT' as exclusion, </v>
      </c>
      <c r="F37" s="17" t="str">
        <f t="shared" si="2"/>
        <v xml:space="preserve">select 'rtbrGT' as exclusion, </v>
      </c>
      <c r="G37" s="17" t="str">
        <f t="shared" si="2"/>
        <v xml:space="preserve">select 'rtgnGT' as exclusion, </v>
      </c>
      <c r="H37" s="17" t="str">
        <f t="shared" si="2"/>
        <v/>
      </c>
      <c r="I37" s="17" t="str">
        <f t="shared" si="2"/>
        <v/>
      </c>
      <c r="J37" s="17" t="str">
        <f t="shared" si="2"/>
        <v/>
      </c>
      <c r="K37" s="18" t="str">
        <f t="shared" si="2"/>
        <v/>
      </c>
    </row>
    <row r="38" spans="1:11" x14ac:dyDescent="0.25">
      <c r="A38" t="str">
        <f>"order by exclusion"</f>
        <v>order by exclusion</v>
      </c>
      <c r="C38" s="16" t="str">
        <f>IF(COUNTBLANK(Sheet1!C2)&gt;0,"",Sheet1!C2)</f>
        <v>dmr</v>
      </c>
      <c r="D38" s="17" t="str">
        <f>IF(COUNTBLANK(C38)&gt;0,"",IF(COUNTBLANK(D$36),"","select '"&amp;D$36&amp;$C38&amp;"' as exclusion, "&amp;D$54&amp;$C2&amp;$D2))</f>
        <v xml:space="preserve">select 'mobrGTdmr'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'%dmr%'  UNION </v>
      </c>
      <c r="E38" s="17" t="str">
        <f>IF(COUNTBLANK(D38)&gt;0,"",IF(COUNTBLANK(E$36),"","union select '"&amp;E$36&amp;$C38&amp;"' as exclusion, "&amp;E$54&amp;$C2&amp;$D2))</f>
        <v xml:space="preserve">union select 'mognGTdmr'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'%dmr%'  UNION </v>
      </c>
      <c r="F38" s="17" t="str">
        <f t="shared" ref="F38:K38" si="3">IF(COUNTBLANK(E38)&gt;0,"",IF(COUNTBLANK(F$36),"","union select '"&amp;F$36&amp;$C38&amp;"' as exclusion, "&amp;F$54&amp;$C2&amp;$D2))</f>
        <v xml:space="preserve">union select 'rtbrGTdmr'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'%dmr%'  UNION </v>
      </c>
      <c r="G38" s="17" t="str">
        <f t="shared" si="3"/>
        <v xml:space="preserve">union select 'rtgnGTdmr'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'%dmr%'  UNION </v>
      </c>
      <c r="H38" s="17" t="str">
        <f t="shared" si="3"/>
        <v/>
      </c>
      <c r="I38" s="17" t="str">
        <f t="shared" si="3"/>
        <v/>
      </c>
      <c r="J38" s="17" t="str">
        <f t="shared" si="3"/>
        <v/>
      </c>
      <c r="K38" s="17" t="str">
        <f t="shared" si="3"/>
        <v/>
      </c>
    </row>
    <row r="39" spans="1:11" ht="13.5" customHeight="1" x14ac:dyDescent="0.25">
      <c r="A39" s="1"/>
      <c r="C39" s="16" t="str">
        <f>IF(COUNTBLANK(Sheet1!C3)&gt;0,"",Sheet1!C3)</f>
        <v>cm</v>
      </c>
      <c r="D39" s="17" t="str">
        <f t="shared" ref="D39:K52" si="4">IF(COUNTBLANK(C39)&gt;0,"",IF(COUNTBLANK(D$36),"","select '"&amp;D$36&amp;$C39&amp;"' as exclusion, "&amp;D$54&amp;$C3&amp;$D3))</f>
        <v xml:space="preserve">select 'mobrGTcm'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'%cm%'  and not ( claim_tags like '%dmr%' )UNION </v>
      </c>
      <c r="E39" s="17" t="str">
        <f t="shared" si="4"/>
        <v xml:space="preserve">select 'mognGTcm'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'%cm%'  and not ( claim_tags like '%dmr%' )UNION </v>
      </c>
      <c r="F39" s="17" t="str">
        <f t="shared" si="4"/>
        <v xml:space="preserve">select 'rtbrGTcm'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'%cm%'  and not ( claim_tags like '%dmr%' )UNION </v>
      </c>
      <c r="G39" s="17" t="str">
        <f t="shared" si="4"/>
        <v xml:space="preserve">select 'rtgnGTcm'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'%cm%'  and not ( claim_tags like '%dmr%' )UNION </v>
      </c>
      <c r="H39" s="17" t="str">
        <f t="shared" si="4"/>
        <v/>
      </c>
      <c r="I39" s="17" t="str">
        <f t="shared" si="4"/>
        <v/>
      </c>
      <c r="J39" s="17" t="str">
        <f t="shared" si="4"/>
        <v/>
      </c>
      <c r="K39" s="18" t="str">
        <f t="shared" si="4"/>
        <v/>
      </c>
    </row>
    <row r="40" spans="1:11" x14ac:dyDescent="0.25">
      <c r="C40" s="16" t="str">
        <f>IF(COUNTBLANK(Sheet1!C4)&gt;0,"",Sheet1!C4)</f>
        <v>340b</v>
      </c>
      <c r="D40" s="17" t="str">
        <f t="shared" si="4"/>
        <v xml:space="preserve">select 'mobrGT340b'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'%340b%'  and not ( claim_tags like '%cm%'  or claim_tags like '%dmr%' ) UNION </v>
      </c>
      <c r="E40" s="17" t="str">
        <f t="shared" si="4"/>
        <v xml:space="preserve">select 'mognGT340b'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'%340b%'  and not ( claim_tags like '%cm%'  or claim_tags like '%dmr%' ) UNION </v>
      </c>
      <c r="F40" s="17" t="str">
        <f t="shared" si="4"/>
        <v xml:space="preserve">select 'rtbrGT340b'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'%340b%'  and not ( claim_tags like '%cm%'  or claim_tags like '%dmr%' ) UNION </v>
      </c>
      <c r="G40" s="17" t="str">
        <f t="shared" si="4"/>
        <v xml:space="preserve">select 'rtgnGT340b'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'%340b%'  and not ( claim_tags like '%cm%'  or claim_tags like '%dmr%' ) UNION </v>
      </c>
      <c r="H40" s="17" t="str">
        <f t="shared" si="4"/>
        <v/>
      </c>
      <c r="I40" s="17" t="str">
        <f t="shared" si="4"/>
        <v/>
      </c>
      <c r="J40" s="17" t="str">
        <f t="shared" si="4"/>
        <v/>
      </c>
      <c r="K40" s="18" t="str">
        <f t="shared" si="4"/>
        <v/>
      </c>
    </row>
    <row r="41" spans="1:11" x14ac:dyDescent="0.25">
      <c r="C41" s="16" t="str">
        <f>IF(COUNTBLANK(Sheet1!C5)&gt;0,"",Sheet1!C5)</f>
        <v>ihs</v>
      </c>
      <c r="D41" s="17" t="str">
        <f t="shared" si="4"/>
        <v xml:space="preserve">select 'mobrGTihs'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'%ihs%'  and not ( claim_tags like '%340b%'  or claim_tags like '%cm%'  or claim_tags like '%dmr%' )UNION </v>
      </c>
      <c r="E41" s="17" t="str">
        <f t="shared" si="4"/>
        <v xml:space="preserve">select 'mognGTihs'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'%ihs%'  and not ( claim_tags like '%340b%'  or claim_tags like '%cm%'  or claim_tags like '%dmr%' )UNION </v>
      </c>
      <c r="F41" s="17" t="str">
        <f t="shared" si="4"/>
        <v xml:space="preserve">select 'rtbrGTihs'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'%ihs%'  and not ( claim_tags like '%340b%'  or claim_tags like '%cm%'  or claim_tags like '%dmr%' )UNION </v>
      </c>
      <c r="G41" s="17" t="str">
        <f t="shared" si="4"/>
        <v xml:space="preserve">select 'rtgnGTihs'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'%ihs%'  and not ( claim_tags like '%340b%'  or claim_tags like '%cm%'  or claim_tags like '%dmr%' )UNION </v>
      </c>
      <c r="H41" s="17" t="str">
        <f t="shared" si="4"/>
        <v/>
      </c>
      <c r="I41" s="17" t="str">
        <f t="shared" si="4"/>
        <v/>
      </c>
      <c r="J41" s="17" t="str">
        <f t="shared" si="4"/>
        <v/>
      </c>
      <c r="K41" s="18" t="str">
        <f t="shared" si="4"/>
        <v/>
      </c>
    </row>
    <row r="42" spans="1:11" x14ac:dyDescent="0.25">
      <c r="C42" s="16" t="str">
        <f>IF(COUNTBLANK(Sheet1!C6)&gt;0,"",Sheet1!C6)</f>
        <v>otherpayor</v>
      </c>
      <c r="D42" s="17" t="str">
        <f t="shared" si="4"/>
        <v xml:space="preserve">select 'mobrGTotherpayor'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'%otherpayor%'  and not ( claim_tags like '%ihs%'  or claim_tags like '%340b%'  or claim_tags like '%cm%'  or claim_tags like '%dmr%' ) UNION </v>
      </c>
      <c r="E42" s="17" t="str">
        <f t="shared" si="4"/>
        <v xml:space="preserve">select 'mognGTotherpayor'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'%otherpayor%'  and not ( claim_tags like '%ihs%'  or claim_tags like '%340b%'  or claim_tags like '%cm%'  or claim_tags like '%dmr%' ) UNION </v>
      </c>
      <c r="F42" s="17" t="str">
        <f t="shared" si="4"/>
        <v xml:space="preserve">select 'rtbrGTotherpayor'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'%otherpayor%'  and not ( claim_tags like '%ihs%'  or claim_tags like '%340b%'  or claim_tags like '%cm%'  or claim_tags like '%dmr%' ) UNION </v>
      </c>
      <c r="G42" s="17" t="str">
        <f t="shared" si="4"/>
        <v xml:space="preserve">select 'rtgnGTotherpayor'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'%otherpayor%'  and not ( claim_tags like '%ihs%'  or claim_tags like '%340b%'  or claim_tags like '%cm%'  or claim_tags like '%dmr%' ) UNION </v>
      </c>
      <c r="H42" s="17" t="str">
        <f t="shared" si="4"/>
        <v/>
      </c>
      <c r="I42" s="17" t="str">
        <f t="shared" si="4"/>
        <v/>
      </c>
      <c r="J42" s="17" t="str">
        <f t="shared" si="4"/>
        <v/>
      </c>
      <c r="K42" s="18" t="str">
        <f t="shared" si="4"/>
        <v/>
      </c>
    </row>
    <row r="43" spans="1:11" x14ac:dyDescent="0.25">
      <c r="C43" s="16" t="str">
        <f>IF(COUNTBLANK(Sheet1!C7)&gt;0,"",Sheet1!C7)</f>
        <v>state</v>
      </c>
      <c r="D43" s="17" t="str">
        <f t="shared" si="4"/>
        <v xml:space="preserve">select 'mobrGTstate'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'%state%'  and not ( claim_tags like '%otherpayor%'  or claim_tags like '%ihs%'  or claim_tags like '%340b%'  or claim_tags like '%cm%'  or claim_tags like '%dmr%' ) UNION </v>
      </c>
      <c r="E43" s="17" t="str">
        <f t="shared" si="4"/>
        <v xml:space="preserve">select 'mognGTstate'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'%state%'  and not ( claim_tags like '%otherpayor%'  or claim_tags like '%ihs%'  or claim_tags like '%340b%'  or claim_tags like '%cm%'  or claim_tags like '%dmr%' ) UNION </v>
      </c>
      <c r="F43" s="17" t="str">
        <f t="shared" si="4"/>
        <v xml:space="preserve">select 'rtbrGTstate'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'%state%'  and not ( claim_tags like '%otherpayor%'  or claim_tags like '%ihs%'  or claim_tags like '%340b%'  or claim_tags like '%cm%'  or claim_tags like '%dmr%' ) UNION </v>
      </c>
      <c r="G43" s="17" t="str">
        <f t="shared" si="4"/>
        <v xml:space="preserve">select 'rtgnGTstate'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'%state%'  and not ( claim_tags like '%otherpayor%'  or claim_tags like '%ihs%'  or claim_tags like '%340b%'  or claim_tags like '%cm%'  or claim_tags like '%dmr%' ) UNION </v>
      </c>
      <c r="H43" s="17" t="str">
        <f t="shared" si="4"/>
        <v/>
      </c>
      <c r="I43" s="17" t="str">
        <f t="shared" si="4"/>
        <v/>
      </c>
      <c r="J43" s="17" t="str">
        <f t="shared" si="4"/>
        <v/>
      </c>
      <c r="K43" s="18" t="str">
        <f t="shared" si="4"/>
        <v/>
      </c>
    </row>
    <row r="44" spans="1:11" x14ac:dyDescent="0.25">
      <c r="C44" s="16" t="str">
        <f>IF(COUNTBLANK(Sheet1!C8)&gt;0,"",Sheet1!C8)</f>
        <v>vacc</v>
      </c>
      <c r="D44" s="17" t="str">
        <f t="shared" si="4"/>
        <v>select 'mobrGTvacc'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'%vacc%'  and not ( claim_tags like '%state%'  or claim_tags like '%otherpayor%'  or claim_tags like '%ihs%'  or claim_tags like '%340b%'  or claim_tags like '%cm%'  or claim_tags like '%dmr%' )</v>
      </c>
      <c r="E44" s="17" t="str">
        <f t="shared" si="4"/>
        <v>select 'mognGTvacc'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'%vacc%'  and not ( claim_tags like '%state%'  or claim_tags like '%otherpayor%'  or claim_tags like '%ihs%'  or claim_tags like '%340b%'  or claim_tags like '%cm%'  or claim_tags like '%dmr%' )</v>
      </c>
      <c r="F44" s="17" t="str">
        <f t="shared" si="4"/>
        <v>select 'rtbrGTvacc'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'%vacc%'  and not ( claim_tags like '%state%'  or claim_tags like '%otherpayor%'  or claim_tags like '%ihs%'  or claim_tags like '%340b%'  or claim_tags like '%cm%'  or claim_tags like '%dmr%' )</v>
      </c>
      <c r="G44" s="17" t="str">
        <f t="shared" si="4"/>
        <v>select 'rtgnGTvacc'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'%vacc%'  and not ( claim_tags like '%state%'  or claim_tags like '%otherpayor%'  or claim_tags like '%ihs%'  or claim_tags like '%340b%'  or claim_tags like '%cm%'  or claim_tags like '%dmr%' )</v>
      </c>
      <c r="H44" s="17" t="str">
        <f t="shared" si="4"/>
        <v/>
      </c>
      <c r="I44" s="17" t="str">
        <f t="shared" si="4"/>
        <v/>
      </c>
      <c r="J44" s="17" t="str">
        <f t="shared" si="4"/>
        <v/>
      </c>
      <c r="K44" s="18" t="str">
        <f t="shared" si="4"/>
        <v/>
      </c>
    </row>
    <row r="45" spans="1:11" x14ac:dyDescent="0.25">
      <c r="C45" s="16" t="str">
        <f>IF(COUNTBLANK(Sheet1!C9)&gt;0,"",Sheet1!C9)</f>
        <v/>
      </c>
      <c r="D45" s="17" t="str">
        <f t="shared" si="4"/>
        <v/>
      </c>
      <c r="E45" s="17" t="str">
        <f t="shared" si="4"/>
        <v/>
      </c>
      <c r="F45" s="17" t="str">
        <f t="shared" si="4"/>
        <v/>
      </c>
      <c r="G45" s="17" t="str">
        <f t="shared" si="4"/>
        <v/>
      </c>
      <c r="H45" s="17" t="str">
        <f t="shared" si="4"/>
        <v/>
      </c>
      <c r="I45" s="17" t="str">
        <f t="shared" si="4"/>
        <v/>
      </c>
      <c r="J45" s="17" t="str">
        <f t="shared" si="4"/>
        <v/>
      </c>
      <c r="K45" s="18" t="str">
        <f t="shared" si="4"/>
        <v/>
      </c>
    </row>
    <row r="46" spans="1:11" x14ac:dyDescent="0.25">
      <c r="C46" s="16" t="str">
        <f>IF(COUNTBLANK(Sheet1!C10)&gt;0,"",Sheet1!C10)</f>
        <v/>
      </c>
      <c r="D46" s="17" t="str">
        <f t="shared" si="4"/>
        <v/>
      </c>
      <c r="E46" s="17" t="str">
        <f t="shared" si="4"/>
        <v/>
      </c>
      <c r="F46" s="17" t="str">
        <f t="shared" si="4"/>
        <v/>
      </c>
      <c r="G46" s="17" t="str">
        <f t="shared" si="4"/>
        <v/>
      </c>
      <c r="H46" s="17" t="str">
        <f t="shared" si="4"/>
        <v/>
      </c>
      <c r="I46" s="17" t="str">
        <f t="shared" si="4"/>
        <v/>
      </c>
      <c r="J46" s="17" t="str">
        <f t="shared" si="4"/>
        <v/>
      </c>
      <c r="K46" s="18" t="str">
        <f t="shared" si="4"/>
        <v/>
      </c>
    </row>
    <row r="47" spans="1:11" x14ac:dyDescent="0.25">
      <c r="C47" s="16" t="str">
        <f>IF(COUNTBLANK(Sheet1!C11)&gt;0,"",Sheet1!C11)</f>
        <v/>
      </c>
      <c r="D47" s="17" t="str">
        <f t="shared" si="4"/>
        <v/>
      </c>
      <c r="E47" s="17" t="str">
        <f t="shared" si="4"/>
        <v/>
      </c>
      <c r="F47" s="17" t="str">
        <f t="shared" si="4"/>
        <v/>
      </c>
      <c r="G47" s="17" t="str">
        <f t="shared" si="4"/>
        <v/>
      </c>
      <c r="H47" s="17" t="str">
        <f t="shared" si="4"/>
        <v/>
      </c>
      <c r="I47" s="17" t="str">
        <f t="shared" si="4"/>
        <v/>
      </c>
      <c r="J47" s="17" t="str">
        <f t="shared" si="4"/>
        <v/>
      </c>
      <c r="K47" s="18" t="str">
        <f t="shared" si="4"/>
        <v/>
      </c>
    </row>
    <row r="48" spans="1:11" ht="14.25" customHeight="1" x14ac:dyDescent="0.25">
      <c r="A48" s="1"/>
      <c r="B48" s="1"/>
      <c r="C48" s="16" t="str">
        <f>IF(COUNTBLANK(Sheet1!C12)&gt;0,"",Sheet1!C12)</f>
        <v/>
      </c>
      <c r="D48" s="17" t="str">
        <f t="shared" si="4"/>
        <v/>
      </c>
      <c r="E48" s="17" t="str">
        <f t="shared" si="4"/>
        <v/>
      </c>
      <c r="F48" s="17" t="str">
        <f t="shared" si="4"/>
        <v/>
      </c>
      <c r="G48" s="17" t="str">
        <f t="shared" si="4"/>
        <v/>
      </c>
      <c r="H48" s="17" t="str">
        <f t="shared" si="4"/>
        <v/>
      </c>
      <c r="I48" s="17" t="str">
        <f t="shared" si="4"/>
        <v/>
      </c>
      <c r="J48" s="17" t="str">
        <f t="shared" si="4"/>
        <v/>
      </c>
      <c r="K48" s="18" t="str">
        <f t="shared" si="4"/>
        <v/>
      </c>
    </row>
    <row r="49" spans="1:11" x14ac:dyDescent="0.25">
      <c r="C49" s="16" t="str">
        <f>IF(COUNTBLANK(Sheet1!C13)&gt;0,"",Sheet1!C13)</f>
        <v/>
      </c>
      <c r="D49" s="17" t="str">
        <f t="shared" si="4"/>
        <v/>
      </c>
      <c r="E49" s="17" t="str">
        <f t="shared" si="4"/>
        <v/>
      </c>
      <c r="F49" s="17" t="str">
        <f t="shared" si="4"/>
        <v/>
      </c>
      <c r="G49" s="17" t="str">
        <f t="shared" si="4"/>
        <v/>
      </c>
      <c r="H49" s="17" t="str">
        <f t="shared" si="4"/>
        <v/>
      </c>
      <c r="I49" s="17" t="str">
        <f t="shared" si="4"/>
        <v/>
      </c>
      <c r="J49" s="17" t="str">
        <f t="shared" si="4"/>
        <v/>
      </c>
      <c r="K49" s="18" t="str">
        <f t="shared" si="4"/>
        <v/>
      </c>
    </row>
    <row r="50" spans="1:11" x14ac:dyDescent="0.25">
      <c r="C50" s="16" t="str">
        <f>IF(COUNTBLANK(Sheet1!C14)&gt;0,"",Sheet1!C14)</f>
        <v/>
      </c>
      <c r="D50" s="17" t="str">
        <f t="shared" si="4"/>
        <v/>
      </c>
      <c r="E50" s="17" t="str">
        <f t="shared" si="4"/>
        <v/>
      </c>
      <c r="F50" s="17" t="str">
        <f t="shared" si="4"/>
        <v/>
      </c>
      <c r="G50" s="17" t="str">
        <f t="shared" si="4"/>
        <v/>
      </c>
      <c r="H50" s="17" t="str">
        <f t="shared" si="4"/>
        <v/>
      </c>
      <c r="I50" s="17" t="str">
        <f t="shared" si="4"/>
        <v/>
      </c>
      <c r="J50" s="17" t="str">
        <f t="shared" si="4"/>
        <v/>
      </c>
      <c r="K50" s="18" t="str">
        <f t="shared" si="4"/>
        <v/>
      </c>
    </row>
    <row r="51" spans="1:11" x14ac:dyDescent="0.25">
      <c r="C51" s="16" t="str">
        <f>IF(COUNTBLANK(Sheet1!C15)&gt;0,"",Sheet1!C15)</f>
        <v/>
      </c>
      <c r="D51" s="17" t="str">
        <f t="shared" si="4"/>
        <v/>
      </c>
      <c r="E51" s="17" t="str">
        <f t="shared" si="4"/>
        <v/>
      </c>
      <c r="F51" s="17" t="str">
        <f t="shared" si="4"/>
        <v/>
      </c>
      <c r="G51" s="17" t="str">
        <f t="shared" si="4"/>
        <v/>
      </c>
      <c r="H51" s="17" t="str">
        <f t="shared" si="4"/>
        <v/>
      </c>
      <c r="I51" s="17" t="str">
        <f t="shared" si="4"/>
        <v/>
      </c>
      <c r="J51" s="17" t="str">
        <f t="shared" si="4"/>
        <v/>
      </c>
      <c r="K51" s="18" t="str">
        <f t="shared" si="4"/>
        <v/>
      </c>
    </row>
    <row r="52" spans="1:11" x14ac:dyDescent="0.25">
      <c r="C52" s="16" t="str">
        <f>IF(COUNTBLANK(Sheet1!C16)&gt;0,"",Sheet1!C16)</f>
        <v/>
      </c>
      <c r="D52" s="17" t="str">
        <f t="shared" si="4"/>
        <v/>
      </c>
      <c r="E52" s="17" t="str">
        <f t="shared" si="4"/>
        <v/>
      </c>
      <c r="F52" s="17" t="str">
        <f t="shared" si="4"/>
        <v/>
      </c>
      <c r="G52" s="17" t="str">
        <f t="shared" si="4"/>
        <v/>
      </c>
      <c r="H52" s="17" t="str">
        <f t="shared" si="4"/>
        <v/>
      </c>
      <c r="I52" s="17" t="str">
        <f t="shared" si="4"/>
        <v/>
      </c>
      <c r="J52" s="17" t="str">
        <f t="shared" si="4"/>
        <v/>
      </c>
      <c r="K52" s="18" t="str">
        <f t="shared" si="4"/>
        <v/>
      </c>
    </row>
    <row r="53" spans="1:11" x14ac:dyDescent="0.25">
      <c r="C53" s="20"/>
      <c r="D53" s="21" t="str">
        <f>IF(COUNTBLANK(D36)&gt;0,"",CONCATENATE(D38,D39,D40,D41,D42,D43,D44,D45,D46,D47,D48,D49,D50,D51,D52))</f>
        <v>select 'mobrGTdmr'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'%dmr%'  UNION select 'mobrGTcm'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'%cm%'  and not ( claim_tags like '%dmr%' )UNION select 'mobrGT340b'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'%340b%'  and not ( claim_tags like '%cm%'  or claim_tags like '%dmr%' ) UNION select 'mobrGTihs'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'%ihs%'  and not ( claim_tags like '%340b%'  or claim_tags like '%cm%'  or claim_tags like '%dmr%' )UNION select 'mobrGTotherpayor'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'%otherpayor%'  and not ( claim_tags like '%ihs%'  or claim_tags like '%340b%'  or claim_tags like '%cm%'  or claim_tags like '%dmr%' ) UNION select 'mobrGTstate'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'%state%'  and not ( claim_tags like '%otherpayor%'  or claim_tags like '%ihs%'  or claim_tags like '%340b%'  or claim_tags like '%cm%'  or claim_tags like '%dmr%' ) UNION select 'mobrGTvacc' as exclusion, 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'%vacc%'  and not ( claim_tags like '%state%'  or claim_tags like '%otherpayor%'  or claim_tags like '%ihs%'  or claim_tags like '%340b%'  or claim_tags like '%cm%'  or claim_tags like '%dmr%' )</v>
      </c>
      <c r="E53" s="21" t="str">
        <f t="shared" ref="E53:K53" si="5">IF(COUNTBLANK(E36)&gt;0,"",CONCATENATE(E38,E39,E40,E41,E42,E43,E44,E45,E46,E47,E48,E49,E50,E51,E52))</f>
        <v>union select 'mognGTdmr'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'%dmr%'  UNION select 'mognGTcm'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'%cm%'  and not ( claim_tags like '%dmr%' )UNION select 'mognGT340b'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'%340b%'  and not ( claim_tags like '%cm%'  or claim_tags like '%dmr%' ) UNION select 'mognGTihs'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'%ihs%'  and not ( claim_tags like '%340b%'  or claim_tags like '%cm%'  or claim_tags like '%dmr%' )UNION select 'mognGTotherpayor'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'%otherpayor%'  and not ( claim_tags like '%ihs%'  or claim_tags like '%340b%'  or claim_tags like '%cm%'  or claim_tags like '%dmr%' ) UNION select 'mognGTstate'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'%state%'  and not ( claim_tags like '%otherpayor%'  or claim_tags like '%ihs%'  or claim_tags like '%340b%'  or claim_tags like '%cm%'  or claim_tags like '%dmr%' ) UNION select 'mognGTvacc'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'%vacc%'  and not ( claim_tags like '%state%'  or claim_tags like '%otherpayor%'  or claim_tags like '%ihs%'  or claim_tags like '%340b%'  or claim_tags like '%cm%'  or claim_tags like '%dmr%' )</v>
      </c>
      <c r="F53" s="21" t="str">
        <f t="shared" si="5"/>
        <v>union select 'rtbrGTdmr'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'%dmr%'  UNION select 'rtbrGTcm'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'%cm%'  and not ( claim_tags like '%dmr%' )UNION select 'rtbrGT340b'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'%340b%'  and not ( claim_tags like '%cm%'  or claim_tags like '%dmr%' ) UNION select 'rtbrGTihs'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'%ihs%'  and not ( claim_tags like '%340b%'  or claim_tags like '%cm%'  or claim_tags like '%dmr%' )UNION select 'rtbrGTotherpayor'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'%otherpayor%'  and not ( claim_tags like '%ihs%'  or claim_tags like '%340b%'  or claim_tags like '%cm%'  or claim_tags like '%dmr%' ) UNION select 'rtbrGTstate'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'%state%'  and not ( claim_tags like '%otherpayor%'  or claim_tags like '%ihs%'  or claim_tags like '%340b%'  or claim_tags like '%cm%'  or claim_tags like '%dmr%' ) UNION select 'rtbrGTvacc'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'%vacc%'  and not ( claim_tags like '%state%'  or claim_tags like '%otherpayor%'  or claim_tags like '%ihs%'  or claim_tags like '%340b%'  or claim_tags like '%cm%'  or claim_tags like '%dmr%' )</v>
      </c>
      <c r="G53" s="21" t="str">
        <f t="shared" si="5"/>
        <v>union select 'rtgnGTdmr'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'%dmr%'  UNION select 'rtgnGTcm'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'%cm%'  and not ( claim_tags like '%dmr%' )UNION select 'rtgnGT340b'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'%340b%'  and not ( claim_tags like '%cm%'  or claim_tags like '%dmr%' ) UNION select 'rtgnGTihs'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'%ihs%'  and not ( claim_tags like '%340b%'  or claim_tags like '%cm%'  or claim_tags like '%dmr%' )UNION select 'rtgnGTotherpayor'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'%otherpayor%'  and not ( claim_tags like '%ihs%'  or claim_tags like '%340b%'  or claim_tags like '%cm%'  or claim_tags like '%dmr%' ) UNION select 'rtgnGTstate'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'%state%'  and not ( claim_tags like '%otherpayor%'  or claim_tags like '%ihs%'  or claim_tags like '%340b%'  or claim_tags like '%cm%'  or claim_tags like '%dmr%' ) UNION select 'rtgnGTvacc' as exclusion, 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'%vacc%'  and not ( claim_tags like '%state%'  or claim_tags like '%otherpayor%'  or claim_tags like '%ihs%'  or claim_tags like '%340b%'  or claim_tags like '%cm%'  or claim_tags like '%dmr%' )</v>
      </c>
      <c r="H53" s="21" t="str">
        <f t="shared" si="5"/>
        <v/>
      </c>
      <c r="I53" s="21" t="str">
        <f t="shared" si="5"/>
        <v/>
      </c>
      <c r="J53" s="21" t="str">
        <f t="shared" si="5"/>
        <v/>
      </c>
      <c r="K53" s="22" t="str">
        <f t="shared" si="5"/>
        <v/>
      </c>
    </row>
    <row r="54" spans="1:11" ht="15" customHeight="1" x14ac:dyDescent="0.25">
      <c r="B54">
        <v>5</v>
      </c>
      <c r="D54" s="1" t="str">
        <f>"	SUM ( amt ) AS amt,
	SUM ( s_ic ) AS s_ic,
	SUM ( s_awp ) AS s_awp,
	SUM ( s_df ) AS s_df,
	SUM ( amt * discount ) / SUM ( amt ) AS Discount,
	AVG ( gtdiscount ) AS gtdiscount,"&amp;"
	SUM ( amt * avg_ic ) / SUM ( amt ) AS avg_ic,
	SUM ( amt * avg_awp ) / SUM ( amt ) AS avg_awp,
	SUM ( amt * avg_df ) / SUM ( amt ) AS avg_df
FROM
	GTcontract
WHERE
	claim_tags LIKE "&amp;I1&amp;" and claim_tags like "</f>
        <v xml:space="preserve">	SUM ( amt ) AS amt,
	SUM ( s_ic ) AS s_ic,
	SUM ( s_awp ) AS s_awp,
	SUM ( s_df ) AS s_df,
	SUM ( amt * discount ) / SUM ( amt ) AS Discount,
	AVG ( gtdiscount ) AS gtdiscount,
	SUM ( amt * avg_ic ) / SUM ( amt ) AS avg_ic,
	SUM ( amt * avg_awp ) / SUM ( amt ) AS avg_awp,
	SUM ( amt * avg_df ) / SUM ( amt ) AS avg_df
FROM
	GTcontract
WHERE
	claim_tags LIKE '%,mobr,%'  and claim_tags like </v>
      </c>
      <c r="E54" s="1" t="str">
        <f>"	SUM ( amt ),
	SUM ( s_ic ),
	SUM ( s_awp ),
	SUM ( s_df ),
	SUM ( amt * discount ) / SUM ( amt ) AS Discount,
	AVG ( gtdiscount ),
	SUM ( amt * avg_ic ) / SUM ( amt ) AS avg_ic,"&amp;"
	SUM ( amt * avg_awp ) / SUM ( amt ) AS avg_awp,
	SUM ( amt * avg_df ) / SUM ( amt ) AS avg_df 
FROM
	GTcontract
WHERE
	claim_tags LIKE "&amp;J1&amp;" and claim_tags like "</f>
        <v xml:space="preserve">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'%,mogn,%'  and claim_tags like </v>
      </c>
      <c r="F54" s="1" t="str">
        <f t="shared" ref="F54:K54" si="6">"	SUM ( amt ),
	SUM ( s_ic ),
	SUM ( s_awp ),
	SUM ( s_df ),
	SUM ( amt * discount ) / SUM ( amt ) AS Discount,
	AVG ( gtdiscount ),
	SUM ( amt * avg_ic ) / SUM ( amt ) AS avg_ic,"&amp;"
	SUM ( amt * avg_awp ) / SUM ( amt ) AS avg_awp,
	SUM ( amt * avg_df ) / SUM ( amt ) AS avg_df 
FROM
	GTcontract
WHERE
	claim_tags LIKE "&amp;K1&amp;" and claim_tags like "</f>
        <v xml:space="preserve">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'%,rtbr,%'  and claim_tags like </v>
      </c>
      <c r="G54" s="1" t="str">
        <f t="shared" si="6"/>
        <v xml:space="preserve">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'%,rtgn,%'  and claim_tags like </v>
      </c>
      <c r="H54" s="1" t="str">
        <f t="shared" si="6"/>
        <v xml:space="preserve">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 and claim_tags like </v>
      </c>
      <c r="I54" s="1" t="str">
        <f t="shared" si="6"/>
        <v xml:space="preserve">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 and claim_tags like </v>
      </c>
      <c r="J54" s="1" t="str">
        <f t="shared" si="6"/>
        <v xml:space="preserve">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 and claim_tags like </v>
      </c>
      <c r="K54" s="1" t="str">
        <f t="shared" si="6"/>
        <v xml:space="preserve">	SUM ( amt ),
	SUM ( s_ic ),
	SUM ( s_awp ),
	SUM ( s_df ),
	SUM ( amt * discount ) / SUM ( amt ) AS Discount,
	AVG ( gtdiscount ),
	SUM ( amt * avg_ic ) / SUM ( amt ) AS avg_ic,
	SUM ( amt * avg_awp ) / SUM ( amt ) AS avg_awp,
	SUM ( amt * avg_df ) / SUM ( amt ) AS avg_df 
FROM
	GTcontract
WHERE
	claim_tags LIKE  and claim_tags like </v>
      </c>
    </row>
    <row r="61" spans="1:11" x14ac:dyDescent="0.25">
      <c r="A61" t="s">
        <v>22</v>
      </c>
    </row>
    <row r="62" spans="1:11" x14ac:dyDescent="0.25">
      <c r="A62" t="str">
        <f>IF(COUNTBLANK(Sheet1!A5)&gt;0,"","'%,"&amp;Sheet1!A5&amp;",%' ")</f>
        <v xml:space="preserve">'%,mobr,%' </v>
      </c>
      <c r="B62" t="str">
        <f>IF(COUNTBLANK(Sheet1!A6)&gt;0,"","'%,"&amp;Sheet1!A6&amp;",%' ")</f>
        <v xml:space="preserve">'%,mogn,%' </v>
      </c>
      <c r="C62" t="str">
        <f>IF(COUNTBLANK(Sheet1!A7)&gt;0,"","'%,"&amp;Sheet1!A7&amp;",%' ")</f>
        <v xml:space="preserve">'%,rtbr,%' </v>
      </c>
      <c r="D62" t="str">
        <f>IF(COUNTBLANK(Sheet1!A8)&gt;0,"","'%,"&amp;Sheet1!A8&amp;",%' ")</f>
        <v xml:space="preserve">'%,rtgn,%' </v>
      </c>
      <c r="E62" t="str">
        <f>IF(COUNTBLANK(Sheet1!A9)&gt;0,"","'%,"&amp;Sheet1!A9&amp;",%' ")</f>
        <v/>
      </c>
      <c r="F62" t="str">
        <f>IF(COUNTBLANK(Sheet1!A10)&gt;0,"","'%,"&amp;Sheet1!A10&amp;",%' ")</f>
        <v/>
      </c>
      <c r="G62" t="str">
        <f>IF(COUNTBLANK(Sheet1!A11)&gt;0,"","'%,"&amp;Sheet1!A11&amp;",%' ")</f>
        <v/>
      </c>
      <c r="H62" t="str">
        <f>IF(COUNTBLANK(Sheet1!A12)&gt;0,"","'%,"&amp;Sheet1!A12&amp;",%' ")</f>
        <v/>
      </c>
    </row>
    <row r="63" spans="1:11" x14ac:dyDescent="0.25">
      <c r="A63" t="str">
        <f t="shared" ref="A63:G63" si="7">IF(COUNTBLANK(I1)&gt;0,"","SELECT
	'"&amp;D36&amp;"' AS exclusion,
	COUNT ( claim_tags ) AS COUNT,
	ISNULL ( SUM ( submittedingredientcost ), 0 ) AS S_IC,"&amp;"
	ISNULL ( SUM ( submittedawp * submitted_quantity_dispensed ), 0 ) AS S_AWP,
	ISNULL ( SUM ( dispensing_fee ), 0 ) AS S_DF,
CASE"&amp;"
		WHEN s_awp = 0 THEN
		NULL ELSE ( 1-s_ic / s_awp ) 
	END AS Discount,
	.76 AS GTDisc,
	( discount - gtdisc ) * s_awp AS Surplus,"&amp;"
	ISNULL ( AVG ( submittedingredientcost ), 0 ) AS avg_IC,
	ISNULL ( AVG ( submittedawp * submitted_quantity_dispensed ), 0 ) AS Avg_AWP,
	ISNULL ( AVG ( dispensing_fee ), 0 ) AS avg_DF "&amp;"
FROM
	GTcontract 
WHERE
	claim_tags LIKE"&amp;A62&amp;IF(COUNTBLANK(B63)&gt;0,""," union "))</f>
        <v xml:space="preserve">SELECT
	'mobrGT' AS exclusion,
	COUNT ( claim_tags ) AS COUNT,
	ISNULL ( SUM ( submittedingredientcost ), 0 ) AS S_IC,
	ISNULL ( SUM ( submittedawp * submitted_quantity_dispensed ), 0 ) AS S_AWP,
	ISNULL ( SUM ( dispensing_fee ), 0 ) AS S_DF,
CASE
		WHEN s_awp = 0 THEN
		NULL ELSE ( 1-s_ic / s_awp ) 
	END AS Discount,
	.76 AS GTDisc,
	( discount - gtdisc ) * s_awp AS Surplus,
	ISNULL ( AVG ( submittedingredientcost ), 0 ) AS avg_IC,
	ISNULL ( AVG ( submittedawp * submitted_quantity_dispensed ), 0 ) AS Avg_AWP,
	ISNULL ( AVG ( dispensing_fee ), 0 ) AS avg_DF 
FROM
	GTcontract 
WHERE
	claim_tags LIKE'%,mobr,%'  union </v>
      </c>
      <c r="B63" t="str">
        <f t="shared" si="7"/>
        <v xml:space="preserve">SELECT
	'mognGT' AS exclusion,
	COUNT ( claim_tags ) AS COUNT,
	ISNULL ( SUM ( submittedingredientcost ), 0 ) AS S_IC,
	ISNULL ( SUM ( submittedawp * submitted_quantity_dispensed ), 0 ) AS S_AWP,
	ISNULL ( SUM ( dispensing_fee ), 0 ) AS S_DF,
CASE
		WHEN s_awp = 0 THEN
		NULL ELSE ( 1-s_ic / s_awp ) 
	END AS Discount,
	.76 AS GTDisc,
	( discount - gtdisc ) * s_awp AS Surplus,
	ISNULL ( AVG ( submittedingredientcost ), 0 ) AS avg_IC,
	ISNULL ( AVG ( submittedawp * submitted_quantity_dispensed ), 0 ) AS Avg_AWP,
	ISNULL ( AVG ( dispensing_fee ), 0 ) AS avg_DF 
FROM
	GTcontract 
WHERE
	claim_tags LIKE'%,mogn,%'  union </v>
      </c>
      <c r="C63" t="str">
        <f t="shared" si="7"/>
        <v xml:space="preserve">SELECT
	'rtbrGT' AS exclusion,
	COUNT ( claim_tags ) AS COUNT,
	ISNULL ( SUM ( submittedingredientcost ), 0 ) AS S_IC,
	ISNULL ( SUM ( submittedawp * submitted_quantity_dispensed ), 0 ) AS S_AWP,
	ISNULL ( SUM ( dispensing_fee ), 0 ) AS S_DF,
CASE
		WHEN s_awp = 0 THEN
		NULL ELSE ( 1-s_ic / s_awp ) 
	END AS Discount,
	.76 AS GTDisc,
	( discount - gtdisc ) * s_awp AS Surplus,
	ISNULL ( AVG ( submittedingredientcost ), 0 ) AS avg_IC,
	ISNULL ( AVG ( submittedawp * submitted_quantity_dispensed ), 0 ) AS Avg_AWP,
	ISNULL ( AVG ( dispensing_fee ), 0 ) AS avg_DF 
FROM
	GTcontract 
WHERE
	claim_tags LIKE'%,rtbr,%'  union </v>
      </c>
      <c r="D63" t="str">
        <f t="shared" si="7"/>
        <v xml:space="preserve">SELECT
	'rtgnGT' AS exclusion,
	COUNT ( claim_tags ) AS COUNT,
	ISNULL ( SUM ( submittedingredientcost ), 0 ) AS S_IC,
	ISNULL ( SUM ( submittedawp * submitted_quantity_dispensed ), 0 ) AS S_AWP,
	ISNULL ( SUM ( dispensing_fee ), 0 ) AS S_DF,
CASE
		WHEN s_awp = 0 THEN
		NULL ELSE ( 1-s_ic / s_awp ) 
	END AS Discount,
	.76 AS GTDisc,
	( discount - gtdisc ) * s_awp AS Surplus,
	ISNULL ( AVG ( submittedingredientcost ), 0 ) AS avg_IC,
	ISNULL ( AVG ( submittedawp * submitted_quantity_dispensed ), 0 ) AS Avg_AWP,
	ISNULL ( AVG ( dispensing_fee ), 0 ) AS avg_DF 
FROM
	GTcontract 
WHERE
	claim_tags LIKE'%,rtgn,%' </v>
      </c>
      <c r="E63" t="str">
        <f t="shared" si="7"/>
        <v/>
      </c>
      <c r="F63" t="str">
        <f t="shared" si="7"/>
        <v/>
      </c>
      <c r="G63" t="str">
        <f t="shared" si="7"/>
        <v/>
      </c>
      <c r="H63" t="str">
        <f>IF(COUNTBLANK(P1)&gt;0,"","SELECT
	'rtgnGTdmr' AS exclusion,
	COUNT ( claim_tags ) AS COUNT,
	ISNULL ( SUM ( submittedingredientcost ), 0 ) AS S_IC,"&amp;"
	ISNULL ( SUM ( submittedawp * submitted_quantity_dispensed ), 0 ) AS S_AWP,
	ISNULL ( SUM ( dispensing_fee ), 0 ) AS S_DF,
CASE"&amp;"
		WHEN s_awp = 0 THEN
		NULL ELSE ( 1-s_ic / s_awp ) 
	END AS Discount,
	.76 AS GTDisc,
	( discount - gtdisc ) * s_awp AS Surplus,"&amp;"
	ISNULL ( AVG ( submittedingredientcost ), 0 ) AS avg_IC,
	ISNULL ( AVG ( submittedawp * submitted_quantity_dispensed ), 0 ) AS Avg_AWP,
	ISNULL ( AVG ( dispensing_fee ), 0 ) AS avg_DF "&amp;"
FROM
	GTcontract 
WHERE
	claim_tags LIKE"&amp;P11&amp;"if(countblank(C48&gt;0,"","" union ")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Burns</dc:creator>
  <cp:lastModifiedBy>Kevin Burns</cp:lastModifiedBy>
  <dcterms:created xsi:type="dcterms:W3CDTF">2018-11-27T15:07:01Z</dcterms:created>
  <dcterms:modified xsi:type="dcterms:W3CDTF">2019-02-28T19:59:37Z</dcterms:modified>
</cp:coreProperties>
</file>