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1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antoine_payrar_mail_mcgill_ca/Documents/INSY 442/Financial Model/"/>
    </mc:Choice>
  </mc:AlternateContent>
  <xr:revisionPtr revIDLastSave="729" documentId="11_3A6604F678908F4B9E0DDA168C34C2571E8F6C35" xr6:coauthVersionLast="47" xr6:coauthVersionMax="47" xr10:uidLastSave="{D684DEC4-D8E2-46D2-9600-A43E55D0A721}"/>
  <bookViews>
    <workbookView xWindow="25490" yWindow="-110" windowWidth="38620" windowHeight="21100" firstSheet="5" activeTab="5" xr2:uid="{00000000-000D-0000-FFFF-FFFF00000000}"/>
  </bookViews>
  <sheets>
    <sheet name="Cover Page" sheetId="19" r:id="rId1"/>
    <sheet name="Inputs -&gt;" sheetId="12" r:id="rId2"/>
    <sheet name="Yelp - Assumptions" sheetId="13" r:id="rId3"/>
    <sheet name="Yelp - Schedule" sheetId="14" r:id="rId4"/>
    <sheet name="DCF Valuation" sheetId="17" r:id="rId5"/>
    <sheet name="DCF" sheetId="11" r:id="rId6"/>
    <sheet name="Financial Statements" sheetId="18" r:id="rId7"/>
    <sheet name="Model" sheetId="1" r:id="rId8"/>
    <sheet name="Summary Page" sheetId="9" r:id="rId9"/>
  </sheets>
  <definedNames>
    <definedName name="AA.AlternatePriceSourceStartPeriod">"FY2009"</definedName>
    <definedName name="AA.CIK">"1345016"</definedName>
    <definedName name="AA.ColorizerVersion">"2.0.4.0"</definedName>
    <definedName name="AA.CompareQuarters.LatestMRQ">"Q3-2023"</definedName>
    <definedName name="AA.CSIN">"1UJ9QR0153"</definedName>
    <definedName name="AA.CurationVersion">"2023.11.1.0"</definedName>
    <definedName name="AA.DBMacroVersion">"1.0.13.0"</definedName>
    <definedName name="AA.FreeCashFlow">"TRUE"</definedName>
    <definedName name="AA.HardcodeChecker.LatestMRQ">"Q3-2019"</definedName>
    <definedName name="AA.ModelChecks.LatestMRQ">"Q3-2021"</definedName>
    <definedName name="AA.ModelChecks.LatestVersionNumber">"2.38.25.0"</definedName>
    <definedName name="AA.ModelColorScheme">"Classic"</definedName>
    <definedName name="AA.ModelVersion">"Q3-2024.23"</definedName>
    <definedName name="AA.NonLibraryWideCurationVersion">"C"</definedName>
    <definedName name="AA.PartialUpdate.BsAvailable">"TRUE"</definedName>
    <definedName name="AA.PartialUpdate.CfsAvailable">"TRUE"</definedName>
    <definedName name="AA.PartialUpdate.IsAvailable">"TRUE"</definedName>
    <definedName name="AA.PeriodLayout">"QFY"</definedName>
    <definedName name="AA.PersonalMacro.VersionNumber">"1.5.1.5"</definedName>
    <definedName name="AA.RowNameEnforcerVersion">"2023.11.1.0"</definedName>
    <definedName name="AA.SessionToUploadId">""</definedName>
    <definedName name="AA.StartWorkModelVersion">"Q3-2024.21"</definedName>
    <definedName name="AA.StartWorkType">""</definedName>
    <definedName name="AA.SubyearType">"Q"</definedName>
    <definedName name="AA.TemplateUpgradeAttempted">"TRUE"</definedName>
    <definedName name="AA.TemplateVersion">"7.5.1.0"</definedName>
    <definedName name="AA.UpdateType">"Regular"</definedName>
    <definedName name="AA.VerifyUnitsAtModelVersion">"Q2-2018.24"</definedName>
    <definedName name="FP.DataSource">#REF!</definedName>
    <definedName name="FP.DataSourceName">#REF!</definedName>
    <definedName name="FP.Disclaimer">#REF!</definedName>
    <definedName name="FP.LastPrice">#REF!</definedName>
    <definedName name="FP.LastPriceDate">#REF!</definedName>
    <definedName name="FP.RealTimeToggle">#REF!</definedName>
    <definedName name="FP.UpdateDate">#REF!</definedName>
    <definedName name="FP.UpdateEvent">#REF!</definedName>
    <definedName name="FP_Comment">#REF!</definedName>
    <definedName name="FP_StockPriceOverride">#REF!</definedName>
    <definedName name="GD.CompanyName">#REF!</definedName>
    <definedName name="GD.MRQ">#REF!</definedName>
    <definedName name="GD_Difference_Mid_Absolute">#REF!</definedName>
    <definedName name="GD_Difference_Mid_Relative">#REF!</definedName>
    <definedName name="GD_Guidance_High">#REF!</definedName>
    <definedName name="GD_Guidance_Low">#REF!</definedName>
    <definedName name="GD_Guidance_Mid">#REF!</definedName>
    <definedName name="GD_Header_Column">#REF!</definedName>
    <definedName name="GD_Header_Section">#REF!</definedName>
    <definedName name="GD_Index">#REF!</definedName>
    <definedName name="GD_Item">#REF!</definedName>
    <definedName name="GD_Item_BasePeriod">#REF!</definedName>
    <definedName name="GD_Item_FiscalPeriod">#REF!</definedName>
    <definedName name="GD_Item_Name">#REF!</definedName>
    <definedName name="GD_Model_Output">#REF!</definedName>
    <definedName name="GD_Model_Type">#REF!</definedName>
    <definedName name="GD_Type">#REF!</definedName>
    <definedName name="GD_Update_Date">#REF!</definedName>
    <definedName name="GD_Update_Link">#REF!</definedName>
    <definedName name="HP.MRFX">Model!$B$780</definedName>
    <definedName name="HP.ReportCurrency">Model!$B$779</definedName>
    <definedName name="HP.Ticker">Model!$A$2</definedName>
    <definedName name="HP.TradeCurrency">Model!$B$777</definedName>
    <definedName name="HP.TradeCurrency.HardCoded">Model!$B$778</definedName>
    <definedName name="MO.ApplyTradeCurrencyScaling">Model!$B$776</definedName>
    <definedName name="MO.CFY">Model!$B$784</definedName>
    <definedName name="MO.CompanyName">Model!$A$1</definedName>
    <definedName name="MO.DataSourceIndex">Model!$B$787</definedName>
    <definedName name="MO.DataSourceName">Model!$A$4</definedName>
    <definedName name="MO.FirstForecastedFiscalYear">Model!$B$785</definedName>
    <definedName name="MO.KPI.1">Model!$A$701</definedName>
    <definedName name="MO.KPI.2">Model!$A$702</definedName>
    <definedName name="MO.KPI.3">Model!$A$703</definedName>
    <definedName name="MO.KPI.4">Model!$A$704</definedName>
    <definedName name="MO.KPI.5">Model!$A$705</definedName>
    <definedName name="MO.KPI.6">Model!$A$706</definedName>
    <definedName name="MO.KPI.7">Model!$A$707</definedName>
    <definedName name="MO.KPI.8">Model!$A$708</definedName>
    <definedName name="MO.KPI.9">Model!$A$709</definedName>
    <definedName name="MO.KPI.Count">Model!$B$786</definedName>
    <definedName name="MO.LastPrice">Model!$B$3</definedName>
    <definedName name="MO.LastPriceDate">Model!$B$773</definedName>
    <definedName name="MO.LastPriceFormula">Model!$B$775</definedName>
    <definedName name="MO.LastPriceHardcoded">Model!$B$772</definedName>
    <definedName name="MO.MRFP">Model!$B$783</definedName>
    <definedName name="MO.MRFPColumnNumber">Model!$B$782</definedName>
    <definedName name="MO.MRFX.Hardcoded">Model!$B$781</definedName>
    <definedName name="MO.RealTime">Model!$B$4</definedName>
    <definedName name="MO.RealTimeStockPriceToggle">Model!$B$774</definedName>
    <definedName name="MO.ReportCurrency">Model!$B$779</definedName>
    <definedName name="MO.ReportFX">Model!$A$5</definedName>
    <definedName name="MO.Ticker">Model!$A$2</definedName>
    <definedName name="MO.Ticker.Bloomberg">Model!$A$681</definedName>
    <definedName name="MO.Ticker.Canalyst">Model!$A$680</definedName>
    <definedName name="MO.Ticker.CapIQ">Model!$A$682</definedName>
    <definedName name="MO.Ticker.FactSet">Model!$A$683</definedName>
    <definedName name="MO.Ticker.Thomson">Model!$A$684</definedName>
    <definedName name="MO.TradingCurrency">Model!$A$3</definedName>
    <definedName name="MO.ValuationToggle">Model!$B$410</definedName>
    <definedName name="MO_AN_DA">Model!$211:$211</definedName>
    <definedName name="MO_AN_EBITDA_Adj">Model!$191:$191</definedName>
    <definedName name="MO_AN_NI_NONGAAP_Diluted">Model!$199:$199</definedName>
    <definedName name="MO_AN_SBC">Model!$206:$206</definedName>
    <definedName name="MO_BS_AE">Model!$627:$627</definedName>
    <definedName name="MO_BS_AP">Model!$625:$625</definedName>
    <definedName name="MO_BS_AR">Model!$608:$608</definedName>
    <definedName name="MO_BS_CA">Model!$610:$610</definedName>
    <definedName name="MO_BS_Cash">Model!$604:$604</definedName>
    <definedName name="MO_BS_CL">Model!$632:$632</definedName>
    <definedName name="MO_BS_CommonStock">Model!$643:$643</definedName>
    <definedName name="MO_BS_ContributedSurplus">Model!$644:$644</definedName>
    <definedName name="MO_BS_DefRev">Model!$631:$631</definedName>
    <definedName name="MO_BS_DefRev_Current">Model!$631:$631</definedName>
    <definedName name="MO_BS_Goodwill">Model!$616:$616</definedName>
    <definedName name="MO_BS_Intangibles">Model!$617:$617</definedName>
    <definedName name="MO_BS_LTInvestments">Model!$613:$613</definedName>
    <definedName name="MO_BS_NCA">Model!$620:$620</definedName>
    <definedName name="MO_BS_NCI">Model!$649:$649</definedName>
    <definedName name="MO_BS_NCL">Model!$638:$638</definedName>
    <definedName name="MO_BS_OCI">Model!$645:$645</definedName>
    <definedName name="MO_BS_OL_Current">Model!$628:$628</definedName>
    <definedName name="MO_BS_OL_NonCurrent">Model!$636:$636</definedName>
    <definedName name="MO_BS_PPE">Model!$614:$614</definedName>
    <definedName name="MO_BS_PreferredStock">Model!$642:$642</definedName>
    <definedName name="MO_BS_PrepaidExpensesAndOther">Model!$609:$609</definedName>
    <definedName name="MO_BS_RestrictedCash_Current">Model!$605:$605</definedName>
    <definedName name="MO_BS_RestrictedCash_NonCurrent">Model!$618:$618</definedName>
    <definedName name="MO_BS_RetainedEarnings">Model!$647:$647</definedName>
    <definedName name="MO_BS_ROU">Model!$615:$615</definedName>
    <definedName name="MO_BS_SE">Model!$648:$648</definedName>
    <definedName name="MO_BS_STInvestments">Model!$607:$607</definedName>
    <definedName name="MO_BS_TA">Model!$621:$621</definedName>
    <definedName name="MO_BS_TaxLiabilities_Deferred_Current">Model!$629:$629</definedName>
    <definedName name="MO_BS_TL">Model!$639:$639</definedName>
    <definedName name="MO_BS_TLSE">Model!$650:$650</definedName>
    <definedName name="MO_BS_TreasuryStock">Model!$646:$646</definedName>
    <definedName name="MO_BSS_Cash">Model!$391:$391</definedName>
    <definedName name="MO_BSS_Debt">Model!$394:$394</definedName>
    <definedName name="MO_BSS_Debt_LT">Model!$393:$393</definedName>
    <definedName name="MO_BSS_Debt_Net">Model!$396:$396</definedName>
    <definedName name="MO_BSS_Debt_ST">Model!$392:$392</definedName>
    <definedName name="MO_BSS_Debt_ToCF">Model!$407:$407</definedName>
    <definedName name="MO_BSS_Debt_ToEBITDA">Model!$406:$406</definedName>
    <definedName name="MO_BSS_IE">Model!$398:$398</definedName>
    <definedName name="MO_BSS_IE_Net">Model!$402:$402</definedName>
    <definedName name="MO_BSS_II">Model!$400:$400</definedName>
    <definedName name="MO_BSS_InterestRate_Cash">Model!$401:$401</definedName>
    <definedName name="MO_BSS_InterestRate_Debt">Model!$399:$399</definedName>
    <definedName name="MO_BSS_NetInterestCoverage">Model!$405:$405</definedName>
    <definedName name="MO_BSS_NetInterestRate_Debt">Model!$403:$403</definedName>
    <definedName name="MO_BSS_OL">Model!$395:$395</definedName>
    <definedName name="MO_CCFS_Balance_Begin">Model!$497:$497</definedName>
    <definedName name="MO_CCFS_Balance_End">Model!$498:$498</definedName>
    <definedName name="MO_CCFS_CFF">Model!$492:$492</definedName>
    <definedName name="MO_CCFS_CFI">Model!$476:$476</definedName>
    <definedName name="MO_CCFS_CFO">Model!$458:$458</definedName>
    <definedName name="MO_CCFS_CFO_BeforeWC">Model!$452:$452</definedName>
    <definedName name="MO_CCFS_FX">Model!$494:$494</definedName>
    <definedName name="MO_CCFS_NetChange">Model!$495:$495</definedName>
    <definedName name="MO_CCFS_Sup_CashTax">Model!$500:$500</definedName>
    <definedName name="MO_CFS_Balance_Begin">Model!$566:$566</definedName>
    <definedName name="MO_CFS_Balance_End">Model!$567:$567</definedName>
    <definedName name="MO_CFS_Buyback">Model!$556:$556</definedName>
    <definedName name="MO_CFS_CFF">Model!$561:$561</definedName>
    <definedName name="MO_CFS_CFI">Model!$545:$545</definedName>
    <definedName name="MO_CFS_CFO">Model!$527:$527</definedName>
    <definedName name="MO_CFS_CFO_BeforeWC">Model!$521:$521</definedName>
    <definedName name="MO_CFS_DA">Model!$505:$505</definedName>
    <definedName name="MO_CFS_DeferredTax">Model!$514:$514</definedName>
    <definedName name="MO_CFS_Dividend">Model!$559:$559</definedName>
    <definedName name="MO_CFS_FX">Model!$563:$563</definedName>
    <definedName name="MO_CFS_Impairment">Model!$517:$517</definedName>
    <definedName name="MO_CFS_NetChange">Model!$564:$564</definedName>
    <definedName name="MO_CFS_NewEquityIssued">Model!$550:$550</definedName>
    <definedName name="MO_CFS_NI">Model!$504:$504</definedName>
    <definedName name="MO_CFS_SBC">Model!$507:$507</definedName>
    <definedName name="MO_CFS_Sup_CashTax">Model!$569:$569</definedName>
    <definedName name="MO_CFS_WC_APandAE">Model!$524:$524</definedName>
    <definedName name="MO_CFS_WC_AR">Model!$522:$522</definedName>
    <definedName name="MO_CFS_WC_DefRev">Model!$526:$526</definedName>
    <definedName name="MO_CFS_WC_OL">Model!$525:$525</definedName>
    <definedName name="MO_CFS_WC_PrepaidExpensesAndOther">Model!$523:$523</definedName>
    <definedName name="MO_CFSum_Acquisition">Model!$372:$372</definedName>
    <definedName name="MO_CFSum_Capex">Model!$370:$370</definedName>
    <definedName name="MO_CFSum_CFO">Model!$366:$366</definedName>
    <definedName name="MO_CFSum_CFO_BeforeWC">Model!$364:$364</definedName>
    <definedName name="MO_CFSum_CFOPS">Model!$368:$368</definedName>
    <definedName name="MO_CFSum_CFOPS_BeforeWC">Model!$367:$367</definedName>
    <definedName name="MO_CFSum_CFPS">Model!$368:$368</definedName>
    <definedName name="MO_CFSum_ChangeInWC">Model!$365:$365</definedName>
    <definedName name="MO_CFSum_Divestiture">Model!$373:$373</definedName>
    <definedName name="MO_CFSum_Dividend">Model!$374:$374</definedName>
    <definedName name="MO_CFSum_DPS">Model!$375:$375</definedName>
    <definedName name="MO_CFSum_FCF_PostDivPostAD">Model!$383:$383</definedName>
    <definedName name="MO_CFSum_FCF_PostDivPostADPostDebtPostBuyback">Model!$384:$384</definedName>
    <definedName name="MO_CFSum_FCF_PostDivPreAD">Model!$382:$382</definedName>
    <definedName name="MO_CFSum_FCF_PostWCPostDivPostAD">Model!$387:$387</definedName>
    <definedName name="MO_CFSum_FCF_PostWCPostDivPostADPostDebtPostBuyback">Model!$388:$388</definedName>
    <definedName name="MO_CFSum_FCF_PostWCPostDivPreAD">Model!$386:$386</definedName>
    <definedName name="MO_CFSum_FCF_PostWCPreDiv">Model!$385:$385</definedName>
    <definedName name="MO_CFSum_FCF_PreDiv">Model!$381:$381</definedName>
    <definedName name="MO_CFSum_NetDebtIssuance">Model!$377:$377</definedName>
    <definedName name="MO_CFSum_NetShares">Model!$378:$378</definedName>
    <definedName name="MO_CFSum_NetShares_Price">Model!$379:$379</definedName>
    <definedName name="MO_Checks_Bottom">Model!$C$655:$XFD$675</definedName>
    <definedName name="MO_Checks_BS">Model!$652:$652</definedName>
    <definedName name="MO_Checks_CF">Model!$571:$571</definedName>
    <definedName name="MO_Checks_IS">Model!$177:$177</definedName>
    <definedName name="MO_Common_Column_A">Model!$A:$A</definedName>
    <definedName name="MO_Common_Column_B">Model!$B:$B</definedName>
    <definedName name="MO_Common_ColumnHeader">Model!$5:$5</definedName>
    <definedName name="MO_Common_CompanySubtitle">Model!$2:$2</definedName>
    <definedName name="MO_Common_CompanyTitle">Model!$1:$1</definedName>
    <definedName name="MO_Common_FPDays">Model!$3:$3</definedName>
    <definedName name="MO_Common_QEndDate">Model!$4:$4</definedName>
    <definedName name="MO_Common_QEndDate_LWD">Model!$766:$766</definedName>
    <definedName name="MO_DAF_A">Model!$588:$588</definedName>
    <definedName name="MO_DAF_A_Percentage">Model!$594:$594</definedName>
    <definedName name="MO_DAF_Capex">Model!$599:$599</definedName>
    <definedName name="MO_DAF_D">Model!$582:$582</definedName>
    <definedName name="MO_DAF_D_Percentage">Model!$593:$593</definedName>
    <definedName name="MO_DAF_DA">Model!$598:$598</definedName>
    <definedName name="MO_DAF_Intangibles_BoP">Model!$587:$587</definedName>
    <definedName name="MO_DAF_Intangibles_Capex">Model!$589:$589</definedName>
    <definedName name="MO_DAF_Intangibles_Capex_Percent">Model!$600:$600</definedName>
    <definedName name="MO_DAF_Intangibles_EoP">Model!$591:$591</definedName>
    <definedName name="MO_DAF_Intangibles_Life">Model!$596:$596</definedName>
    <definedName name="MO_DAF_Intangibles_Other">Model!$590:$590</definedName>
    <definedName name="MO_DAF_PPE_BoP">Model!$581:$581</definedName>
    <definedName name="MO_DAF_PPE_Capex">Model!$583:$583</definedName>
    <definedName name="MO_DAF_PPE_EoP">Model!$585:$585</definedName>
    <definedName name="MO_DAF_PPE_Life">Model!$595:$595</definedName>
    <definedName name="MO_DAF_PPE_Other">Model!$584:$584</definedName>
    <definedName name="MO_GA_AdvertisingExpense">Model!$92:$92</definedName>
    <definedName name="MO_GA_TotalRevenue">Model!$13:$13</definedName>
    <definedName name="MO_IS_COGS">Model!$155:$155</definedName>
    <definedName name="MO_IS_DA">Model!$159:$159</definedName>
    <definedName name="MO_IS_EBIT">Model!$164:$164</definedName>
    <definedName name="MO_IS_EBT">Model!$169:$169</definedName>
    <definedName name="MO_IS_FirstRow">Model!$154:$154</definedName>
    <definedName name="MO_IS_GA">Model!$158:$158</definedName>
    <definedName name="MO_IS_IE_Net">Model!$165:$165</definedName>
    <definedName name="MO_IS_NI_ContinOp">Model!$173:$173</definedName>
    <definedName name="MO_IS_RD">Model!$157:$157</definedName>
    <definedName name="MO_IS_Restructuring">Model!$160:$160</definedName>
    <definedName name="MO_IS_REV">Model!$154:$154</definedName>
    <definedName name="MO_IS_SM">Model!$156:$156</definedName>
    <definedName name="MO_IS_Tax">Model!$172:$172</definedName>
    <definedName name="MO_KPI_AdvertisingExpense">Model!$91:$91</definedName>
    <definedName name="MO_KPI_AdvertisingExpense_Growth">Model!$92:$92</definedName>
    <definedName name="MO_KPI_EmployeeCount">Model!$88:$88</definedName>
    <definedName name="MO_KPI_Geo_REV_US">Model!$81:$81</definedName>
    <definedName name="MO_KPI_REV_Advertising">Model!$18:$18</definedName>
    <definedName name="MO_KPI_REV_Subscription">Model!$21:$21</definedName>
    <definedName name="MO_MA_COGS">Model!$134:$134</definedName>
    <definedName name="MO_MA_DA">Model!$147:$147</definedName>
    <definedName name="MO_MA_DA_ISAR">Model!$141:$141</definedName>
    <definedName name="MO_MA_EBIT">Model!$143:$143</definedName>
    <definedName name="MO_MA_EBIT_Adj">Model!$144:$144</definedName>
    <definedName name="MO_MA_EBITDA">Model!$149:$149</definedName>
    <definedName name="MO_MA_EBITDA_Adj">Model!$150:$150</definedName>
    <definedName name="MO_MA_GA">Model!$140:$140</definedName>
    <definedName name="MO_MA_GM">Model!$135:$135</definedName>
    <definedName name="MO_MA_OI_Operating">Model!$142:$142</definedName>
    <definedName name="MO_MA_OPEX">Model!$151:$151</definedName>
    <definedName name="MO_MA_RD">Model!$138:$138</definedName>
    <definedName name="MO_MA_SBC">Model!$162:$162</definedName>
    <definedName name="MO_MA_SM">Model!$139:$139</definedName>
    <definedName name="MO_OS_AdvertisingExpense">Model!$91:$91</definedName>
    <definedName name="MO_OS_ARPPU_Monthly">Model!$39:$39</definedName>
    <definedName name="MO_OS_EmployeeCount">Model!$88:$88</definedName>
    <definedName name="MO_OS_Geo_REV_US">Model!$81:$81</definedName>
    <definedName name="MO_OS_PayingUsers_Monthly">Model!$27:$27</definedName>
    <definedName name="MO_OS_REV_Advertising">Model!$18:$18</definedName>
    <definedName name="MO_OS_REV_Subscription">Model!$21:$21</definedName>
    <definedName name="MO_RIS_Adjustments_Dilution_GAAP">Model!$247:$247</definedName>
    <definedName name="MO_RIS_Adjustments_Dilution_NONGAAP">Model!$250:$250</definedName>
    <definedName name="MO_RIS_Adjustments_NONGAAP">Model!$249:$249</definedName>
    <definedName name="MO_RIS_COGS">Model!$217:$217</definedName>
    <definedName name="MO_RIS_DA">Model!$229:$229</definedName>
    <definedName name="MO_RIS_DA_ISAR">Model!$223:$223</definedName>
    <definedName name="MO_RIS_DisCont">Model!$243:$243</definedName>
    <definedName name="MO_RIS_Dividend_Prefs">Model!$245:$245</definedName>
    <definedName name="MO_RIS_EBIT">Model!$225:$225</definedName>
    <definedName name="MO_RIS_EBIT_Adj">Model!$226:$226</definedName>
    <definedName name="MO_RIS_EBITDA">Model!$231:$231</definedName>
    <definedName name="MO_RIS_EBITDA_Adj">Model!$232:$232</definedName>
    <definedName name="MO_RIS_EBT">Model!$238:$238</definedName>
    <definedName name="MO_RIS_EPS_WAB">Model!$256:$256</definedName>
    <definedName name="MO_RIS_EPS_WAD">Model!$257:$257</definedName>
    <definedName name="MO_RIS_EPS_WAD_Adj">Model!$258:$258</definedName>
    <definedName name="MO_RIS_GA">Model!$222:$222</definedName>
    <definedName name="MO_RIS_GP">Model!$218:$218</definedName>
    <definedName name="MO_RIS_IE">Model!$235:$235</definedName>
    <definedName name="MO_RIS_IE_Net">Model!$235:$235</definedName>
    <definedName name="MO_RIS_NCI">Model!$244:$244</definedName>
    <definedName name="MO_RIS_NI_ContinOp">Model!$242:$242</definedName>
    <definedName name="MO_RIS_NI_GAAP_Basic">Model!$246:$246</definedName>
    <definedName name="MO_RIS_NI_GAAP_Diluted">Model!$248:$248</definedName>
    <definedName name="MO_RIS_NI_NONGAAP_Diluted">Model!$251:$251</definedName>
    <definedName name="MO_RIS_OI">Model!$236:$236</definedName>
    <definedName name="MO_RIS_OI_Operating">Model!$224:$224</definedName>
    <definedName name="MO_RIS_OTI">Model!$237:$237</definedName>
    <definedName name="MO_RIS_RD">Model!$220:$220</definedName>
    <definedName name="MO_RIS_REV">Model!$214:$214</definedName>
    <definedName name="MO_RIS_ShareCount_WAB">Model!$261:$261</definedName>
    <definedName name="MO_RIS_ShareCount_WAD">Model!$262:$262</definedName>
    <definedName name="MO_RIS_ShareCount_WAD_Adj">Model!$263:$263</definedName>
    <definedName name="MO_RIS_SM">Model!$221:$221</definedName>
    <definedName name="MO_RIS_Tax_Current">Model!$240:$240</definedName>
    <definedName name="MO_RIS_Tax_Deferred">Model!$241:$241</definedName>
    <definedName name="MO_RIS_TaxRate_Current">Model!$253:$253</definedName>
    <definedName name="MO_RIS_TaxRate_Deferred">Model!$254:$254</definedName>
    <definedName name="MO_SCA_ConversionRatio_Class2_ToClass1">Model!$269:$269</definedName>
    <definedName name="MO_SCA_Date_CoverPage">Model!$334:$334</definedName>
    <definedName name="MO_SCA_Date_LastWorkingDay">Model!$266:$266</definedName>
    <definedName name="MO_SCA_ESPPObligations_EoP">Model!$321:$321</definedName>
    <definedName name="MO_SCA_Other_EoP">Model!$325:$325</definedName>
    <definedName name="MO_SCA_Ratio_DilutedOverBasic">Model!$284:$284</definedName>
    <definedName name="MO_SCA_ShareCount_CoverPage">Model!$333:$333</definedName>
    <definedName name="MO_SCA_ShareCount_CoverPage_Class1">Model!$331:$331</definedName>
    <definedName name="MO_SCA_ShareCount_CoverPage_Class2">Model!$332:$332</definedName>
    <definedName name="MO_SCA_ShareCount_CoverPage_Dilutive">Model!$336:$336</definedName>
    <definedName name="MO_SCA_ShareCount_CoverPage_Ticker1">Model!$331:$331</definedName>
    <definedName name="MO_SCA_ShareCount_CoverPage_Ticker1_Equivalent">Model!$333:$333</definedName>
    <definedName name="MO_SCA_ShareCount_DilutiveShares">Model!$283:$283</definedName>
    <definedName name="MO_SCA_ShareCount_EoP">Model!$273:$273</definedName>
    <definedName name="MO_SCA_ShareCount_EoP_Class1">Model!$271:$271</definedName>
    <definedName name="MO_SCA_ShareCount_EoP_Class2">Model!$272:$272</definedName>
    <definedName name="MO_SCA_ShareCount_EoP_Diluted">Model!$286:$286</definedName>
    <definedName name="MO_SCA_ShareCount_EoP_Economic">Model!$275:$275</definedName>
    <definedName name="MO_SCA_ShareCount_EoP_Growth_Dilutive_QoQ">Model!$276:$276</definedName>
    <definedName name="MO_SCA_ShareCount_EoP_Growth_Dilutive_YoY">Model!$277:$277</definedName>
    <definedName name="MO_SCA_ShareCount_EoP_Growth_NetIssuance_QoQ">Model!$278:$278</definedName>
    <definedName name="MO_SCA_ShareCount_EoP_Growth_NetIssuance_YoY">Model!$279:$279</definedName>
    <definedName name="MO_SCA_ShareCount_EoP_Growth_QoQ">Model!$280:$280</definedName>
    <definedName name="MO_SCA_ShareCount_EoP_Growth_YoY">Model!$281:$281</definedName>
    <definedName name="MO_SCA_ShareCount_EoP_Ticker1">Model!$271:$271</definedName>
    <definedName name="MO_SCA_ShareCount_EoP_Ticker1_Equivalent">Model!$273:$273</definedName>
    <definedName name="MO_SCA_ShareCount_FullyDiluted">Model!$329:$329</definedName>
    <definedName name="MO_SCA_ShareCount_PotentialDilution">Model!$327:$327</definedName>
    <definedName name="MO_SCA_StockOptions_BoP">Model!$294:$294</definedName>
    <definedName name="MO_SCA_StockOptions_Canceled">Model!$297:$297</definedName>
    <definedName name="MO_SCA_StockOptions_Cumulative_BoP">Model!$288:$288</definedName>
    <definedName name="MO_SCA_StockOptions_Cumulative_Canceled">Model!$291:$291</definedName>
    <definedName name="MO_SCA_StockOptions_Cumulative_EoP">Model!$292:$292</definedName>
    <definedName name="MO_SCA_StockOptions_Cumulative_Exercised">Model!$290:$290</definedName>
    <definedName name="MO_SCA_StockOptions_Cumulative_Granted">Model!$289:$289</definedName>
    <definedName name="MO_SCA_StockOptions_Dilution">Model!$311:$311</definedName>
    <definedName name="MO_SCA_StockOptions_EoP">Model!$298:$298</definedName>
    <definedName name="MO_SCA_StockOptions_Exercisable">Model!$313:$313</definedName>
    <definedName name="MO_SCA_StockOptions_Exercised">Model!$296:$296</definedName>
    <definedName name="MO_SCA_StockOptions_Granted">Model!$295:$295</definedName>
    <definedName name="MO_SCA_StockOptions_Price_BoP">Model!$306:$306</definedName>
    <definedName name="MO_SCA_StockOptions_Price_Canceled">Model!$309:$309</definedName>
    <definedName name="MO_SCA_StockOptions_Price_Cumulative_BoP">Model!$300:$300</definedName>
    <definedName name="MO_SCA_StockOptions_Price_Cumulative_Canceled">Model!$303:$303</definedName>
    <definedName name="MO_SCA_StockOptions_Price_Cumulative_EoP">Model!$304:$304</definedName>
    <definedName name="MO_SCA_StockOptions_Price_Cumulative_Exercised">Model!$302:$302</definedName>
    <definedName name="MO_SCA_StockOptions_Price_Cumulative_Granted">Model!$301:$301</definedName>
    <definedName name="MO_SCA_StockOptions_Price_EoP">Model!$310:$310</definedName>
    <definedName name="MO_SCA_StockOptions_Price_Exercisable">Model!$314:$314</definedName>
    <definedName name="MO_SCA_StockOptions_Price_Exercised">Model!$308:$308</definedName>
    <definedName name="MO_SCA_StockOptions_Price_Granted">Model!$307:$307</definedName>
    <definedName name="MO_SCA_StockPrice_EoP">Model!$267:$267</definedName>
    <definedName name="MO_SCA_UnvestedRSU_EoP">Model!$316:$316</definedName>
    <definedName name="MO_SCA_UnvestedRSU_Price_EoP">Model!$317:$317</definedName>
    <definedName name="MO_Section_AdjustedNumbers">Model!$179:$179</definedName>
    <definedName name="MO_Section_BalanceSheet">Model!$602:$602</definedName>
    <definedName name="MO_Section_BalanceSheetSummary">Model!$390:$390</definedName>
    <definedName name="MO_Section_CashFlowStatement">Model!$502:$502</definedName>
    <definedName name="MO_Section_CashFlowSummary">Model!$363:$363</definedName>
    <definedName name="MO_Section_CumulativeCashFlowStatement">Model!$433:$433</definedName>
    <definedName name="MO_Section_DAForecasting">Model!$580:$580</definedName>
    <definedName name="MO_Section_GrowthAnalysis">Model!$6:$6</definedName>
    <definedName name="MO_Section_IncomeStatement">Model!$153:$153</definedName>
    <definedName name="MO_Section_KeyMetricsDashboardMetricsFS">Model!$90:$90</definedName>
    <definedName name="MO_Section_KeyMetricsEmployeesPR">Model!$85:$85</definedName>
    <definedName name="MO_Section_KeyMetricsVisitorsandAccountsMDA">Model!$45:$45</definedName>
    <definedName name="MO_Section_KeyMetricsYYCostGranularityFS">Model!$95:$95</definedName>
    <definedName name="MO_Section_LastRow">Model!$789:$789</definedName>
    <definedName name="MO_Section_MarginAnalysis">Model!$133:$133</definedName>
    <definedName name="MO_Section_ModelChecks">Model!$654:$654</definedName>
    <definedName name="MO_Section_OperatingStatsPayingAdvertisingLocationsMDA">Model!$24:$24</definedName>
    <definedName name="MO_Section_RevisedIncomeStatement">Model!$213:$213</definedName>
    <definedName name="MO_Section_SegmentedResultsGeographicBreakdownFS">Model!$80:$80</definedName>
    <definedName name="MO_Section_SegmentedResultsRevenueBreakdownFS">Model!$15:$15</definedName>
    <definedName name="MO_Section_SegmentedResultsVerticalRevenueBreakdownSupplementalDataSheet">Model!$61:$61</definedName>
    <definedName name="MO_Section_ShareCountAnalysis">Model!$265:$265</definedName>
    <definedName name="MO_Section_Tables">Model!$677:$677</definedName>
    <definedName name="MO_Section_Valuation">Model!$409:$409</definedName>
    <definedName name="MO_Section_WorkingCapitalForecasting">Model!$573:$573</definedName>
    <definedName name="MO_SNA_ConsensusEstimatePeriodNumber">Model!$725:$725</definedName>
    <definedName name="MO_SNA_ConsensusEstimatePeriodType">Model!$724:$724</definedName>
    <definedName name="MO_SNA_FPStartDate">Model!$736:$736</definedName>
    <definedName name="MO_SNA_Guidance_ApplicablePeriod_FY">Model!$720:$720</definedName>
    <definedName name="MO_SNA_Guidance_ApplicablePeriod_Q">Model!$714:$714</definedName>
    <definedName name="MO_SNA_Guidance_IsLatest_FY">Model!$719:$719</definedName>
    <definedName name="MO_SNA_Guidance_ReportDate_FY">Model!$718:$718</definedName>
    <definedName name="MO_SNA_Guidance_ReportDate_Q">Model!$713:$713</definedName>
    <definedName name="MO_SNA_IsHistoricalPeriod">Model!$737:$737</definedName>
    <definedName name="MO_SNA_LastDataRow">Model!$650:$650</definedName>
    <definedName name="MO_SPT_FXAverage">Model!$759:$759</definedName>
    <definedName name="MO_SPT_FXAverage_Sources">Model!$760:$764</definedName>
    <definedName name="MO_SPT_FXAverage_Sources_Bloomberg">Model!$761:$761</definedName>
    <definedName name="MO_SPT_FXAverage_Sources_CapIQ">Model!$762:$762</definedName>
    <definedName name="MO_SPT_FXAverage_Sources_FactSet">Model!$763:$763</definedName>
    <definedName name="MO_SPT_FXAverage_Sources_RealTimeOff">Model!$760:$760</definedName>
    <definedName name="MO_SPT_FXAverage_Sources_Thomson">Model!$764:$764</definedName>
    <definedName name="MO_SPT_FXEoP">Model!$768:$768</definedName>
    <definedName name="MO_SPT_StockAverage">Model!$752:$752</definedName>
    <definedName name="MO_SPT_StockAverage_Sources">Model!$753:$757</definedName>
    <definedName name="MO_SPT_StockAverage_Sources_Bloomberg">Model!$754:$754</definedName>
    <definedName name="MO_SPT_StockAverage_Sources_CapIQ">Model!$755:$755</definedName>
    <definedName name="MO_SPT_StockAverage_Sources_FactSet">Model!$756:$756</definedName>
    <definedName name="MO_SPT_StockAverage_Sources_RealTimeOff">Model!$753:$753</definedName>
    <definedName name="MO_SPT_StockAverage_Sources_Thomson">Model!$757:$757</definedName>
    <definedName name="MO_SPT_StockEoP">Model!$767:$767</definedName>
    <definedName name="MO_SPT_StockHigh">Model!$738:$738</definedName>
    <definedName name="MO_SPT_StockHigh_Sources">Model!$739:$743</definedName>
    <definedName name="MO_SPT_StockHigh_Sources_Bloomberg">Model!$740:$740</definedName>
    <definedName name="MO_SPT_StockHigh_Sources_CapIQ">Model!$741:$741</definedName>
    <definedName name="MO_SPT_StockHigh_Sources_FactSet">Model!$742:$742</definedName>
    <definedName name="MO_SPT_StockHigh_Sources_RealTimeOff">Model!$739:$739</definedName>
    <definedName name="MO_SPT_StockHigh_Sources_Thomson">Model!$743:$743</definedName>
    <definedName name="MO_SPT_StockLow">Model!$745:$745</definedName>
    <definedName name="MO_SPT_StockLow_Sources">Model!$746:$750</definedName>
    <definedName name="MO_SPT_StockLow_Sources_Bloomberg">Model!$747:$747</definedName>
    <definedName name="MO_SPT_StockLow_Sources_CapIQ">Model!$748:$748</definedName>
    <definedName name="MO_SPT_StockLow_Sources_FactSet">Model!$749:$749</definedName>
    <definedName name="MO_SPT_StockLow_Sources_RealTimeOff">Model!$746:$746</definedName>
    <definedName name="MO_SPT_StockLow_Sources_Thomson">Model!$750:$750</definedName>
    <definedName name="MO_SubSection_BS_CA">Model!$603:$603</definedName>
    <definedName name="MO_SubSection_BS_CL">Model!$623:$623</definedName>
    <definedName name="MO_SubSection_BS_NCA">Model!$612:$612</definedName>
    <definedName name="MO_SubSection_BS_NCL">Model!$634:$634</definedName>
    <definedName name="MO_SubSection_BS_SE">Model!$641:$641</definedName>
    <definedName name="MO_SubSection_CCFS_CFF">Model!$478:$478</definedName>
    <definedName name="MO_SubSection_CCFS_CFI">Model!$460:$460</definedName>
    <definedName name="MO_SubSection_CCFS_CFO">Model!$434:$434</definedName>
    <definedName name="MO_SubSection_CFS_CFF">Model!$547:$547</definedName>
    <definedName name="MO_SubSection_CFS_CFI">Model!$529:$529</definedName>
    <definedName name="MO_SubSection_CFS_CFO">Model!$503:$503</definedName>
    <definedName name="MO_VA_EV">Model!$412:$412</definedName>
    <definedName name="MO_VA_EV_ToEBITDA">Model!$415:$415</definedName>
    <definedName name="MO_VA_EVCalc_NCI">Model!$429:$429</definedName>
    <definedName name="MO_VA_EVCalc_Other">Model!$431:$431</definedName>
    <definedName name="MO_VA_EVCalc_Prefs">Model!$430:$430</definedName>
    <definedName name="MO_VA_FCFYield_ToEV">Model!$418:$418</definedName>
    <definedName name="MO_VA_FCFYield_ToMktCap">Model!$417:$417</definedName>
    <definedName name="MO_VA_FX_Average">Model!$424:$424</definedName>
    <definedName name="MO_VA_FX_EoP">Model!$425:$425</definedName>
    <definedName name="MO_VA_MarketCap">Model!$411:$411</definedName>
    <definedName name="MO_VA_P_ToCF">Model!$416:$416</definedName>
    <definedName name="MO_VA_P_ToE">Model!$414:$414</definedName>
    <definedName name="MO_VA_StockPrice">Model!$410:$410</definedName>
    <definedName name="MO_VA_StockPrice_Avg">Model!$422:$422</definedName>
    <definedName name="MO_VA_StockPrice_EoP">Model!$423:$423</definedName>
    <definedName name="MO_VA_StockPrice_High">Model!$420:$420</definedName>
    <definedName name="MO_VA_StockPrice_Low">Model!$421:$421</definedName>
    <definedName name="MO_VA_StockPrice_TradingCurrency">Model!$426:$426</definedName>
    <definedName name="MO_WCF_AR_Margin">Model!$574:$574</definedName>
    <definedName name="MO_WCF_AR_Margin_Change">Model!$577:$577</definedName>
    <definedName name="_xlnm.Print_Area" localSheetId="7">Model!$A$1:$BV$650</definedName>
    <definedName name="_xlnm.Print_Area" localSheetId="8">'Summary Page'!$A$1:$BV$163</definedName>
    <definedName name="_xlnm.Print_Titles" localSheetId="7">Model!$5:$5</definedName>
    <definedName name="SP.CompanyName">'Summary Page'!$A$1</definedName>
    <definedName name="SP.ReportFX">'Summary Page'!$B$2</definedName>
    <definedName name="SP.ValuationToggle">'Summary Page'!$B$4</definedName>
    <definedName name="SP_BSR_Capital">'Summary Page'!$124:$124</definedName>
    <definedName name="SP_BSR_CashFlow">'Summary Page'!$123:$123</definedName>
    <definedName name="SP_BSR_CashFlow_LTM">'Summary Page'!$126:$126</definedName>
    <definedName name="SP_BSR_CL">'Summary Page'!$145:$145</definedName>
    <definedName name="SP_BSR_CL_Avg">'Summary Page'!$146:$146</definedName>
    <definedName name="SP_BSR_Debt">'Summary Page'!$139:$139</definedName>
    <definedName name="SP_BSR_Debt_Avg">'Summary Page'!$140:$140</definedName>
    <definedName name="SP_BSR_EBITDA">'Summary Page'!$122:$122</definedName>
    <definedName name="SP_BSR_EBITDA_LTM">'Summary Page'!$125:$125</definedName>
    <definedName name="SP_BSR_SE">'Summary Page'!$131:$131</definedName>
    <definedName name="SP_BSR_SE_Avg">'Summary Page'!$132:$132</definedName>
    <definedName name="SP_BSR_TA">'Summary Page'!$136:$136</definedName>
    <definedName name="SP_BSR_TA_Avg">'Summary Page'!$137:$137</definedName>
    <definedName name="SP_CFA_Acquisition">'Summary Page'!$108:$108</definedName>
    <definedName name="SP_CFA_Capex">'Summary Page'!$104:$104</definedName>
    <definedName name="SP_CFA_CFO">'Summary Page'!$103:$103</definedName>
    <definedName name="SP_CFA_CFO_BeforeWC">'Summary Page'!$101:$101</definedName>
    <definedName name="SP_CFA_CFO_PerShare">'Summary Page'!$115:$115</definedName>
    <definedName name="SP_CFA_Debt">'Summary Page'!$111:$111</definedName>
    <definedName name="SP_CFA_Div">'Summary Page'!$106:$106</definedName>
    <definedName name="SP_CFA_Div_PerShare">'Summary Page'!$117:$117</definedName>
    <definedName name="SP_CFA_Divestiture">'Summary Page'!$109:$109</definedName>
    <definedName name="SP_CFA_Equity">'Summary Page'!$110:$110</definedName>
    <definedName name="SP_CFA_FCF_PerShare">'Summary Page'!$116:$116</definedName>
    <definedName name="SP_CFA_FCF_PostDiv">'Summary Page'!$107:$107</definedName>
    <definedName name="SP_CFA_FCF_PreDiv">'Summary Page'!$105:$105</definedName>
    <definedName name="SP_CFA_NetChange">'Summary Page'!$113:$113</definedName>
    <definedName name="SP_CFA_Other">'Summary Page'!$112:$112</definedName>
    <definedName name="SP_CFA_Payout_vsEPS">'Summary Page'!$119:$119</definedName>
    <definedName name="SP_CFA_Payout_vsFCF">'Summary Page'!$118:$118</definedName>
    <definedName name="SP_CFA_WC">'Summary Page'!$102:$102</definedName>
    <definedName name="SP_Checks_SummaryPage">'Summary Page'!$C$166:$XFD$170</definedName>
    <definedName name="SP_Common_Column_A">'Summary Page'!$A:$A</definedName>
    <definedName name="SP_Common_Column_B">'Summary Page'!$B:$B</definedName>
    <definedName name="SP_Common_ColumnHeader">'Summary Page'!$2:$2</definedName>
    <definedName name="SP_Common_QEndDate">'Summary Page'!$1:$1</definedName>
    <definedName name="SP_CS_Cash">'Summary Page'!$7:$7</definedName>
    <definedName name="SP_CS_Debt">'Summary Page'!$8:$8</definedName>
    <definedName name="SP_CS_EV">'Summary Page'!$11:$11</definedName>
    <definedName name="SP_CS_EVCalc_Other">'Summary Page'!$10:$10</definedName>
    <definedName name="SP_CS_MarketCap">'Summary Page'!$6:$6</definedName>
    <definedName name="SP_CS_OL">'Summary Page'!$9:$9</definedName>
    <definedName name="SP_CS_ShareCount">'Summary Page'!$80:$80</definedName>
    <definedName name="SP_CS_ShareCount_EoP_Diluted">'Summary Page'!$5:$5</definedName>
    <definedName name="SP_CS_StockPrice">'Summary Page'!$4:$4</definedName>
    <definedName name="SP_GF_Adjustments_Dilution">'Summary Page'!$77:$77</definedName>
    <definedName name="SP_GF_COGS">'Summary Page'!$62:$62</definedName>
    <definedName name="SP_GF_DA_ISAR">'Summary Page'!$66:$66</definedName>
    <definedName name="SP_GF_DisCont">'Summary Page'!$73:$73</definedName>
    <definedName name="SP_GF_Div_Prefs">'Summary Page'!$75:$75</definedName>
    <definedName name="SP_GF_EBIT">'Summary Page'!$68:$68</definedName>
    <definedName name="SP_GF_EBT">'Summary Page'!$71:$71</definedName>
    <definedName name="SP_GF_EPS_WAD">'Summary Page'!$79:$79</definedName>
    <definedName name="SP_GF_GA">'Summary Page'!$65:$65</definedName>
    <definedName name="SP_GF_IE">'Summary Page'!$69:$69</definedName>
    <definedName name="SP_GF_IE_Net">'Summary Page'!$69:$69</definedName>
    <definedName name="SP_GF_NCI">'Summary Page'!$74:$74</definedName>
    <definedName name="SP_GF_NI">'Summary Page'!$76:$76</definedName>
    <definedName name="SP_GF_NI_Diluted">'Summary Page'!$78:$78</definedName>
    <definedName name="SP_GF_OI">'Summary Page'!$70:$70</definedName>
    <definedName name="SP_GF_OI_Operating">'Summary Page'!$67:$67</definedName>
    <definedName name="SP_GF_RD">'Summary Page'!$63:$63</definedName>
    <definedName name="SP_GF_Rev">'Summary Page'!$61:$61</definedName>
    <definedName name="SP_GF_ShareCount">'Summary Page'!$80:$80</definedName>
    <definedName name="SP_GF_SM">'Summary Page'!$64:$64</definedName>
    <definedName name="SP_GF_Tax">'Summary Page'!$72:$72</definedName>
    <definedName name="SP_MA_COGS">'Summary Page'!$89:$89</definedName>
    <definedName name="SP_MA_EBIT">'Summary Page'!$95:$95</definedName>
    <definedName name="SP_MA_EBIT_Adj">'Summary Page'!$96:$96</definedName>
    <definedName name="SP_MA_EBITDA">'Summary Page'!$97:$97</definedName>
    <definedName name="SP_MA_EBITDA_Adj">'Summary Page'!$98:$98</definedName>
    <definedName name="SP_MA_GA">'Summary Page'!$92:$92</definedName>
    <definedName name="SP_MA_RD">'Summary Page'!$90:$90</definedName>
    <definedName name="SP_MA_SBC">'Summary Page'!$90:$90</definedName>
    <definedName name="SP_MA_SM">'Summary Page'!$91:$91</definedName>
    <definedName name="SP_NGF_EBITDA">'Summary Page'!$83:$83</definedName>
    <definedName name="SP_NGF_EPS">'Summary Page'!$86:$86</definedName>
    <definedName name="SP_NGF_NI">'Summary Page'!$85:$85</definedName>
    <definedName name="SP_PR_ROA">'Summary Page'!$138:$138</definedName>
    <definedName name="SP_PR_ROCE">'Summary Page'!$148:$148</definedName>
    <definedName name="SP_PR_ROE">'Summary Page'!$133:$133</definedName>
    <definedName name="SP_PR_ROIC">'Summary Page'!$142:$142</definedName>
    <definedName name="SP_PSGM_CFO">'Summary Page'!$154:$154</definedName>
    <definedName name="SP_PSGM_EBITDA_Adj">'Summary Page'!$152:$152</definedName>
    <definedName name="SP_PSGM_FCF">'Summary Page'!$155:$155</definedName>
    <definedName name="SP_PSGM_NI_Adj">'Summary Page'!$153:$153</definedName>
    <definedName name="SP_PSGM_Revenue">'Summary Page'!$151:$151</definedName>
    <definedName name="SP_Section_BalanceSheetRatios">'Summary Page'!$121:$121</definedName>
    <definedName name="SP_Section_CapitalizationSummary">'Summary Page'!$3:$3</definedName>
    <definedName name="SP_Section_CashFlowAnalysis">'Summary Page'!$100:$100</definedName>
    <definedName name="SP_Section_Checks">'Summary Page'!$165:$165</definedName>
    <definedName name="SP_Section_CompanySpecificOperationalData">'Summary Page'!$13:$13</definedName>
    <definedName name="SP_Section_GAAPFinancials">'Summary Page'!$60:$60</definedName>
    <definedName name="SP_Section_LastRow">'Summary Page'!$172:$172</definedName>
    <definedName name="SP_Section_MarginAnalysis">'Summary Page'!$88:$88</definedName>
    <definedName name="SP_Section_NonGAAPFinancials">'Summary Page'!$82:$82</definedName>
    <definedName name="SP_Section_PerShareGrowthMetrics">'Summary Page'!$150:$150</definedName>
    <definedName name="SP_Section_ProfitabilityRatios">'Summary Page'!$128:$128</definedName>
    <definedName name="SP_Section_ValuationMetrics">'Summary Page'!$157:$157</definedName>
    <definedName name="SP_VM_EV_ToEBITDA">'Summary Page'!$160:$160</definedName>
    <definedName name="SP_VM_EV_toSales">'Summary Page'!$159:$159</definedName>
    <definedName name="SP_VM_FCFYield_ToEV">'Summary Page'!$163:$163</definedName>
    <definedName name="SP_VM_FCFYield_ToMktCap">'Summary Page'!$162:$162</definedName>
    <definedName name="SP_VM_P_ToCF">'Summary Page'!$161:$161</definedName>
    <definedName name="SP_VM_P_ToE">'Summary Page'!$158:$158</definedName>
    <definedName name="tb_ConsensusEstimate">Model!$A$723:$BV$733</definedName>
    <definedName name="tb_EntireModel">Model!$A$1:$BV$652</definedName>
    <definedName name="tb_Guidance_FY">Model!$A$717:$BV$721</definedName>
    <definedName name="tb_Guidance_Q">Model!$A$712:$BV$715</definedName>
    <definedName name="tb_KeyOutputs">Model!$A$692:$A$698</definedName>
    <definedName name="tb_KPIs">Model!$A$700:$A$710</definedName>
    <definedName name="tb_StockPrice">Model!$A$735:$BV$765</definedName>
    <definedName name="tb_Tickers">Model!$A$679:$A$684</definedName>
    <definedName name="tb_UpdateLog">#REF!</definedName>
    <definedName name="tb_ValuationToggle">Model!$A$686:$B$690</definedName>
    <definedName name="UL.CSIN">#REF!</definedName>
    <definedName name="UL.ModelVersion">#REF!</definedName>
    <definedName name="UL.MRQ">#REF!</definedName>
    <definedName name="UL.MRQColNum">#REF!</definedName>
    <definedName name="WS.CanalystName" localSheetId="7">"Model"</definedName>
    <definedName name="WS.CanalystName" localSheetId="8">"Summary Page"</definedName>
    <definedName name="z_1UJ9QR0153_MO_AN_AdjustedEBITDA">Model!$191:$191</definedName>
    <definedName name="z_1UJ9QR0153_MO_AN_Amortizationofintangibleassets">Model!$195:$195</definedName>
    <definedName name="z_1UJ9QR0153_MO_AN_Amortizationofintangibles">Model!$209:$209</definedName>
    <definedName name="z_1UJ9QR0153_MO_AN_Assetimpairment">Model!$189:$189</definedName>
    <definedName name="z_1UJ9QR0153_MO_AN_Benefitprovisionforincometaxes">Model!$181:$181</definedName>
    <definedName name="z_1UJ9QR0153_MO_AN_Costofrevenue">Model!$201:$201</definedName>
    <definedName name="z_1UJ9QR0153_MO_AN_Depreciationandamortization">Model!$183:$183</definedName>
    <definedName name="z_1UJ9QR0153_MO_AN_DepreciationofPPE">Model!$208:$208</definedName>
    <definedName name="z_1UJ9QR0153_MO_AN_EBITDA">Model!$184:$184</definedName>
    <definedName name="z_1UJ9QR0153_MO_AN_Feesrelatedtoshareholderactivism">Model!$186:$186</definedName>
    <definedName name="z_1UJ9QR0153_MO_AN_GAAPnetloss">Model!$193:$193</definedName>
    <definedName name="z_1UJ9QR0153_MO_AN_Gainondisposalofabusinessunit">Model!$187:$187</definedName>
    <definedName name="z_1UJ9QR0153_MO_AN_Gainondisposalofabusinessunit_1">Model!$197:$197</definedName>
    <definedName name="z_1UJ9QR0153_MO_AN_Generalandadministrative">"Deleted"</definedName>
    <definedName name="z_1UJ9QR0153_MO_AN_genrealandadministrative">Model!$204:$204</definedName>
    <definedName name="z_1UJ9QR0153_MO_AN_Litigationsettlementexpense">Model!$188:$188</definedName>
    <definedName name="z_1UJ9QR0153_MO_AN_NetIncome">"Deleted"</definedName>
    <definedName name="z_1UJ9QR0153_MO_AN_netloss">Model!$180:$180</definedName>
    <definedName name="z_1UJ9QR0153_MO_AN_NonGAAPnetincome">Model!$199:$199</definedName>
    <definedName name="z_1UJ9QR0153_MO_AN_OtherDA">Model!$210:$210</definedName>
    <definedName name="z_1UJ9QR0153_MO_AN_Otherincome">Model!$182:$182</definedName>
    <definedName name="z_1UJ9QR0153_MO_AN_Productdevelopment">Model!$203:$203</definedName>
    <definedName name="z_1UJ9QR0153_MO_AN_restructuring">Model!$205:$205</definedName>
    <definedName name="z_1UJ9QR0153_MO_AN_Restructuring_2">"Deleted"</definedName>
    <definedName name="z_1UJ9QR0153_MO_AN_Restructuringandintegration">Model!$190:$190</definedName>
    <definedName name="z_1UJ9QR0153_MO_AN_Restructuringandintegration_1">Model!$198:$198</definedName>
    <definedName name="z_1UJ9QR0153_MO_AN_Salesandmarketing">Model!$202:$202</definedName>
    <definedName name="z_1UJ9QR0153_MO_AN_Stockbasedcompensation">Model!$185:$185</definedName>
    <definedName name="z_1UJ9QR0153_MO_AN_Stockbasedcompensation_1">Model!$194:$194</definedName>
    <definedName name="z_1UJ9QR0153_MO_AN_Taxadjustments">Model!$196:$196</definedName>
    <definedName name="z_1UJ9QR0153_MO_AN_TotalDA">Model!$211:$211</definedName>
    <definedName name="z_1UJ9QR0153_MO_AN_TotalSBC">Model!$206:$206</definedName>
    <definedName name="z_1UJ9QR0153_MO_BlankRow_AN">Model!$192:$192</definedName>
    <definedName name="z_1UJ9QR0153_MO_BlankRow_AN_1">Model!$200:$200</definedName>
    <definedName name="z_1UJ9QR0153_MO_BlankRow_AN_2">Model!$207:$207</definedName>
    <definedName name="z_1UJ9QR0153_MO_BlankRow_AN_3">Model!$212:$212</definedName>
    <definedName name="z_1UJ9QR0153_MO_BlankRow_BS_3">Model!$611:$611</definedName>
    <definedName name="z_1UJ9QR0153_MO_BlankRow_BS_4">Model!$622:$622</definedName>
    <definedName name="z_1UJ9QR0153_MO_BlankRow_BS_5">Model!$633:$633</definedName>
    <definedName name="z_1UJ9QR0153_MO_BlankRow_BS_6">Model!$640:$640</definedName>
    <definedName name="z_1UJ9QR0153_MO_BlankRow_BSS">Model!$397:$397</definedName>
    <definedName name="z_1UJ9QR0153_MO_BlankRow_BSS_1">Model!$404:$404</definedName>
    <definedName name="z_1UJ9QR0153_MO_BlankRow_BSS_2">Model!$408:$408</definedName>
    <definedName name="z_1UJ9QR0153_MO_BlankRow_CCFS">Model!$459:$459</definedName>
    <definedName name="z_1UJ9QR0153_MO_BlankRow_CCFS_1">Model!$477:$477</definedName>
    <definedName name="z_1UJ9QR0153_MO_BlankRow_CCFS_2">Model!$493:$493</definedName>
    <definedName name="z_1UJ9QR0153_MO_BlankRow_CCFS_3">Model!$496:$496</definedName>
    <definedName name="z_1UJ9QR0153_MO_BlankRow_CCFS_4">Model!$499:$499</definedName>
    <definedName name="z_1UJ9QR0153_MO_BlankRow_CCFS_5">Model!$501:$501</definedName>
    <definedName name="z_1UJ9QR0153_MO_BlankRow_CFS_3">Model!$528:$528</definedName>
    <definedName name="z_1UJ9QR0153_MO_BlankRow_CFS_4">Model!$546:$546</definedName>
    <definedName name="z_1UJ9QR0153_MO_BlankRow_CFS_5">Model!$562:$562</definedName>
    <definedName name="z_1UJ9QR0153_MO_BlankRow_CFS_6">Model!$565:$565</definedName>
    <definedName name="z_1UJ9QR0153_MO_BlankRow_CFS_7">Model!$568:$568</definedName>
    <definedName name="z_1UJ9QR0153_MO_BlankRow_CFS_8">Model!$570:$570</definedName>
    <definedName name="z_1UJ9QR0153_MO_BlankRow_CFS_9">Model!$572:$572</definedName>
    <definedName name="z_1UJ9QR0153_MO_BlankRow_CFSum">Model!$376:$376</definedName>
    <definedName name="z_1UJ9QR0153_MO_BlankRow_CFSum_1">Model!$380:$380</definedName>
    <definedName name="z_1UJ9QR0153_MO_BlankRow_CFSum_2">Model!$389:$389</definedName>
    <definedName name="z_1UJ9QR0153_MO_BlankRow_DAF">Model!$586:$586</definedName>
    <definedName name="z_1UJ9QR0153_MO_BlankRow_DAF_1">Model!$592:$592</definedName>
    <definedName name="z_1UJ9QR0153_MO_BlankRow_DAF_2">Model!$597:$597</definedName>
    <definedName name="z_1UJ9QR0153_MO_BlankRow_DAF_3">Model!$601:$601</definedName>
    <definedName name="z_1UJ9QR0153_MO_BlankRow_GA">Model!$14:$14</definedName>
    <definedName name="z_1UJ9QR0153_MO_BlankRow_IS">Model!$176:$176</definedName>
    <definedName name="z_1UJ9QR0153_MO_BlankRow_IS_1">Model!$178:$178</definedName>
    <definedName name="z_1UJ9QR0153_MO_BlankRow_MA">Model!$137:$137</definedName>
    <definedName name="z_1UJ9QR0153_MO_BlankRow_MA_1">Model!$152:$152</definedName>
    <definedName name="z_1UJ9QR0153_MO_BlankRow_MA_2">Model!$413:$413</definedName>
    <definedName name="z_1UJ9QR0153_MO_BlankRow_MA_3">Model!$419:$419</definedName>
    <definedName name="z_1UJ9QR0153_MO_BlankRow_MA_4">Model!$427:$427</definedName>
    <definedName name="z_1UJ9QR0153_MO_BlankRow_MA_5">Model!$432:$432</definedName>
    <definedName name="z_1UJ9QR0153_MO_BlankRow_MA_6">Model!$146:$146</definedName>
    <definedName name="z_1UJ9QR0153_MO_BlankRow_OS">Model!$23:$23</definedName>
    <definedName name="z_1UJ9QR0153_MO_BlankRow_OS_1">Model!$28:$28</definedName>
    <definedName name="z_1UJ9QR0153_MO_BlankRow_OS_10">Model!$70:$70</definedName>
    <definedName name="z_1UJ9QR0153_MO_BlankRow_OS_11">Model!$79:$79</definedName>
    <definedName name="z_1UJ9QR0153_MO_BlankRow_OS_12">Model!$84:$84</definedName>
    <definedName name="z_1UJ9QR0153_MO_BlankRow_OS_13">Model!$89:$89</definedName>
    <definedName name="z_1UJ9QR0153_MO_BlankRow_OS_14">Model!$94:$94</definedName>
    <definedName name="z_1UJ9QR0153_MO_BlankRow_OS_15">Model!$104:$104</definedName>
    <definedName name="z_1UJ9QR0153_MO_BlankRow_OS_16">Model!$113:$113</definedName>
    <definedName name="z_1UJ9QR0153_MO_BlankRow_OS_17">Model!$121:$121</definedName>
    <definedName name="z_1UJ9QR0153_MO_BlankRow_OS_18">Model!$132:$132</definedName>
    <definedName name="z_1UJ9QR0153_MO_BlankRow_OS_19">Model!$268:$268</definedName>
    <definedName name="z_1UJ9QR0153_MO_BlankRow_OS_2">Model!$32:$32</definedName>
    <definedName name="z_1UJ9QR0153_MO_BlankRow_OS_20">Model!$270:$270</definedName>
    <definedName name="z_1UJ9QR0153_MO_BlankRow_OS_21">Model!$282:$282</definedName>
    <definedName name="z_1UJ9QR0153_MO_BlankRow_OS_22">Model!$285:$285</definedName>
    <definedName name="z_1UJ9QR0153_MO_BlankRow_OS_23">Model!$287:$287</definedName>
    <definedName name="z_1UJ9QR0153_MO_BlankRow_OS_24">Model!$293:$293</definedName>
    <definedName name="z_1UJ9QR0153_MO_BlankRow_OS_25">Model!$299:$299</definedName>
    <definedName name="z_1UJ9QR0153_MO_BlankRow_OS_26">Model!$305:$305</definedName>
    <definedName name="z_1UJ9QR0153_MO_BlankRow_OS_27">Model!$312:$312</definedName>
    <definedName name="z_1UJ9QR0153_MO_BlankRow_OS_28">Model!$315:$315</definedName>
    <definedName name="z_1UJ9QR0153_MO_BlankRow_OS_29">Model!$318:$318</definedName>
    <definedName name="z_1UJ9QR0153_MO_BlankRow_OS_3">Model!$36:$36</definedName>
    <definedName name="z_1UJ9QR0153_MO_BlankRow_OS_30">Model!$322:$322</definedName>
    <definedName name="z_1UJ9QR0153_MO_BlankRow_OS_31">Model!$326:$326</definedName>
    <definedName name="z_1UJ9QR0153_MO_BlankRow_OS_32">Model!$328:$328</definedName>
    <definedName name="z_1UJ9QR0153_MO_BlankRow_OS_33">Model!$330:$330</definedName>
    <definedName name="z_1UJ9QR0153_MO_BlankRow_OS_34">Model!$335:$335</definedName>
    <definedName name="z_1UJ9QR0153_MO_BlankRow_OS_35">Model!$337:$337</definedName>
    <definedName name="z_1UJ9QR0153_MO_BlankRow_OS_36">Model!$342:$342</definedName>
    <definedName name="z_1UJ9QR0153_MO_BlankRow_OS_37">Model!$347:$347</definedName>
    <definedName name="z_1UJ9QR0153_MO_BlankRow_OS_38">Model!$352:$352</definedName>
    <definedName name="z_1UJ9QR0153_MO_BlankRow_OS_39">Model!$357:$357</definedName>
    <definedName name="z_1UJ9QR0153_MO_BlankRow_OS_4">Model!$40:$40</definedName>
    <definedName name="z_1UJ9QR0153_MO_BlankRow_OS_40">Model!$362:$362</definedName>
    <definedName name="z_1UJ9QR0153_MO_BlankRow_OS_41">Model!$576:$576</definedName>
    <definedName name="z_1UJ9QR0153_MO_BlankRow_OS_42">Model!$579:$579</definedName>
    <definedName name="z_1UJ9QR0153_MO_BlankRow_OS_5">Model!$44:$44</definedName>
    <definedName name="z_1UJ9QR0153_MO_BlankRow_OS_6">Model!$50:$50</definedName>
    <definedName name="z_1UJ9QR0153_MO_BlankRow_OS_7">Model!$55:$55</definedName>
    <definedName name="z_1UJ9QR0153_MO_BlankRow_OS_8">Model!$58:$58</definedName>
    <definedName name="z_1UJ9QR0153_MO_BlankRow_OS_9">Model!$60:$60</definedName>
    <definedName name="z_1UJ9QR0153_MO_BlankRow_RIS">Model!$216:$216</definedName>
    <definedName name="z_1UJ9QR0153_MO_BlankRow_RIS_1">Model!$219:$219</definedName>
    <definedName name="z_1UJ9QR0153_MO_BlankRow_RIS_2">Model!$234:$234</definedName>
    <definedName name="z_1UJ9QR0153_MO_BlankRow_RIS_3">Model!$228:$228</definedName>
    <definedName name="z_1UJ9QR0153_MO_BlankRow_RIS_4">Model!$239:$239</definedName>
    <definedName name="z_1UJ9QR0153_MO_BlankRow_RIS_5">Model!$252:$252</definedName>
    <definedName name="z_1UJ9QR0153_MO_BlankRow_RIS_6">Model!$255:$255</definedName>
    <definedName name="z_1UJ9QR0153_MO_BlankRow_RIS_7">Model!$260:$260</definedName>
    <definedName name="z_1UJ9QR0153_MO_BlankRow_RIS_8">Model!$264:$264</definedName>
    <definedName name="z_1UJ9QR0153_MO_BlankRow_RIS_9">"Deleted"</definedName>
    <definedName name="z_1UJ9QR0153_MO_BlankRow_SNA">Model!$651:$651</definedName>
    <definedName name="z_1UJ9QR0153_MO_BlankRow_SNA_1">Model!$653:$653</definedName>
    <definedName name="z_1UJ9QR0153_MO_BlankRow_SNA_10">Model!$715:$715</definedName>
    <definedName name="z_1UJ9QR0153_MO_BlankRow_SNA_11">Model!$716:$716</definedName>
    <definedName name="z_1UJ9QR0153_MO_BlankRow_SNA_12">Model!$721:$721</definedName>
    <definedName name="z_1UJ9QR0153_MO_BlankRow_SNA_13">Model!$722:$722</definedName>
    <definedName name="z_1UJ9QR0153_MO_BlankRow_SNA_14">Model!$733:$733</definedName>
    <definedName name="z_1UJ9QR0153_MO_BlankRow_SNA_15">Model!$734:$734</definedName>
    <definedName name="z_1UJ9QR0153_MO_BlankRow_SNA_16">Model!$744:$744</definedName>
    <definedName name="z_1UJ9QR0153_MO_BlankRow_SNA_17">Model!$751:$751</definedName>
    <definedName name="z_1UJ9QR0153_MO_BlankRow_SNA_18">Model!$758:$758</definedName>
    <definedName name="z_1UJ9QR0153_MO_BlankRow_SNA_19">Model!$765:$765</definedName>
    <definedName name="z_1UJ9QR0153_MO_BlankRow_SNA_2">Model!$676:$676</definedName>
    <definedName name="z_1UJ9QR0153_MO_BlankRow_SNA_20">Model!$769:$769</definedName>
    <definedName name="z_1UJ9QR0153_MO_BlankRow_SNA_21">Model!$770:$770</definedName>
    <definedName name="z_1UJ9QR0153_MO_BlankRow_SNA_22">Model!$788:$788</definedName>
    <definedName name="z_1UJ9QR0153_MO_BlankRow_SNA_3">Model!$678:$678</definedName>
    <definedName name="z_1UJ9QR0153_MO_BlankRow_SNA_4">Model!$685:$685</definedName>
    <definedName name="z_1UJ9QR0153_MO_BlankRow_SNA_5">Model!$691:$691</definedName>
    <definedName name="z_1UJ9QR0153_MO_BlankRow_SNA_6">Model!$698:$698</definedName>
    <definedName name="z_1UJ9QR0153_MO_BlankRow_SNA_7">Model!$699:$699</definedName>
    <definedName name="z_1UJ9QR0153_MO_BlankRow_SNA_8">Model!$710:$710</definedName>
    <definedName name="z_1UJ9QR0153_MO_BlankRow_SNA_9">Model!$711:$711</definedName>
    <definedName name="z_1UJ9QR0153_MO_BS_Accountspayable">Model!$625:$625</definedName>
    <definedName name="z_1UJ9QR0153_MO_BS_Accountspayablemerchantshare">Model!$626:$626</definedName>
    <definedName name="z_1UJ9QR0153_MO_BS_Accountsreceivable">Model!$608:$608</definedName>
    <definedName name="z_1UJ9QR0153_MO_BS_Accruedliabilities">Model!$627:$627</definedName>
    <definedName name="z_1UJ9QR0153_MO_BS_Accumulateddeficit">Model!$647:$647</definedName>
    <definedName name="z_1UJ9QR0153_MO_BS_Accumulatedothercomprehensiveloss">Model!$645:$645</definedName>
    <definedName name="z_1UJ9QR0153_MO_BS_Additionalpaidincapital">Model!$644:$644</definedName>
    <definedName name="z_1UJ9QR0153_MO_BS_Assetsheldforsale">Model!$606:$606</definedName>
    <definedName name="z_1UJ9QR0153_MO_BS_BSCheck">Model!$652:$652</definedName>
    <definedName name="z_1UJ9QR0153_MO_BS_Cashandcashequivalents">Model!$604:$604</definedName>
    <definedName name="z_1UJ9QR0153_MO_BS_Commonstock">Model!$643:$643</definedName>
    <definedName name="z_1UJ9QR0153_MO_BS_CurrentAssets">Model!$603:$603</definedName>
    <definedName name="z_1UJ9QR0153_MO_BS_CurrentLiabilities">Model!$623:$623</definedName>
    <definedName name="z_1UJ9QR0153_MO_BS_Deferredincometax">Model!$629:$629</definedName>
    <definedName name="z_1UJ9QR0153_MO_BS_Deferredrevenue">Model!$631:$631</definedName>
    <definedName name="z_1UJ9QR0153_MO_BS_Goodwill">Model!$616:$616</definedName>
    <definedName name="z_1UJ9QR0153_MO_BS_Intangibles">Model!$617:$617</definedName>
    <definedName name="z_1UJ9QR0153_MO_BS_Liabilitiesheldforsale">Model!$630:$630</definedName>
    <definedName name="z_1UJ9QR0153_MO_BS_Longtermdebt">Model!$635:$635</definedName>
    <definedName name="z_1UJ9QR0153_MO_BS_Longtermliabilities">Model!$637:$637</definedName>
    <definedName name="z_1UJ9QR0153_MO_BS_Longtermmarketablesecurities">Model!$613:$613</definedName>
    <definedName name="z_1UJ9QR0153_MO_BS_NCI">Model!$649:$649</definedName>
    <definedName name="z_1UJ9QR0153_MO_BS_NetIncomeonReportedISNIonRevised">Model!$656:$656</definedName>
    <definedName name="z_1UJ9QR0153_MO_BS_NetIncomeonRevisedISNIonCFstatement">Model!$655:$655</definedName>
    <definedName name="z_1UJ9QR0153_MO_BS_NonCurrentAssets">Model!$612:$612</definedName>
    <definedName name="z_1UJ9QR0153_MO_BS_NonCurrentLiabilities">Model!$634:$634</definedName>
    <definedName name="z_1UJ9QR0153_MO_BS_Operatingleaseliabilitiescurrent">Model!$628:$628</definedName>
    <definedName name="z_1UJ9QR0153_MO_BS_Operatingleaseliabilitieslongterm">"Deleted"</definedName>
    <definedName name="z_1UJ9QR0153_MO_BS_Operatingleaserightofuseassets">Model!$615:$615</definedName>
    <definedName name="z_1UJ9QR0153_MO_BS_Operatingleasseliabilitieslongterm">Model!$636:$636</definedName>
    <definedName name="z_1UJ9QR0153_MO_BS_Otherassets">Model!$619:$619</definedName>
    <definedName name="z_1UJ9QR0153_MO_BS_Prepaidexpensesandothercurrentassets">Model!$609:$609</definedName>
    <definedName name="z_1UJ9QR0153_MO_BS_Propertyequipmentandsoftware">Model!$614:$614</definedName>
    <definedName name="z_1UJ9QR0153_MO_BS_Redeemableconvertiblepreferredstock">Model!$642:$642</definedName>
    <definedName name="z_1UJ9QR0153_MO_BS_Restrictedcash">Model!$605:$605</definedName>
    <definedName name="z_1UJ9QR0153_MO_BS_Restrictedcash_1">Model!$618:$618</definedName>
    <definedName name="z_1UJ9QR0153_MO_BS_ShareholdersEquity">Model!$641:$641</definedName>
    <definedName name="z_1UJ9QR0153_MO_BS_Shorttermdebt">Model!$624:$624</definedName>
    <definedName name="z_1UJ9QR0153_MO_BS_Shorttermmarketablesecurities">Model!$607:$607</definedName>
    <definedName name="z_1UJ9QR0153_MO_BS_TotalAssets">Model!$621:$621</definedName>
    <definedName name="z_1UJ9QR0153_MO_BS_TotalCurrentAssets">Model!$610:$610</definedName>
    <definedName name="z_1UJ9QR0153_MO_BS_TotalCurrentLiabilities">Model!$632:$632</definedName>
    <definedName name="z_1UJ9QR0153_MO_BS_TotalLiabilities">Model!$639:$639</definedName>
    <definedName name="z_1UJ9QR0153_MO_BS_TotalLiabilitiesSE">Model!$650:$650</definedName>
    <definedName name="z_1UJ9QR0153_MO_BS_TotalNonCurrentAssets">Model!$620:$620</definedName>
    <definedName name="z_1UJ9QR0153_MO_BS_TotalNonCurrentliabilities">Model!$638:$638</definedName>
    <definedName name="z_1UJ9QR0153_MO_BS_TotalSE">Model!$648:$648</definedName>
    <definedName name="z_1UJ9QR0153_MO_BS_Treasurystock">Model!$646:$646</definedName>
    <definedName name="z_1UJ9QR0153_MO_BSS_Cash">Model!$391:$391</definedName>
    <definedName name="z_1UJ9QR0153_MO_BSS_Debt">Model!$394:$394</definedName>
    <definedName name="z_1UJ9QR0153_MO_BSS_EBITDANetInterestExpense">Model!$405:$405</definedName>
    <definedName name="z_1UJ9QR0153_MO_BSS_EffectiveInterestRateonCash">Model!$401:$401</definedName>
    <definedName name="z_1UJ9QR0153_MO_BSS_EffectiveInterestRateonDebt">Model!$399:$399</definedName>
    <definedName name="z_1UJ9QR0153_MO_BSS_EffectiveNetInterestRateonDebt">Model!$403:$403</definedName>
    <definedName name="z_1UJ9QR0153_MO_BSS_InterestExpense">Model!$398:$398</definedName>
    <definedName name="z_1UJ9QR0153_MO_BSS_InterestIncome">Model!$400:$400</definedName>
    <definedName name="z_1UJ9QR0153_MO_BSS_LTDebt">Model!$393:$393</definedName>
    <definedName name="z_1UJ9QR0153_MO_BSS_NetDebt">Model!$396:$396</definedName>
    <definedName name="z_1UJ9QR0153_MO_BSS_NetDebtCashFlow">Model!$407:$407</definedName>
    <definedName name="z_1UJ9QR0153_MO_BSS_NetDebtEBITDA">Model!$406:$406</definedName>
    <definedName name="z_1UJ9QR0153_MO_BSS_NetInterestExpenseIncome">Model!$402:$402</definedName>
    <definedName name="z_1UJ9QR0153_MO_BSS_OperatingLeaseLiabilities">Model!$395:$395</definedName>
    <definedName name="z_1UJ9QR0153_MO_BSS_STDebt">Model!$392:$392</definedName>
    <definedName name="z_1UJ9QR0153_MO_CCFS_Accountspayable">Model!$455:$455</definedName>
    <definedName name="z_1UJ9QR0153_MO_CCFS_Accountsreceivable">Model!$453:$453</definedName>
    <definedName name="z_1UJ9QR0153_MO_CCFS_Acquisition">Model!$461:$461</definedName>
    <definedName name="z_1UJ9QR0153_MO_CCFS_Amortizationofdeferredcost">Model!$446:$446</definedName>
    <definedName name="z_1UJ9QR0153_MO_CCFS_Assetimpairment">Model!$448:$448</definedName>
    <definedName name="z_1UJ9QR0153_MO_CCFS_BeginningCashBalance">Model!$497:$497</definedName>
    <definedName name="z_1UJ9QR0153_MO_CCFS_Capitalizedwebsiteandsoftwaredevelopmentcosts">Model!$463:$463</definedName>
    <definedName name="z_1UJ9QR0153_MO_CCFS_Cashpaidrefundreceivedforincometaxes">Model!$500:$500</definedName>
    <definedName name="z_1UJ9QR0153_MO_CCFS_CFObeforeWC">Model!$452:$452</definedName>
    <definedName name="z_1UJ9QR0153_MO_CCFS_Changesinrestrictedcash">Model!$464:$464</definedName>
    <definedName name="z_1UJ9QR0153_MO_CCFS_ContributiontoTheYelpFoundation">Model!$439:$439</definedName>
    <definedName name="z_1UJ9QR0153_MO_CCFS_Deferredincometax">Model!$445:$445</definedName>
    <definedName name="z_1UJ9QR0153_MO_CCFS_Deferredrevenue">Model!$457:$457</definedName>
    <definedName name="z_1UJ9QR0153_MO_CCFS_Depreciationandamortization">Model!$436:$436</definedName>
    <definedName name="z_1UJ9QR0153_MO_CCFS_Dividendspaid">Model!$490:$490</definedName>
    <definedName name="z_1UJ9QR0153_MO_CCFS_EndingCashBalance">Model!$498:$498</definedName>
    <definedName name="z_1UJ9QR0153_MO_CCFS_Excesstaxbenefitfromsharebasedawardactivity">Model!$444:$444</definedName>
    <definedName name="z_1UJ9QR0153_MO_CCFS_Excesstaxbenefitfromsharebasedawardactivity_1">Model!$486:$486</definedName>
    <definedName name="z_1UJ9QR0153_MO_CCFS_FX">Model!$494:$494</definedName>
    <definedName name="z_1UJ9QR0153_MO_CCFS_Gainondisposalofabusinessunit">Model!$450:$450</definedName>
    <definedName name="z_1UJ9QR0153_MO_CCFS_Goodwillmeasurementperiodadjustment">Model!$468:$468</definedName>
    <definedName name="z_1UJ9QR0153_MO_CCFS_Issuanceofcommonstockuponexerciseofemployeestockoptions">Model!$479:$479</definedName>
    <definedName name="z_1UJ9QR0153_MO_CCFS_Lossondisposalofassetsandwebsitedevelopmentcosts">Model!$442:$442</definedName>
    <definedName name="z_1UJ9QR0153_MO_CCFS_Maturitiesofmarketablesecurities">Model!$475:$475</definedName>
    <definedName name="z_1UJ9QR0153_MO_CCFS_NetCFF">Model!$492:$492</definedName>
    <definedName name="z_1UJ9QR0153_MO_CCFS_NetCFI">Model!$476:$476</definedName>
    <definedName name="z_1UJ9QR0153_MO_CCFS_NetCFO">Model!$458:$458</definedName>
    <definedName name="z_1UJ9QR0153_MO_CCFS_NetChangeinCashBalance">Model!$495:$495</definedName>
    <definedName name="z_1UJ9QR0153_MO_CCFS_Netloss">Model!$435:$435</definedName>
    <definedName name="z_1UJ9QR0153_MO_CCFS_Noncashgainonleasetermination">Model!$449:$449</definedName>
    <definedName name="z_1UJ9QR0153_MO_CCFS_Noncashleasecost">Model!$440:$440</definedName>
    <definedName name="z_1UJ9QR0153_MO_CCFS_Operatingleaseliabilities">Model!$456:$456</definedName>
    <definedName name="z_1UJ9QR0153_MO_CCFS_Other">Model!$451:$451</definedName>
    <definedName name="z_1UJ9QR0153_MO_CCFS_Otherfinancingactivities">Model!$491:$491</definedName>
    <definedName name="z_1UJ9QR0153_MO_CCFS_Otherinvestingactivities">Model!$469:$469</definedName>
    <definedName name="z_1UJ9QR0153_MO_CCFS_Paymentofissuancecostsforcreditfacility">Model!$489:$489</definedName>
    <definedName name="z_1UJ9QR0153_MO_CCFS_Paymentsfordeferredofferingcosts">Model!$482:$482</definedName>
    <definedName name="z_1UJ9QR0153_MO_CCFS_Premiumamortizationnet">Model!$443:$443</definedName>
    <definedName name="z_1UJ9QR0153_MO_CCFS_Prepaidexpensesandotherassets">Model!$454:$454</definedName>
    <definedName name="z_1UJ9QR0153_MO_CCFS_Proceedsfromfollowonoffering">Model!$481:$481</definedName>
    <definedName name="z_1UJ9QR0153_MO_CCFS_Proceedsfrominitialpublicoffering">Model!$480:$480</definedName>
    <definedName name="z_1UJ9QR0153_MO_CCFS_ProceedsfromissuanceofcommonstockforEmployeeStockPurchasePlan">Model!$484:$484</definedName>
    <definedName name="z_1UJ9QR0153_MO_CCFS_Proceedsfromissuanceofcommonstockfromsharebasedawards">Model!$483:$483</definedName>
    <definedName name="z_1UJ9QR0153_MO_CCFS_Proceedsfromsaleofpropertyandequipment">Model!$467:$467</definedName>
    <definedName name="z_1UJ9QR0153_MO_CCFS_ProceedsfromtheissuanceofSeriesEpreferredstock">Model!$485:$485</definedName>
    <definedName name="z_1UJ9QR0153_MO_CCFS_Provisionfordoubtfulaccountsandsalesreturns">Model!$437:$437</definedName>
    <definedName name="z_1UJ9QR0153_MO_CCFS_Purchaseofcostmethodinvestment">Model!$466:$466</definedName>
    <definedName name="z_1UJ9QR0153_MO_CCFS_Purchasesofintangibleassets">Model!$465:$465</definedName>
    <definedName name="z_1UJ9QR0153_MO_CCFS_Purchasesofmarketablesecurities">Model!$473:$473</definedName>
    <definedName name="z_1UJ9QR0153_MO_CCFS_Purchasesofotherinvestments">Model!$471:$471</definedName>
    <definedName name="z_1UJ9QR0153_MO_CCFS_Purchasesofproperty">Model!$462:$462</definedName>
    <definedName name="z_1UJ9QR0153_MO_CCFS_Realizedgainoninvestments">Model!$447:$447</definedName>
    <definedName name="z_1UJ9QR0153_MO_CCFS_Releaseofvaluationallowance">Model!$441:$441</definedName>
    <definedName name="z_1UJ9QR0153_MO_CCFS_Repaymentofacquireddebt">Model!$488:$488</definedName>
    <definedName name="z_1UJ9QR0153_MO_CCFS_Repurchaseofcommonstock">Model!$487:$487</definedName>
    <definedName name="z_1UJ9QR0153_MO_CCFS_Saleofabusiness">Model!$470:$470</definedName>
    <definedName name="z_1UJ9QR0153_MO_CCFS_Saleofinvestmentpriortomaturity">Model!$474:$474</definedName>
    <definedName name="z_1UJ9QR0153_MO_CCFS_Salesandmaturitiesofmarketablesecuritiesavailableforsale">Model!$472:$472</definedName>
    <definedName name="z_1UJ9QR0153_MO_CCFS_Stockbasedcompensation">Model!$438:$438</definedName>
    <definedName name="z_1UJ9QR0153_MO_CFS_Accountspayable">Model!$524:$524</definedName>
    <definedName name="z_1UJ9QR0153_MO_CFS_Accountsreceivable">Model!$522:$522</definedName>
    <definedName name="z_1UJ9QR0153_MO_CFS_Acquisition">Model!$530:$530</definedName>
    <definedName name="z_1UJ9QR0153_MO_CFS_Amortizationofdeferredcost">Model!$515:$515</definedName>
    <definedName name="z_1UJ9QR0153_MO_CFS_Assetimpairment">Model!$517:$517</definedName>
    <definedName name="z_1UJ9QR0153_MO_CFS_BeginningCashBalance">Model!$566:$566</definedName>
    <definedName name="z_1UJ9QR0153_MO_CFS_Capitalizedwebsiteandsoftwaredevelopmentcosts">Model!$532:$532</definedName>
    <definedName name="z_1UJ9QR0153_MO_CFS_Cashpaidrefundreceivedforincometaxes">Model!$569:$569</definedName>
    <definedName name="z_1UJ9QR0153_MO_CFS_CFCheck">Model!$571:$571</definedName>
    <definedName name="z_1UJ9QR0153_MO_CFS_CFObeforeWC">Model!$521:$521</definedName>
    <definedName name="z_1UJ9QR0153_MO_CFS_Changesinrestrictedcash">Model!$533:$533</definedName>
    <definedName name="z_1UJ9QR0153_MO_CFS_ContributiontoTheYelpFoundation">Model!$508:$508</definedName>
    <definedName name="z_1UJ9QR0153_MO_CFS_Deferredincometax">Model!$514:$514</definedName>
    <definedName name="z_1UJ9QR0153_MO_CFS_Deferredrevenue">Model!$526:$526</definedName>
    <definedName name="z_1UJ9QR0153_MO_CFS_Depreciationandamortization">Model!$505:$505</definedName>
    <definedName name="z_1UJ9QR0153_MO_CFS_Dividendspaid">Model!$559:$559</definedName>
    <definedName name="z_1UJ9QR0153_MO_CFS_EndingCashBalance">Model!$567:$567</definedName>
    <definedName name="z_1UJ9QR0153_MO_CFS_Excesstaxbenefitfromsharebasedawardactivity">Model!$513:$513</definedName>
    <definedName name="z_1UJ9QR0153_MO_CFS_Excesstaxbenefitfromsharebasedawardactivity_1">Model!$555:$555</definedName>
    <definedName name="z_1UJ9QR0153_MO_CFS_FX">Model!$563:$563</definedName>
    <definedName name="z_1UJ9QR0153_MO_CFS_Gainondisposalofabusinessunit">Model!$519:$519</definedName>
    <definedName name="z_1UJ9QR0153_MO_CFS_Goodwillmeasurementperiodadjustment">Model!$537:$537</definedName>
    <definedName name="z_1UJ9QR0153_MO_CFS_Issuanceofcommonstockuponexerciseofemployeestockoptions">Model!$548:$548</definedName>
    <definedName name="z_1UJ9QR0153_MO_CFS_Lossondisposalofassetsandwebsitedevelopmentcosts">Model!$511:$511</definedName>
    <definedName name="z_1UJ9QR0153_MO_CFS_Maturitiesofmarketablesecurities">Model!$544:$544</definedName>
    <definedName name="z_1UJ9QR0153_MO_CFS_NetCFF">Model!$561:$561</definedName>
    <definedName name="z_1UJ9QR0153_MO_CFS_NetCFI">Model!$545:$545</definedName>
    <definedName name="z_1UJ9QR0153_MO_CFS_NetCFO">Model!$527:$527</definedName>
    <definedName name="z_1UJ9QR0153_MO_CFS_NetChangeinCashBalance">Model!$564:$564</definedName>
    <definedName name="z_1UJ9QR0153_MO_CFS_Netloss">Model!$504:$504</definedName>
    <definedName name="z_1UJ9QR0153_MO_CFS_Noncashgainonleasetermination">Model!$518:$518</definedName>
    <definedName name="z_1UJ9QR0153_MO_CFS_Noncashleasecost">Model!$509:$509</definedName>
    <definedName name="z_1UJ9QR0153_MO_CFS_Operatingleaseliabilities">Model!$525:$525</definedName>
    <definedName name="z_1UJ9QR0153_MO_CFS_Other">Model!$520:$520</definedName>
    <definedName name="z_1UJ9QR0153_MO_CFS_Otherfinancingactivities">Model!$560:$560</definedName>
    <definedName name="z_1UJ9QR0153_MO_CFS_Otherinvestingactivities">Model!$538:$538</definedName>
    <definedName name="z_1UJ9QR0153_MO_CFS_Paymentofissuancecostsforcreditfacility">Model!$558:$558</definedName>
    <definedName name="z_1UJ9QR0153_MO_CFS_Paymentsfordeferredofferingcosts">Model!$551:$551</definedName>
    <definedName name="z_1UJ9QR0153_MO_CFS_Premiumamortizationnet">Model!$512:$512</definedName>
    <definedName name="z_1UJ9QR0153_MO_CFS_Prepaidexpensesandotherassets">Model!$523:$523</definedName>
    <definedName name="z_1UJ9QR0153_MO_CFS_Proceedsfromfollowonoffering">Model!$550:$550</definedName>
    <definedName name="z_1UJ9QR0153_MO_CFS_Proceedsfrominitialpublicoffering">Model!$549:$549</definedName>
    <definedName name="z_1UJ9QR0153_MO_CFS_ProceedsfromissuanceofcommonstockforEmployeeStockPurchasePlan">Model!$553:$553</definedName>
    <definedName name="z_1UJ9QR0153_MO_CFS_Proceedsfromissuanceofcommonstockfromsharebasedawards">Model!$552:$552</definedName>
    <definedName name="z_1UJ9QR0153_MO_CFS_Proceedsfromsaleofpropertyandequipment">Model!$536:$536</definedName>
    <definedName name="z_1UJ9QR0153_MO_CFS_ProceedsfromtheissuanceofSeriesEpreferredstock">Model!$554:$554</definedName>
    <definedName name="z_1UJ9QR0153_MO_CFS_Provisionfordoubtfulaccountsandsalesreturns">Model!$506:$506</definedName>
    <definedName name="z_1UJ9QR0153_MO_CFS_Purchaseofcostmethodinvestment">Model!$535:$535</definedName>
    <definedName name="z_1UJ9QR0153_MO_CFS_Purchasesofintangibleassets">Model!$534:$534</definedName>
    <definedName name="z_1UJ9QR0153_MO_CFS_Purchasesofmarketablesecurities">Model!$542:$542</definedName>
    <definedName name="z_1UJ9QR0153_MO_CFS_Purchasesofotherinvestments">Model!$540:$540</definedName>
    <definedName name="z_1UJ9QR0153_MO_CFS_Purchasesofproperty">Model!$531:$531</definedName>
    <definedName name="z_1UJ9QR0153_MO_CFS_Realizedgainoninvestments">Model!$516:$516</definedName>
    <definedName name="z_1UJ9QR0153_MO_CFS_Releaseofvaluationallowance">Model!$510:$510</definedName>
    <definedName name="z_1UJ9QR0153_MO_CFS_Repaymentofacquireddebt">Model!$557:$557</definedName>
    <definedName name="z_1UJ9QR0153_MO_CFS_Repurchaseofcommonstock">Model!$556:$556</definedName>
    <definedName name="z_1UJ9QR0153_MO_CFS_Saleofabusiness">Model!$539:$539</definedName>
    <definedName name="z_1UJ9QR0153_MO_CFS_Saleofinvestmentpriortomaturity">Model!$543:$543</definedName>
    <definedName name="z_1UJ9QR0153_MO_CFS_Salesandmaturitiesofmarketablesecuritiesavailableforsale">Model!$541:$541</definedName>
    <definedName name="z_1UJ9QR0153_MO_CFS_Stockbasedcompensation">Model!$507:$507</definedName>
    <definedName name="z_1UJ9QR0153_MO_CFSum_Acquisitions">Model!$372:$372</definedName>
    <definedName name="z_1UJ9QR0153_MO_CFSum_Capex">Model!$370:$370</definedName>
    <definedName name="z_1UJ9QR0153_MO_CFSum_CashFlowPerDilutedShare">Model!$367:$367</definedName>
    <definedName name="z_1UJ9QR0153_MO_CFSum_CashFlowPerDilutedShare_1">Model!$368:$368</definedName>
    <definedName name="z_1UJ9QR0153_MO_CFSum_CashFlowPerDilutedSharebeforeWC">"Deleted"</definedName>
    <definedName name="z_1UJ9QR0153_MO_CFSum_ChangeinWorkingCapital">Model!$365:$365</definedName>
    <definedName name="z_1UJ9QR0153_MO_CFSum_ConsensusEstimatesCapex">Model!$371:$371</definedName>
    <definedName name="z_1UJ9QR0153_MO_CFSum_ConsensusEstimatesCashFlowPerDilutedShare">Model!$369:$369</definedName>
    <definedName name="z_1UJ9QR0153_MO_CFSum_Divestiture">Model!$373:$373</definedName>
    <definedName name="z_1UJ9QR0153_MO_CFSum_DividendPaid">Model!$374:$374</definedName>
    <definedName name="z_1UJ9QR0153_MO_CFSum_DividendPerShare">Model!$375:$375</definedName>
    <definedName name="z_1UJ9QR0153_MO_CFSum_EstimatedSharePriceforIssuanceBuybacks">Model!$379:$379</definedName>
    <definedName name="z_1UJ9QR0153_MO_CFSum_FCF_2">Model!$383:$383</definedName>
    <definedName name="z_1UJ9QR0153_MO_CFSum_FCF_4">Model!$385:$385</definedName>
    <definedName name="z_1UJ9QR0153_MO_CFSum_FCFbeforeWC">Model!$381:$381</definedName>
    <definedName name="z_1UJ9QR0153_MO_CFSum_FCFbeforeWCPostDiv">Model!$382:$382</definedName>
    <definedName name="z_1UJ9QR0153_MO_CFSum_FCFbeforeWCPostDiv_1">"Deleted"</definedName>
    <definedName name="z_1UJ9QR0153_MO_CFSum_FCFbeforeWCPostDivDebtBuyback">"Deleted"</definedName>
    <definedName name="z_1UJ9QR0153_MO_CFSum_FCFPostDiv">Model!$386:$386</definedName>
    <definedName name="z_1UJ9QR0153_MO_CFSum_FCFPostDiv_1">Model!$387:$387</definedName>
    <definedName name="z_1UJ9QR0153_MO_CFSum_FCFPostDivDebtBuyback">Model!$384:$384</definedName>
    <definedName name="z_1UJ9QR0153_MO_CFSum_FCFPostDivDebtBuyback_1">Model!$388:$388</definedName>
    <definedName name="z_1UJ9QR0153_MO_CFSum_NetDebtIssuanceRepayment">Model!$377:$377</definedName>
    <definedName name="z_1UJ9QR0153_MO_CFSum_NetShareIssuanceBuybacks">Model!$378:$378</definedName>
    <definedName name="z_1UJ9QR0153_MO_CFSum_OperatingCashFlowafterWC">Model!$366:$366</definedName>
    <definedName name="z_1UJ9QR0153_MO_CFSum_OperatingCashFlowbeforeWC">Model!$364:$364</definedName>
    <definedName name="z_1UJ9QR0153_MO_Checks_CFS_CFCheck">"Deleted"</definedName>
    <definedName name="z_1UJ9QR0153_MO_Checks_IS_ISCheck">"Deleted"</definedName>
    <definedName name="z_1UJ9QR0153_MO_Checks_SNA_AdjustedNumbersFYSumofQs">Model!$667:$667</definedName>
    <definedName name="z_1UJ9QR0153_MO_Checks_SNA_BalanceSheetisnotRepeated">Model!$662:$662</definedName>
    <definedName name="z_1UJ9QR0153_MO_Checks_SNA_BSCheck">"Deleted"</definedName>
    <definedName name="z_1UJ9QR0153_MO_Checks_SNA_CapexisUpdated">Model!$664:$664</definedName>
    <definedName name="z_1UJ9QR0153_MO_Checks_SNA_CashFlowisnotRepeated">Model!$660:$660</definedName>
    <definedName name="z_1UJ9QR0153_MO_Checks_SNA_CashFlowSummarySignsareCorrect">Model!$668:$668</definedName>
    <definedName name="z_1UJ9QR0153_MO_Checks_SNA_CashisPositive">Model!$657:$657</definedName>
    <definedName name="z_1UJ9QR0153_MO_Checks_SNA_CFFsubtotalFYSumofQs">Model!$674:$674</definedName>
    <definedName name="z_1UJ9QR0153_MO_Checks_SNA_CFIsubtotalFYSumofQs">Model!$673:$673</definedName>
    <definedName name="z_1UJ9QR0153_MO_Checks_SNA_CFOBeforeWCsubtotalFYSumofQs">Model!$671:$671</definedName>
    <definedName name="z_1UJ9QR0153_MO_Checks_SNA_CFOsubtotalFYSumofQs">Model!$672:$672</definedName>
    <definedName name="z_1UJ9QR0153_MO_Checks_SNA_CFSummaryFYSumofQs">Model!$675:$675</definedName>
    <definedName name="z_1UJ9QR0153_MO_Checks_SNA_DebtisPositive">Model!$658:$658</definedName>
    <definedName name="z_1UJ9QR0153_MO_Checks_SNA_EndingCFEndingCumulativeCF">Model!$663:$663</definedName>
    <definedName name="z_1UJ9QR0153_MO_Checks_SNA_IncomeStatementisnotRepeated">Model!$661:$661</definedName>
    <definedName name="z_1UJ9QR0153_MO_Checks_SNA_Marginaddsupto100">Model!$665:$665</definedName>
    <definedName name="z_1UJ9QR0153_MO_Checks_SNA_MarginisUpdated">Model!$666:$666</definedName>
    <definedName name="z_1UJ9QR0153_MO_Checks_SNA_NetIncomeonReportedISNIonRevised">"Deleted"</definedName>
    <definedName name="z_1UJ9QR0153_MO_Checks_SNA_NetIncomeonRevisedISNIonCFstatement">"Deleted"</definedName>
    <definedName name="z_1UJ9QR0153_MO_Checks_SNA_RISAdjustedNIFYSumofQs">Model!$670:$670</definedName>
    <definedName name="z_1UJ9QR0153_MO_Checks_SNA_RISNIFYSumofQs">Model!$669:$669</definedName>
    <definedName name="z_1UJ9QR0153_MO_Checks_SNA_SegmentedRevenueRevenue">Model!$659:$659</definedName>
    <definedName name="z_1UJ9QR0153_MO_DAF_AmortizationaspercentageofIntangiblesBoP">Model!$594:$594</definedName>
    <definedName name="z_1UJ9QR0153_MO_DAF_Amortizationofintangibles">Model!$588:$588</definedName>
    <definedName name="z_1UJ9QR0153_MO_DAF_Capexofintangibles">Model!$589:$589</definedName>
    <definedName name="z_1UJ9QR0153_MO_DAF_CapexofPPE">Model!$583:$583</definedName>
    <definedName name="z_1UJ9QR0153_MO_DAF_CapexofPPEandIntangibles">Model!$599:$599</definedName>
    <definedName name="z_1UJ9QR0153_MO_DAF_DAofPPEandIntangibles">Model!$598:$598</definedName>
    <definedName name="z_1UJ9QR0153_MO_DAF_DepreciationaspercentageofPPEBoP">Model!$593:$593</definedName>
    <definedName name="z_1UJ9QR0153_MO_DAF_Depreciationoffixedassets">Model!$582:$582</definedName>
    <definedName name="z_1UJ9QR0153_MO_DAF_Impliedlifeoffixedassets">Model!$595:$595</definedName>
    <definedName name="z_1UJ9QR0153_MO_DAF_Impliedlifeofintangibles">Model!$596:$596</definedName>
    <definedName name="z_1UJ9QR0153_MO_DAF_IntangiblesBoP">Model!$587:$587</definedName>
    <definedName name="z_1UJ9QR0153_MO_DAF_IntangiblesEoP">Model!$591:$591</definedName>
    <definedName name="z_1UJ9QR0153_MO_DAF_Othernetadditionstointangibles">Model!$590:$590</definedName>
    <definedName name="z_1UJ9QR0153_MO_DAF_OthernetadditionstoPPE">Model!$584:$584</definedName>
    <definedName name="z_1UJ9QR0153_MO_DAF_Percentageofcapexallocatedtointangibleassets">Model!$600:$600</definedName>
    <definedName name="z_1UJ9QR0153_MO_DAF_PPEBoP">Model!$581:$581</definedName>
    <definedName name="z_1UJ9QR0153_MO_DAF_PPEEoP">Model!$585:$585</definedName>
    <definedName name="z_1UJ9QR0153_MO_GA_Brandadvertisingrevenuegrowth">"Deleted"</definedName>
    <definedName name="z_1UJ9QR0153_MO_GA_Localadvertisingrevenuegrowth">"Deleted"</definedName>
    <definedName name="z_1UJ9QR0153_MO_GA_Otherservicesrevenuegrowth">"Deleted"</definedName>
    <definedName name="z_1UJ9QR0153_MO_GA_Restaurantsretailotherrevenuegrowth">Model!$8:$8</definedName>
    <definedName name="z_1UJ9QR0153_MO_GA_ServicesAdvertisingrevenuegrowth">Model!$7:$7</definedName>
    <definedName name="z_1UJ9QR0153_MO_GA_TotalRevenueGrowth">"Deleted"</definedName>
    <definedName name="z_1UJ9QR0153_MO_GA_Transactionsrevenuegrowth">"Deleted"</definedName>
    <definedName name="z_1UJ9QR0153_MO_Header_CompanySubTitle">Model!$2:$2</definedName>
    <definedName name="z_1UJ9QR0153_MO_Header_CompanyTitle">Model!$1:$1</definedName>
    <definedName name="z_1UJ9QR0153_MO_Header_HeaderRow">"Deleted"</definedName>
    <definedName name="z_1UJ9QR0153_MO_Header_HeaderRow_1">"Deleted"</definedName>
    <definedName name="z_1UJ9QR0153_MO_Header_HeaderRow_2">Model!$3:$3</definedName>
    <definedName name="z_1UJ9QR0153_MO_Header_HeaderRow_3">"Deleted"</definedName>
    <definedName name="z_1UJ9QR0153_MO_Header_HeaderRow_4">Model!$5:$5</definedName>
    <definedName name="z_1UJ9QR0153_MO_Header_QEndDate">Model!$4:$4</definedName>
    <definedName name="z_1UJ9QR0153_MO_IS_Accretionofredeemableconvertiblepreferredstock">Model!$174:$174</definedName>
    <definedName name="z_1UJ9QR0153_MO_IS_Benefitprovisionforincometaxes">Model!$172:$172</definedName>
    <definedName name="z_1UJ9QR0153_MO_IS_ContributiontoTheYelpFoundation">Model!$162:$162</definedName>
    <definedName name="z_1UJ9QR0153_MO_IS_Costofrevenueexclusiveofdepreciationandamortizationshownseparatelybelow">Model!$155:$155</definedName>
    <definedName name="z_1UJ9QR0153_MO_IS_Currenttax">Model!$170:$170</definedName>
    <definedName name="z_1UJ9QR0153_MO_IS_Deferredtax">Model!$171:$171</definedName>
    <definedName name="z_1UJ9QR0153_MO_IS_Depreciationandamortization">Model!$159:$159</definedName>
    <definedName name="z_1UJ9QR0153_MO_IS_Gainondisposalofbusinessunit">Model!$161:$161</definedName>
    <definedName name="z_1UJ9QR0153_MO_IS_Generalandadministrative">Model!$158:$158</definedName>
    <definedName name="z_1UJ9QR0153_MO_IS_Incomelossbeforeincometaxes">Model!$169:$169</definedName>
    <definedName name="z_1UJ9QR0153_MO_IS_Incomelossfromoperations">Model!$164:$164</definedName>
    <definedName name="z_1UJ9QR0153_MO_IS_Interestincome">Model!$165:$165</definedName>
    <definedName name="z_1UJ9QR0153_MO_IS_ISCheck">Model!$177:$177</definedName>
    <definedName name="z_1UJ9QR0153_MO_IS_Netincomeloss">Model!$173:$173</definedName>
    <definedName name="z_1UJ9QR0153_MO_IS_NetincomelossattributabletocommonstockholdersClassAandB">Model!$175:$175</definedName>
    <definedName name="z_1UJ9QR0153_MO_IS_Netrevenue">Model!$154:$154</definedName>
    <definedName name="z_1UJ9QR0153_MO_IS_Otherincomeexpense">Model!$168:$168</definedName>
    <definedName name="z_1UJ9QR0153_MO_IS_Othernonoperatingincome">Model!$167:$167</definedName>
    <definedName name="z_1UJ9QR0153_MO_IS_Productdevelopment">Model!$157:$157</definedName>
    <definedName name="z_1UJ9QR0153_MO_IS_Restructuringandintegration">Model!$160:$160</definedName>
    <definedName name="z_1UJ9QR0153_MO_IS_Salesandmarketing">Model!$156:$156</definedName>
    <definedName name="z_1UJ9QR0153_MO_IS_Totalcostsandexpenses">Model!$163:$163</definedName>
    <definedName name="z_1UJ9QR0153_MO_IS_Transactionlossgainonforeignexchange">Model!$166:$166</definedName>
    <definedName name="z_1UJ9QR0153_MO_MA_AddbackDAMargin">Model!$147:$147</definedName>
    <definedName name="z_1UJ9QR0153_MO_MA_AddbackOtherMargin">Model!$148:$148</definedName>
    <definedName name="z_1UJ9QR0153_MO_MA_AdjustedEBITDAMargin">Model!$150:$150</definedName>
    <definedName name="z_1UJ9QR0153_MO_MA_AdjustedEBITMargin">Model!$144:$144</definedName>
    <definedName name="z_1UJ9QR0153_MO_MA_AverageFXRate">Model!$424:$424</definedName>
    <definedName name="z_1UJ9QR0153_MO_MA_cogsincludingdaandsbcmargin">Model!$134:$134</definedName>
    <definedName name="z_1UJ9QR0153_MO_MA_COGSMargin_3">"Deleted"</definedName>
    <definedName name="z_1UJ9QR0153_MO_MA_ConsensusEstimatesAdjustedEBITDAMargin">Model!$151:$151</definedName>
    <definedName name="z_1UJ9QR0153_MO_MA_ConsensusEstimatesAdjustedEBITDAMargin_1">Model!$145:$145</definedName>
    <definedName name="z_1UJ9QR0153_MO_MA_ConsensusEstimatesGrossMargin">Model!$136:$136</definedName>
    <definedName name="z_1UJ9QR0153_MO_MA_DAMargin">Model!$141:$141</definedName>
    <definedName name="z_1UJ9QR0153_MO_MA_EBITDAMargin">Model!$149:$149</definedName>
    <definedName name="z_1UJ9QR0153_MO_MA_EBITMargin">Model!$143:$143</definedName>
    <definedName name="z_1UJ9QR0153_MO_MA_EnterpriseValueComponents">"Deleted"</definedName>
    <definedName name="z_1UJ9QR0153_MO_MA_EnterpriseValueEoP">"Deleted"</definedName>
    <definedName name="z_1UJ9QR0153_MO_MA_EoPFXRate">Model!$425:$425</definedName>
    <definedName name="z_1UJ9QR0153_MO_MA_EVEBITDAEoP">"Deleted"</definedName>
    <definedName name="z_1UJ9QR0153_MO_MA_FCFYieldtoEoPEnterpriseValue">"Deleted"</definedName>
    <definedName name="z_1UJ9QR0153_MO_MA_FCFYieldtoEoPMarketCap">"Deleted"</definedName>
    <definedName name="z_1UJ9QR0153_MO_MA_GAMargin_1">Model!$140:$140</definedName>
    <definedName name="z_1UJ9QR0153_MO_MA_GrossMargin_3">Model!$135:$135</definedName>
    <definedName name="z_1UJ9QR0153_MO_MA_MarketCapEoP">"Deleted"</definedName>
    <definedName name="z_1UJ9QR0153_MO_MA_NoncontrollingInterest">"Deleted"</definedName>
    <definedName name="z_1UJ9QR0153_MO_MA_OtherEVComponents">"Deleted"</definedName>
    <definedName name="z_1UJ9QR0153_MO_MA_OtherMargin">Model!$142:$142</definedName>
    <definedName name="z_1UJ9QR0153_MO_MA_PCFEoP">"Deleted"</definedName>
    <definedName name="z_1UJ9QR0153_MO_MA_PEEoP">"Deleted"</definedName>
    <definedName name="z_1UJ9QR0153_MO_MA_PreferredShares">"Deleted"</definedName>
    <definedName name="z_1UJ9QR0153_MO_MA_RDMargin_1">Model!$138:$138</definedName>
    <definedName name="z_1UJ9QR0153_MO_MA_SMMargin_1">Model!$139:$139</definedName>
    <definedName name="z_1UJ9QR0153_MO_MA_StockAverage">"Deleted"</definedName>
    <definedName name="z_1UJ9QR0153_MO_MA_StockEoP">Model!$423:$423</definedName>
    <definedName name="z_1UJ9QR0153_MO_MA_StockHigh">"Deleted"</definedName>
    <definedName name="z_1UJ9QR0153_MO_MA_StockLow">"Deleted"</definedName>
    <definedName name="z_1UJ9QR0153_MO_MA_StockPriceReportingCurEoP">Model!$410:$410</definedName>
    <definedName name="z_1UJ9QR0153_MO_MA_StockPriceTradingCurEoP">Model!$426:$426</definedName>
    <definedName name="z_1UJ9QR0153_MO_OS_Accountsreceivablenetofallowancefordoubtfulaccounts">Model!$574:$574</definedName>
    <definedName name="z_1UJ9QR0153_MO_OS_AccountsreceivablenetofallowancefordoubtfulaccountsYYChange">Model!$577:$577</definedName>
    <definedName name="z_1UJ9QR0153_MO_OS_Accruedliabilities">Model!$575:$575</definedName>
    <definedName name="z_1UJ9QR0153_MO_OS_AccruedliabilitiesYYChange">Model!$578:$578</definedName>
    <definedName name="z_1UJ9QR0153_MO_OS_ActiveClaimedLocalBusinessLocationsCumulative">Model!$48:$48</definedName>
    <definedName name="z_1UJ9QR0153_MO_OS_AdclicksYoYgrowth">Model!$56:$56</definedName>
    <definedName name="z_1UJ9QR0153_MO_OS_Additionofrepurchasesauthorized_3">Model!$356:$356</definedName>
    <definedName name="z_1UJ9QR0153_MO_OS_Additionofrepurchasesauthorizedmonth1">Model!$353:$353</definedName>
    <definedName name="z_1UJ9QR0153_MO_OS_Additionofrepurchasesauthorizedmonth2">Model!$354:$354</definedName>
    <definedName name="z_1UJ9QR0153_MO_OS_Additionofrepurchasesauthorizedmonth3">Model!$355:$355</definedName>
    <definedName name="z_1UJ9QR0153_MO_OS_Advertisingexpense">Model!$91:$91</definedName>
    <definedName name="z_1UJ9QR0153_MO_OS_AdvertisingexpensesasaofSM">Model!$93:$93</definedName>
    <definedName name="z_1UJ9QR0153_MO_OS_Advertisingrevenue">"Deleted"</definedName>
    <definedName name="z_1UJ9QR0153_MO_OS_AdvertisingRevenueperLocationpermonth">"Deleted"</definedName>
    <definedName name="z_1UJ9QR0153_MO_OS_AdvertisingRevenueperLocationpermonthgrowth">"Deleted"</definedName>
    <definedName name="z_1UJ9QR0153_MO_OS_AdvertisingRevenueperLocations">Model!$39:$39</definedName>
    <definedName name="z_1UJ9QR0153_MO_OS_AdvertisingRevenueperLocationsgrowth">Model!$43:$43</definedName>
    <definedName name="z_1UJ9QR0153_MO_OS_Allothercountriesrevenue">Model!$82:$82</definedName>
    <definedName name="z_1UJ9QR0153_MO_OS_Appuniquedevices">Model!$51:$51</definedName>
    <definedName name="z_1UJ9QR0153_MO_OS_AverageCPCYoYgrowth">Model!$57:$57</definedName>
    <definedName name="z_1UJ9QR0153_MO_OS_AveragePayingAdvertisingLocations">Model!$35:$35</definedName>
    <definedName name="z_1UJ9QR0153_MO_OS_Averagepriceofsharesrepurchasedcalculated">Model!$346:$346</definedName>
    <definedName name="z_1UJ9QR0153_MO_OS_Averagepriceofsharesrepurchasedmonth1">Model!$343:$343</definedName>
    <definedName name="z_1UJ9QR0153_MO_OS_Averagepriceofsharesrepurchasedmonth2">Model!$344:$344</definedName>
    <definedName name="z_1UJ9QR0153_MO_OS_Averagepriceofsharesrepurchasedmonth3">Model!$345:$345</definedName>
    <definedName name="z_1UJ9QR0153_MO_OS_AverageRestaurantsRetailOtherAdvertisingLocations">Model!$34:$34</definedName>
    <definedName name="z_1UJ9QR0153_MO_OS_AverageServicesAdvertisingLocations">Model!$33:$33</definedName>
    <definedName name="z_1UJ9QR0153_MO_OS_BeautyFitnessrevenue">Model!$64:$64</definedName>
    <definedName name="z_1UJ9QR0153_MO_OS_BeautyFitnessrevenue_1">Model!$73:$73</definedName>
    <definedName name="z_1UJ9QR0153_MO_OS_BoPTotalStockOptionsOutstanding">Model!$294:$294</definedName>
    <definedName name="z_1UJ9QR0153_MO_OS_BoPWeightedAverageExercisePrice">Model!$306:$306</definedName>
    <definedName name="z_1UJ9QR0153_MO_OS_Brandadvertisingrevenue">Model!$20:$20</definedName>
    <definedName name="z_1UJ9QR0153_MO_OS_brandadvertisingrevenuegrowth">Model!$11:$11</definedName>
    <definedName name="z_1UJ9QR0153_MO_OS_CanalystCoverPageFullyDilutedSharesOutstanding">Model!$336:$336</definedName>
    <definedName name="z_1UJ9QR0153_MO_OS_CanalystEoPFullyDilutedSharesOutstanding">Model!$329:$329</definedName>
    <definedName name="z_1UJ9QR0153_MO_OS_CanceledExpiredorForfeitedAverageExercisePrice">Model!$309:$309</definedName>
    <definedName name="z_1UJ9QR0153_MO_OS_CanceledExpiredorForfeitedStockOptions">Model!$297:$297</definedName>
    <definedName name="z_1UJ9QR0153_MO_OS_ClaimedLocalBusinessLocationsCumulative">Model!$47:$47</definedName>
    <definedName name="z_1UJ9QR0153_MO_OS_ClassAcommonstockoutstandingEoP">Model!$271:$271</definedName>
    <definedName name="z_1UJ9QR0153_MO_OS_ClassAequivalentcommonstockoutstandingEoP">Model!$273:$273</definedName>
    <definedName name="z_1UJ9QR0153_MO_OS_ClassBcommonstockoutstandingEoP">Model!$272:$272</definedName>
    <definedName name="z_1UJ9QR0153_MO_OS_ClassBtoClassAconversionratio">Model!$269:$269</definedName>
    <definedName name="z_1UJ9QR0153_MO_OS_COGSChangeAdvertisingfulfillment">Model!$97:$97</definedName>
    <definedName name="z_1UJ9QR0153_MO_OS_COGSChangeConfirmationservicesand3rdpartydeliverycosts">Model!$100:$100</definedName>
    <definedName name="z_1UJ9QR0153_MO_OS_COGSChangeDiscrepancy">Model!$102:$102</definedName>
    <definedName name="z_1UJ9QR0153_MO_OS_COGSChangeMerchantfees">Model!$99:$99</definedName>
    <definedName name="z_1UJ9QR0153_MO_OS_COGSChangeSetupandcreativedesigncosts">Model!$101:$101</definedName>
    <definedName name="z_1UJ9QR0153_MO_OS_COGSChangeWebsiteinfrastructureexpenses">Model!$98:$98</definedName>
    <definedName name="z_1UJ9QR0153_MO_OS_CoverPageClassACommonStockOutstanding">Model!$331:$331</definedName>
    <definedName name="z_1UJ9QR0153_MO_OS_CoverPageClassAEquivalentCommonStockOutstandingcalculated">Model!$333:$333</definedName>
    <definedName name="z_1UJ9QR0153_MO_OS_CoverPageClassBCommonStockOutstanding">Model!$332:$332</definedName>
    <definedName name="z_1UJ9QR0153_MO_OS_CumulativeBoPTotalStockOptionsOutstanding">Model!$288:$288</definedName>
    <definedName name="z_1UJ9QR0153_MO_OS_CumulativeBoPWeightedAverageExercisePrice">Model!$300:$300</definedName>
    <definedName name="z_1UJ9QR0153_MO_OS_CumulativeCanceledExpiredorForfeitedStockOptions">Model!$291:$291</definedName>
    <definedName name="z_1UJ9QR0153_MO_OS_CumulativeCanceledExpiredorForfeitedStockOptions_1">Model!$303:$303</definedName>
    <definedName name="z_1UJ9QR0153_MO_OS_CumulativeEoPTotalStockOptionsOutstanding">Model!$292:$292</definedName>
    <definedName name="z_1UJ9QR0153_MO_OS_CumulativeEoPWeightedAverageExercisePrice">Model!$304:$304</definedName>
    <definedName name="z_1UJ9QR0153_MO_OS_CumulativeExercisedAverageExercisePrice">Model!$302:$302</definedName>
    <definedName name="z_1UJ9QR0153_MO_OS_CumulativeExercisedStockOptions">Model!$290:$290</definedName>
    <definedName name="z_1UJ9QR0153_MO_OS_CumulativeGrantedAverageExercisePrice">Model!$301:$301</definedName>
    <definedName name="z_1UJ9QR0153_MO_OS_CumulativeGrantedStockOptions">Model!$289:$289</definedName>
    <definedName name="z_1UJ9QR0153_MO_OS_CurrentCOGS">Model!$103:$103</definedName>
    <definedName name="z_1UJ9QR0153_MO_OS_CurrentGA">Model!$131:$131</definedName>
    <definedName name="z_1UJ9QR0153_MO_OS_CurrentRD">Model!$120:$120</definedName>
    <definedName name="z_1UJ9QR0153_MO_OS_CurrentSM">Model!$112:$112</definedName>
    <definedName name="z_1UJ9QR0153_MO_OS_DateofCoverPageShareCount">Model!$334:$334</definedName>
    <definedName name="z_1UJ9QR0153_MO_OS_Desktopuniquevisitors">"Deleted"</definedName>
    <definedName name="z_1UJ9QR0153_MO_OS_Desktopuniquevisitors_1">Model!$52:$52</definedName>
    <definedName name="z_1UJ9QR0153_MO_OS_Dilutedsharecounttobasicsharecountratio">Model!$284:$284</definedName>
    <definedName name="z_1UJ9QR0153_MO_OS_DilutiveShares">Model!$283:$283</definedName>
    <definedName name="z_1UJ9QR0153_MO_OS_DilutiveSharesFromExercisedOptionstreasurymethod">Model!$311:$311</definedName>
    <definedName name="z_1UJ9QR0153_MO_OS_Discrepanciesduetotherounding">"Deleted"</definedName>
    <definedName name="z_1UJ9QR0153_MO_OS_Discrepanciesduetotherounding_1">"Deleted"</definedName>
    <definedName name="z_1UJ9QR0153_MO_OS_Disrepanciesduetotherounding">Model!$68:$68</definedName>
    <definedName name="z_1UJ9QR0153_MO_OS_Disrepanciesduetotherounding_1">Model!$77:$77</definedName>
    <definedName name="z_1UJ9QR0153_MO_OS_EndofPeriodStockPrice">Model!$267:$267</definedName>
    <definedName name="z_1UJ9QR0153_MO_OS_EoPClassACommonStockOutstanding">"Deleted"</definedName>
    <definedName name="z_1UJ9QR0153_MO_OS_EoPClassAEquivalentCommonStockOutstanding">"Deleted"</definedName>
    <definedName name="z_1UJ9QR0153_MO_OS_EoPClassAEquivalentCommonStockOutstandingexclunvestedRSAs">Model!$275:$275</definedName>
    <definedName name="z_1UJ9QR0153_MO_OS_EoPClassBCommonStockOutstanding">"Deleted"</definedName>
    <definedName name="z_1UJ9QR0153_MO_OS_EoPESPP1Obligations">Model!$319:$319</definedName>
    <definedName name="z_1UJ9QR0153_MO_OS_EoPOthers">Model!$325:$325</definedName>
    <definedName name="z_1UJ9QR0153_MO_OS_EoPPotentiallyDilutiveSecurities">Model!$327:$327</definedName>
    <definedName name="z_1UJ9QR0153_MO_OS_EoPTotalDilutedCommonStockOutstanding">Model!$286:$286</definedName>
    <definedName name="z_1UJ9QR0153_MO_OS_EoPTotalStockOptionsExercisable">Model!$313:$313</definedName>
    <definedName name="z_1UJ9QR0153_MO_OS_EoPTotalStockOptionsOutstanding">Model!$298:$298</definedName>
    <definedName name="z_1UJ9QR0153_MO_OS_EoPUnvestedRSAs">Model!$274:$274</definedName>
    <definedName name="z_1UJ9QR0153_MO_OS_EoPUnvestedRSAs_1">"Deleted"</definedName>
    <definedName name="z_1UJ9QR0153_MO_OS_EoPUnvestedRSAs_2">Model!$323:$323</definedName>
    <definedName name="z_1UJ9QR0153_MO_OS_EoPUnvestedRSAsPrice">Model!$324:$324</definedName>
    <definedName name="z_1UJ9QR0153_MO_OS_EoPUnvestedRSUs">Model!$316:$316</definedName>
    <definedName name="z_1UJ9QR0153_MO_OS_EoPUnvestedRSUsPrice">Model!$317:$317</definedName>
    <definedName name="z_1UJ9QR0153_MO_OS_EoPWeightedAverageExercisableOptionExercisePrice">Model!$314:$314</definedName>
    <definedName name="z_1UJ9QR0153_MO_OS_EoPWeightedAverageExercisePrice">Model!$310:$310</definedName>
    <definedName name="z_1UJ9QR0153_MO_OS_ExercisedAverageExercisePrice">Model!$308:$308</definedName>
    <definedName name="z_1UJ9QR0153_MO_OS_ExercisedStockOptions">Model!$296:$296</definedName>
    <definedName name="z_1UJ9QR0153_MO_OS_GAChangeDiscrepancy">Model!$130:$130</definedName>
    <definedName name="z_1UJ9QR0153_MO_OS_GAChangeEmployeescostsconsultingcostsandfacilities">Model!$124:$124</definedName>
    <definedName name="z_1UJ9QR0153_MO_OS_GAChangeFacilities">Model!$128:$128</definedName>
    <definedName name="z_1UJ9QR0153_MO_OS_GAChangeFeesrelatedtoshareholdersactivism">Model!$123:$123</definedName>
    <definedName name="z_1UJ9QR0153_MO_OS_GAChangeImpairmentcharges">Model!$126:$126</definedName>
    <definedName name="z_1UJ9QR0153_MO_OS_GAChangelegalfees">Model!$127:$127</definedName>
    <definedName name="z_1UJ9QR0153_MO_OS_GAChangeLitigationsettlementexpense">Model!$129:$129</definedName>
    <definedName name="z_1UJ9QR0153_MO_OS_GAChangeProvisionfordoubtfulaccounts">Model!$125:$125</definedName>
    <definedName name="z_1UJ9QR0153_MO_OS_GrantedAverageExercisePrice">Model!$307:$307</definedName>
    <definedName name="z_1UJ9QR0153_MO_OS_GrantedStockOptions">Model!$295:$295</definedName>
    <definedName name="z_1UJ9QR0153_MO_OS_Healthrevenue">Model!$65:$65</definedName>
    <definedName name="z_1UJ9QR0153_MO_OS_Healthrevenue_1">Model!$74:$74</definedName>
    <definedName name="z_1UJ9QR0153_MO_OS_HomeLocalrevenue">Model!$62:$62</definedName>
    <definedName name="z_1UJ9QR0153_MO_OS_HomeLocalrevenue_1">Model!$71:$71</definedName>
    <definedName name="z_1UJ9QR0153_MO_OS_LastWorkingDay">Model!$266:$266</definedName>
    <definedName name="z_1UJ9QR0153_MO_OS_localadvertisingaccounts">Model!$49:$49</definedName>
    <definedName name="z_1UJ9QR0153_MO_OS_localadvertisingrevenue">Model!$18:$18</definedName>
    <definedName name="z_1UJ9QR0153_MO_OS_localadvertisingrevenuegrowth">Model!$9:$9</definedName>
    <definedName name="z_1UJ9QR0153_MO_OS_Mobilewebsiteuniquevisitors">"Deleted"</definedName>
    <definedName name="z_1UJ9QR0153_MO_OS_Mobilewebsiteuniquevisitors_1">Model!$53:$53</definedName>
    <definedName name="z_1UJ9QR0153_MO_OS_Numberofsharesrepurchased_3">Model!$341:$341</definedName>
    <definedName name="z_1UJ9QR0153_MO_OS_Numberofsharesrepurchasedmonth1">Model!$338:$338</definedName>
    <definedName name="z_1UJ9QR0153_MO_OS_Numberofsharesrepurchasedmonth2">Model!$339:$339</definedName>
    <definedName name="z_1UJ9QR0153_MO_OS_Numberofsharesrepurchasedmonth3">Model!$340:$340</definedName>
    <definedName name="z_1UJ9QR0153_MO_OS_Otheremployees">Model!$87:$87</definedName>
    <definedName name="z_1UJ9QR0153_MO_OS_Otherrevenue">Model!$67:$67</definedName>
    <definedName name="z_1UJ9QR0153_MO_OS_Otherrevenue_1">Model!$76:$76</definedName>
    <definedName name="z_1UJ9QR0153_MO_OS_Otherservicesrevenue">Model!$21:$21</definedName>
    <definedName name="z_1UJ9QR0153_MO_OS_Otherservicesrevenuegrowth">Model!$12:$12</definedName>
    <definedName name="z_1UJ9QR0153_MO_OS_PayingAdvertisingAccounts">"Deleted"</definedName>
    <definedName name="z_1UJ9QR0153_MO_OS_PayingAdvertisingLocations">Model!$27:$27</definedName>
    <definedName name="z_1UJ9QR0153_MO_OS_PayingAdvertisingLocationsgrowth">Model!$31:$31</definedName>
    <definedName name="z_1UJ9QR0153_MO_OS_PreviousCOGS">Model!$96:$96</definedName>
    <definedName name="z_1UJ9QR0153_MO_OS_PreviousGA">Model!$122:$122</definedName>
    <definedName name="z_1UJ9QR0153_MO_OS_PreviousRD">Model!$114:$114</definedName>
    <definedName name="z_1UJ9QR0153_MO_OS_PreviousSM">Model!$105:$105</definedName>
    <definedName name="z_1UJ9QR0153_MO_OS_QQbasicshareexpansionEoP">Model!$280:$280</definedName>
    <definedName name="z_1UJ9QR0153_MO_OS_QQbasicshareexpansionfromdilutivesecurities">Model!$276:$276</definedName>
    <definedName name="z_1UJ9QR0153_MO_OS_QQbasicshareexpansionfromshareissuancebuyback">Model!$278:$278</definedName>
    <definedName name="z_1UJ9QR0153_MO_OS_RDChangeDiscrepancy">Model!$119:$119</definedName>
    <definedName name="z_1UJ9QR0153_MO_OS_RDChangeEmployeecosts">Model!$115:$115</definedName>
    <definedName name="z_1UJ9QR0153_MO_OS_RDChangeFacilitiesinsurancebusinesstaxes">Model!$117:$117</definedName>
    <definedName name="z_1UJ9QR0153_MO_OS_RDChangeOutsideconsultantcosts">Model!$118:$118</definedName>
    <definedName name="z_1UJ9QR0153_MO_OS_RDChangeWorkplaceoperatingcosts">Model!$116:$116</definedName>
    <definedName name="z_1UJ9QR0153_MO_OS_Remainingdollarvalueunderrepurchaseprogram_3">Model!$361:$361</definedName>
    <definedName name="z_1UJ9QR0153_MO_OS_Remainingdollarvalueunderrepurchaseprogrammonth1">Model!$358:$358</definedName>
    <definedName name="z_1UJ9QR0153_MO_OS_Remainingdollarvalueunderrepurchaseprogrammonth2">Model!$359:$359</definedName>
    <definedName name="z_1UJ9QR0153_MO_OS_Remainingdollarvalueunderrepurchaseprogrammonth3">Model!$360:$360</definedName>
    <definedName name="z_1UJ9QR0153_MO_OS_RepeatRate">Model!$59:$59</definedName>
    <definedName name="z_1UJ9QR0153_MO_OS_Repurchasedollarvalue_3">Model!$351:$351</definedName>
    <definedName name="z_1UJ9QR0153_MO_OS_Repurchasedollarvaluemonth1">Model!$348:$348</definedName>
    <definedName name="z_1UJ9QR0153_MO_OS_Repurchasedollarvaluemonth2">Model!$349:$349</definedName>
    <definedName name="z_1UJ9QR0153_MO_OS_Repurchasedollarvaluemonth3">Model!$350:$350</definedName>
    <definedName name="z_1UJ9QR0153_MO_OS_RestaurantsRetailOtherAdvertisingLocations">Model!$26:$26</definedName>
    <definedName name="z_1UJ9QR0153_MO_OS_RestaurantsRetailOtherAdvertisingLocationsgrowth">Model!$30:$30</definedName>
    <definedName name="z_1UJ9QR0153_MO_OS_Restaurantsretailotherrevenue">Model!$17:$17</definedName>
    <definedName name="z_1UJ9QR0153_MO_OS_RestaurantsRetailOtherRevenueperLocationpermonth">Model!$38:$38</definedName>
    <definedName name="z_1UJ9QR0153_MO_OS_RestaurantsRetailOtherRevenueperLocationpermonthgrowth">Model!$42:$42</definedName>
    <definedName name="z_1UJ9QR0153_MO_OS_Restaurantsrevenue">Model!$63:$63</definedName>
    <definedName name="z_1UJ9QR0153_MO_OS_Restaurantsrevenue_1">Model!$72:$72</definedName>
    <definedName name="z_1UJ9QR0153_MO_OS_reviews">Model!$46:$46</definedName>
    <definedName name="z_1UJ9QR0153_MO_OS_Reviewscumulative">"Deleted"</definedName>
    <definedName name="z_1UJ9QR0153_MO_OS_Salesemployees">Model!$86:$86</definedName>
    <definedName name="z_1UJ9QR0153_MO_OS_ServicesAdvertisingLocations">Model!$25:$25</definedName>
    <definedName name="z_1UJ9QR0153_MO_OS_ServicesAdvertisingLocationsgrowth">Model!$29:$29</definedName>
    <definedName name="z_1UJ9QR0153_MO_OS_ServicesAdvertisingrevenue">Model!$16:$16</definedName>
    <definedName name="z_1UJ9QR0153_MO_OS_ServicesRevenueperLocationpermonth">Model!$37:$37</definedName>
    <definedName name="z_1UJ9QR0153_MO_OS_ServicesRevenueperLocationpermonthgrowth">Model!$41:$41</definedName>
    <definedName name="z_1UJ9QR0153_MO_OS_Shoppingrevenue">Model!$66:$66</definedName>
    <definedName name="z_1UJ9QR0153_MO_OS_Shoppingrevenue_1">Model!$75:$75</definedName>
    <definedName name="z_1UJ9QR0153_MO_OS_SMChangeAdvertisingcosts">Model!$110:$110</definedName>
    <definedName name="z_1UJ9QR0153_MO_OS_SMChangeCommissionexpenses">Model!$109:$109</definedName>
    <definedName name="z_1UJ9QR0153_MO_OS_SMChangeDiscrepancy">Model!$111:$111</definedName>
    <definedName name="z_1UJ9QR0153_MO_OS_SMChangeEmployeescosts">Model!$106:$106</definedName>
    <definedName name="z_1UJ9QR0153_MO_OS_SMChangeFacilitiescosts">Model!$108:$108</definedName>
    <definedName name="z_1UJ9QR0153_MO_OS_SMChangeWorkplaceoperatingcosts">Model!$107:$107</definedName>
    <definedName name="z_1UJ9QR0153_MO_OS_Totalemployees">Model!$88:$88</definedName>
    <definedName name="z_1UJ9QR0153_MO_OS_Totalrevenue">Model!$22:$22</definedName>
    <definedName name="z_1UJ9QR0153_MO_OS_Totalrevenue_1">Model!$69:$69</definedName>
    <definedName name="z_1UJ9QR0153_MO_OS_Totalrevenue_2">Model!$78:$78</definedName>
    <definedName name="z_1UJ9QR0153_MO_OS_Totalrevenue_3">Model!$83:$83</definedName>
    <definedName name="z_1UJ9QR0153_MO_OS_TotalRevenueGrowth">Model!$13:$13</definedName>
    <definedName name="z_1UJ9QR0153_MO_OS_Transactionsrevenue">Model!$19:$19</definedName>
    <definedName name="z_1UJ9QR0153_MO_OS_transactionsrevenuegrowth">Model!$10:$10</definedName>
    <definedName name="z_1UJ9QR0153_MO_OS_uniquetraffic">Model!$54:$54</definedName>
    <definedName name="z_1UJ9QR0153_MO_OS_UniqueTrafficvisitors">"Deleted"</definedName>
    <definedName name="z_1UJ9QR0153_MO_OS_UnitesStatesrevenue">Model!$81:$81</definedName>
    <definedName name="z_1UJ9QR0153_MO_OS_WeightedAverageESPPObligations_2">Model!$321:$321</definedName>
    <definedName name="z_1UJ9QR0153_MO_OS_WeightedAverageESPPObligationsantidilutive">"Deleted"</definedName>
    <definedName name="z_1UJ9QR0153_MO_OS_WeightedAverageESPPObligationsdilutive">Model!$320:$320</definedName>
    <definedName name="z_1UJ9QR0153_MO_OS_YYbasicshareexpansionEoP">Model!$281:$281</definedName>
    <definedName name="z_1UJ9QR0153_MO_OS_YYbasicshareexpansionfromdilutivesecurities">Model!$277:$277</definedName>
    <definedName name="z_1UJ9QR0153_MO_OS_YYbasicshareexpansionfromshareissuancebuyback">Model!$279:$279</definedName>
    <definedName name="z_1UJ9QR0153_MO_OS_YYgrowthinAdvertisingexpense">Model!$92:$92</definedName>
    <definedName name="z_1UJ9QR0153_MO_RIS_AddbackOther">Model!$230:$230</definedName>
    <definedName name="z_1UJ9QR0153_MO_RIS_AdjustedEarningsPerShareWAD">Model!$258:$258</definedName>
    <definedName name="z_1UJ9QR0153_MO_RIS_AdjustedEBIT_1">Model!$226:$226</definedName>
    <definedName name="z_1UJ9QR0153_MO_RIS_AdjustedEBITDA">Model!$232:$232</definedName>
    <definedName name="z_1UJ9QR0153_MO_RIS_AdjustedNetIncome">Model!$251:$251</definedName>
    <definedName name="z_1UJ9QR0153_MO_RIS_AdjustedSharesOutstandingWAD">Model!$263:$263</definedName>
    <definedName name="z_1UJ9QR0153_MO_RIS_AdjustmentsforConvertibleSecurities">Model!$247:$247</definedName>
    <definedName name="z_1UJ9QR0153_MO_RIS_COGS_1">Model!$217:$217</definedName>
    <definedName name="z_1UJ9QR0153_MO_RIS_ConsensusEstimatesAdjustedEarningsPerShareWAD">Model!$259:$259</definedName>
    <definedName name="z_1UJ9QR0153_MO_RIS_ConsensusEstimatesAdjustedEBIT_1">Model!$227:$227</definedName>
    <definedName name="z_1UJ9QR0153_MO_RIS_ConsensusEstimatesAdjustedEBITDA">Model!$233:$233</definedName>
    <definedName name="z_1UJ9QR0153_MO_RIS_ConsensusEstimatesNetRevenue">Model!$215:$215</definedName>
    <definedName name="z_1UJ9QR0153_MO_RIS_Currenttax">Model!$240:$240</definedName>
    <definedName name="z_1UJ9QR0153_MO_RIS_Currenttaxrate">Model!$253:$253</definedName>
    <definedName name="z_1UJ9QR0153_MO_RIS_DA_1">Model!$223:$223</definedName>
    <definedName name="z_1UJ9QR0153_MO_RIS_DAincludedinoperatingexpenses">Model!$229:$229</definedName>
    <definedName name="z_1UJ9QR0153_MO_RIS_Deferredtax">Model!$241:$241</definedName>
    <definedName name="z_1UJ9QR0153_MO_RIS_Deferredtaxrate">Model!$254:$254</definedName>
    <definedName name="z_1UJ9QR0153_MO_RIS_DilutedNetIncometoCommonShareholders">Model!$248:$248</definedName>
    <definedName name="z_1UJ9QR0153_MO_RIS_DiscontinuedOperations">Model!$243:$243</definedName>
    <definedName name="z_1UJ9QR0153_MO_RIS_EarningsPerShareWAB">Model!$256:$256</definedName>
    <definedName name="z_1UJ9QR0153_MO_RIS_EarningsPerShareWAD">Model!$257:$257</definedName>
    <definedName name="z_1UJ9QR0153_MO_RIS_EBIT">Model!$225:$225</definedName>
    <definedName name="z_1UJ9QR0153_MO_RIS_EBIT_1">"Deleted"</definedName>
    <definedName name="z_1UJ9QR0153_MO_RIS_EBITDA_1">Model!$231:$231</definedName>
    <definedName name="z_1UJ9QR0153_MO_RIS_EBT">Model!$238:$238</definedName>
    <definedName name="z_1UJ9QR0153_MO_RIS_GA_1">Model!$222:$222</definedName>
    <definedName name="z_1UJ9QR0153_MO_RIS_GrossProfit">Model!$218:$218</definedName>
    <definedName name="z_1UJ9QR0153_MO_RIS_Interestexpense">Model!$235:$235</definedName>
    <definedName name="z_1UJ9QR0153_MO_RIS_NetIncomefromContinuedOperation">Model!$242:$242</definedName>
    <definedName name="z_1UJ9QR0153_MO_RIS_NetIncometoCommonShareholders">Model!$246:$246</definedName>
    <definedName name="z_1UJ9QR0153_MO_RIS_NetIncometoNCI">Model!$244:$244</definedName>
    <definedName name="z_1UJ9QR0153_MO_RIS_NetRevenue">Model!$214:$214</definedName>
    <definedName name="z_1UJ9QR0153_MO_RIS_NonGAAPAdjustments">Model!$249:$249</definedName>
    <definedName name="z_1UJ9QR0153_MO_RIS_NonGAAPAdjustmentsforDilutiveSecurities">Model!$250:$250</definedName>
    <definedName name="z_1UJ9QR0153_MO_RIS_Onetimeitem">Model!$237:$237</definedName>
    <definedName name="z_1UJ9QR0153_MO_RIS_Other_1">Model!$224:$224</definedName>
    <definedName name="z_1UJ9QR0153_MO_RIS_Otheritems">Model!$236:$236</definedName>
    <definedName name="z_1UJ9QR0153_MO_RIS_Preferredstockdividends">Model!$245:$245</definedName>
    <definedName name="z_1UJ9QR0153_MO_RIS_RD_1">Model!$220:$220</definedName>
    <definedName name="z_1UJ9QR0153_MO_RIS_SharesOutstandingWAB">Model!$261:$261</definedName>
    <definedName name="z_1UJ9QR0153_MO_RIS_SharesOutstandingWAD">Model!$262:$262</definedName>
    <definedName name="z_1UJ9QR0153_MO_RIS_SM_1">Model!$221:$221</definedName>
    <definedName name="z_1UJ9QR0153_MO_Section_AN_AdjustedNumbers">Model!$179:$179</definedName>
    <definedName name="z_1UJ9QR0153_MO_Section_AN_AdjustedNumbersAsReported">"Deleted"</definedName>
    <definedName name="z_1UJ9QR0153_MO_Section_BS_BalanceSheet">Model!$602:$602</definedName>
    <definedName name="z_1UJ9QR0153_MO_Section_BS_ModelChecks">Model!$654:$654</definedName>
    <definedName name="z_1UJ9QR0153_MO_Section_BSS_BalanceSheetSummary">Model!$390:$390</definedName>
    <definedName name="z_1UJ9QR0153_MO_Section_CCFS_CumulativeCashFlowStatement">Model!$433:$433</definedName>
    <definedName name="z_1UJ9QR0153_MO_Section_CFS_CashFlowStatement">Model!$502:$502</definedName>
    <definedName name="z_1UJ9QR0153_MO_Section_CFSum_CashFlowSummary">Model!$363:$363</definedName>
    <definedName name="z_1UJ9QR0153_MO_Section_DAF_DAForecasting">Model!$580:$580</definedName>
    <definedName name="z_1UJ9QR0153_MO_Section_GA_GrowthAnalysis">Model!$6:$6</definedName>
    <definedName name="z_1UJ9QR0153_MO_Section_IS_IncomeStatement">Model!$153:$153</definedName>
    <definedName name="z_1UJ9QR0153_MO_Section_IS_IncomeStatementAsReported">"Deleted"</definedName>
    <definedName name="z_1UJ9QR0153_MO_Section_MA_MarginAnalysis">Model!$133:$133</definedName>
    <definedName name="z_1UJ9QR0153_MO_Section_MA_Valuation">"Deleted"</definedName>
    <definedName name="z_1UJ9QR0153_MO_Section_OS_KeyMetricsDashboardMetricsFS">Model!$90:$90</definedName>
    <definedName name="z_1UJ9QR0153_MO_Section_OS_KeyMetricsEmployeesPR">Model!$85:$85</definedName>
    <definedName name="z_1UJ9QR0153_MO_Section_OS_KeyMetricsOtherMDA">"Deleted"</definedName>
    <definedName name="z_1UJ9QR0153_MO_Section_OS_KeyMetricsVerticalRevenueBreakdownSupplementalDataSheet">"Deleted"</definedName>
    <definedName name="z_1UJ9QR0153_MO_Section_OS_KeyMetricsVisitorsandAccountsMDA">Model!$45:$45</definedName>
    <definedName name="z_1UJ9QR0153_MO_Section_OS_KeyMetricsYYCostGranularityFS">Model!$95:$95</definedName>
    <definedName name="z_1UJ9QR0153_MO_Section_OS_OperatingStatsPayingAdvertisingLocationsMDA">Model!$24:$24</definedName>
    <definedName name="z_1UJ9QR0153_MO_Section_OS_SegmentedResultsGeographicBreakdownFS">Model!$80:$80</definedName>
    <definedName name="z_1UJ9QR0153_MO_Section_OS_SegmentedResultsRevenueBreakdownFS">Model!$15:$15</definedName>
    <definedName name="z_1UJ9QR0153_MO_Section_OS_SegmentedResultsVerticalRevenueBreakdownSupplementalDataSheet">Model!$61:$61</definedName>
    <definedName name="z_1UJ9QR0153_MO_Section_OS_ShareCountAnalysis">Model!$265:$265</definedName>
    <definedName name="z_1UJ9QR0153_MO_Section_OS_WorkingCapitalForecasting">Model!$573:$573</definedName>
    <definedName name="z_1UJ9QR0153_MO_Section_RIS_RevisedIncomeStatement">Model!$213:$213</definedName>
    <definedName name="z_1UJ9QR0153_MO_Section_SNA_Canalyst">Model!$789:$789</definedName>
    <definedName name="z_1UJ9QR0153_MO_Section_SNA_ModelChecks">"Deleted"</definedName>
    <definedName name="z_1UJ9QR0153_MO_Section_SNA_OtherTables">"Deleted"</definedName>
    <definedName name="z_1UJ9QR0153_MO_Section_TB_Tables">Model!$677:$677</definedName>
    <definedName name="z_1UJ9QR0153_MO_Section_VA_Valuation">Model!$409:$409</definedName>
    <definedName name="z_1UJ9QR0153_MO_SubSection_BS_CurrentAssets">"Deleted"</definedName>
    <definedName name="z_1UJ9QR0153_MO_SubSection_BS_CurrentLiabilities">"Deleted"</definedName>
    <definedName name="z_1UJ9QR0153_MO_SubSection_BS_NonCurrentAssets">"Deleted"</definedName>
    <definedName name="z_1UJ9QR0153_MO_SubSection_BS_NonCurrentLiabilities">"Deleted"</definedName>
    <definedName name="z_1UJ9QR0153_MO_SubSection_BS_ShareholdersEquity">"Deleted"</definedName>
    <definedName name="z_1UJ9QR0153_MO_SubSection_CCFS_CFF">Model!$478:$478</definedName>
    <definedName name="z_1UJ9QR0153_MO_SubSection_CCFS_CFI">Model!$460:$460</definedName>
    <definedName name="z_1UJ9QR0153_MO_SubSection_CCFS_CFO">Model!$434:$434</definedName>
    <definedName name="z_1UJ9QR0153_MO_SubSection_CFS_CFF">Model!$547:$547</definedName>
    <definedName name="z_1UJ9QR0153_MO_SubSection_CFS_CFI">Model!$529:$529</definedName>
    <definedName name="z_1UJ9QR0153_MO_SubSection_CFS_CFO">Model!$503:$503</definedName>
    <definedName name="z_1UJ9QR0153_MO_Unstructured_SNA_AdjustedEarningsPerShareWAD">Model!$695:$695</definedName>
    <definedName name="z_1UJ9QR0153_MO_Unstructured_SNA_AdjustedEBITDA">Model!$694:$694</definedName>
    <definedName name="z_1UJ9QR0153_MO_Unstructured_SNA_AnnualGuidanceTable">Model!$717:$717</definedName>
    <definedName name="z_1UJ9QR0153_MO_Unstructured_SNA_ApplicablePeriod">Model!$714:$714</definedName>
    <definedName name="z_1UJ9QR0153_MO_Unstructured_SNA_ApplicablePeriod_1">Model!$720:$720</definedName>
    <definedName name="z_1UJ9QR0153_MO_Unstructured_SNA_ApplyTradeCurrencyScaling">Model!$776:$776</definedName>
    <definedName name="z_1UJ9QR0153_MO_Unstructured_SNA_Avg">Model!$689:$689</definedName>
    <definedName name="z_1UJ9QR0153_MO_Unstructured_SNA_Bloomberg">Model!$740:$740</definedName>
    <definedName name="z_1UJ9QR0153_MO_Unstructured_SNA_Bloomberg_1">Model!$747:$747</definedName>
    <definedName name="z_1UJ9QR0153_MO_Unstructured_SNA_Bloomberg_2">Model!$754:$754</definedName>
    <definedName name="z_1UJ9QR0153_MO_Unstructured_SNA_Bloomberg_3">Model!$761:$761</definedName>
    <definedName name="z_1UJ9QR0153_MO_Unstructured_SNA_CapitalIQ">Model!$741:$741</definedName>
    <definedName name="z_1UJ9QR0153_MO_Unstructured_SNA_CapitalIQ_1">Model!$748:$748</definedName>
    <definedName name="z_1UJ9QR0153_MO_Unstructured_SNA_CapitalIQ_2">Model!$755:$755</definedName>
    <definedName name="z_1UJ9QR0153_MO_Unstructured_SNA_CapitalIQ_3">Model!$762:$762</definedName>
    <definedName name="z_1UJ9QR0153_MO_Unstructured_SNA_ConsensusEstimatesAdjustedEarningsPerShareWAD">Model!$730:$730</definedName>
    <definedName name="z_1UJ9QR0153_MO_Unstructured_SNA_ConsensusEstimatesAdjustedEBIT_1">Model!$729:$729</definedName>
    <definedName name="z_1UJ9QR0153_MO_Unstructured_SNA_ConsensusEstimatesAdjustedEBITDA">Model!$728:$728</definedName>
    <definedName name="z_1UJ9QR0153_MO_Unstructured_SNA_ConsensusEstimatesCapex">Model!$732:$732</definedName>
    <definedName name="z_1UJ9QR0153_MO_Unstructured_SNA_ConsensusEstimatesCashFlowPerDilutedShare">Model!$731:$731</definedName>
    <definedName name="z_1UJ9QR0153_MO_Unstructured_SNA_ConsensusEstimatesGrossMargin">Model!$726:$726</definedName>
    <definedName name="z_1UJ9QR0153_MO_Unstructured_SNA_ConsensusEstimatesNetRevenue">Model!$727:$727</definedName>
    <definedName name="z_1UJ9QR0153_MO_Unstructured_SNA_ConsensusEstimateTable">Model!$723:$723</definedName>
    <definedName name="z_1UJ9QR0153_MO_Unstructured_SNA_CurrentFiscalYear">Model!$784:$784</definedName>
    <definedName name="z_1UJ9QR0153_MO_Unstructured_SNA_DataSourceIndex">Model!$787:$787</definedName>
    <definedName name="z_1UJ9QR0153_MO_Unstructured_SNA_EoP">Model!$690:$690</definedName>
    <definedName name="z_1UJ9QR0153_MO_Unstructured_SNA_EVEBITDAAvg">Model!$696:$696</definedName>
    <definedName name="z_1UJ9QR0153_MO_Unstructured_SNA_EVEBITDAEoP">"Deleted"</definedName>
    <definedName name="z_1UJ9QR0153_MO_Unstructured_SNA_FactSet">Model!$742:$742</definedName>
    <definedName name="z_1UJ9QR0153_MO_Unstructured_SNA_FactSet_1">Model!$749:$749</definedName>
    <definedName name="z_1UJ9QR0153_MO_Unstructured_SNA_FactSet_2">Model!$756:$756</definedName>
    <definedName name="z_1UJ9QR0153_MO_Unstructured_SNA_FactSet_3">Model!$763:$763</definedName>
    <definedName name="z_1UJ9QR0153_MO_Unstructured_SNA_FirstForecastFiscalYear">Model!$785:$785</definedName>
    <definedName name="z_1UJ9QR0153_MO_Unstructured_SNA_FiscalPeriodStartDate">Model!$736:$736</definedName>
    <definedName name="z_1UJ9QR0153_MO_Unstructured_SNA_FXAverageRealTimeOffSource">Model!$759:$759</definedName>
    <definedName name="z_1UJ9QR0153_MO_Unstructured_SNA_FXEoP">Model!$768:$768</definedName>
    <definedName name="z_1UJ9QR0153_MO_Unstructured_SNA_FYorFQ">Model!$724:$724</definedName>
    <definedName name="z_1UJ9QR0153_MO_Unstructured_SNA_GeneralTable">Model!$771:$771</definedName>
    <definedName name="z_1UJ9QR0153_MO_Unstructured_SNA_High">Model!$687:$687</definedName>
    <definedName name="z_1UJ9QR0153_MO_Unstructured_SNA_IsHistoricalPeriod">Model!$737:$737</definedName>
    <definedName name="z_1UJ9QR0153_MO_Unstructured_SNA_IsLatest">Model!$719:$719</definedName>
    <definedName name="z_1UJ9QR0153_MO_Unstructured_SNA_KeyOutputs">Model!$692:$692</definedName>
    <definedName name="z_1UJ9QR0153_MO_Unstructured_SNA_KPICount">Model!$786:$786</definedName>
    <definedName name="z_1UJ9QR0153_MO_Unstructured_SNA_KPIData">Model!$700:$700</definedName>
    <definedName name="z_1UJ9QR0153_MO_Unstructured_SNA_LastPrice">Model!$772:$772</definedName>
    <definedName name="z_1UJ9QR0153_MO_Unstructured_SNA_LastPriceDate">Model!$773:$773</definedName>
    <definedName name="z_1UJ9QR0153_MO_Unstructured_SNA_LastPriceFormula">Model!$775:$775</definedName>
    <definedName name="z_1UJ9QR0153_MO_Unstructured_SNA_LastWorkingDayInPeriod">Model!$766:$766</definedName>
    <definedName name="z_1UJ9QR0153_MO_Unstructured_SNA_Low">Model!$688:$688</definedName>
    <definedName name="z_1UJ9QR0153_MO_Unstructured_SNA_ModelSheetCurrencyHardcoded">Model!$779:$779</definedName>
    <definedName name="z_1UJ9QR0153_MO_Unstructured_SNA_MOKPIAdvertisingExpense">Model!$708:$708</definedName>
    <definedName name="z_1UJ9QR0153_MO_Unstructured_SNA_MOKPIAdvertisingExpenseGrowth">Model!$709:$709</definedName>
    <definedName name="z_1UJ9QR0153_MO_Unstructured_SNA_MOKPIARPPUMonthly">"Deleted"</definedName>
    <definedName name="z_1UJ9QR0153_MO_Unstructured_SNA_MOKPIARPPUReported">"Deleted"</definedName>
    <definedName name="z_1UJ9QR0153_MO_Unstructured_SNA_MOKPIPayingUsers">"Deleted"</definedName>
    <definedName name="z_1UJ9QR0153_MO_Unstructured_SNA_MOKPIPayingUsersMonthly">"Deleted"</definedName>
    <definedName name="z_1UJ9QR0153_MO_Unstructured_SNA_MOKPIREVAdvertising">Model!$707:$707</definedName>
    <definedName name="z_1UJ9QR0153_MO_Unstructured_SNA_MOMAEBITDAAdj">Model!$705:$705</definedName>
    <definedName name="z_1UJ9QR0153_MO_Unstructured_SNA_MOOSEmployeeCount">Model!$706:$706</definedName>
    <definedName name="z_1UJ9QR0153_MO_Unstructured_SNA_MORISEBITDAAdj">Model!$704:$704</definedName>
    <definedName name="z_1UJ9QR0153_MO_Unstructured_SNA_MORISEPSWADAdj">Model!$703:$703</definedName>
    <definedName name="z_1UJ9QR0153_MO_Unstructured_SNA_MORISNINONGAAPDiluted">Model!$702:$702</definedName>
    <definedName name="z_1UJ9QR0153_MO_Unstructured_SNA_MORISREV">Model!$701:$701</definedName>
    <definedName name="z_1UJ9QR0153_MO_Unstructured_SNA_MostRecentFiscalPeriodMRFP">Model!$783:$783</definedName>
    <definedName name="z_1UJ9QR0153_MO_Unstructured_SNA_MostRecentFX">Model!$780:$780</definedName>
    <definedName name="z_1UJ9QR0153_MO_Unstructured_SNA_MostRecentFXHardcoded">Model!$781:$781</definedName>
    <definedName name="z_1UJ9QR0153_MO_Unstructured_SNA_MRFPColumnNumber">Model!$782:$782</definedName>
    <definedName name="z_1UJ9QR0153_MO_Unstructured_SNA_NetRevenue">Model!$693:$693</definedName>
    <definedName name="z_1UJ9QR0153_MO_Unstructured_SNA_NYSEYELP">Model!$682:$682</definedName>
    <definedName name="z_1UJ9QR0153_MO_Unstructured_SNA_PEAvg">Model!$697:$697</definedName>
    <definedName name="z_1UJ9QR0153_MO_Unstructured_SNA_PEEoP">"Deleted"</definedName>
    <definedName name="z_1UJ9QR0153_MO_Unstructured_SNA_Period">Model!$725:$725</definedName>
    <definedName name="z_1UJ9QR0153_MO_Unstructured_SNA_QuarterlyGuidanceTable">Model!$712:$712</definedName>
    <definedName name="z_1UJ9QR0153_MO_Unstructured_SNA_RealTimeOffSource">Model!$739:$739</definedName>
    <definedName name="z_1UJ9QR0153_MO_Unstructured_SNA_RealTimeOffSource_1">Model!$746:$746</definedName>
    <definedName name="z_1UJ9QR0153_MO_Unstructured_SNA_RealTimeOffSource_2">Model!$753:$753</definedName>
    <definedName name="z_1UJ9QR0153_MO_Unstructured_SNA_RealTimeOffSource_3">Model!$760:$760</definedName>
    <definedName name="z_1UJ9QR0153_MO_Unstructured_SNA_RealTimeStockPrice">Model!$774:$774</definedName>
    <definedName name="z_1UJ9QR0153_MO_Unstructured_SNA_Refinitiv">Model!$743:$743</definedName>
    <definedName name="z_1UJ9QR0153_MO_Unstructured_SNA_Refinitiv_1">Model!$750:$750</definedName>
    <definedName name="z_1UJ9QR0153_MO_Unstructured_SNA_Refinitiv_2">Model!$757:$757</definedName>
    <definedName name="z_1UJ9QR0153_MO_Unstructured_SNA_Refinitiv_3">Model!$764:$764</definedName>
    <definedName name="z_1UJ9QR0153_MO_Unstructured_SNA_ReportingDate">Model!$713:$713</definedName>
    <definedName name="z_1UJ9QR0153_MO_Unstructured_SNA_ReportingDate_1">Model!$718:$718</definedName>
    <definedName name="z_1UJ9QR0153_MO_Unstructured_SNA_StockAverageRealTimeOffSource">Model!$752:$752</definedName>
    <definedName name="z_1UJ9QR0153_MO_Unstructured_SNA_StockHighRealTimeOffSource">Model!$738:$738</definedName>
    <definedName name="z_1UJ9QR0153_MO_Unstructured_SNA_StockLowRealTimeOffSource">Model!$745:$745</definedName>
    <definedName name="z_1UJ9QR0153_MO_Unstructured_SNA_StockPriceEoP">Model!$767:$767</definedName>
    <definedName name="z_1UJ9QR0153_MO_Unstructured_SNA_StockPriceTable">Model!$735:$735</definedName>
    <definedName name="z_1UJ9QR0153_MO_Unstructured_SNA_TickerSymbol">Model!$679:$679</definedName>
    <definedName name="z_1UJ9QR0153_MO_Unstructured_SNA_TradeCurrency">Model!$777:$777</definedName>
    <definedName name="z_1UJ9QR0153_MO_Unstructured_SNA_TradeCurrencyHardcoded">Model!$778:$778</definedName>
    <definedName name="z_1UJ9QR0153_MO_Unstructured_SNA_ValuationToggleTable">Model!$686:$686</definedName>
    <definedName name="z_1UJ9QR0153_MO_Unstructured_SNA_YELPN">Model!$684:$684</definedName>
    <definedName name="z_1UJ9QR0153_MO_Unstructured_SNA_YELPUS">Model!$681:$681</definedName>
    <definedName name="z_1UJ9QR0153_MO_Unstructured_SNA_YELPUS_1">Model!$683:$683</definedName>
    <definedName name="z_1UJ9QR0153_MO_Unstructured_SNA_YELPUS_2">Model!$680:$680</definedName>
    <definedName name="z_1UJ9QR0153_MO_VA_EnterpriseValueAverage">Model!$412:$412</definedName>
    <definedName name="z_1UJ9QR0153_MO_VA_enterprisevaluecomponents">Model!$428:$428</definedName>
    <definedName name="z_1UJ9QR0153_MO_VA_EVEBITDAAverage">Model!$415:$415</definedName>
    <definedName name="z_1UJ9QR0153_MO_VA_FCFYieldtoAverageEnterpriseValue">Model!$418:$418</definedName>
    <definedName name="z_1UJ9QR0153_MO_VA_FCFYieldtoAverageMarketCap">Model!$417:$417</definedName>
    <definedName name="z_1UJ9QR0153_MO_VA_MarketCapAverage">Model!$411:$411</definedName>
    <definedName name="z_1UJ9QR0153_MO_VA_NoncontrollingInterest">Model!$429:$429</definedName>
    <definedName name="z_1UJ9QR0153_MO_VA_OtherEVComponents">Model!$431:$431</definedName>
    <definedName name="z_1UJ9QR0153_MO_VA_PCFAverage">Model!$416:$416</definedName>
    <definedName name="z_1UJ9QR0153_MO_VA_PEAverage">Model!$414:$414</definedName>
    <definedName name="z_1UJ9QR0153_MO_VA_PreferredShares">Model!$430:$430</definedName>
    <definedName name="z_1UJ9QR0153_MO_VA_StockAvg">Model!$422:$422</definedName>
    <definedName name="z_1UJ9QR0153_MO_VA_StockHigh">Model!$420:$420</definedName>
    <definedName name="z_1UJ9QR0153_MO_VA_StockLow">Model!$421:$421</definedName>
  </definedNames>
  <calcPr calcId="191028" iterate="1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3" i="13" l="1"/>
  <c r="F41" i="13" s="1"/>
  <c r="F12" i="19"/>
  <c r="N68" i="11"/>
  <c r="M68" i="11" s="1"/>
  <c r="P68" i="11"/>
  <c r="Q68" i="11" s="1"/>
  <c r="M20" i="13"/>
  <c r="L20" i="13"/>
  <c r="K20" i="13"/>
  <c r="F68" i="11"/>
  <c r="E68" i="11" s="1"/>
  <c r="J20" i="13"/>
  <c r="K13" i="13"/>
  <c r="L13" i="13"/>
  <c r="J13" i="13"/>
  <c r="M12" i="13"/>
  <c r="M11" i="13" s="1"/>
  <c r="K18" i="13"/>
  <c r="L18" i="13"/>
  <c r="M18" i="13"/>
  <c r="J18" i="13"/>
  <c r="K11" i="13"/>
  <c r="L11" i="13"/>
  <c r="J11" i="13"/>
  <c r="I56" i="11"/>
  <c r="J56" i="11"/>
  <c r="K56" i="11"/>
  <c r="L56" i="11" s="1"/>
  <c r="M56" i="11" s="1"/>
  <c r="H56" i="11"/>
  <c r="H59" i="11"/>
  <c r="I32" i="11"/>
  <c r="J32" i="11" s="1"/>
  <c r="K32" i="11" s="1"/>
  <c r="L32" i="11" s="1"/>
  <c r="M32" i="11" s="1"/>
  <c r="N19" i="13"/>
  <c r="O19" i="13" s="1"/>
  <c r="O20" i="13" s="1"/>
  <c r="Q27" i="11"/>
  <c r="Q24" i="11"/>
  <c r="Q23" i="11"/>
  <c r="G11" i="11"/>
  <c r="H13" i="14"/>
  <c r="H18" i="14" s="1"/>
  <c r="I17" i="13" s="1"/>
  <c r="E13" i="14"/>
  <c r="E18" i="14" s="1"/>
  <c r="G13" i="14"/>
  <c r="F13" i="14"/>
  <c r="F18" i="14" s="1"/>
  <c r="G17" i="13" s="1"/>
  <c r="H11" i="14"/>
  <c r="I10" i="13" s="1"/>
  <c r="G11" i="14"/>
  <c r="H10" i="13" s="1"/>
  <c r="F5" i="14"/>
  <c r="G5" i="14" s="1"/>
  <c r="H5" i="14" s="1"/>
  <c r="I5" i="14" s="1"/>
  <c r="J5" i="14" s="1"/>
  <c r="K5" i="14" s="1"/>
  <c r="L5" i="14" s="1"/>
  <c r="M5" i="14" s="1"/>
  <c r="N5" i="14" s="1"/>
  <c r="J5" i="13"/>
  <c r="K5" i="13" s="1"/>
  <c r="L5" i="13" s="1"/>
  <c r="M5" i="13" s="1"/>
  <c r="N5" i="13" s="1"/>
  <c r="O5" i="13" s="1"/>
  <c r="L27" i="11"/>
  <c r="L24" i="11"/>
  <c r="L23" i="11"/>
  <c r="G15" i="11"/>
  <c r="I31" i="11"/>
  <c r="J31" i="11" s="1"/>
  <c r="J59" i="11" s="1"/>
  <c r="Q18" i="11"/>
  <c r="L18" i="11"/>
  <c r="F40" i="13" l="1"/>
  <c r="F42" i="13"/>
  <c r="M13" i="13"/>
  <c r="N18" i="13"/>
  <c r="N20" i="13"/>
  <c r="N12" i="13"/>
  <c r="H68" i="11"/>
  <c r="I68" i="11" s="1"/>
  <c r="O18" i="13"/>
  <c r="I59" i="11"/>
  <c r="G18" i="14"/>
  <c r="H17" i="13" s="1"/>
  <c r="E26" i="13"/>
  <c r="J26" i="13" s="1"/>
  <c r="I28" i="14" s="1"/>
  <c r="H46" i="11" s="1"/>
  <c r="E10" i="13"/>
  <c r="E17" i="13"/>
  <c r="L16" i="11"/>
  <c r="Q16" i="11"/>
  <c r="F11" i="14"/>
  <c r="G10" i="13" s="1"/>
  <c r="K31" i="11"/>
  <c r="K59" i="11" s="1"/>
  <c r="F43" i="13" l="1"/>
  <c r="O12" i="13"/>
  <c r="O13" i="13" s="1"/>
  <c r="N13" i="13"/>
  <c r="K26" i="13"/>
  <c r="J28" i="14" s="1"/>
  <c r="I46" i="11" s="1"/>
  <c r="L26" i="13"/>
  <c r="K28" i="14" s="1"/>
  <c r="J46" i="11" s="1"/>
  <c r="N10" i="13"/>
  <c r="M11" i="14" s="1"/>
  <c r="L37" i="11" s="1"/>
  <c r="N11" i="13"/>
  <c r="J17" i="13"/>
  <c r="I18" i="14" s="1"/>
  <c r="H39" i="11" s="1"/>
  <c r="O17" i="13"/>
  <c r="N18" i="14" s="1"/>
  <c r="M39" i="11" s="1"/>
  <c r="K17" i="13"/>
  <c r="J18" i="14" s="1"/>
  <c r="I39" i="11" s="1"/>
  <c r="L17" i="13"/>
  <c r="K18" i="14" s="1"/>
  <c r="J39" i="11" s="1"/>
  <c r="M17" i="13"/>
  <c r="L18" i="14" s="1"/>
  <c r="K39" i="11" s="1"/>
  <c r="N17" i="13"/>
  <c r="M18" i="14" s="1"/>
  <c r="L39" i="11" s="1"/>
  <c r="M10" i="13"/>
  <c r="L11" i="14" s="1"/>
  <c r="K37" i="11" s="1"/>
  <c r="K10" i="13"/>
  <c r="J11" i="14" s="1"/>
  <c r="I37" i="11" s="1"/>
  <c r="L10" i="13"/>
  <c r="K11" i="14" s="1"/>
  <c r="J37" i="11" s="1"/>
  <c r="O10" i="13"/>
  <c r="N11" i="14" s="1"/>
  <c r="M37" i="11" s="1"/>
  <c r="J10" i="13"/>
  <c r="I11" i="14" s="1"/>
  <c r="L31" i="11"/>
  <c r="L59" i="11" s="1"/>
  <c r="O11" i="13" l="1"/>
  <c r="M26" i="13"/>
  <c r="L28" i="14" s="1"/>
  <c r="K46" i="11" s="1"/>
  <c r="I10" i="14"/>
  <c r="I13" i="14" s="1"/>
  <c r="I17" i="14" s="1"/>
  <c r="H37" i="11"/>
  <c r="M31" i="11"/>
  <c r="N26" i="13" l="1"/>
  <c r="M28" i="14" s="1"/>
  <c r="L46" i="11" s="1"/>
  <c r="M59" i="11"/>
  <c r="H38" i="11"/>
  <c r="I25" i="14" s="1"/>
  <c r="J10" i="14"/>
  <c r="K10" i="14" s="1"/>
  <c r="H36" i="11"/>
  <c r="O26" i="13" l="1"/>
  <c r="N28" i="14" s="1"/>
  <c r="M46" i="11" s="1"/>
  <c r="H40" i="11"/>
  <c r="H41" i="11" s="1"/>
  <c r="J36" i="11"/>
  <c r="L10" i="14"/>
  <c r="K36" i="11" s="1"/>
  <c r="J13" i="14"/>
  <c r="J17" i="14" s="1"/>
  <c r="I36" i="11"/>
  <c r="K13" i="14"/>
  <c r="K17" i="14" s="1"/>
  <c r="L13" i="14" l="1"/>
  <c r="L17" i="14" s="1"/>
  <c r="K38" i="11" s="1"/>
  <c r="L25" i="14" s="1"/>
  <c r="M10" i="14"/>
  <c r="L36" i="11" s="1"/>
  <c r="J38" i="11"/>
  <c r="K25" i="14" s="1"/>
  <c r="I38" i="11"/>
  <c r="J25" i="14" s="1"/>
  <c r="N10" i="14" l="1"/>
  <c r="M36" i="11" s="1"/>
  <c r="M13" i="14"/>
  <c r="M17" i="14" s="1"/>
  <c r="L38" i="11" s="1"/>
  <c r="M25" i="14" s="1"/>
  <c r="I40" i="11"/>
  <c r="I41" i="11" s="1"/>
  <c r="J40" i="11"/>
  <c r="J41" i="11" s="1"/>
  <c r="K40" i="11"/>
  <c r="K41" i="11" s="1"/>
  <c r="N13" i="14" l="1"/>
  <c r="N17" i="14" s="1"/>
  <c r="L40" i="11"/>
  <c r="L41" i="11" s="1"/>
  <c r="M38" i="11" l="1"/>
  <c r="N25" i="14" s="1"/>
  <c r="M40" i="11" l="1"/>
  <c r="M41" i="11" s="1"/>
  <c r="L19" i="11"/>
  <c r="N27" i="14" l="1"/>
  <c r="M45" i="11" s="1"/>
  <c r="M47" i="11" l="1"/>
  <c r="M48" i="11" l="1"/>
  <c r="L20" i="11"/>
  <c r="M52" i="11" l="1"/>
  <c r="M57" i="11" s="1"/>
  <c r="A163" i="9"/>
  <c r="A162" i="9"/>
  <c r="A161" i="9"/>
  <c r="A160" i="9"/>
  <c r="A159" i="9"/>
  <c r="A158" i="9"/>
  <c r="I147" i="9"/>
  <c r="H147" i="9"/>
  <c r="G147" i="9"/>
  <c r="D145" i="9"/>
  <c r="C145" i="9"/>
  <c r="C146" i="9" s="1"/>
  <c r="I141" i="9"/>
  <c r="H141" i="9"/>
  <c r="G141" i="9"/>
  <c r="D136" i="9"/>
  <c r="C136" i="9"/>
  <c r="C137" i="9" s="1"/>
  <c r="D131" i="9"/>
  <c r="C131" i="9"/>
  <c r="C132" i="9" s="1"/>
  <c r="BV117" i="9"/>
  <c r="BU117" i="9"/>
  <c r="BT117" i="9"/>
  <c r="BR117" i="9"/>
  <c r="BQ117" i="9"/>
  <c r="BP117" i="9"/>
  <c r="BO117" i="9"/>
  <c r="BM117" i="9"/>
  <c r="BL117" i="9"/>
  <c r="BK117" i="9"/>
  <c r="BJ117" i="9"/>
  <c r="BH117" i="9"/>
  <c r="BG117" i="9"/>
  <c r="BF117" i="9"/>
  <c r="BE117" i="9"/>
  <c r="BC117" i="9"/>
  <c r="BB117" i="9"/>
  <c r="BA117" i="9"/>
  <c r="AZ117" i="9"/>
  <c r="AX117" i="9"/>
  <c r="AW117" i="9"/>
  <c r="AV117" i="9"/>
  <c r="AU117" i="9"/>
  <c r="AS117" i="9"/>
  <c r="AR117" i="9"/>
  <c r="AQ117" i="9"/>
  <c r="AP117" i="9"/>
  <c r="AN117" i="9"/>
  <c r="AM117" i="9"/>
  <c r="AL117" i="9"/>
  <c r="AK117" i="9"/>
  <c r="AI117" i="9"/>
  <c r="AH117" i="9"/>
  <c r="AG117" i="9"/>
  <c r="AF117" i="9"/>
  <c r="AD117" i="9"/>
  <c r="AC117" i="9"/>
  <c r="AB117" i="9"/>
  <c r="AA117" i="9"/>
  <c r="Y117" i="9"/>
  <c r="X117" i="9"/>
  <c r="W117" i="9"/>
  <c r="V117" i="9"/>
  <c r="T117" i="9"/>
  <c r="S117" i="9"/>
  <c r="R117" i="9"/>
  <c r="Q117" i="9"/>
  <c r="O117" i="9"/>
  <c r="N117" i="9"/>
  <c r="M117" i="9"/>
  <c r="L117" i="9"/>
  <c r="J117" i="9"/>
  <c r="I117" i="9"/>
  <c r="H117" i="9"/>
  <c r="G117" i="9"/>
  <c r="F117" i="9"/>
  <c r="E117" i="9"/>
  <c r="D117" i="9"/>
  <c r="C117" i="9"/>
  <c r="BV112" i="9"/>
  <c r="BU112" i="9"/>
  <c r="BT112" i="9"/>
  <c r="BR112" i="9"/>
  <c r="BQ112" i="9"/>
  <c r="BP112" i="9"/>
  <c r="BO112" i="9"/>
  <c r="BM112" i="9"/>
  <c r="BV111" i="9"/>
  <c r="BU111" i="9"/>
  <c r="BT111" i="9"/>
  <c r="BR111" i="9"/>
  <c r="BQ111" i="9"/>
  <c r="BP111" i="9"/>
  <c r="BO111" i="9"/>
  <c r="BM111" i="9"/>
  <c r="BV110" i="9"/>
  <c r="BU110" i="9"/>
  <c r="BT110" i="9"/>
  <c r="BR110" i="9"/>
  <c r="BQ110" i="9"/>
  <c r="BP110" i="9"/>
  <c r="BO110" i="9"/>
  <c r="BM110" i="9"/>
  <c r="BV109" i="9"/>
  <c r="BU109" i="9"/>
  <c r="BT109" i="9"/>
  <c r="BR109" i="9"/>
  <c r="BQ109" i="9"/>
  <c r="BP109" i="9"/>
  <c r="BO109" i="9"/>
  <c r="BM109" i="9"/>
  <c r="A109" i="9"/>
  <c r="BV108" i="9"/>
  <c r="BU108" i="9"/>
  <c r="BT108" i="9"/>
  <c r="BR108" i="9"/>
  <c r="BQ108" i="9"/>
  <c r="BP108" i="9"/>
  <c r="BO108" i="9"/>
  <c r="BM108" i="9"/>
  <c r="A108" i="9"/>
  <c r="A106" i="9"/>
  <c r="BV104" i="9"/>
  <c r="BU104" i="9"/>
  <c r="BT104" i="9"/>
  <c r="BR104" i="9"/>
  <c r="BQ104" i="9"/>
  <c r="BP104" i="9"/>
  <c r="BO104" i="9"/>
  <c r="BM104" i="9"/>
  <c r="A104" i="9"/>
  <c r="A101" i="9"/>
  <c r="A98" i="9"/>
  <c r="A97" i="9"/>
  <c r="A96" i="9"/>
  <c r="A95" i="9"/>
  <c r="BV94" i="9"/>
  <c r="BU94" i="9"/>
  <c r="BT94" i="9"/>
  <c r="BR94" i="9"/>
  <c r="BQ94" i="9"/>
  <c r="BP94" i="9"/>
  <c r="BO94" i="9"/>
  <c r="BM94" i="9"/>
  <c r="A94" i="9"/>
  <c r="A93" i="9"/>
  <c r="A92" i="9"/>
  <c r="A91" i="9"/>
  <c r="A90" i="9"/>
  <c r="A89" i="9"/>
  <c r="A86" i="9"/>
  <c r="A85" i="9"/>
  <c r="AV80" i="9"/>
  <c r="AA80" i="9"/>
  <c r="Z80" i="9"/>
  <c r="X80" i="9"/>
  <c r="W80" i="9"/>
  <c r="V80" i="9"/>
  <c r="U80" i="9"/>
  <c r="T80" i="9"/>
  <c r="S80" i="9"/>
  <c r="R80" i="9"/>
  <c r="Q80" i="9"/>
  <c r="P80" i="9"/>
  <c r="O80" i="9"/>
  <c r="N80" i="9"/>
  <c r="M80" i="9"/>
  <c r="L80" i="9"/>
  <c r="K80" i="9"/>
  <c r="J80" i="9"/>
  <c r="I80" i="9"/>
  <c r="H80" i="9"/>
  <c r="G80" i="9"/>
  <c r="F80" i="9"/>
  <c r="A80" i="9"/>
  <c r="A79" i="9"/>
  <c r="A78" i="9"/>
  <c r="BV77" i="9"/>
  <c r="BU77" i="9"/>
  <c r="BT77" i="9"/>
  <c r="BR77" i="9"/>
  <c r="BQ77" i="9"/>
  <c r="BP77" i="9"/>
  <c r="BO77" i="9"/>
  <c r="BM77" i="9"/>
  <c r="BL77" i="9"/>
  <c r="BK77" i="9"/>
  <c r="BJ77" i="9"/>
  <c r="BI77" i="9"/>
  <c r="BH77" i="9"/>
  <c r="BG77" i="9"/>
  <c r="BF77" i="9"/>
  <c r="BE77" i="9"/>
  <c r="BD77" i="9"/>
  <c r="BC77" i="9"/>
  <c r="BB77" i="9"/>
  <c r="BA77" i="9"/>
  <c r="AZ77" i="9"/>
  <c r="AY77" i="9"/>
  <c r="AX77" i="9"/>
  <c r="AW77" i="9"/>
  <c r="AV77" i="9"/>
  <c r="AU77" i="9"/>
  <c r="AT77" i="9"/>
  <c r="AS77" i="9"/>
  <c r="AR77" i="9"/>
  <c r="AQ77" i="9"/>
  <c r="AP77" i="9"/>
  <c r="AO77" i="9"/>
  <c r="AN77" i="9"/>
  <c r="AM77" i="9"/>
  <c r="AL77" i="9"/>
  <c r="AK77" i="9"/>
  <c r="AJ77" i="9"/>
  <c r="AI77" i="9"/>
  <c r="AH77" i="9"/>
  <c r="AG77" i="9"/>
  <c r="AF77" i="9"/>
  <c r="AE77" i="9"/>
  <c r="AD77" i="9"/>
  <c r="AC77" i="9"/>
  <c r="AB77" i="9"/>
  <c r="AA77" i="9"/>
  <c r="Z77" i="9"/>
  <c r="Y77" i="9"/>
  <c r="X77" i="9"/>
  <c r="W77" i="9"/>
  <c r="V77" i="9"/>
  <c r="U77" i="9"/>
  <c r="T77" i="9"/>
  <c r="S77" i="9"/>
  <c r="R77" i="9"/>
  <c r="Q77" i="9"/>
  <c r="P77" i="9"/>
  <c r="O77" i="9"/>
  <c r="N77" i="9"/>
  <c r="M77" i="9"/>
  <c r="L77" i="9"/>
  <c r="K77" i="9"/>
  <c r="J77" i="9"/>
  <c r="I77" i="9"/>
  <c r="H77" i="9"/>
  <c r="G77" i="9"/>
  <c r="F77" i="9"/>
  <c r="E77" i="9"/>
  <c r="D77" i="9"/>
  <c r="C77" i="9"/>
  <c r="A77" i="9"/>
  <c r="A76" i="9"/>
  <c r="BV75" i="9"/>
  <c r="BU75" i="9"/>
  <c r="BT75" i="9"/>
  <c r="BR75" i="9"/>
  <c r="BQ75" i="9"/>
  <c r="BP75" i="9"/>
  <c r="BO75" i="9"/>
  <c r="BM75" i="9"/>
  <c r="A75" i="9"/>
  <c r="BV74" i="9"/>
  <c r="BU74" i="9"/>
  <c r="BT74" i="9"/>
  <c r="BR74" i="9"/>
  <c r="BQ74" i="9"/>
  <c r="BP74" i="9"/>
  <c r="BO74" i="9"/>
  <c r="BM74" i="9"/>
  <c r="BL74" i="9"/>
  <c r="BK74" i="9"/>
  <c r="BJ74" i="9"/>
  <c r="BI74" i="9"/>
  <c r="BH74" i="9"/>
  <c r="BG74" i="9"/>
  <c r="BF74" i="9"/>
  <c r="BE74" i="9"/>
  <c r="BD74" i="9"/>
  <c r="BC74" i="9"/>
  <c r="BB74" i="9"/>
  <c r="BA74" i="9"/>
  <c r="AZ74" i="9"/>
  <c r="AY74" i="9"/>
  <c r="AX74" i="9"/>
  <c r="AW74" i="9"/>
  <c r="AV74" i="9"/>
  <c r="AU74" i="9"/>
  <c r="AT74" i="9"/>
  <c r="AS74" i="9"/>
  <c r="AR74" i="9"/>
  <c r="AQ74" i="9"/>
  <c r="AP74" i="9"/>
  <c r="AO74" i="9"/>
  <c r="AN74" i="9"/>
  <c r="AM74" i="9"/>
  <c r="AL74" i="9"/>
  <c r="AK74" i="9"/>
  <c r="AJ74" i="9"/>
  <c r="AI74" i="9"/>
  <c r="AH74" i="9"/>
  <c r="AG74" i="9"/>
  <c r="AF74" i="9"/>
  <c r="AE74" i="9"/>
  <c r="AD74" i="9"/>
  <c r="AC74" i="9"/>
  <c r="AB74" i="9"/>
  <c r="AA74" i="9"/>
  <c r="Z74" i="9"/>
  <c r="Y74" i="9"/>
  <c r="X74" i="9"/>
  <c r="W74" i="9"/>
  <c r="V74" i="9"/>
  <c r="U74" i="9"/>
  <c r="T74" i="9"/>
  <c r="S74" i="9"/>
  <c r="R74" i="9"/>
  <c r="Q74" i="9"/>
  <c r="P74" i="9"/>
  <c r="O74" i="9"/>
  <c r="N74" i="9"/>
  <c r="M74" i="9"/>
  <c r="L74" i="9"/>
  <c r="K74" i="9"/>
  <c r="J74" i="9"/>
  <c r="I74" i="9"/>
  <c r="H74" i="9"/>
  <c r="G74" i="9"/>
  <c r="F74" i="9"/>
  <c r="E74" i="9"/>
  <c r="D74" i="9"/>
  <c r="C74" i="9"/>
  <c r="A74" i="9"/>
  <c r="BV73" i="9"/>
  <c r="BU73" i="9"/>
  <c r="BT73" i="9"/>
  <c r="BR73" i="9"/>
  <c r="BQ73" i="9"/>
  <c r="BP73" i="9"/>
  <c r="BO73" i="9"/>
  <c r="BM73" i="9"/>
  <c r="BL73" i="9"/>
  <c r="BK73" i="9"/>
  <c r="BJ73" i="9"/>
  <c r="BI73" i="9"/>
  <c r="BH73" i="9"/>
  <c r="BG73" i="9"/>
  <c r="BF73" i="9"/>
  <c r="BE73" i="9"/>
  <c r="BD73" i="9"/>
  <c r="BC73" i="9"/>
  <c r="BB73" i="9"/>
  <c r="BA73" i="9"/>
  <c r="AZ73" i="9"/>
  <c r="AY73" i="9"/>
  <c r="AX73" i="9"/>
  <c r="AW73" i="9"/>
  <c r="AV73" i="9"/>
  <c r="AU73" i="9"/>
  <c r="AT73" i="9"/>
  <c r="AS73" i="9"/>
  <c r="AR73" i="9"/>
  <c r="AQ73" i="9"/>
  <c r="AP73" i="9"/>
  <c r="AO73" i="9"/>
  <c r="AN73" i="9"/>
  <c r="AM73" i="9"/>
  <c r="AL73" i="9"/>
  <c r="AK73" i="9"/>
  <c r="AJ73" i="9"/>
  <c r="AI73" i="9"/>
  <c r="AH73" i="9"/>
  <c r="AG73" i="9"/>
  <c r="AF73" i="9"/>
  <c r="AE73" i="9"/>
  <c r="AD73" i="9"/>
  <c r="AC73" i="9"/>
  <c r="AB73" i="9"/>
  <c r="AA73" i="9"/>
  <c r="Z73" i="9"/>
  <c r="Y73" i="9"/>
  <c r="X73" i="9"/>
  <c r="W73" i="9"/>
  <c r="V73" i="9"/>
  <c r="U73" i="9"/>
  <c r="T73" i="9"/>
  <c r="S73" i="9"/>
  <c r="R73" i="9"/>
  <c r="Q73" i="9"/>
  <c r="P73" i="9"/>
  <c r="O73" i="9"/>
  <c r="N73" i="9"/>
  <c r="M73" i="9"/>
  <c r="L73" i="9"/>
  <c r="K73" i="9"/>
  <c r="J73" i="9"/>
  <c r="I73" i="9"/>
  <c r="H73" i="9"/>
  <c r="G73" i="9"/>
  <c r="F73" i="9"/>
  <c r="E73" i="9"/>
  <c r="D73" i="9"/>
  <c r="C73" i="9"/>
  <c r="A73" i="9"/>
  <c r="A71" i="9"/>
  <c r="BV70" i="9"/>
  <c r="BU70" i="9"/>
  <c r="BT70" i="9"/>
  <c r="BR70" i="9"/>
  <c r="BQ70" i="9"/>
  <c r="BP70" i="9"/>
  <c r="BO70" i="9"/>
  <c r="BM70" i="9"/>
  <c r="K69" i="9"/>
  <c r="J69" i="9"/>
  <c r="I69" i="9"/>
  <c r="H69" i="9"/>
  <c r="G69" i="9"/>
  <c r="F69" i="9"/>
  <c r="E69" i="9"/>
  <c r="D69" i="9"/>
  <c r="C69" i="9"/>
  <c r="A69" i="9"/>
  <c r="A68" i="9"/>
  <c r="A67" i="9"/>
  <c r="A66" i="9"/>
  <c r="A65" i="9"/>
  <c r="A64" i="9"/>
  <c r="A63" i="9"/>
  <c r="A62" i="9"/>
  <c r="A61" i="9"/>
  <c r="BV58" i="9"/>
  <c r="BU58" i="9"/>
  <c r="BT58" i="9"/>
  <c r="BS58" i="9"/>
  <c r="BR58" i="9"/>
  <c r="BQ58" i="9"/>
  <c r="BP58" i="9"/>
  <c r="BO58" i="9"/>
  <c r="BN58" i="9"/>
  <c r="BM58" i="9"/>
  <c r="BL58" i="9"/>
  <c r="BK58" i="9"/>
  <c r="BJ58" i="9"/>
  <c r="BH58" i="9"/>
  <c r="BG58" i="9"/>
  <c r="BF58" i="9"/>
  <c r="BE58" i="9"/>
  <c r="BC58" i="9"/>
  <c r="BB58" i="9"/>
  <c r="BA58" i="9"/>
  <c r="AZ58" i="9"/>
  <c r="AX58" i="9"/>
  <c r="AW58" i="9"/>
  <c r="AV58" i="9"/>
  <c r="AU58" i="9"/>
  <c r="I58" i="9"/>
  <c r="H58" i="9"/>
  <c r="G58" i="9"/>
  <c r="F58" i="9"/>
  <c r="E58" i="9"/>
  <c r="D58" i="9"/>
  <c r="C58" i="9"/>
  <c r="A58" i="9"/>
  <c r="BV57" i="9"/>
  <c r="BU57" i="9"/>
  <c r="BT57" i="9"/>
  <c r="BS57" i="9"/>
  <c r="BR57" i="9"/>
  <c r="BQ57" i="9"/>
  <c r="BP57" i="9"/>
  <c r="BO57" i="9"/>
  <c r="BN57" i="9"/>
  <c r="BM57" i="9"/>
  <c r="BL57" i="9"/>
  <c r="BK57" i="9"/>
  <c r="BJ57" i="9"/>
  <c r="BI57" i="9"/>
  <c r="BH57" i="9"/>
  <c r="BG57" i="9"/>
  <c r="BF57" i="9"/>
  <c r="BE57" i="9"/>
  <c r="BD57" i="9"/>
  <c r="BC57" i="9"/>
  <c r="BB57" i="9"/>
  <c r="BA57" i="9"/>
  <c r="AZ57" i="9"/>
  <c r="AY57" i="9"/>
  <c r="AX57" i="9"/>
  <c r="AW57" i="9"/>
  <c r="AV57" i="9"/>
  <c r="AU57" i="9"/>
  <c r="AS57" i="9"/>
  <c r="AR57" i="9"/>
  <c r="AQ57" i="9"/>
  <c r="AP57" i="9"/>
  <c r="AN57" i="9"/>
  <c r="AM57" i="9"/>
  <c r="AL57" i="9"/>
  <c r="AK57" i="9"/>
  <c r="AI57" i="9"/>
  <c r="AH57" i="9"/>
  <c r="AG57" i="9"/>
  <c r="AF57" i="9"/>
  <c r="AD57" i="9"/>
  <c r="AC57" i="9"/>
  <c r="AB57" i="9"/>
  <c r="AA57" i="9"/>
  <c r="Y57" i="9"/>
  <c r="X57" i="9"/>
  <c r="W57" i="9"/>
  <c r="V57" i="9"/>
  <c r="T57" i="9"/>
  <c r="S57" i="9"/>
  <c r="R57" i="9"/>
  <c r="Q57" i="9"/>
  <c r="O57" i="9"/>
  <c r="N57" i="9"/>
  <c r="M57" i="9"/>
  <c r="L57" i="9"/>
  <c r="K57" i="9"/>
  <c r="J57" i="9"/>
  <c r="A57" i="9"/>
  <c r="BV56" i="9"/>
  <c r="BU56" i="9"/>
  <c r="BT56" i="9"/>
  <c r="BS56" i="9"/>
  <c r="BR56" i="9"/>
  <c r="BQ56" i="9"/>
  <c r="BP56" i="9"/>
  <c r="BO56" i="9"/>
  <c r="BN56" i="9"/>
  <c r="BM56" i="9"/>
  <c r="BL56" i="9"/>
  <c r="BK56" i="9"/>
  <c r="BJ56" i="9"/>
  <c r="BI56" i="9"/>
  <c r="BH56" i="9"/>
  <c r="BG56" i="9"/>
  <c r="BF56" i="9"/>
  <c r="BE56" i="9"/>
  <c r="BD56" i="9"/>
  <c r="BC56" i="9"/>
  <c r="BB56" i="9"/>
  <c r="BA56" i="9"/>
  <c r="AZ56" i="9"/>
  <c r="AY56" i="9"/>
  <c r="AX56" i="9"/>
  <c r="AW56" i="9"/>
  <c r="AV56" i="9"/>
  <c r="AU56" i="9"/>
  <c r="AS56" i="9"/>
  <c r="AR56" i="9"/>
  <c r="AQ56" i="9"/>
  <c r="AP56" i="9"/>
  <c r="AN56" i="9"/>
  <c r="AM56" i="9"/>
  <c r="AL56" i="9"/>
  <c r="AK56" i="9"/>
  <c r="AI56" i="9"/>
  <c r="AH56" i="9"/>
  <c r="AG56" i="9"/>
  <c r="AF56" i="9"/>
  <c r="AD56" i="9"/>
  <c r="AC56" i="9"/>
  <c r="AB56" i="9"/>
  <c r="AA56" i="9"/>
  <c r="Y56" i="9"/>
  <c r="X56" i="9"/>
  <c r="W56" i="9"/>
  <c r="V56" i="9"/>
  <c r="T56" i="9"/>
  <c r="S56" i="9"/>
  <c r="R56" i="9"/>
  <c r="Q56" i="9"/>
  <c r="O56" i="9"/>
  <c r="N56" i="9"/>
  <c r="M56" i="9"/>
  <c r="L56" i="9"/>
  <c r="K56" i="9"/>
  <c r="J56" i="9"/>
  <c r="A56" i="9"/>
  <c r="BV55" i="9"/>
  <c r="BU55" i="9"/>
  <c r="BT55" i="9"/>
  <c r="BS55" i="9"/>
  <c r="BR55" i="9"/>
  <c r="BQ55" i="9"/>
  <c r="BP55" i="9"/>
  <c r="BO55" i="9"/>
  <c r="BN55" i="9"/>
  <c r="BM55" i="9"/>
  <c r="BL55" i="9"/>
  <c r="BK55" i="9"/>
  <c r="BJ55" i="9"/>
  <c r="BI55" i="9"/>
  <c r="BH55" i="9"/>
  <c r="BG55" i="9"/>
  <c r="BF55" i="9"/>
  <c r="BE55" i="9"/>
  <c r="BD55" i="9"/>
  <c r="BC55" i="9"/>
  <c r="BB55" i="9"/>
  <c r="BA55" i="9"/>
  <c r="AZ55" i="9"/>
  <c r="AY55" i="9"/>
  <c r="AX55" i="9"/>
  <c r="AW55" i="9"/>
  <c r="AV55" i="9"/>
  <c r="AU55" i="9"/>
  <c r="AS55" i="9"/>
  <c r="AR55" i="9"/>
  <c r="AQ55" i="9"/>
  <c r="AP55" i="9"/>
  <c r="AN55" i="9"/>
  <c r="AM55" i="9"/>
  <c r="AL55" i="9"/>
  <c r="AK55" i="9"/>
  <c r="AI55" i="9"/>
  <c r="AH55" i="9"/>
  <c r="AG55" i="9"/>
  <c r="AF55" i="9"/>
  <c r="AD55" i="9"/>
  <c r="AC55" i="9"/>
  <c r="AB55" i="9"/>
  <c r="AA55" i="9"/>
  <c r="Y55" i="9"/>
  <c r="X55" i="9"/>
  <c r="W55" i="9"/>
  <c r="V55" i="9"/>
  <c r="T55" i="9"/>
  <c r="S55" i="9"/>
  <c r="R55" i="9"/>
  <c r="Q55" i="9"/>
  <c r="O55" i="9"/>
  <c r="N55" i="9"/>
  <c r="M55" i="9"/>
  <c r="L55" i="9"/>
  <c r="K55" i="9"/>
  <c r="J55" i="9"/>
  <c r="A55" i="9"/>
  <c r="BV53" i="9"/>
  <c r="BU53" i="9"/>
  <c r="BT53" i="9"/>
  <c r="BS53" i="9"/>
  <c r="BR53" i="9"/>
  <c r="BQ53" i="9"/>
  <c r="BP53" i="9"/>
  <c r="BO53" i="9"/>
  <c r="BN53" i="9"/>
  <c r="BM53" i="9"/>
  <c r="BL53" i="9"/>
  <c r="BK53" i="9"/>
  <c r="BJ53" i="9"/>
  <c r="BI53" i="9"/>
  <c r="BH53" i="9"/>
  <c r="BG53" i="9"/>
  <c r="BF53" i="9"/>
  <c r="BE53" i="9"/>
  <c r="BD53" i="9"/>
  <c r="BC53" i="9"/>
  <c r="BB53" i="9"/>
  <c r="BA53" i="9"/>
  <c r="AZ53" i="9"/>
  <c r="AY53" i="9"/>
  <c r="AX53" i="9"/>
  <c r="AW53" i="9"/>
  <c r="AV53" i="9"/>
  <c r="AU53" i="9"/>
  <c r="AT53" i="9"/>
  <c r="AS53" i="9"/>
  <c r="AR53" i="9"/>
  <c r="AQ53" i="9"/>
  <c r="AP53" i="9"/>
  <c r="AN53" i="9"/>
  <c r="AM53" i="9"/>
  <c r="AL53" i="9"/>
  <c r="AK53" i="9"/>
  <c r="AI53" i="9"/>
  <c r="AH53" i="9"/>
  <c r="AG53" i="9"/>
  <c r="AF53" i="9"/>
  <c r="AD53" i="9"/>
  <c r="AC53" i="9"/>
  <c r="AB53" i="9"/>
  <c r="AA53" i="9"/>
  <c r="Y53" i="9"/>
  <c r="X53" i="9"/>
  <c r="W53" i="9"/>
  <c r="V53" i="9"/>
  <c r="U53" i="9"/>
  <c r="S53" i="9"/>
  <c r="R53" i="9"/>
  <c r="Q53" i="9"/>
  <c r="P53" i="9"/>
  <c r="N53" i="9"/>
  <c r="M53" i="9"/>
  <c r="L53" i="9"/>
  <c r="K53" i="9"/>
  <c r="I53" i="9"/>
  <c r="H53" i="9"/>
  <c r="G53" i="9"/>
  <c r="F53" i="9"/>
  <c r="E53" i="9"/>
  <c r="D53" i="9"/>
  <c r="C53" i="9"/>
  <c r="A53" i="9"/>
  <c r="BV52" i="9"/>
  <c r="BU52" i="9"/>
  <c r="BT52" i="9"/>
  <c r="BS52" i="9"/>
  <c r="BR52" i="9"/>
  <c r="BQ52" i="9"/>
  <c r="BP52" i="9"/>
  <c r="BO52" i="9"/>
  <c r="BN52" i="9"/>
  <c r="BM52" i="9"/>
  <c r="BL52" i="9"/>
  <c r="BK52" i="9"/>
  <c r="BJ52" i="9"/>
  <c r="BI52" i="9"/>
  <c r="BH52" i="9"/>
  <c r="BG52" i="9"/>
  <c r="BF52" i="9"/>
  <c r="BE52" i="9"/>
  <c r="BD52" i="9"/>
  <c r="BC52" i="9"/>
  <c r="BB52" i="9"/>
  <c r="BA52" i="9"/>
  <c r="AZ52" i="9"/>
  <c r="AY52" i="9"/>
  <c r="AX52" i="9"/>
  <c r="AW52" i="9"/>
  <c r="AV52" i="9"/>
  <c r="AU52" i="9"/>
  <c r="AT52" i="9"/>
  <c r="AS52" i="9"/>
  <c r="AR52" i="9"/>
  <c r="AQ52" i="9"/>
  <c r="AP52" i="9"/>
  <c r="AN52" i="9"/>
  <c r="AM52" i="9"/>
  <c r="AL52" i="9"/>
  <c r="AK52" i="9"/>
  <c r="AI52" i="9"/>
  <c r="AH52" i="9"/>
  <c r="AG52" i="9"/>
  <c r="AF52" i="9"/>
  <c r="AD52" i="9"/>
  <c r="AC52" i="9"/>
  <c r="AB52" i="9"/>
  <c r="AA52" i="9"/>
  <c r="Y52" i="9"/>
  <c r="X52" i="9"/>
  <c r="W52" i="9"/>
  <c r="V52" i="9"/>
  <c r="U52" i="9"/>
  <c r="S52" i="9"/>
  <c r="R52" i="9"/>
  <c r="Q52" i="9"/>
  <c r="P52" i="9"/>
  <c r="N52" i="9"/>
  <c r="M52" i="9"/>
  <c r="L52" i="9"/>
  <c r="K52" i="9"/>
  <c r="I52" i="9"/>
  <c r="H52" i="9"/>
  <c r="G52" i="9"/>
  <c r="F52" i="9"/>
  <c r="E52" i="9"/>
  <c r="D52" i="9"/>
  <c r="C52" i="9"/>
  <c r="A52" i="9"/>
  <c r="BV50" i="9"/>
  <c r="BU50" i="9"/>
  <c r="BT50" i="9"/>
  <c r="BS50" i="9"/>
  <c r="BR50" i="9"/>
  <c r="BQ50" i="9"/>
  <c r="BP50" i="9"/>
  <c r="BO50" i="9"/>
  <c r="BN50" i="9"/>
  <c r="BM50" i="9"/>
  <c r="BL50" i="9"/>
  <c r="BK50" i="9"/>
  <c r="BJ50" i="9"/>
  <c r="BI50" i="9"/>
  <c r="BH50" i="9"/>
  <c r="BG50" i="9"/>
  <c r="BF50" i="9"/>
  <c r="BE50" i="9"/>
  <c r="BD50" i="9"/>
  <c r="BC50" i="9"/>
  <c r="BB50" i="9"/>
  <c r="BA50" i="9"/>
  <c r="AZ50" i="9"/>
  <c r="AY50" i="9"/>
  <c r="AX50" i="9"/>
  <c r="AW50" i="9"/>
  <c r="AV50" i="9"/>
  <c r="AU50" i="9"/>
  <c r="AS50" i="9"/>
  <c r="AR50" i="9"/>
  <c r="AQ50" i="9"/>
  <c r="AP50" i="9"/>
  <c r="AN50" i="9"/>
  <c r="AM50" i="9"/>
  <c r="AL50" i="9"/>
  <c r="AK50" i="9"/>
  <c r="AI50" i="9"/>
  <c r="AH50" i="9"/>
  <c r="AG50" i="9"/>
  <c r="AF50" i="9"/>
  <c r="AD50" i="9"/>
  <c r="AC50" i="9"/>
  <c r="AB50" i="9"/>
  <c r="AA50" i="9"/>
  <c r="Y50" i="9"/>
  <c r="X50" i="9"/>
  <c r="W50" i="9"/>
  <c r="V50" i="9"/>
  <c r="U50" i="9"/>
  <c r="S50" i="9"/>
  <c r="R50" i="9"/>
  <c r="Q50" i="9"/>
  <c r="P50" i="9"/>
  <c r="N50" i="9"/>
  <c r="M50" i="9"/>
  <c r="L50" i="9"/>
  <c r="K50" i="9"/>
  <c r="I50" i="9"/>
  <c r="H50" i="9"/>
  <c r="G50" i="9"/>
  <c r="F50" i="9"/>
  <c r="E50" i="9"/>
  <c r="D50" i="9"/>
  <c r="C50" i="9"/>
  <c r="A50" i="9"/>
  <c r="A48" i="9"/>
  <c r="BV47" i="9"/>
  <c r="BU47" i="9"/>
  <c r="BT47" i="9"/>
  <c r="BR47" i="9"/>
  <c r="BQ47" i="9"/>
  <c r="BP47" i="9"/>
  <c r="BO47" i="9"/>
  <c r="BM47" i="9"/>
  <c r="AJ47" i="9"/>
  <c r="AI47" i="9"/>
  <c r="AH47" i="9"/>
  <c r="AG47" i="9"/>
  <c r="AF47" i="9"/>
  <c r="A47" i="9"/>
  <c r="BV46" i="9"/>
  <c r="BU46" i="9"/>
  <c r="BT46" i="9"/>
  <c r="BR46" i="9"/>
  <c r="BQ46" i="9"/>
  <c r="BP46" i="9"/>
  <c r="BO46" i="9"/>
  <c r="BM46" i="9"/>
  <c r="AJ46" i="9"/>
  <c r="AI46" i="9"/>
  <c r="AH46" i="9"/>
  <c r="AG46" i="9"/>
  <c r="AF46" i="9"/>
  <c r="A46" i="9"/>
  <c r="A44" i="9"/>
  <c r="A43" i="9"/>
  <c r="A42" i="9"/>
  <c r="A40" i="9"/>
  <c r="AF39" i="9"/>
  <c r="A39" i="9"/>
  <c r="AF38" i="9"/>
  <c r="A38" i="9"/>
  <c r="BV37" i="9"/>
  <c r="BU37" i="9"/>
  <c r="BT37" i="9"/>
  <c r="BS37" i="9"/>
  <c r="BR37" i="9"/>
  <c r="BQ37" i="9"/>
  <c r="BP37" i="9"/>
  <c r="BO37" i="9"/>
  <c r="BN37" i="9"/>
  <c r="BM37" i="9"/>
  <c r="BL37" i="9"/>
  <c r="BK37" i="9"/>
  <c r="BJ37" i="9"/>
  <c r="BI37" i="9"/>
  <c r="BH37" i="9"/>
  <c r="BG37" i="9"/>
  <c r="BF37" i="9"/>
  <c r="BE37" i="9"/>
  <c r="BD37" i="9"/>
  <c r="BC37" i="9"/>
  <c r="BB37" i="9"/>
  <c r="BA37" i="9"/>
  <c r="AZ37" i="9"/>
  <c r="AY37" i="9"/>
  <c r="AX37" i="9"/>
  <c r="AW37" i="9"/>
  <c r="AV37" i="9"/>
  <c r="AU37" i="9"/>
  <c r="AT37" i="9"/>
  <c r="AS37" i="9"/>
  <c r="AR37" i="9"/>
  <c r="AQ37" i="9"/>
  <c r="AP37" i="9"/>
  <c r="AO37" i="9"/>
  <c r="AN37" i="9"/>
  <c r="AM37" i="9"/>
  <c r="AL37" i="9"/>
  <c r="AK37" i="9"/>
  <c r="AJ37" i="9"/>
  <c r="AI37" i="9"/>
  <c r="AH37" i="9"/>
  <c r="AG37" i="9"/>
  <c r="AF37" i="9"/>
  <c r="A37" i="9"/>
  <c r="A36" i="9"/>
  <c r="BV35" i="9"/>
  <c r="BU35" i="9"/>
  <c r="BT35" i="9"/>
  <c r="BR35" i="9"/>
  <c r="BQ35" i="9"/>
  <c r="BP35" i="9"/>
  <c r="BO35" i="9"/>
  <c r="BM35" i="9"/>
  <c r="AJ35" i="9"/>
  <c r="AI35" i="9"/>
  <c r="AH35" i="9"/>
  <c r="AG35" i="9"/>
  <c r="AF35" i="9"/>
  <c r="A35" i="9"/>
  <c r="BV34" i="9"/>
  <c r="BU34" i="9"/>
  <c r="BT34" i="9"/>
  <c r="BR34" i="9"/>
  <c r="BQ34" i="9"/>
  <c r="BP34" i="9"/>
  <c r="BO34" i="9"/>
  <c r="BM34" i="9"/>
  <c r="AJ34" i="9"/>
  <c r="AI34" i="9"/>
  <c r="AH34" i="9"/>
  <c r="AG34" i="9"/>
  <c r="AF34" i="9"/>
  <c r="A34" i="9"/>
  <c r="BV33" i="9"/>
  <c r="BU33" i="9"/>
  <c r="BT33" i="9"/>
  <c r="BS33" i="9"/>
  <c r="BR33" i="9"/>
  <c r="BQ33" i="9"/>
  <c r="BP33" i="9"/>
  <c r="BO33" i="9"/>
  <c r="BN33" i="9"/>
  <c r="BM33" i="9"/>
  <c r="BL33" i="9"/>
  <c r="BK33" i="9"/>
  <c r="BJ33" i="9"/>
  <c r="BI33" i="9"/>
  <c r="BH33" i="9"/>
  <c r="BG33" i="9"/>
  <c r="BF33" i="9"/>
  <c r="BE33" i="9"/>
  <c r="BD33" i="9"/>
  <c r="BC33" i="9"/>
  <c r="BB33" i="9"/>
  <c r="BA33" i="9"/>
  <c r="AZ33" i="9"/>
  <c r="AY33" i="9"/>
  <c r="AX33" i="9"/>
  <c r="AW33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AG33" i="9"/>
  <c r="AF33" i="9"/>
  <c r="A33" i="9"/>
  <c r="AZ32" i="9"/>
  <c r="AX32" i="9"/>
  <c r="AW32" i="9"/>
  <c r="AV32" i="9"/>
  <c r="AU32" i="9"/>
  <c r="AS32" i="9"/>
  <c r="AR32" i="9"/>
  <c r="AQ32" i="9"/>
  <c r="AP32" i="9"/>
  <c r="AN32" i="9"/>
  <c r="AM32" i="9"/>
  <c r="AL32" i="9"/>
  <c r="AK32" i="9"/>
  <c r="AI32" i="9"/>
  <c r="AH32" i="9"/>
  <c r="AG32" i="9"/>
  <c r="AF32" i="9"/>
  <c r="A32" i="9"/>
  <c r="BL31" i="9"/>
  <c r="BK31" i="9"/>
  <c r="BJ31" i="9"/>
  <c r="BH31" i="9"/>
  <c r="BG31" i="9"/>
  <c r="BF31" i="9"/>
  <c r="BE31" i="9"/>
  <c r="BC31" i="9"/>
  <c r="BB31" i="9"/>
  <c r="BA31" i="9"/>
  <c r="AZ31" i="9"/>
  <c r="AX31" i="9"/>
  <c r="AW31" i="9"/>
  <c r="AV31" i="9"/>
  <c r="AU31" i="9"/>
  <c r="AS31" i="9"/>
  <c r="AR31" i="9"/>
  <c r="AQ31" i="9"/>
  <c r="AP31" i="9"/>
  <c r="AN31" i="9"/>
  <c r="AM31" i="9"/>
  <c r="AL31" i="9"/>
  <c r="AK31" i="9"/>
  <c r="AI31" i="9"/>
  <c r="AH31" i="9"/>
  <c r="AG31" i="9"/>
  <c r="AF31" i="9"/>
  <c r="A31" i="9"/>
  <c r="BL30" i="9"/>
  <c r="BK30" i="9"/>
  <c r="BJ30" i="9"/>
  <c r="BH30" i="9"/>
  <c r="BG30" i="9"/>
  <c r="BF30" i="9"/>
  <c r="BE30" i="9"/>
  <c r="BC30" i="9"/>
  <c r="BB30" i="9"/>
  <c r="BA30" i="9"/>
  <c r="AZ30" i="9"/>
  <c r="AX30" i="9"/>
  <c r="AW30" i="9"/>
  <c r="AV30" i="9"/>
  <c r="AU30" i="9"/>
  <c r="AS30" i="9"/>
  <c r="AR30" i="9"/>
  <c r="AQ30" i="9"/>
  <c r="AP30" i="9"/>
  <c r="AN30" i="9"/>
  <c r="AM30" i="9"/>
  <c r="AL30" i="9"/>
  <c r="AK30" i="9"/>
  <c r="AI30" i="9"/>
  <c r="AH30" i="9"/>
  <c r="AG30" i="9"/>
  <c r="AF30" i="9"/>
  <c r="A30" i="9"/>
  <c r="A28" i="9"/>
  <c r="BL27" i="9"/>
  <c r="BK27" i="9"/>
  <c r="BJ27" i="9"/>
  <c r="BI27" i="9"/>
  <c r="BG27" i="9"/>
  <c r="BF27" i="9"/>
  <c r="BE27" i="9"/>
  <c r="BD27" i="9"/>
  <c r="BB27" i="9"/>
  <c r="BA27" i="9"/>
  <c r="AZ27" i="9"/>
  <c r="AY27" i="9"/>
  <c r="AW27" i="9"/>
  <c r="AV27" i="9"/>
  <c r="AU27" i="9"/>
  <c r="AT27" i="9"/>
  <c r="AR27" i="9"/>
  <c r="AQ27" i="9"/>
  <c r="AP27" i="9"/>
  <c r="AO27" i="9"/>
  <c r="AM27" i="9"/>
  <c r="AL27" i="9"/>
  <c r="AK27" i="9"/>
  <c r="AJ27" i="9"/>
  <c r="AH27" i="9"/>
  <c r="AG27" i="9"/>
  <c r="AF27" i="9"/>
  <c r="AE27" i="9"/>
  <c r="AC27" i="9"/>
  <c r="AB27" i="9"/>
  <c r="AA27" i="9"/>
  <c r="Z27" i="9"/>
  <c r="Y27" i="9"/>
  <c r="X27" i="9"/>
  <c r="W27" i="9"/>
  <c r="V27" i="9"/>
  <c r="U27" i="9"/>
  <c r="S27" i="9"/>
  <c r="R27" i="9"/>
  <c r="Q27" i="9"/>
  <c r="P27" i="9"/>
  <c r="N27" i="9"/>
  <c r="M27" i="9"/>
  <c r="L27" i="9"/>
  <c r="K27" i="9"/>
  <c r="I27" i="9"/>
  <c r="H27" i="9"/>
  <c r="G27" i="9"/>
  <c r="F27" i="9"/>
  <c r="E27" i="9"/>
  <c r="D27" i="9"/>
  <c r="C27" i="9"/>
  <c r="A27" i="9"/>
  <c r="BV26" i="9"/>
  <c r="BU26" i="9"/>
  <c r="BT26" i="9"/>
  <c r="BS26" i="9"/>
  <c r="BR26" i="9"/>
  <c r="BQ26" i="9"/>
  <c r="BP26" i="9"/>
  <c r="BO26" i="9"/>
  <c r="BN26" i="9"/>
  <c r="BM26" i="9"/>
  <c r="BL26" i="9"/>
  <c r="BK26" i="9"/>
  <c r="BJ26" i="9"/>
  <c r="BI26" i="9"/>
  <c r="BH26" i="9"/>
  <c r="BG26" i="9"/>
  <c r="BF26" i="9"/>
  <c r="BE26" i="9"/>
  <c r="BD26" i="9"/>
  <c r="BC26" i="9"/>
  <c r="BB26" i="9"/>
  <c r="BA26" i="9"/>
  <c r="AZ26" i="9"/>
  <c r="AY26" i="9"/>
  <c r="AX26" i="9"/>
  <c r="AW26" i="9"/>
  <c r="AV26" i="9"/>
  <c r="AU26" i="9"/>
  <c r="AT26" i="9"/>
  <c r="AS26" i="9"/>
  <c r="AR26" i="9"/>
  <c r="AQ26" i="9"/>
  <c r="AP26" i="9"/>
  <c r="AO26" i="9"/>
  <c r="AN26" i="9"/>
  <c r="AM26" i="9"/>
  <c r="AL26" i="9"/>
  <c r="AK26" i="9"/>
  <c r="AJ26" i="9"/>
  <c r="AI26" i="9"/>
  <c r="AH26" i="9"/>
  <c r="AG26" i="9"/>
  <c r="AF26" i="9"/>
  <c r="AE26" i="9"/>
  <c r="AC26" i="9"/>
  <c r="AB26" i="9"/>
  <c r="AA26" i="9"/>
  <c r="Z26" i="9"/>
  <c r="Y26" i="9"/>
  <c r="X26" i="9"/>
  <c r="W26" i="9"/>
  <c r="V26" i="9"/>
  <c r="U26" i="9"/>
  <c r="S26" i="9"/>
  <c r="R26" i="9"/>
  <c r="Q26" i="9"/>
  <c r="P26" i="9"/>
  <c r="N26" i="9"/>
  <c r="M26" i="9"/>
  <c r="L26" i="9"/>
  <c r="K26" i="9"/>
  <c r="I26" i="9"/>
  <c r="H26" i="9"/>
  <c r="G26" i="9"/>
  <c r="F26" i="9"/>
  <c r="E26" i="9"/>
  <c r="D26" i="9"/>
  <c r="C26" i="9"/>
  <c r="A26" i="9"/>
  <c r="BV25" i="9"/>
  <c r="BU25" i="9"/>
  <c r="BT25" i="9"/>
  <c r="BS25" i="9"/>
  <c r="BR25" i="9"/>
  <c r="BQ25" i="9"/>
  <c r="BP25" i="9"/>
  <c r="BO25" i="9"/>
  <c r="BN25" i="9"/>
  <c r="BM25" i="9"/>
  <c r="BL25" i="9"/>
  <c r="BK25" i="9"/>
  <c r="BJ25" i="9"/>
  <c r="BI25" i="9"/>
  <c r="BG25" i="9"/>
  <c r="BF25" i="9"/>
  <c r="BE25" i="9"/>
  <c r="BD25" i="9"/>
  <c r="BB25" i="9"/>
  <c r="BA25" i="9"/>
  <c r="AZ25" i="9"/>
  <c r="AY25" i="9"/>
  <c r="AW25" i="9"/>
  <c r="AV25" i="9"/>
  <c r="AU25" i="9"/>
  <c r="AT25" i="9"/>
  <c r="AR25" i="9"/>
  <c r="AQ25" i="9"/>
  <c r="AP25" i="9"/>
  <c r="AO25" i="9"/>
  <c r="AM25" i="9"/>
  <c r="AL25" i="9"/>
  <c r="AK25" i="9"/>
  <c r="AJ25" i="9"/>
  <c r="AH25" i="9"/>
  <c r="AG25" i="9"/>
  <c r="AF25" i="9"/>
  <c r="AE25" i="9"/>
  <c r="AC25" i="9"/>
  <c r="AB25" i="9"/>
  <c r="AA25" i="9"/>
  <c r="Z25" i="9"/>
  <c r="Y25" i="9"/>
  <c r="X25" i="9"/>
  <c r="W25" i="9"/>
  <c r="V25" i="9"/>
  <c r="U25" i="9"/>
  <c r="S25" i="9"/>
  <c r="R25" i="9"/>
  <c r="Q25" i="9"/>
  <c r="P25" i="9"/>
  <c r="N25" i="9"/>
  <c r="M25" i="9"/>
  <c r="L25" i="9"/>
  <c r="K25" i="9"/>
  <c r="J25" i="9"/>
  <c r="I25" i="9"/>
  <c r="H25" i="9"/>
  <c r="G25" i="9"/>
  <c r="F25" i="9"/>
  <c r="E25" i="9"/>
  <c r="D25" i="9"/>
  <c r="C25" i="9"/>
  <c r="A25" i="9"/>
  <c r="AX24" i="9"/>
  <c r="AW24" i="9"/>
  <c r="AV24" i="9"/>
  <c r="AU24" i="9"/>
  <c r="AT24" i="9"/>
  <c r="AR24" i="9"/>
  <c r="AQ24" i="9"/>
  <c r="AP24" i="9"/>
  <c r="AO24" i="9"/>
  <c r="AM24" i="9"/>
  <c r="AL24" i="9"/>
  <c r="AK24" i="9"/>
  <c r="AJ24" i="9"/>
  <c r="AH24" i="9"/>
  <c r="AG24" i="9"/>
  <c r="AF24" i="9"/>
  <c r="AE24" i="9"/>
  <c r="AC24" i="9"/>
  <c r="AB24" i="9"/>
  <c r="AA24" i="9"/>
  <c r="Z24" i="9"/>
  <c r="Y24" i="9"/>
  <c r="X24" i="9"/>
  <c r="W24" i="9"/>
  <c r="V24" i="9"/>
  <c r="U24" i="9"/>
  <c r="S24" i="9"/>
  <c r="R24" i="9"/>
  <c r="Q24" i="9"/>
  <c r="P24" i="9"/>
  <c r="N24" i="9"/>
  <c r="M24" i="9"/>
  <c r="L24" i="9"/>
  <c r="K24" i="9"/>
  <c r="I24" i="9"/>
  <c r="H24" i="9"/>
  <c r="G24" i="9"/>
  <c r="F24" i="9"/>
  <c r="E24" i="9"/>
  <c r="D24" i="9"/>
  <c r="C24" i="9"/>
  <c r="A24" i="9"/>
  <c r="BL23" i="9"/>
  <c r="BK23" i="9"/>
  <c r="BJ23" i="9"/>
  <c r="BH23" i="9"/>
  <c r="BG23" i="9"/>
  <c r="BF23" i="9"/>
  <c r="BE23" i="9"/>
  <c r="BC23" i="9"/>
  <c r="BB23" i="9"/>
  <c r="BA23" i="9"/>
  <c r="AZ23" i="9"/>
  <c r="AX23" i="9"/>
  <c r="AW23" i="9"/>
  <c r="AV23" i="9"/>
  <c r="AU23" i="9"/>
  <c r="AS23" i="9"/>
  <c r="AR23" i="9"/>
  <c r="AQ23" i="9"/>
  <c r="AP23" i="9"/>
  <c r="AN23" i="9"/>
  <c r="AM23" i="9"/>
  <c r="AL23" i="9"/>
  <c r="AK23" i="9"/>
  <c r="AI23" i="9"/>
  <c r="AH23" i="9"/>
  <c r="AG23" i="9"/>
  <c r="AF23" i="9"/>
  <c r="AE23" i="9"/>
  <c r="AD23" i="9"/>
  <c r="AC23" i="9"/>
  <c r="AB23" i="9"/>
  <c r="AA23" i="9"/>
  <c r="Z23" i="9"/>
  <c r="Y23" i="9"/>
  <c r="X23" i="9"/>
  <c r="W23" i="9"/>
  <c r="V23" i="9"/>
  <c r="U23" i="9"/>
  <c r="T23" i="9"/>
  <c r="S23" i="9"/>
  <c r="R23" i="9"/>
  <c r="Q23" i="9"/>
  <c r="P23" i="9"/>
  <c r="O23" i="9"/>
  <c r="N23" i="9"/>
  <c r="M23" i="9"/>
  <c r="L23" i="9"/>
  <c r="K23" i="9"/>
  <c r="J23" i="9"/>
  <c r="I23" i="9"/>
  <c r="H23" i="9"/>
  <c r="G23" i="9"/>
  <c r="F23" i="9"/>
  <c r="E23" i="9"/>
  <c r="D23" i="9"/>
  <c r="C23" i="9"/>
  <c r="A23" i="9"/>
  <c r="BL22" i="9"/>
  <c r="BK22" i="9"/>
  <c r="BJ22" i="9"/>
  <c r="BH22" i="9"/>
  <c r="BG22" i="9"/>
  <c r="BF22" i="9"/>
  <c r="BE22" i="9"/>
  <c r="BC22" i="9"/>
  <c r="BB22" i="9"/>
  <c r="BA22" i="9"/>
  <c r="AZ22" i="9"/>
  <c r="AX22" i="9"/>
  <c r="AW22" i="9"/>
  <c r="AV22" i="9"/>
  <c r="AU22" i="9"/>
  <c r="AS22" i="9"/>
  <c r="AR22" i="9"/>
  <c r="AQ22" i="9"/>
  <c r="AP22" i="9"/>
  <c r="AN22" i="9"/>
  <c r="AM22" i="9"/>
  <c r="AL22" i="9"/>
  <c r="AK22" i="9"/>
  <c r="AI22" i="9"/>
  <c r="AH22" i="9"/>
  <c r="AG22" i="9"/>
  <c r="AF22" i="9"/>
  <c r="AE22" i="9"/>
  <c r="AD22" i="9"/>
  <c r="AC22" i="9"/>
  <c r="AB22" i="9"/>
  <c r="AA22" i="9"/>
  <c r="Z22" i="9"/>
  <c r="Y22" i="9"/>
  <c r="X22" i="9"/>
  <c r="W22" i="9"/>
  <c r="V22" i="9"/>
  <c r="U22" i="9"/>
  <c r="T22" i="9"/>
  <c r="S22" i="9"/>
  <c r="R22" i="9"/>
  <c r="Q22" i="9"/>
  <c r="P22" i="9"/>
  <c r="O22" i="9"/>
  <c r="N22" i="9"/>
  <c r="M22" i="9"/>
  <c r="L22" i="9"/>
  <c r="K22" i="9"/>
  <c r="J22" i="9"/>
  <c r="I22" i="9"/>
  <c r="H22" i="9"/>
  <c r="G22" i="9"/>
  <c r="F22" i="9"/>
  <c r="E22" i="9"/>
  <c r="D22" i="9"/>
  <c r="C22" i="9"/>
  <c r="A22" i="9"/>
  <c r="A20" i="9"/>
  <c r="BV19" i="9"/>
  <c r="BU19" i="9"/>
  <c r="BT19" i="9"/>
  <c r="BR19" i="9"/>
  <c r="BQ19" i="9"/>
  <c r="BP19" i="9"/>
  <c r="BO19" i="9"/>
  <c r="BM19" i="9"/>
  <c r="A19" i="9"/>
  <c r="BV18" i="9"/>
  <c r="BU18" i="9"/>
  <c r="BT18" i="9"/>
  <c r="BS18" i="9"/>
  <c r="BR18" i="9"/>
  <c r="BQ18" i="9"/>
  <c r="BP18" i="9"/>
  <c r="BO18" i="9"/>
  <c r="BN18" i="9"/>
  <c r="BM18" i="9"/>
  <c r="BL18" i="9"/>
  <c r="BK18" i="9"/>
  <c r="BJ18" i="9"/>
  <c r="BI18" i="9"/>
  <c r="BH18" i="9"/>
  <c r="BG18" i="9"/>
  <c r="BF18" i="9"/>
  <c r="BE18" i="9"/>
  <c r="BD18" i="9"/>
  <c r="BC18" i="9"/>
  <c r="BB18" i="9"/>
  <c r="BA18" i="9"/>
  <c r="AZ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V18" i="9"/>
  <c r="A18" i="9"/>
  <c r="BV17" i="9"/>
  <c r="BU17" i="9"/>
  <c r="BT17" i="9"/>
  <c r="BS17" i="9"/>
  <c r="BR17" i="9"/>
  <c r="BQ17" i="9"/>
  <c r="BP17" i="9"/>
  <c r="BO17" i="9"/>
  <c r="BN17" i="9"/>
  <c r="BM17" i="9"/>
  <c r="BL17" i="9"/>
  <c r="BK17" i="9"/>
  <c r="BJ17" i="9"/>
  <c r="Q17" i="9"/>
  <c r="P17" i="9"/>
  <c r="O17" i="9"/>
  <c r="N17" i="9"/>
  <c r="M17" i="9"/>
  <c r="L17" i="9"/>
  <c r="K17" i="9"/>
  <c r="F17" i="9"/>
  <c r="E17" i="9"/>
  <c r="D17" i="9"/>
  <c r="A17" i="9"/>
  <c r="A16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X15" i="9"/>
  <c r="W15" i="9"/>
  <c r="V15" i="9"/>
  <c r="U15" i="9"/>
  <c r="T15" i="9"/>
  <c r="S15" i="9"/>
  <c r="R15" i="9"/>
  <c r="Q15" i="9"/>
  <c r="P15" i="9"/>
  <c r="O15" i="9"/>
  <c r="N15" i="9"/>
  <c r="M15" i="9"/>
  <c r="L15" i="9"/>
  <c r="K15" i="9"/>
  <c r="F15" i="9"/>
  <c r="E15" i="9"/>
  <c r="D15" i="9"/>
  <c r="A15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L14" i="9"/>
  <c r="K14" i="9"/>
  <c r="F14" i="9"/>
  <c r="E14" i="9"/>
  <c r="D14" i="9"/>
  <c r="A14" i="9"/>
  <c r="A11" i="9"/>
  <c r="A8" i="9"/>
  <c r="A7" i="9"/>
  <c r="A6" i="9"/>
  <c r="E5" i="9"/>
  <c r="D5" i="9"/>
  <c r="C5" i="9"/>
  <c r="A5" i="9"/>
  <c r="A4" i="9"/>
  <c r="C2" i="9"/>
  <c r="C1" i="9"/>
  <c r="A1" i="9"/>
  <c r="B786" i="1"/>
  <c r="B785" i="1"/>
  <c r="B784" i="1"/>
  <c r="B776" i="1"/>
  <c r="B774" i="1"/>
  <c r="B773" i="1"/>
  <c r="B772" i="1"/>
  <c r="C766" i="1"/>
  <c r="BV764" i="1"/>
  <c r="BU764" i="1"/>
  <c r="BT764" i="1"/>
  <c r="BS764" i="1"/>
  <c r="BR764" i="1"/>
  <c r="BQ764" i="1"/>
  <c r="BP764" i="1"/>
  <c r="BO764" i="1"/>
  <c r="BN764" i="1"/>
  <c r="BM764" i="1"/>
  <c r="BL764" i="1"/>
  <c r="BK764" i="1"/>
  <c r="BJ764" i="1"/>
  <c r="BI764" i="1"/>
  <c r="BH764" i="1"/>
  <c r="BG764" i="1"/>
  <c r="BF764" i="1"/>
  <c r="BE764" i="1"/>
  <c r="BD764" i="1"/>
  <c r="BC764" i="1"/>
  <c r="BB764" i="1"/>
  <c r="BA764" i="1"/>
  <c r="AZ764" i="1"/>
  <c r="AY764" i="1"/>
  <c r="AX764" i="1"/>
  <c r="AW764" i="1"/>
  <c r="AV764" i="1"/>
  <c r="AU764" i="1"/>
  <c r="AT764" i="1"/>
  <c r="AS764" i="1"/>
  <c r="AR764" i="1"/>
  <c r="AQ764" i="1"/>
  <c r="AP764" i="1"/>
  <c r="AO764" i="1"/>
  <c r="AN764" i="1"/>
  <c r="AM764" i="1"/>
  <c r="AL764" i="1"/>
  <c r="AK764" i="1"/>
  <c r="AJ764" i="1"/>
  <c r="AI764" i="1"/>
  <c r="AH764" i="1"/>
  <c r="AG764" i="1"/>
  <c r="AF764" i="1"/>
  <c r="AE764" i="1"/>
  <c r="AD764" i="1"/>
  <c r="AC764" i="1"/>
  <c r="AB764" i="1"/>
  <c r="AA764" i="1"/>
  <c r="Z764" i="1"/>
  <c r="Y764" i="1"/>
  <c r="X764" i="1"/>
  <c r="W764" i="1"/>
  <c r="V764" i="1"/>
  <c r="U764" i="1"/>
  <c r="T764" i="1"/>
  <c r="S764" i="1"/>
  <c r="R764" i="1"/>
  <c r="Q764" i="1"/>
  <c r="P764" i="1"/>
  <c r="O764" i="1"/>
  <c r="N764" i="1"/>
  <c r="M764" i="1"/>
  <c r="L764" i="1"/>
  <c r="K764" i="1"/>
  <c r="J764" i="1"/>
  <c r="I764" i="1"/>
  <c r="H764" i="1"/>
  <c r="G764" i="1"/>
  <c r="F764" i="1"/>
  <c r="E764" i="1"/>
  <c r="D764" i="1"/>
  <c r="C764" i="1"/>
  <c r="BV760" i="1"/>
  <c r="BU760" i="1"/>
  <c r="BT760" i="1"/>
  <c r="BS760" i="1"/>
  <c r="BR760" i="1"/>
  <c r="BQ760" i="1"/>
  <c r="BP760" i="1"/>
  <c r="BO760" i="1"/>
  <c r="BN760" i="1"/>
  <c r="BM760" i="1"/>
  <c r="BV755" i="1"/>
  <c r="BU755" i="1"/>
  <c r="BT755" i="1"/>
  <c r="BS755" i="1"/>
  <c r="BR755" i="1"/>
  <c r="BQ755" i="1"/>
  <c r="BP755" i="1"/>
  <c r="BO755" i="1"/>
  <c r="BN755" i="1"/>
  <c r="BM755" i="1"/>
  <c r="BL755" i="1"/>
  <c r="BK755" i="1"/>
  <c r="BJ755" i="1"/>
  <c r="BI755" i="1"/>
  <c r="BH755" i="1"/>
  <c r="BG755" i="1"/>
  <c r="BF755" i="1"/>
  <c r="BE755" i="1"/>
  <c r="BD755" i="1"/>
  <c r="BC755" i="1"/>
  <c r="BB755" i="1"/>
  <c r="BA755" i="1"/>
  <c r="AZ755" i="1"/>
  <c r="AY755" i="1"/>
  <c r="AX755" i="1"/>
  <c r="AW755" i="1"/>
  <c r="AV755" i="1"/>
  <c r="AU755" i="1"/>
  <c r="AT755" i="1"/>
  <c r="AS755" i="1"/>
  <c r="AR755" i="1"/>
  <c r="AQ755" i="1"/>
  <c r="AP755" i="1"/>
  <c r="AO755" i="1"/>
  <c r="AN755" i="1"/>
  <c r="AM755" i="1"/>
  <c r="AL755" i="1"/>
  <c r="AK755" i="1"/>
  <c r="AJ755" i="1"/>
  <c r="AI755" i="1"/>
  <c r="AH755" i="1"/>
  <c r="AG755" i="1"/>
  <c r="AF755" i="1"/>
  <c r="AE755" i="1"/>
  <c r="AD755" i="1"/>
  <c r="AC755" i="1"/>
  <c r="AB755" i="1"/>
  <c r="AA755" i="1"/>
  <c r="Z755" i="1"/>
  <c r="Y755" i="1"/>
  <c r="X755" i="1"/>
  <c r="W755" i="1"/>
  <c r="V755" i="1"/>
  <c r="U755" i="1"/>
  <c r="T755" i="1"/>
  <c r="S755" i="1"/>
  <c r="R755" i="1"/>
  <c r="Q755" i="1"/>
  <c r="P755" i="1"/>
  <c r="O755" i="1"/>
  <c r="N755" i="1"/>
  <c r="M755" i="1"/>
  <c r="L755" i="1"/>
  <c r="K755" i="1"/>
  <c r="J755" i="1"/>
  <c r="I755" i="1"/>
  <c r="H755" i="1"/>
  <c r="G755" i="1"/>
  <c r="F755" i="1"/>
  <c r="E755" i="1"/>
  <c r="D755" i="1"/>
  <c r="C755" i="1"/>
  <c r="BV748" i="1"/>
  <c r="BU748" i="1"/>
  <c r="BT748" i="1"/>
  <c r="BS748" i="1"/>
  <c r="BR748" i="1"/>
  <c r="BQ748" i="1"/>
  <c r="BP748" i="1"/>
  <c r="BO748" i="1"/>
  <c r="BN748" i="1"/>
  <c r="BM748" i="1"/>
  <c r="BL748" i="1"/>
  <c r="BK748" i="1"/>
  <c r="BJ748" i="1"/>
  <c r="BI748" i="1"/>
  <c r="BH748" i="1"/>
  <c r="BG748" i="1"/>
  <c r="BF748" i="1"/>
  <c r="BE748" i="1"/>
  <c r="BD748" i="1"/>
  <c r="BC748" i="1"/>
  <c r="BB748" i="1"/>
  <c r="BA748" i="1"/>
  <c r="AZ748" i="1"/>
  <c r="AY748" i="1"/>
  <c r="AX748" i="1"/>
  <c r="AW748" i="1"/>
  <c r="AV748" i="1"/>
  <c r="AU748" i="1"/>
  <c r="AT748" i="1"/>
  <c r="AS748" i="1"/>
  <c r="AR748" i="1"/>
  <c r="AQ748" i="1"/>
  <c r="AP748" i="1"/>
  <c r="AO748" i="1"/>
  <c r="AN748" i="1"/>
  <c r="AM748" i="1"/>
  <c r="AL748" i="1"/>
  <c r="AK748" i="1"/>
  <c r="AJ748" i="1"/>
  <c r="AI748" i="1"/>
  <c r="AH748" i="1"/>
  <c r="AG748" i="1"/>
  <c r="AF748" i="1"/>
  <c r="AE748" i="1"/>
  <c r="AD748" i="1"/>
  <c r="AC748" i="1"/>
  <c r="AB748" i="1"/>
  <c r="AA748" i="1"/>
  <c r="Z748" i="1"/>
  <c r="Y748" i="1"/>
  <c r="X748" i="1"/>
  <c r="W748" i="1"/>
  <c r="V748" i="1"/>
  <c r="U748" i="1"/>
  <c r="T748" i="1"/>
  <c r="S748" i="1"/>
  <c r="R748" i="1"/>
  <c r="Q748" i="1"/>
  <c r="P748" i="1"/>
  <c r="O748" i="1"/>
  <c r="N748" i="1"/>
  <c r="M748" i="1"/>
  <c r="L748" i="1"/>
  <c r="K748" i="1"/>
  <c r="J748" i="1"/>
  <c r="I748" i="1"/>
  <c r="H748" i="1"/>
  <c r="G748" i="1"/>
  <c r="F748" i="1"/>
  <c r="E748" i="1"/>
  <c r="D748" i="1"/>
  <c r="C748" i="1"/>
  <c r="BV741" i="1"/>
  <c r="BU741" i="1"/>
  <c r="BT741" i="1"/>
  <c r="BS741" i="1"/>
  <c r="BR741" i="1"/>
  <c r="BQ741" i="1"/>
  <c r="BP741" i="1"/>
  <c r="BO741" i="1"/>
  <c r="BN741" i="1"/>
  <c r="BM741" i="1"/>
  <c r="BL741" i="1"/>
  <c r="BK741" i="1"/>
  <c r="BJ741" i="1"/>
  <c r="BI741" i="1"/>
  <c r="BH741" i="1"/>
  <c r="BG741" i="1"/>
  <c r="BF741" i="1"/>
  <c r="BE741" i="1"/>
  <c r="BD741" i="1"/>
  <c r="BC741" i="1"/>
  <c r="BB741" i="1"/>
  <c r="BA741" i="1"/>
  <c r="AZ741" i="1"/>
  <c r="AY741" i="1"/>
  <c r="AX741" i="1"/>
  <c r="AW741" i="1"/>
  <c r="AV741" i="1"/>
  <c r="AU741" i="1"/>
  <c r="AT741" i="1"/>
  <c r="AS741" i="1"/>
  <c r="AR741" i="1"/>
  <c r="AQ741" i="1"/>
  <c r="AP741" i="1"/>
  <c r="AO741" i="1"/>
  <c r="AN741" i="1"/>
  <c r="AM741" i="1"/>
  <c r="AL741" i="1"/>
  <c r="AK741" i="1"/>
  <c r="AJ741" i="1"/>
  <c r="AI741" i="1"/>
  <c r="AH741" i="1"/>
  <c r="AG741" i="1"/>
  <c r="AF741" i="1"/>
  <c r="AE741" i="1"/>
  <c r="AD741" i="1"/>
  <c r="AC741" i="1"/>
  <c r="AB741" i="1"/>
  <c r="AA741" i="1"/>
  <c r="Z741" i="1"/>
  <c r="Y741" i="1"/>
  <c r="X741" i="1"/>
  <c r="W741" i="1"/>
  <c r="V741" i="1"/>
  <c r="U741" i="1"/>
  <c r="T741" i="1"/>
  <c r="S741" i="1"/>
  <c r="R741" i="1"/>
  <c r="Q741" i="1"/>
  <c r="P741" i="1"/>
  <c r="O741" i="1"/>
  <c r="N741" i="1"/>
  <c r="M741" i="1"/>
  <c r="L741" i="1"/>
  <c r="K741" i="1"/>
  <c r="J741" i="1"/>
  <c r="I741" i="1"/>
  <c r="H741" i="1"/>
  <c r="G741" i="1"/>
  <c r="F741" i="1"/>
  <c r="E741" i="1"/>
  <c r="D741" i="1"/>
  <c r="C741" i="1"/>
  <c r="BV737" i="1"/>
  <c r="BU737" i="1"/>
  <c r="BT737" i="1"/>
  <c r="BS737" i="1"/>
  <c r="BR737" i="1"/>
  <c r="BQ737" i="1"/>
  <c r="BP737" i="1"/>
  <c r="BO737" i="1"/>
  <c r="BN737" i="1"/>
  <c r="BM737" i="1"/>
  <c r="BL737" i="1"/>
  <c r="BL4" i="9" s="1"/>
  <c r="BK737" i="1"/>
  <c r="BK4" i="9" s="1"/>
  <c r="BJ737" i="1"/>
  <c r="BJ4" i="9" s="1"/>
  <c r="BI737" i="1"/>
  <c r="BI4" i="9" s="1"/>
  <c r="BH737" i="1"/>
  <c r="BH4" i="9" s="1"/>
  <c r="BG737" i="1"/>
  <c r="BG4" i="9" s="1"/>
  <c r="BF737" i="1"/>
  <c r="BF4" i="9" s="1"/>
  <c r="BE737" i="1"/>
  <c r="BE4" i="9" s="1"/>
  <c r="BD737" i="1"/>
  <c r="BD4" i="9" s="1"/>
  <c r="BC737" i="1"/>
  <c r="BC4" i="9" s="1"/>
  <c r="BB737" i="1"/>
  <c r="BB4" i="9" s="1"/>
  <c r="BA737" i="1"/>
  <c r="BA4" i="9" s="1"/>
  <c r="AZ737" i="1"/>
  <c r="AZ4" i="9" s="1"/>
  <c r="AY737" i="1"/>
  <c r="AY4" i="9" s="1"/>
  <c r="AX737" i="1"/>
  <c r="AX4" i="9" s="1"/>
  <c r="AW737" i="1"/>
  <c r="AW4" i="9" s="1"/>
  <c r="AV737" i="1"/>
  <c r="AV4" i="9" s="1"/>
  <c r="AU737" i="1"/>
  <c r="AU4" i="9" s="1"/>
  <c r="AT737" i="1"/>
  <c r="AT4" i="9" s="1"/>
  <c r="AS737" i="1"/>
  <c r="AS4" i="9" s="1"/>
  <c r="AR737" i="1"/>
  <c r="AR4" i="9" s="1"/>
  <c r="AQ737" i="1"/>
  <c r="AQ4" i="9" s="1"/>
  <c r="AP737" i="1"/>
  <c r="AP4" i="9" s="1"/>
  <c r="AO737" i="1"/>
  <c r="AO4" i="9" s="1"/>
  <c r="AN737" i="1"/>
  <c r="AN4" i="9" s="1"/>
  <c r="AM737" i="1"/>
  <c r="AM4" i="9" s="1"/>
  <c r="AL737" i="1"/>
  <c r="AL4" i="9" s="1"/>
  <c r="AK737" i="1"/>
  <c r="AK4" i="9" s="1"/>
  <c r="AJ737" i="1"/>
  <c r="AJ4" i="9" s="1"/>
  <c r="AI737" i="1"/>
  <c r="AI4" i="9" s="1"/>
  <c r="AH737" i="1"/>
  <c r="AH4" i="9" s="1"/>
  <c r="AG737" i="1"/>
  <c r="AG4" i="9" s="1"/>
  <c r="AF737" i="1"/>
  <c r="AF4" i="9" s="1"/>
  <c r="AE737" i="1"/>
  <c r="AE4" i="9" s="1"/>
  <c r="AD737" i="1"/>
  <c r="AD4" i="9" s="1"/>
  <c r="AC737" i="1"/>
  <c r="AC4" i="9" s="1"/>
  <c r="AB737" i="1"/>
  <c r="AB4" i="9" s="1"/>
  <c r="AA737" i="1"/>
  <c r="AA4" i="9" s="1"/>
  <c r="Z737" i="1"/>
  <c r="Z4" i="9" s="1"/>
  <c r="Y737" i="1"/>
  <c r="Y4" i="9" s="1"/>
  <c r="X737" i="1"/>
  <c r="X4" i="9" s="1"/>
  <c r="W737" i="1"/>
  <c r="W4" i="9" s="1"/>
  <c r="V737" i="1"/>
  <c r="V4" i="9" s="1"/>
  <c r="U737" i="1"/>
  <c r="U4" i="9" s="1"/>
  <c r="T737" i="1"/>
  <c r="T4" i="9" s="1"/>
  <c r="S737" i="1"/>
  <c r="S4" i="9" s="1"/>
  <c r="R737" i="1"/>
  <c r="R4" i="9" s="1"/>
  <c r="Q737" i="1"/>
  <c r="Q4" i="9" s="1"/>
  <c r="P737" i="1"/>
  <c r="P4" i="9" s="1"/>
  <c r="O737" i="1"/>
  <c r="O4" i="9" s="1"/>
  <c r="N737" i="1"/>
  <c r="N4" i="9" s="1"/>
  <c r="M737" i="1"/>
  <c r="M4" i="9" s="1"/>
  <c r="L737" i="1"/>
  <c r="L4" i="9" s="1"/>
  <c r="K737" i="1"/>
  <c r="K4" i="9" s="1"/>
  <c r="J737" i="1"/>
  <c r="J4" i="9" s="1"/>
  <c r="I737" i="1"/>
  <c r="I4" i="9" s="1"/>
  <c r="H737" i="1"/>
  <c r="H4" i="9" s="1"/>
  <c r="G737" i="1"/>
  <c r="G4" i="9" s="1"/>
  <c r="F737" i="1"/>
  <c r="F4" i="9" s="1"/>
  <c r="E737" i="1"/>
  <c r="E4" i="9" s="1"/>
  <c r="D737" i="1"/>
  <c r="D4" i="9" s="1"/>
  <c r="C737" i="1"/>
  <c r="C4" i="9" s="1"/>
  <c r="A731" i="1"/>
  <c r="A726" i="1"/>
  <c r="BL718" i="1"/>
  <c r="BK718" i="1"/>
  <c r="BJ718" i="1"/>
  <c r="BI718" i="1"/>
  <c r="BH718" i="1"/>
  <c r="BG718" i="1"/>
  <c r="BF718" i="1"/>
  <c r="BE718" i="1"/>
  <c r="BD718" i="1"/>
  <c r="BC718" i="1"/>
  <c r="BB718" i="1"/>
  <c r="BA718" i="1"/>
  <c r="AZ718" i="1"/>
  <c r="AY718" i="1"/>
  <c r="AX718" i="1"/>
  <c r="AW718" i="1"/>
  <c r="AV718" i="1"/>
  <c r="AU718" i="1"/>
  <c r="AT718" i="1"/>
  <c r="AS718" i="1"/>
  <c r="AR718" i="1"/>
  <c r="AQ718" i="1"/>
  <c r="AP718" i="1"/>
  <c r="AO718" i="1"/>
  <c r="AN718" i="1"/>
  <c r="AM718" i="1"/>
  <c r="AL718" i="1"/>
  <c r="AK718" i="1"/>
  <c r="AJ718" i="1"/>
  <c r="AI718" i="1"/>
  <c r="AH718" i="1"/>
  <c r="AG718" i="1"/>
  <c r="AF718" i="1"/>
  <c r="AE718" i="1"/>
  <c r="AD718" i="1"/>
  <c r="A695" i="1"/>
  <c r="A693" i="1"/>
  <c r="BS667" i="1"/>
  <c r="BN667" i="1"/>
  <c r="BV666" i="1"/>
  <c r="BU666" i="1"/>
  <c r="BT666" i="1"/>
  <c r="BS666" i="1"/>
  <c r="BR666" i="1"/>
  <c r="BQ666" i="1"/>
  <c r="BP666" i="1"/>
  <c r="BO666" i="1"/>
  <c r="BN666" i="1"/>
  <c r="BM666" i="1"/>
  <c r="BV663" i="1"/>
  <c r="BU663" i="1"/>
  <c r="BT663" i="1"/>
  <c r="BS663" i="1"/>
  <c r="BR663" i="1"/>
  <c r="BQ663" i="1"/>
  <c r="BP663" i="1"/>
  <c r="BO663" i="1"/>
  <c r="BN663" i="1"/>
  <c r="BM663" i="1"/>
  <c r="C662" i="1"/>
  <c r="BV656" i="1"/>
  <c r="BU656" i="1"/>
  <c r="BT656" i="1"/>
  <c r="BS656" i="1"/>
  <c r="BR656" i="1"/>
  <c r="BQ656" i="1"/>
  <c r="BP656" i="1"/>
  <c r="BO656" i="1"/>
  <c r="BN656" i="1"/>
  <c r="BM656" i="1"/>
  <c r="BV655" i="1"/>
  <c r="BU655" i="1"/>
  <c r="BT655" i="1"/>
  <c r="BS655" i="1"/>
  <c r="BR655" i="1"/>
  <c r="BQ655" i="1"/>
  <c r="BP655" i="1"/>
  <c r="BO655" i="1"/>
  <c r="BN655" i="1"/>
  <c r="BM655" i="1"/>
  <c r="D652" i="1"/>
  <c r="C652" i="1"/>
  <c r="BP649" i="1"/>
  <c r="BQ649" i="1" s="1"/>
  <c r="BR649" i="1" s="1"/>
  <c r="BS649" i="1" s="1"/>
  <c r="BT649" i="1" s="1"/>
  <c r="BU649" i="1" s="1"/>
  <c r="BV649" i="1" s="1"/>
  <c r="BM649" i="1"/>
  <c r="BN649" i="1" s="1"/>
  <c r="BO649" i="1" s="1"/>
  <c r="BH649" i="1"/>
  <c r="BC649" i="1"/>
  <c r="AX649" i="1"/>
  <c r="AS649" i="1"/>
  <c r="AN649" i="1"/>
  <c r="AI649" i="1"/>
  <c r="AD649" i="1"/>
  <c r="Y649" i="1"/>
  <c r="BL648" i="1"/>
  <c r="BL131" i="9" s="1"/>
  <c r="BK648" i="1"/>
  <c r="BJ648" i="1"/>
  <c r="BI648" i="1"/>
  <c r="BI131" i="9" s="1"/>
  <c r="BG648" i="1"/>
  <c r="BG131" i="9" s="1"/>
  <c r="BF648" i="1"/>
  <c r="BF131" i="9" s="1"/>
  <c r="BE648" i="1"/>
  <c r="BD648" i="1"/>
  <c r="BB648" i="1"/>
  <c r="BB131" i="9" s="1"/>
  <c r="BA648" i="1"/>
  <c r="AZ648" i="1"/>
  <c r="AZ131" i="9" s="1"/>
  <c r="AY648" i="1"/>
  <c r="AW648" i="1"/>
  <c r="AW131" i="9" s="1"/>
  <c r="AV648" i="1"/>
  <c r="AV131" i="9" s="1"/>
  <c r="AU648" i="1"/>
  <c r="AT648" i="1"/>
  <c r="AT131" i="9" s="1"/>
  <c r="AR648" i="1"/>
  <c r="AQ648" i="1"/>
  <c r="AQ131" i="9" s="1"/>
  <c r="AP648" i="1"/>
  <c r="AP131" i="9" s="1"/>
  <c r="AO648" i="1"/>
  <c r="AM648" i="1"/>
  <c r="AL648" i="1"/>
  <c r="AK648" i="1"/>
  <c r="AK131" i="9" s="1"/>
  <c r="AJ648" i="1"/>
  <c r="AJ131" i="9" s="1"/>
  <c r="AH648" i="1"/>
  <c r="AH131" i="9" s="1"/>
  <c r="AG648" i="1"/>
  <c r="AF648" i="1"/>
  <c r="AE648" i="1"/>
  <c r="AE131" i="9" s="1"/>
  <c r="AC648" i="1"/>
  <c r="AC131" i="9" s="1"/>
  <c r="AB648" i="1"/>
  <c r="AB131" i="9" s="1"/>
  <c r="AA648" i="1"/>
  <c r="Y648" i="1"/>
  <c r="Y131" i="9" s="1"/>
  <c r="X648" i="1"/>
  <c r="X131" i="9" s="1"/>
  <c r="W648" i="1"/>
  <c r="W131" i="9" s="1"/>
  <c r="V648" i="1"/>
  <c r="V131" i="9" s="1"/>
  <c r="U648" i="1"/>
  <c r="S648" i="1"/>
  <c r="S131" i="9" s="1"/>
  <c r="R648" i="1"/>
  <c r="R131" i="9" s="1"/>
  <c r="Q648" i="1"/>
  <c r="Q131" i="9" s="1"/>
  <c r="P648" i="1"/>
  <c r="P131" i="9" s="1"/>
  <c r="N648" i="1"/>
  <c r="M648" i="1"/>
  <c r="M131" i="9" s="1"/>
  <c r="L648" i="1"/>
  <c r="L131" i="9" s="1"/>
  <c r="K648" i="1"/>
  <c r="K131" i="9" s="1"/>
  <c r="I648" i="1"/>
  <c r="H648" i="1"/>
  <c r="G648" i="1"/>
  <c r="G131" i="9" s="1"/>
  <c r="F648" i="1"/>
  <c r="F131" i="9" s="1"/>
  <c r="E648" i="1"/>
  <c r="E131" i="9" s="1"/>
  <c r="E132" i="9" s="1"/>
  <c r="BH647" i="1"/>
  <c r="BC647" i="1"/>
  <c r="AX647" i="1"/>
  <c r="AS647" i="1"/>
  <c r="AS648" i="1" s="1"/>
  <c r="AN647" i="1"/>
  <c r="AI647" i="1"/>
  <c r="AD647" i="1"/>
  <c r="Z647" i="1"/>
  <c r="T647" i="1"/>
  <c r="O647" i="1"/>
  <c r="O648" i="1" s="1"/>
  <c r="J647" i="1"/>
  <c r="BH646" i="1"/>
  <c r="BC646" i="1"/>
  <c r="AX646" i="1"/>
  <c r="AS646" i="1"/>
  <c r="AN646" i="1"/>
  <c r="AI646" i="1"/>
  <c r="AD646" i="1"/>
  <c r="BM645" i="1"/>
  <c r="BN645" i="1" s="1"/>
  <c r="BO645" i="1" s="1"/>
  <c r="BP645" i="1" s="1"/>
  <c r="BQ645" i="1" s="1"/>
  <c r="BR645" i="1" s="1"/>
  <c r="BS645" i="1" s="1"/>
  <c r="BT645" i="1" s="1"/>
  <c r="BU645" i="1" s="1"/>
  <c r="BV645" i="1" s="1"/>
  <c r="BH645" i="1"/>
  <c r="BC645" i="1"/>
  <c r="AX645" i="1"/>
  <c r="AS645" i="1"/>
  <c r="AN645" i="1"/>
  <c r="AI645" i="1"/>
  <c r="AI648" i="1" s="1"/>
  <c r="AD645" i="1"/>
  <c r="Z645" i="1"/>
  <c r="T645" i="1"/>
  <c r="O645" i="1"/>
  <c r="J645" i="1"/>
  <c r="BH644" i="1"/>
  <c r="BC644" i="1"/>
  <c r="BC648" i="1" s="1"/>
  <c r="AX644" i="1"/>
  <c r="AX648" i="1" s="1"/>
  <c r="AS644" i="1"/>
  <c r="AN644" i="1"/>
  <c r="AI644" i="1"/>
  <c r="AD644" i="1"/>
  <c r="Z644" i="1"/>
  <c r="T644" i="1"/>
  <c r="O644" i="1"/>
  <c r="J644" i="1"/>
  <c r="BQ643" i="1"/>
  <c r="BR643" i="1" s="1"/>
  <c r="BS643" i="1" s="1"/>
  <c r="BT643" i="1" s="1"/>
  <c r="BU643" i="1" s="1"/>
  <c r="BV643" i="1" s="1"/>
  <c r="BP643" i="1"/>
  <c r="BM643" i="1"/>
  <c r="BN643" i="1" s="1"/>
  <c r="BO643" i="1" s="1"/>
  <c r="Z643" i="1"/>
  <c r="T643" i="1"/>
  <c r="T648" i="1" s="1"/>
  <c r="O643" i="1"/>
  <c r="J643" i="1"/>
  <c r="BM642" i="1"/>
  <c r="BN642" i="1" s="1"/>
  <c r="Z642" i="1"/>
  <c r="Z648" i="1" s="1"/>
  <c r="T642" i="1"/>
  <c r="O642" i="1"/>
  <c r="J642" i="1"/>
  <c r="AW639" i="1"/>
  <c r="AW650" i="1" s="1"/>
  <c r="AV639" i="1"/>
  <c r="AE639" i="1"/>
  <c r="AE650" i="1" s="1"/>
  <c r="U639" i="1"/>
  <c r="M639" i="1"/>
  <c r="M650" i="1" s="1"/>
  <c r="L639" i="1"/>
  <c r="BL638" i="1"/>
  <c r="BK638" i="1"/>
  <c r="BJ638" i="1"/>
  <c r="BI638" i="1"/>
  <c r="BG638" i="1"/>
  <c r="BF638" i="1"/>
  <c r="BE638" i="1"/>
  <c r="BE639" i="1" s="1"/>
  <c r="BD638" i="1"/>
  <c r="BB638" i="1"/>
  <c r="BA638" i="1"/>
  <c r="AZ638" i="1"/>
  <c r="AY638" i="1"/>
  <c r="AW638" i="1"/>
  <c r="AV638" i="1"/>
  <c r="AU638" i="1"/>
  <c r="AT638" i="1"/>
  <c r="AS638" i="1"/>
  <c r="AR638" i="1"/>
  <c r="AQ638" i="1"/>
  <c r="AP638" i="1"/>
  <c r="AO638" i="1"/>
  <c r="AM638" i="1"/>
  <c r="AM639" i="1" s="1"/>
  <c r="AL638" i="1"/>
  <c r="AK638" i="1"/>
  <c r="AJ638" i="1"/>
  <c r="AH638" i="1"/>
  <c r="AG638" i="1"/>
  <c r="AF638" i="1"/>
  <c r="AE638" i="1"/>
  <c r="AC638" i="1"/>
  <c r="AB638" i="1"/>
  <c r="AA638" i="1"/>
  <c r="Y638" i="1"/>
  <c r="X638" i="1"/>
  <c r="W638" i="1"/>
  <c r="V638" i="1"/>
  <c r="U638" i="1"/>
  <c r="S638" i="1"/>
  <c r="R638" i="1"/>
  <c r="Q638" i="1"/>
  <c r="P638" i="1"/>
  <c r="N638" i="1"/>
  <c r="M638" i="1"/>
  <c r="L638" i="1"/>
  <c r="K638" i="1"/>
  <c r="I638" i="1"/>
  <c r="H638" i="1"/>
  <c r="G638" i="1"/>
  <c r="F638" i="1"/>
  <c r="E638" i="1"/>
  <c r="BO637" i="1"/>
  <c r="BP637" i="1" s="1"/>
  <c r="BQ637" i="1" s="1"/>
  <c r="BR637" i="1" s="1"/>
  <c r="BS637" i="1" s="1"/>
  <c r="BT637" i="1" s="1"/>
  <c r="BU637" i="1" s="1"/>
  <c r="BV637" i="1" s="1"/>
  <c r="BM637" i="1"/>
  <c r="BN637" i="1" s="1"/>
  <c r="BH637" i="1"/>
  <c r="BC637" i="1"/>
  <c r="AX637" i="1"/>
  <c r="AS637" i="1"/>
  <c r="AN637" i="1"/>
  <c r="AI637" i="1"/>
  <c r="AI638" i="1" s="1"/>
  <c r="AD637" i="1"/>
  <c r="AD638" i="1" s="1"/>
  <c r="Z637" i="1"/>
  <c r="Z638" i="1" s="1"/>
  <c r="T637" i="1"/>
  <c r="T638" i="1" s="1"/>
  <c r="O637" i="1"/>
  <c r="O638" i="1" s="1"/>
  <c r="J637" i="1"/>
  <c r="J638" i="1" s="1"/>
  <c r="BM636" i="1"/>
  <c r="BN636" i="1" s="1"/>
  <c r="BO636" i="1" s="1"/>
  <c r="BP636" i="1" s="1"/>
  <c r="BQ636" i="1" s="1"/>
  <c r="BR636" i="1" s="1"/>
  <c r="BS636" i="1" s="1"/>
  <c r="BT636" i="1" s="1"/>
  <c r="BU636" i="1" s="1"/>
  <c r="BV636" i="1" s="1"/>
  <c r="BH636" i="1"/>
  <c r="BH638" i="1" s="1"/>
  <c r="BC636" i="1"/>
  <c r="BC638" i="1" s="1"/>
  <c r="AX636" i="1"/>
  <c r="AX638" i="1" s="1"/>
  <c r="AS636" i="1"/>
  <c r="AN636" i="1"/>
  <c r="AN638" i="1" s="1"/>
  <c r="BL632" i="1"/>
  <c r="BK632" i="1"/>
  <c r="BK145" i="9" s="1"/>
  <c r="BJ632" i="1"/>
  <c r="BI632" i="1"/>
  <c r="BI145" i="9" s="1"/>
  <c r="BG632" i="1"/>
  <c r="BF632" i="1"/>
  <c r="BE632" i="1"/>
  <c r="BE145" i="9" s="1"/>
  <c r="BD632" i="1"/>
  <c r="BB632" i="1"/>
  <c r="BB145" i="9" s="1"/>
  <c r="BA632" i="1"/>
  <c r="AZ632" i="1"/>
  <c r="AY632" i="1"/>
  <c r="AY145" i="9" s="1"/>
  <c r="AW632" i="1"/>
  <c r="AW145" i="9" s="1"/>
  <c r="AV632" i="1"/>
  <c r="AV145" i="9" s="1"/>
  <c r="AT632" i="1"/>
  <c r="AR632" i="1"/>
  <c r="AQ632" i="1"/>
  <c r="AQ145" i="9" s="1"/>
  <c r="AO632" i="1"/>
  <c r="AM632" i="1"/>
  <c r="AM145" i="9" s="1"/>
  <c r="AL632" i="1"/>
  <c r="AK632" i="1"/>
  <c r="AK145" i="9" s="1"/>
  <c r="AJ632" i="1"/>
  <c r="AJ145" i="9" s="1"/>
  <c r="AH632" i="1"/>
  <c r="AG632" i="1"/>
  <c r="AG145" i="9" s="1"/>
  <c r="AF632" i="1"/>
  <c r="AE632" i="1"/>
  <c r="AE145" i="9" s="1"/>
  <c r="AC632" i="1"/>
  <c r="AB632" i="1"/>
  <c r="Y632" i="1"/>
  <c r="Y145" i="9" s="1"/>
  <c r="X632" i="1"/>
  <c r="X145" i="9" s="1"/>
  <c r="W632" i="1"/>
  <c r="V632" i="1"/>
  <c r="U632" i="1"/>
  <c r="U145" i="9" s="1"/>
  <c r="S632" i="1"/>
  <c r="S145" i="9" s="1"/>
  <c r="R632" i="1"/>
  <c r="R145" i="9" s="1"/>
  <c r="Q632" i="1"/>
  <c r="P632" i="1"/>
  <c r="N632" i="1"/>
  <c r="M632" i="1"/>
  <c r="M145" i="9" s="1"/>
  <c r="L632" i="1"/>
  <c r="L145" i="9" s="1"/>
  <c r="K632" i="1"/>
  <c r="I632" i="1"/>
  <c r="I145" i="9" s="1"/>
  <c r="H632" i="1"/>
  <c r="G632" i="1"/>
  <c r="G145" i="9" s="1"/>
  <c r="F632" i="1"/>
  <c r="F145" i="9" s="1"/>
  <c r="E632" i="1"/>
  <c r="BM631" i="1"/>
  <c r="BN631" i="1" s="1"/>
  <c r="BO631" i="1" s="1"/>
  <c r="BP631" i="1" s="1"/>
  <c r="BQ631" i="1" s="1"/>
  <c r="BR631" i="1" s="1"/>
  <c r="BS631" i="1" s="1"/>
  <c r="BT631" i="1" s="1"/>
  <c r="BU631" i="1" s="1"/>
  <c r="BV631" i="1" s="1"/>
  <c r="BH631" i="1"/>
  <c r="BC631" i="1"/>
  <c r="AX631" i="1"/>
  <c r="AS631" i="1"/>
  <c r="AN631" i="1"/>
  <c r="AI631" i="1"/>
  <c r="AD631" i="1"/>
  <c r="Z631" i="1"/>
  <c r="T631" i="1"/>
  <c r="O631" i="1"/>
  <c r="J631" i="1"/>
  <c r="BM630" i="1"/>
  <c r="BN630" i="1" s="1"/>
  <c r="BO630" i="1" s="1"/>
  <c r="BP630" i="1" s="1"/>
  <c r="BQ630" i="1" s="1"/>
  <c r="BR630" i="1" s="1"/>
  <c r="BS630" i="1" s="1"/>
  <c r="BT630" i="1" s="1"/>
  <c r="BU630" i="1" s="1"/>
  <c r="BV630" i="1" s="1"/>
  <c r="BH630" i="1"/>
  <c r="BC630" i="1"/>
  <c r="AX630" i="1"/>
  <c r="AS630" i="1"/>
  <c r="AN630" i="1"/>
  <c r="AI630" i="1"/>
  <c r="AD630" i="1"/>
  <c r="BH629" i="1"/>
  <c r="BC629" i="1"/>
  <c r="AX629" i="1"/>
  <c r="AS629" i="1"/>
  <c r="AN629" i="1"/>
  <c r="AI629" i="1"/>
  <c r="AD629" i="1"/>
  <c r="Z629" i="1"/>
  <c r="BM628" i="1"/>
  <c r="BN628" i="1" s="1"/>
  <c r="BO628" i="1" s="1"/>
  <c r="BP628" i="1" s="1"/>
  <c r="BQ628" i="1" s="1"/>
  <c r="BR628" i="1" s="1"/>
  <c r="BH628" i="1"/>
  <c r="BC628" i="1"/>
  <c r="AX628" i="1"/>
  <c r="AS628" i="1"/>
  <c r="AN628" i="1"/>
  <c r="BH627" i="1"/>
  <c r="BC627" i="1"/>
  <c r="BC632" i="1" s="1"/>
  <c r="AX627" i="1"/>
  <c r="AU627" i="1"/>
  <c r="AU632" i="1" s="1"/>
  <c r="AT627" i="1"/>
  <c r="AS627" i="1"/>
  <c r="AS632" i="1" s="1"/>
  <c r="AP627" i="1"/>
  <c r="AP632" i="1" s="1"/>
  <c r="AO627" i="1"/>
  <c r="AN627" i="1"/>
  <c r="AI627" i="1"/>
  <c r="AD627" i="1"/>
  <c r="Z627" i="1"/>
  <c r="T627" i="1"/>
  <c r="O627" i="1"/>
  <c r="J627" i="1"/>
  <c r="J632" i="1" s="1"/>
  <c r="BP626" i="1"/>
  <c r="BQ626" i="1" s="1"/>
  <c r="BR626" i="1" s="1"/>
  <c r="BS626" i="1" s="1"/>
  <c r="BT626" i="1" s="1"/>
  <c r="BU626" i="1" s="1"/>
  <c r="BV626" i="1" s="1"/>
  <c r="BN626" i="1"/>
  <c r="BO626" i="1" s="1"/>
  <c r="BM626" i="1"/>
  <c r="AN626" i="1"/>
  <c r="AI626" i="1"/>
  <c r="AD626" i="1"/>
  <c r="BM625" i="1"/>
  <c r="BN625" i="1" s="1"/>
  <c r="BO625" i="1" s="1"/>
  <c r="BP625" i="1" s="1"/>
  <c r="BQ625" i="1" s="1"/>
  <c r="BR625" i="1" s="1"/>
  <c r="BS625" i="1" s="1"/>
  <c r="BT625" i="1" s="1"/>
  <c r="BU625" i="1" s="1"/>
  <c r="BV625" i="1" s="1"/>
  <c r="AN625" i="1"/>
  <c r="AN632" i="1" s="1"/>
  <c r="AI625" i="1"/>
  <c r="AI632" i="1" s="1"/>
  <c r="AD625" i="1"/>
  <c r="AD632" i="1" s="1"/>
  <c r="AD145" i="9" s="1"/>
  <c r="AC625" i="1"/>
  <c r="AB625" i="1"/>
  <c r="AA625" i="1"/>
  <c r="AA632" i="1" s="1"/>
  <c r="Z625" i="1"/>
  <c r="Z632" i="1" s="1"/>
  <c r="T625" i="1"/>
  <c r="T632" i="1" s="1"/>
  <c r="O625" i="1"/>
  <c r="O632" i="1" s="1"/>
  <c r="J625" i="1"/>
  <c r="AY621" i="1"/>
  <c r="AM621" i="1"/>
  <c r="AG621" i="1"/>
  <c r="AA621" i="1"/>
  <c r="U621" i="1"/>
  <c r="I621" i="1"/>
  <c r="BJ620" i="1"/>
  <c r="BI620" i="1"/>
  <c r="BD620" i="1"/>
  <c r="BC620" i="1"/>
  <c r="BB620" i="1"/>
  <c r="BA620" i="1"/>
  <c r="AZ620" i="1"/>
  <c r="AY620" i="1"/>
  <c r="AW620" i="1"/>
  <c r="AV620" i="1"/>
  <c r="AU620" i="1"/>
  <c r="AT620" i="1"/>
  <c r="AR620" i="1"/>
  <c r="AQ620" i="1"/>
  <c r="AP620" i="1"/>
  <c r="AO620" i="1"/>
  <c r="AM620" i="1"/>
  <c r="AL620" i="1"/>
  <c r="AK620" i="1"/>
  <c r="AJ620" i="1"/>
  <c r="AH620" i="1"/>
  <c r="AG620" i="1"/>
  <c r="AF620" i="1"/>
  <c r="AE620" i="1"/>
  <c r="AC620" i="1"/>
  <c r="AB620" i="1"/>
  <c r="AA620" i="1"/>
  <c r="Z620" i="1"/>
  <c r="Y620" i="1"/>
  <c r="X620" i="1"/>
  <c r="W620" i="1"/>
  <c r="V620" i="1"/>
  <c r="U620" i="1"/>
  <c r="S620" i="1"/>
  <c r="R620" i="1"/>
  <c r="Q620" i="1"/>
  <c r="P620" i="1"/>
  <c r="N620" i="1"/>
  <c r="M620" i="1"/>
  <c r="L620" i="1"/>
  <c r="K620" i="1"/>
  <c r="I620" i="1"/>
  <c r="H620" i="1"/>
  <c r="G620" i="1"/>
  <c r="F620" i="1"/>
  <c r="E620" i="1"/>
  <c r="BM619" i="1"/>
  <c r="BN619" i="1" s="1"/>
  <c r="BO619" i="1" s="1"/>
  <c r="BP619" i="1" s="1"/>
  <c r="BQ619" i="1" s="1"/>
  <c r="BR619" i="1" s="1"/>
  <c r="BS619" i="1" s="1"/>
  <c r="BT619" i="1" s="1"/>
  <c r="BU619" i="1" s="1"/>
  <c r="BV619" i="1" s="1"/>
  <c r="BL619" i="1"/>
  <c r="BL620" i="1" s="1"/>
  <c r="BK619" i="1"/>
  <c r="BK620" i="1" s="1"/>
  <c r="BK621" i="1" s="1"/>
  <c r="BJ619" i="1"/>
  <c r="BI619" i="1"/>
  <c r="BH619" i="1"/>
  <c r="BG619" i="1"/>
  <c r="BG620" i="1" s="1"/>
  <c r="BF619" i="1"/>
  <c r="BF620" i="1" s="1"/>
  <c r="BE619" i="1"/>
  <c r="BE620" i="1" s="1"/>
  <c r="BE621" i="1" s="1"/>
  <c r="BD619" i="1"/>
  <c r="BC619" i="1"/>
  <c r="AX619" i="1"/>
  <c r="AS619" i="1"/>
  <c r="AN619" i="1"/>
  <c r="AI619" i="1"/>
  <c r="AD619" i="1"/>
  <c r="Z619" i="1"/>
  <c r="T619" i="1"/>
  <c r="O619" i="1"/>
  <c r="J619" i="1"/>
  <c r="BM618" i="1"/>
  <c r="BN618" i="1" s="1"/>
  <c r="BO618" i="1" s="1"/>
  <c r="BP618" i="1" s="1"/>
  <c r="BQ618" i="1" s="1"/>
  <c r="BR618" i="1" s="1"/>
  <c r="BS618" i="1" s="1"/>
  <c r="BT618" i="1" s="1"/>
  <c r="BU618" i="1" s="1"/>
  <c r="BV618" i="1" s="1"/>
  <c r="BH618" i="1"/>
  <c r="BC618" i="1"/>
  <c r="AX618" i="1"/>
  <c r="AS618" i="1"/>
  <c r="AN618" i="1"/>
  <c r="AI618" i="1"/>
  <c r="AD618" i="1"/>
  <c r="Z618" i="1"/>
  <c r="T618" i="1"/>
  <c r="O618" i="1"/>
  <c r="J618" i="1"/>
  <c r="BH617" i="1"/>
  <c r="BC617" i="1"/>
  <c r="AX617" i="1"/>
  <c r="AS617" i="1"/>
  <c r="AS591" i="1" s="1"/>
  <c r="AN617" i="1"/>
  <c r="AI617" i="1"/>
  <c r="AD617" i="1"/>
  <c r="Z617" i="1"/>
  <c r="T617" i="1"/>
  <c r="O617" i="1"/>
  <c r="O591" i="1" s="1"/>
  <c r="J617" i="1"/>
  <c r="BS616" i="1"/>
  <c r="BT616" i="1" s="1"/>
  <c r="BU616" i="1" s="1"/>
  <c r="BV616" i="1" s="1"/>
  <c r="BR616" i="1"/>
  <c r="BM616" i="1"/>
  <c r="BN616" i="1" s="1"/>
  <c r="BO616" i="1" s="1"/>
  <c r="BP616" i="1" s="1"/>
  <c r="BQ616" i="1" s="1"/>
  <c r="BH616" i="1"/>
  <c r="BC616" i="1"/>
  <c r="AX616" i="1"/>
  <c r="AS616" i="1"/>
  <c r="AN616" i="1"/>
  <c r="AI616" i="1"/>
  <c r="AD616" i="1"/>
  <c r="Z616" i="1"/>
  <c r="T616" i="1"/>
  <c r="O616" i="1"/>
  <c r="J616" i="1"/>
  <c r="BO615" i="1"/>
  <c r="BP615" i="1" s="1"/>
  <c r="BQ615" i="1" s="1"/>
  <c r="BR615" i="1" s="1"/>
  <c r="BS615" i="1" s="1"/>
  <c r="BT615" i="1" s="1"/>
  <c r="BU615" i="1" s="1"/>
  <c r="BV615" i="1" s="1"/>
  <c r="BM615" i="1"/>
  <c r="BN615" i="1" s="1"/>
  <c r="BH615" i="1"/>
  <c r="BC615" i="1"/>
  <c r="AX615" i="1"/>
  <c r="AS615" i="1"/>
  <c r="AN615" i="1"/>
  <c r="BH614" i="1"/>
  <c r="BH585" i="1" s="1"/>
  <c r="BC614" i="1"/>
  <c r="AX614" i="1"/>
  <c r="AS614" i="1"/>
  <c r="AN614" i="1"/>
  <c r="AI614" i="1"/>
  <c r="AI585" i="1" s="1"/>
  <c r="AD614" i="1"/>
  <c r="AD585" i="1" s="1"/>
  <c r="Z614" i="1"/>
  <c r="T614" i="1"/>
  <c r="O614" i="1"/>
  <c r="J614" i="1"/>
  <c r="BO613" i="1"/>
  <c r="BM613" i="1"/>
  <c r="BN613" i="1" s="1"/>
  <c r="BH613" i="1"/>
  <c r="BC613" i="1"/>
  <c r="AX613" i="1"/>
  <c r="AX620" i="1" s="1"/>
  <c r="AS613" i="1"/>
  <c r="AS620" i="1" s="1"/>
  <c r="AN613" i="1"/>
  <c r="AN620" i="1" s="1"/>
  <c r="AI613" i="1"/>
  <c r="AI620" i="1" s="1"/>
  <c r="AD613" i="1"/>
  <c r="Z613" i="1"/>
  <c r="T613" i="1"/>
  <c r="T620" i="1" s="1"/>
  <c r="O613" i="1"/>
  <c r="O620" i="1" s="1"/>
  <c r="J613" i="1"/>
  <c r="J620" i="1" s="1"/>
  <c r="BL610" i="1"/>
  <c r="BL621" i="1" s="1"/>
  <c r="BK610" i="1"/>
  <c r="BJ610" i="1"/>
  <c r="BJ621" i="1" s="1"/>
  <c r="BI610" i="1"/>
  <c r="BI621" i="1" s="1"/>
  <c r="BI136" i="9" s="1"/>
  <c r="BG610" i="1"/>
  <c r="BF610" i="1"/>
  <c r="BF621" i="1" s="1"/>
  <c r="BE610" i="1"/>
  <c r="BD610" i="1"/>
  <c r="BD621" i="1" s="1"/>
  <c r="BB610" i="1"/>
  <c r="BB621" i="1" s="1"/>
  <c r="BA610" i="1"/>
  <c r="BA621" i="1" s="1"/>
  <c r="AZ610" i="1"/>
  <c r="AZ621" i="1" s="1"/>
  <c r="AY610" i="1"/>
  <c r="AW610" i="1"/>
  <c r="AW621" i="1" s="1"/>
  <c r="AV610" i="1"/>
  <c r="AV621" i="1" s="1"/>
  <c r="AU610" i="1"/>
  <c r="AU621" i="1" s="1"/>
  <c r="AT610" i="1"/>
  <c r="AT621" i="1" s="1"/>
  <c r="AR610" i="1"/>
  <c r="AR621" i="1" s="1"/>
  <c r="AQ610" i="1"/>
  <c r="AQ621" i="1" s="1"/>
  <c r="AP610" i="1"/>
  <c r="AP621" i="1" s="1"/>
  <c r="AO610" i="1"/>
  <c r="AO621" i="1" s="1"/>
  <c r="AM610" i="1"/>
  <c r="AL610" i="1"/>
  <c r="AL621" i="1" s="1"/>
  <c r="AK610" i="1"/>
  <c r="AK621" i="1" s="1"/>
  <c r="AJ610" i="1"/>
  <c r="AJ621" i="1" s="1"/>
  <c r="AH610" i="1"/>
  <c r="AH621" i="1" s="1"/>
  <c r="AG610" i="1"/>
  <c r="AF610" i="1"/>
  <c r="AF621" i="1" s="1"/>
  <c r="AE610" i="1"/>
  <c r="AE621" i="1" s="1"/>
  <c r="AC610" i="1"/>
  <c r="AC621" i="1" s="1"/>
  <c r="AB610" i="1"/>
  <c r="AB621" i="1" s="1"/>
  <c r="AA610" i="1"/>
  <c r="Y610" i="1"/>
  <c r="Y621" i="1" s="1"/>
  <c r="Y136" i="9" s="1"/>
  <c r="X610" i="1"/>
  <c r="X621" i="1" s="1"/>
  <c r="W610" i="1"/>
  <c r="W621" i="1" s="1"/>
  <c r="V610" i="1"/>
  <c r="V621" i="1" s="1"/>
  <c r="U610" i="1"/>
  <c r="S610" i="1"/>
  <c r="S621" i="1" s="1"/>
  <c r="R610" i="1"/>
  <c r="R621" i="1" s="1"/>
  <c r="Q610" i="1"/>
  <c r="Q621" i="1" s="1"/>
  <c r="P610" i="1"/>
  <c r="P621" i="1" s="1"/>
  <c r="N610" i="1"/>
  <c r="N621" i="1" s="1"/>
  <c r="M610" i="1"/>
  <c r="M621" i="1" s="1"/>
  <c r="L610" i="1"/>
  <c r="L621" i="1" s="1"/>
  <c r="K610" i="1"/>
  <c r="K621" i="1" s="1"/>
  <c r="I610" i="1"/>
  <c r="H610" i="1"/>
  <c r="H621" i="1" s="1"/>
  <c r="G610" i="1"/>
  <c r="G621" i="1" s="1"/>
  <c r="F610" i="1"/>
  <c r="F621" i="1" s="1"/>
  <c r="E610" i="1"/>
  <c r="E621" i="1" s="1"/>
  <c r="BN609" i="1"/>
  <c r="BO609" i="1" s="1"/>
  <c r="BP609" i="1" s="1"/>
  <c r="BQ609" i="1" s="1"/>
  <c r="BR609" i="1" s="1"/>
  <c r="BS609" i="1" s="1"/>
  <c r="BT609" i="1" s="1"/>
  <c r="BU609" i="1" s="1"/>
  <c r="BV609" i="1" s="1"/>
  <c r="BM609" i="1"/>
  <c r="BH609" i="1"/>
  <c r="BC609" i="1"/>
  <c r="AX609" i="1"/>
  <c r="AS609" i="1"/>
  <c r="AN609" i="1"/>
  <c r="AI609" i="1"/>
  <c r="AD609" i="1"/>
  <c r="Z609" i="1"/>
  <c r="T609" i="1"/>
  <c r="O609" i="1"/>
  <c r="J609" i="1"/>
  <c r="BH608" i="1"/>
  <c r="BC608" i="1"/>
  <c r="AX608" i="1"/>
  <c r="AS608" i="1"/>
  <c r="AN608" i="1"/>
  <c r="AI608" i="1"/>
  <c r="AD608" i="1"/>
  <c r="Z608" i="1"/>
  <c r="T608" i="1"/>
  <c r="O608" i="1"/>
  <c r="J608" i="1"/>
  <c r="BN607" i="1"/>
  <c r="BO607" i="1" s="1"/>
  <c r="BP607" i="1" s="1"/>
  <c r="BQ607" i="1" s="1"/>
  <c r="BR607" i="1" s="1"/>
  <c r="BS607" i="1" s="1"/>
  <c r="BT607" i="1" s="1"/>
  <c r="BU607" i="1" s="1"/>
  <c r="BV607" i="1" s="1"/>
  <c r="BM607" i="1"/>
  <c r="BH607" i="1"/>
  <c r="BC607" i="1"/>
  <c r="AX607" i="1"/>
  <c r="AS607" i="1"/>
  <c r="AN607" i="1"/>
  <c r="AI607" i="1"/>
  <c r="AD607" i="1"/>
  <c r="Z607" i="1"/>
  <c r="T607" i="1"/>
  <c r="O607" i="1"/>
  <c r="J607" i="1"/>
  <c r="BM606" i="1"/>
  <c r="BN606" i="1" s="1"/>
  <c r="BO606" i="1" s="1"/>
  <c r="BP606" i="1" s="1"/>
  <c r="BQ606" i="1" s="1"/>
  <c r="BR606" i="1" s="1"/>
  <c r="BS606" i="1" s="1"/>
  <c r="BT606" i="1" s="1"/>
  <c r="BU606" i="1" s="1"/>
  <c r="BV606" i="1" s="1"/>
  <c r="BH606" i="1"/>
  <c r="BC606" i="1"/>
  <c r="AX606" i="1"/>
  <c r="AS606" i="1"/>
  <c r="AN606" i="1"/>
  <c r="AI606" i="1"/>
  <c r="AI610" i="1" s="1"/>
  <c r="AI621" i="1" s="1"/>
  <c r="AD606" i="1"/>
  <c r="BH605" i="1"/>
  <c r="BC605" i="1"/>
  <c r="AX605" i="1"/>
  <c r="AS605" i="1"/>
  <c r="AN605" i="1"/>
  <c r="AN610" i="1" s="1"/>
  <c r="AN621" i="1" s="1"/>
  <c r="AI605" i="1"/>
  <c r="AD605" i="1"/>
  <c r="Z605" i="1"/>
  <c r="T605" i="1"/>
  <c r="O605" i="1"/>
  <c r="J605" i="1"/>
  <c r="J610" i="1" s="1"/>
  <c r="J621" i="1" s="1"/>
  <c r="BH604" i="1"/>
  <c r="BH610" i="1" s="1"/>
  <c r="BC604" i="1"/>
  <c r="BC610" i="1" s="1"/>
  <c r="BC621" i="1" s="1"/>
  <c r="AX604" i="1"/>
  <c r="AS604" i="1"/>
  <c r="AS610" i="1" s="1"/>
  <c r="AS621" i="1" s="1"/>
  <c r="AN604" i="1"/>
  <c r="AI604" i="1"/>
  <c r="AD604" i="1"/>
  <c r="AD610" i="1" s="1"/>
  <c r="Z604" i="1"/>
  <c r="Z610" i="1" s="1"/>
  <c r="Z621" i="1" s="1"/>
  <c r="T604" i="1"/>
  <c r="O604" i="1"/>
  <c r="O610" i="1" s="1"/>
  <c r="O621" i="1" s="1"/>
  <c r="J604" i="1"/>
  <c r="BS600" i="1"/>
  <c r="BV599" i="1"/>
  <c r="BU599" i="1"/>
  <c r="BT599" i="1"/>
  <c r="BR599" i="1"/>
  <c r="BR583" i="1" s="1"/>
  <c r="BQ599" i="1"/>
  <c r="BP599" i="1"/>
  <c r="BO599" i="1"/>
  <c r="BM599" i="1"/>
  <c r="U596" i="1"/>
  <c r="E596" i="1"/>
  <c r="D596" i="1"/>
  <c r="Z595" i="1"/>
  <c r="U595" i="1"/>
  <c r="BS594" i="1"/>
  <c r="F594" i="1"/>
  <c r="E594" i="1"/>
  <c r="D594" i="1"/>
  <c r="BS593" i="1"/>
  <c r="Z593" i="1"/>
  <c r="U593" i="1"/>
  <c r="BL591" i="1"/>
  <c r="BK591" i="1"/>
  <c r="BJ591" i="1"/>
  <c r="BK587" i="1" s="1"/>
  <c r="BI591" i="1"/>
  <c r="BH591" i="1"/>
  <c r="BG591" i="1"/>
  <c r="BF591" i="1"/>
  <c r="BE591" i="1"/>
  <c r="BD591" i="1"/>
  <c r="BC591" i="1"/>
  <c r="BB591" i="1"/>
  <c r="BA591" i="1"/>
  <c r="AZ591" i="1"/>
  <c r="AY591" i="1"/>
  <c r="AX591" i="1"/>
  <c r="AW591" i="1"/>
  <c r="AX587" i="1" s="1"/>
  <c r="AV591" i="1"/>
  <c r="AU591" i="1"/>
  <c r="AT591" i="1"/>
  <c r="AR591" i="1"/>
  <c r="AS587" i="1" s="1"/>
  <c r="AQ591" i="1"/>
  <c r="AR587" i="1" s="1"/>
  <c r="AP591" i="1"/>
  <c r="AO591" i="1"/>
  <c r="AN591" i="1"/>
  <c r="AM591" i="1"/>
  <c r="AL591" i="1"/>
  <c r="AM587" i="1" s="1"/>
  <c r="AK591" i="1"/>
  <c r="AL587" i="1" s="1"/>
  <c r="AJ591" i="1"/>
  <c r="AI591" i="1"/>
  <c r="AH591" i="1"/>
  <c r="AG591" i="1"/>
  <c r="AF591" i="1"/>
  <c r="AG587" i="1" s="1"/>
  <c r="AE591" i="1"/>
  <c r="AD591" i="1"/>
  <c r="AC591" i="1"/>
  <c r="AB591" i="1"/>
  <c r="AA591" i="1"/>
  <c r="Z591" i="1"/>
  <c r="Y591" i="1"/>
  <c r="X591" i="1"/>
  <c r="W591" i="1"/>
  <c r="V591" i="1"/>
  <c r="U591" i="1"/>
  <c r="T591" i="1"/>
  <c r="S591" i="1"/>
  <c r="T587" i="1" s="1"/>
  <c r="R591" i="1"/>
  <c r="Q591" i="1"/>
  <c r="P591" i="1"/>
  <c r="N591" i="1"/>
  <c r="O587" i="1" s="1"/>
  <c r="M591" i="1"/>
  <c r="N587" i="1" s="1"/>
  <c r="L591" i="1"/>
  <c r="K591" i="1"/>
  <c r="J591" i="1"/>
  <c r="I591" i="1"/>
  <c r="H591" i="1"/>
  <c r="I587" i="1" s="1"/>
  <c r="G591" i="1"/>
  <c r="H587" i="1" s="1"/>
  <c r="F591" i="1"/>
  <c r="E591" i="1"/>
  <c r="D591" i="1"/>
  <c r="C591" i="1"/>
  <c r="BV589" i="1"/>
  <c r="BU589" i="1"/>
  <c r="BT589" i="1"/>
  <c r="BR589" i="1"/>
  <c r="BP589" i="1"/>
  <c r="BO589" i="1"/>
  <c r="BM589" i="1"/>
  <c r="BL588" i="1"/>
  <c r="BK588" i="1"/>
  <c r="BJ588" i="1"/>
  <c r="BI588" i="1"/>
  <c r="BG588" i="1"/>
  <c r="BF588" i="1"/>
  <c r="BE588" i="1"/>
  <c r="BD588" i="1"/>
  <c r="BB588" i="1"/>
  <c r="BA588" i="1"/>
  <c r="AZ588" i="1"/>
  <c r="AY588" i="1"/>
  <c r="AW588" i="1"/>
  <c r="AV588" i="1"/>
  <c r="AU588" i="1"/>
  <c r="AT588" i="1"/>
  <c r="AR588" i="1"/>
  <c r="AQ588" i="1"/>
  <c r="AP588" i="1"/>
  <c r="AO588" i="1"/>
  <c r="AM588" i="1"/>
  <c r="AL588" i="1"/>
  <c r="AK588" i="1"/>
  <c r="AJ588" i="1"/>
  <c r="AH588" i="1"/>
  <c r="AG588" i="1"/>
  <c r="AF588" i="1"/>
  <c r="AE588" i="1"/>
  <c r="AC588" i="1"/>
  <c r="AB588" i="1"/>
  <c r="AA588" i="1"/>
  <c r="Z588" i="1"/>
  <c r="Z594" i="1" s="1"/>
  <c r="X588" i="1"/>
  <c r="W588" i="1"/>
  <c r="V588" i="1"/>
  <c r="U588" i="1"/>
  <c r="U594" i="1" s="1"/>
  <c r="S588" i="1"/>
  <c r="R588" i="1"/>
  <c r="Q588" i="1"/>
  <c r="P588" i="1"/>
  <c r="P594" i="1" s="1"/>
  <c r="N588" i="1"/>
  <c r="M588" i="1"/>
  <c r="L588" i="1"/>
  <c r="K588" i="1"/>
  <c r="I588" i="1"/>
  <c r="H588" i="1"/>
  <c r="G588" i="1"/>
  <c r="F588" i="1"/>
  <c r="BM587" i="1"/>
  <c r="BL587" i="1"/>
  <c r="BH587" i="1"/>
  <c r="BG587" i="1"/>
  <c r="BF587" i="1"/>
  <c r="BD587" i="1"/>
  <c r="BC587" i="1"/>
  <c r="BB587" i="1"/>
  <c r="BA587" i="1"/>
  <c r="AZ587" i="1"/>
  <c r="AY587" i="1"/>
  <c r="AW587" i="1"/>
  <c r="AV587" i="1"/>
  <c r="AU587" i="1"/>
  <c r="AT587" i="1"/>
  <c r="AQ587" i="1"/>
  <c r="AP587" i="1"/>
  <c r="AO587" i="1"/>
  <c r="AN587" i="1"/>
  <c r="AK587" i="1"/>
  <c r="AI587" i="1"/>
  <c r="AH587" i="1"/>
  <c r="AD587" i="1"/>
  <c r="AC587" i="1"/>
  <c r="AB587" i="1"/>
  <c r="Z587" i="1"/>
  <c r="Z596" i="1" s="1"/>
  <c r="Y587" i="1"/>
  <c r="X587" i="1"/>
  <c r="W587" i="1"/>
  <c r="V587" i="1"/>
  <c r="U587" i="1"/>
  <c r="S587" i="1"/>
  <c r="R587" i="1"/>
  <c r="Q587" i="1"/>
  <c r="P587" i="1"/>
  <c r="P596" i="1" s="1"/>
  <c r="M587" i="1"/>
  <c r="L587" i="1"/>
  <c r="K587" i="1"/>
  <c r="J587" i="1"/>
  <c r="G587" i="1"/>
  <c r="F587" i="1"/>
  <c r="BL585" i="1"/>
  <c r="BK585" i="1"/>
  <c r="BJ585" i="1"/>
  <c r="BK581" i="1" s="1"/>
  <c r="BI585" i="1"/>
  <c r="BG585" i="1"/>
  <c r="BF585" i="1"/>
  <c r="BE585" i="1"/>
  <c r="BD585" i="1"/>
  <c r="BC585" i="1"/>
  <c r="BB585" i="1"/>
  <c r="BA585" i="1"/>
  <c r="AZ585" i="1"/>
  <c r="AY585" i="1"/>
  <c r="AX585" i="1"/>
  <c r="AW585" i="1"/>
  <c r="AX581" i="1" s="1"/>
  <c r="AV585" i="1"/>
  <c r="AU585" i="1"/>
  <c r="AT585" i="1"/>
  <c r="AS585" i="1"/>
  <c r="AR585" i="1"/>
  <c r="AS581" i="1" s="1"/>
  <c r="AQ585" i="1"/>
  <c r="AR581" i="1" s="1"/>
  <c r="AP585" i="1"/>
  <c r="AO585" i="1"/>
  <c r="AN585" i="1"/>
  <c r="AM585" i="1"/>
  <c r="AL585" i="1"/>
  <c r="AM581" i="1" s="1"/>
  <c r="AK585" i="1"/>
  <c r="AL581" i="1" s="1"/>
  <c r="AJ585" i="1"/>
  <c r="AH585" i="1"/>
  <c r="AG585" i="1"/>
  <c r="AF585" i="1"/>
  <c r="AG581" i="1" s="1"/>
  <c r="AE585" i="1"/>
  <c r="AC585" i="1"/>
  <c r="AB585" i="1"/>
  <c r="AA585" i="1"/>
  <c r="Z585" i="1"/>
  <c r="Y585" i="1"/>
  <c r="X585" i="1"/>
  <c r="W585" i="1"/>
  <c r="V585" i="1"/>
  <c r="U585" i="1"/>
  <c r="T585" i="1"/>
  <c r="S585" i="1"/>
  <c r="T581" i="1" s="1"/>
  <c r="R585" i="1"/>
  <c r="Q585" i="1"/>
  <c r="P585" i="1"/>
  <c r="O585" i="1"/>
  <c r="N585" i="1"/>
  <c r="O581" i="1" s="1"/>
  <c r="M585" i="1"/>
  <c r="N581" i="1" s="1"/>
  <c r="L585" i="1"/>
  <c r="K585" i="1"/>
  <c r="J585" i="1"/>
  <c r="I585" i="1"/>
  <c r="H585" i="1"/>
  <c r="I581" i="1" s="1"/>
  <c r="G585" i="1"/>
  <c r="H581" i="1" s="1"/>
  <c r="F585" i="1"/>
  <c r="E585" i="1"/>
  <c r="D585" i="1"/>
  <c r="C585" i="1"/>
  <c r="BV583" i="1"/>
  <c r="BU583" i="1"/>
  <c r="BT583" i="1"/>
  <c r="BP583" i="1"/>
  <c r="BO583" i="1"/>
  <c r="BM583" i="1"/>
  <c r="BL582" i="1"/>
  <c r="BK582" i="1"/>
  <c r="BJ582" i="1"/>
  <c r="BI582" i="1"/>
  <c r="BG582" i="1"/>
  <c r="BF582" i="1"/>
  <c r="BE582" i="1"/>
  <c r="BD582" i="1"/>
  <c r="BB582" i="1"/>
  <c r="BA582" i="1"/>
  <c r="AZ582" i="1"/>
  <c r="AY582" i="1"/>
  <c r="AW582" i="1"/>
  <c r="AV582" i="1"/>
  <c r="AU582" i="1"/>
  <c r="AT582" i="1"/>
  <c r="AR582" i="1"/>
  <c r="AQ582" i="1"/>
  <c r="AP582" i="1"/>
  <c r="AO582" i="1"/>
  <c r="AO593" i="1" s="1"/>
  <c r="AM582" i="1"/>
  <c r="AL582" i="1"/>
  <c r="AK582" i="1"/>
  <c r="AJ582" i="1"/>
  <c r="AH582" i="1"/>
  <c r="AG582" i="1"/>
  <c r="AF582" i="1"/>
  <c r="AE582" i="1"/>
  <c r="AC582" i="1"/>
  <c r="AB582" i="1"/>
  <c r="AA582" i="1"/>
  <c r="Z582" i="1"/>
  <c r="X582" i="1"/>
  <c r="W582" i="1"/>
  <c r="V582" i="1"/>
  <c r="U582" i="1"/>
  <c r="S582" i="1"/>
  <c r="R582" i="1"/>
  <c r="Q582" i="1"/>
  <c r="P582" i="1"/>
  <c r="N582" i="1"/>
  <c r="M582" i="1"/>
  <c r="L582" i="1"/>
  <c r="K582" i="1"/>
  <c r="I582" i="1"/>
  <c r="H582" i="1"/>
  <c r="G582" i="1"/>
  <c r="F582" i="1"/>
  <c r="F593" i="1" s="1"/>
  <c r="E582" i="1"/>
  <c r="E593" i="1" s="1"/>
  <c r="D582" i="1"/>
  <c r="D593" i="1" s="1"/>
  <c r="BM581" i="1"/>
  <c r="BL581" i="1"/>
  <c r="BH581" i="1"/>
  <c r="BG581" i="1"/>
  <c r="BF581" i="1"/>
  <c r="BD581" i="1"/>
  <c r="BC581" i="1"/>
  <c r="BB581" i="1"/>
  <c r="BA581" i="1"/>
  <c r="AZ581" i="1"/>
  <c r="AY581" i="1"/>
  <c r="AW581" i="1"/>
  <c r="AV581" i="1"/>
  <c r="AU581" i="1"/>
  <c r="AT581" i="1"/>
  <c r="AQ581" i="1"/>
  <c r="AP581" i="1"/>
  <c r="AO581" i="1"/>
  <c r="AN581" i="1"/>
  <c r="AK581" i="1"/>
  <c r="AI581" i="1"/>
  <c r="AH581" i="1"/>
  <c r="AD581" i="1"/>
  <c r="AC581" i="1"/>
  <c r="AB581" i="1"/>
  <c r="Z581" i="1"/>
  <c r="Y581" i="1"/>
  <c r="X581" i="1"/>
  <c r="W581" i="1"/>
  <c r="V581" i="1"/>
  <c r="U581" i="1"/>
  <c r="S581" i="1"/>
  <c r="R581" i="1"/>
  <c r="Q581" i="1"/>
  <c r="P581" i="1"/>
  <c r="M581" i="1"/>
  <c r="L581" i="1"/>
  <c r="K581" i="1"/>
  <c r="J581" i="1"/>
  <c r="G581" i="1"/>
  <c r="F581" i="1"/>
  <c r="E581" i="1"/>
  <c r="D581" i="1"/>
  <c r="BL569" i="1"/>
  <c r="BK569" i="1"/>
  <c r="BJ569" i="1"/>
  <c r="BI569" i="1"/>
  <c r="BG569" i="1"/>
  <c r="BF569" i="1"/>
  <c r="BE569" i="1"/>
  <c r="BD569" i="1"/>
  <c r="BB569" i="1"/>
  <c r="BA569" i="1"/>
  <c r="AZ569" i="1"/>
  <c r="AY569" i="1"/>
  <c r="AW569" i="1"/>
  <c r="AV569" i="1"/>
  <c r="AU569" i="1"/>
  <c r="AT569" i="1"/>
  <c r="AR569" i="1"/>
  <c r="AQ569" i="1"/>
  <c r="AP569" i="1"/>
  <c r="AO569" i="1"/>
  <c r="AM569" i="1"/>
  <c r="AL569" i="1"/>
  <c r="AK569" i="1"/>
  <c r="AJ569" i="1"/>
  <c r="AH569" i="1"/>
  <c r="AG569" i="1"/>
  <c r="AF569" i="1"/>
  <c r="AE569" i="1"/>
  <c r="AC569" i="1"/>
  <c r="AB569" i="1"/>
  <c r="AA569" i="1"/>
  <c r="Z569" i="1"/>
  <c r="X569" i="1"/>
  <c r="W569" i="1"/>
  <c r="V569" i="1"/>
  <c r="U569" i="1"/>
  <c r="S569" i="1"/>
  <c r="R569" i="1"/>
  <c r="Q569" i="1"/>
  <c r="P569" i="1"/>
  <c r="N569" i="1"/>
  <c r="M569" i="1"/>
  <c r="L569" i="1"/>
  <c r="K569" i="1"/>
  <c r="I569" i="1"/>
  <c r="H569" i="1"/>
  <c r="G569" i="1"/>
  <c r="F569" i="1"/>
  <c r="E569" i="1"/>
  <c r="D569" i="1"/>
  <c r="A569" i="1"/>
  <c r="A567" i="1"/>
  <c r="AP566" i="1"/>
  <c r="AT566" i="1" s="1"/>
  <c r="AK566" i="1"/>
  <c r="AO566" i="1" s="1"/>
  <c r="AJ566" i="1"/>
  <c r="AE566" i="1"/>
  <c r="AA566" i="1"/>
  <c r="A566" i="1"/>
  <c r="A564" i="1"/>
  <c r="BS563" i="1"/>
  <c r="BL563" i="1"/>
  <c r="BK563" i="1"/>
  <c r="BJ563" i="1"/>
  <c r="BI563" i="1"/>
  <c r="BG563" i="1"/>
  <c r="BF563" i="1"/>
  <c r="BE563" i="1"/>
  <c r="BD563" i="1"/>
  <c r="BB563" i="1"/>
  <c r="BA563" i="1"/>
  <c r="AZ563" i="1"/>
  <c r="AY563" i="1"/>
  <c r="AW563" i="1"/>
  <c r="AV563" i="1"/>
  <c r="AU563" i="1"/>
  <c r="AT563" i="1"/>
  <c r="AR563" i="1"/>
  <c r="AQ563" i="1"/>
  <c r="AP563" i="1"/>
  <c r="AO563" i="1"/>
  <c r="AM563" i="1"/>
  <c r="AL563" i="1"/>
  <c r="AK563" i="1"/>
  <c r="AJ563" i="1"/>
  <c r="AH563" i="1"/>
  <c r="AG563" i="1"/>
  <c r="AF563" i="1"/>
  <c r="AE563" i="1"/>
  <c r="AC563" i="1"/>
  <c r="AB563" i="1"/>
  <c r="AA563" i="1"/>
  <c r="Z563" i="1"/>
  <c r="X563" i="1"/>
  <c r="W563" i="1"/>
  <c r="V563" i="1"/>
  <c r="U563" i="1"/>
  <c r="S563" i="1"/>
  <c r="R563" i="1"/>
  <c r="Q563" i="1"/>
  <c r="P563" i="1"/>
  <c r="N563" i="1"/>
  <c r="M563" i="1"/>
  <c r="L563" i="1"/>
  <c r="K563" i="1"/>
  <c r="I563" i="1"/>
  <c r="H563" i="1"/>
  <c r="G563" i="1"/>
  <c r="F563" i="1"/>
  <c r="E563" i="1"/>
  <c r="D563" i="1"/>
  <c r="C563" i="1"/>
  <c r="A563" i="1"/>
  <c r="A561" i="1"/>
  <c r="BS560" i="1"/>
  <c r="BL560" i="1"/>
  <c r="BK560" i="1"/>
  <c r="BJ560" i="1"/>
  <c r="BI560" i="1"/>
  <c r="BG560" i="1"/>
  <c r="BF560" i="1"/>
  <c r="BE560" i="1"/>
  <c r="BD560" i="1"/>
  <c r="BB560" i="1"/>
  <c r="BA560" i="1"/>
  <c r="AZ560" i="1"/>
  <c r="AY560" i="1"/>
  <c r="AW560" i="1"/>
  <c r="AV560" i="1"/>
  <c r="AU560" i="1"/>
  <c r="AT560" i="1"/>
  <c r="AR560" i="1"/>
  <c r="AQ560" i="1"/>
  <c r="AP560" i="1"/>
  <c r="AO560" i="1"/>
  <c r="AN560" i="1"/>
  <c r="AM560" i="1"/>
  <c r="AL560" i="1"/>
  <c r="AK560" i="1"/>
  <c r="AJ560" i="1"/>
  <c r="AI560" i="1"/>
  <c r="AH560" i="1"/>
  <c r="AG560" i="1"/>
  <c r="AF560" i="1"/>
  <c r="AE560" i="1"/>
  <c r="AD560" i="1"/>
  <c r="AC560" i="1"/>
  <c r="AB560" i="1"/>
  <c r="AA560" i="1"/>
  <c r="Z560" i="1"/>
  <c r="Y560" i="1"/>
  <c r="X560" i="1"/>
  <c r="W560" i="1"/>
  <c r="V560" i="1"/>
  <c r="U560" i="1"/>
  <c r="T560" i="1"/>
  <c r="S560" i="1"/>
  <c r="R560" i="1"/>
  <c r="Q560" i="1"/>
  <c r="P560" i="1"/>
  <c r="O560" i="1"/>
  <c r="N560" i="1"/>
  <c r="M560" i="1"/>
  <c r="L560" i="1"/>
  <c r="K560" i="1"/>
  <c r="J560" i="1"/>
  <c r="I560" i="1"/>
  <c r="H560" i="1"/>
  <c r="G560" i="1"/>
  <c r="F560" i="1"/>
  <c r="E560" i="1"/>
  <c r="D560" i="1"/>
  <c r="C560" i="1"/>
  <c r="A560" i="1"/>
  <c r="BL559" i="1"/>
  <c r="BK559" i="1"/>
  <c r="BJ559" i="1"/>
  <c r="BI559" i="1"/>
  <c r="BG559" i="1"/>
  <c r="BF559" i="1"/>
  <c r="BE559" i="1"/>
  <c r="BE374" i="1" s="1"/>
  <c r="BE106" i="9" s="1"/>
  <c r="BD559" i="1"/>
  <c r="BB559" i="1"/>
  <c r="BA559" i="1"/>
  <c r="AZ559" i="1"/>
  <c r="AY559" i="1"/>
  <c r="AW559" i="1"/>
  <c r="AV559" i="1"/>
  <c r="AU559" i="1"/>
  <c r="AT559" i="1"/>
  <c r="AR559" i="1"/>
  <c r="AQ559" i="1"/>
  <c r="AP559" i="1"/>
  <c r="AO559" i="1"/>
  <c r="AM559" i="1"/>
  <c r="AM374" i="1" s="1"/>
  <c r="AM106" i="9" s="1"/>
  <c r="AL559" i="1"/>
  <c r="AK559" i="1"/>
  <c r="AK374" i="1" s="1"/>
  <c r="AK106" i="9" s="1"/>
  <c r="AJ559" i="1"/>
  <c r="AH559" i="1"/>
  <c r="AG559" i="1"/>
  <c r="AF559" i="1"/>
  <c r="AE559" i="1"/>
  <c r="AC559" i="1"/>
  <c r="AB559" i="1"/>
  <c r="AA559" i="1"/>
  <c r="Z559" i="1"/>
  <c r="X559" i="1"/>
  <c r="W559" i="1"/>
  <c r="V559" i="1"/>
  <c r="U559" i="1"/>
  <c r="S559" i="1"/>
  <c r="S374" i="1" s="1"/>
  <c r="S106" i="9" s="1"/>
  <c r="R559" i="1"/>
  <c r="Q559" i="1"/>
  <c r="Q374" i="1" s="1"/>
  <c r="Q106" i="9" s="1"/>
  <c r="P559" i="1"/>
  <c r="N559" i="1"/>
  <c r="M559" i="1"/>
  <c r="L559" i="1"/>
  <c r="K559" i="1"/>
  <c r="I559" i="1"/>
  <c r="H559" i="1"/>
  <c r="G559" i="1"/>
  <c r="F559" i="1"/>
  <c r="E559" i="1"/>
  <c r="D559" i="1"/>
  <c r="C559" i="1"/>
  <c r="A559" i="1"/>
  <c r="BS558" i="1"/>
  <c r="BL558" i="1"/>
  <c r="BK558" i="1"/>
  <c r="BJ558" i="1"/>
  <c r="BI558" i="1"/>
  <c r="BG558" i="1"/>
  <c r="BF558" i="1"/>
  <c r="BE558" i="1"/>
  <c r="BD558" i="1"/>
  <c r="BB558" i="1"/>
  <c r="BA558" i="1"/>
  <c r="AZ558" i="1"/>
  <c r="AY558" i="1"/>
  <c r="AX558" i="1"/>
  <c r="AW558" i="1"/>
  <c r="AV558" i="1"/>
  <c r="AU558" i="1"/>
  <c r="AT558" i="1"/>
  <c r="AS558" i="1"/>
  <c r="AR558" i="1"/>
  <c r="AQ558" i="1"/>
  <c r="AP558" i="1"/>
  <c r="AO558" i="1"/>
  <c r="AN558" i="1"/>
  <c r="AM558" i="1"/>
  <c r="AL558" i="1"/>
  <c r="AK558" i="1"/>
  <c r="AJ558" i="1"/>
  <c r="AI558" i="1"/>
  <c r="AH558" i="1"/>
  <c r="AG558" i="1"/>
  <c r="AF558" i="1"/>
  <c r="AE558" i="1"/>
  <c r="AD558" i="1"/>
  <c r="AC558" i="1"/>
  <c r="AB558" i="1"/>
  <c r="AA558" i="1"/>
  <c r="Z558" i="1"/>
  <c r="Y558" i="1"/>
  <c r="X558" i="1"/>
  <c r="W558" i="1"/>
  <c r="V558" i="1"/>
  <c r="U558" i="1"/>
  <c r="T558" i="1"/>
  <c r="S558" i="1"/>
  <c r="R558" i="1"/>
  <c r="Q558" i="1"/>
  <c r="P558" i="1"/>
  <c r="O558" i="1"/>
  <c r="N558" i="1"/>
  <c r="M558" i="1"/>
  <c r="L558" i="1"/>
  <c r="K558" i="1"/>
  <c r="J558" i="1"/>
  <c r="I558" i="1"/>
  <c r="H558" i="1"/>
  <c r="G558" i="1"/>
  <c r="F558" i="1"/>
  <c r="E558" i="1"/>
  <c r="D558" i="1"/>
  <c r="C558" i="1"/>
  <c r="A558" i="1"/>
  <c r="BV557" i="1"/>
  <c r="BU557" i="1"/>
  <c r="BT557" i="1"/>
  <c r="BR557" i="1"/>
  <c r="BQ557" i="1"/>
  <c r="BS557" i="1" s="1"/>
  <c r="BP557" i="1"/>
  <c r="BO557" i="1"/>
  <c r="BM557" i="1"/>
  <c r="BL557" i="1"/>
  <c r="BK557" i="1"/>
  <c r="BJ557" i="1"/>
  <c r="BI557" i="1"/>
  <c r="BG557" i="1"/>
  <c r="BF557" i="1"/>
  <c r="BE557" i="1"/>
  <c r="BD557" i="1"/>
  <c r="BB557" i="1"/>
  <c r="BA557" i="1"/>
  <c r="AZ557" i="1"/>
  <c r="AZ377" i="1" s="1"/>
  <c r="AZ111" i="9" s="1"/>
  <c r="AY557" i="1"/>
  <c r="AW557" i="1"/>
  <c r="AW377" i="1" s="1"/>
  <c r="AW111" i="9" s="1"/>
  <c r="AV557" i="1"/>
  <c r="AU557" i="1"/>
  <c r="AT557" i="1"/>
  <c r="AR557" i="1"/>
  <c r="AQ557" i="1"/>
  <c r="AP557" i="1"/>
  <c r="AO557" i="1"/>
  <c r="AM557" i="1"/>
  <c r="AL557" i="1"/>
  <c r="AK557" i="1"/>
  <c r="AJ557" i="1"/>
  <c r="AH557" i="1"/>
  <c r="AG557" i="1"/>
  <c r="AF557" i="1"/>
  <c r="AE557" i="1"/>
  <c r="AC557" i="1"/>
  <c r="AC377" i="1" s="1"/>
  <c r="AC111" i="9" s="1"/>
  <c r="AB557" i="1"/>
  <c r="AA557" i="1"/>
  <c r="Z557" i="1"/>
  <c r="Y557" i="1"/>
  <c r="X557" i="1"/>
  <c r="W557" i="1"/>
  <c r="V557" i="1"/>
  <c r="U557" i="1"/>
  <c r="S557" i="1"/>
  <c r="R557" i="1"/>
  <c r="Q557" i="1"/>
  <c r="P557" i="1"/>
  <c r="N557" i="1"/>
  <c r="M557" i="1"/>
  <c r="M377" i="1" s="1"/>
  <c r="M111" i="9" s="1"/>
  <c r="L557" i="1"/>
  <c r="K557" i="1"/>
  <c r="K377" i="1" s="1"/>
  <c r="K111" i="9" s="1"/>
  <c r="I557" i="1"/>
  <c r="H557" i="1"/>
  <c r="G557" i="1"/>
  <c r="F557" i="1"/>
  <c r="E557" i="1"/>
  <c r="D557" i="1"/>
  <c r="C557" i="1"/>
  <c r="A557" i="1"/>
  <c r="BV556" i="1"/>
  <c r="BU556" i="1"/>
  <c r="BT556" i="1"/>
  <c r="BR556" i="1"/>
  <c r="BQ556" i="1"/>
  <c r="BP556" i="1"/>
  <c r="BO556" i="1"/>
  <c r="BM556" i="1"/>
  <c r="BM646" i="1" s="1"/>
  <c r="BN646" i="1" s="1"/>
  <c r="BO646" i="1" s="1"/>
  <c r="BP646" i="1" s="1"/>
  <c r="BQ646" i="1" s="1"/>
  <c r="BL556" i="1"/>
  <c r="BK556" i="1"/>
  <c r="BJ556" i="1"/>
  <c r="BI556" i="1"/>
  <c r="BG556" i="1"/>
  <c r="BF556" i="1"/>
  <c r="BE556" i="1"/>
  <c r="BD556" i="1"/>
  <c r="BB556" i="1"/>
  <c r="BA556" i="1"/>
  <c r="AZ556" i="1"/>
  <c r="AY556" i="1"/>
  <c r="AW556" i="1"/>
  <c r="AV556" i="1"/>
  <c r="AU556" i="1"/>
  <c r="AT556" i="1"/>
  <c r="AR556" i="1"/>
  <c r="AQ556" i="1"/>
  <c r="AP556" i="1"/>
  <c r="AO556" i="1"/>
  <c r="AM556" i="1"/>
  <c r="AL556" i="1"/>
  <c r="AK556" i="1"/>
  <c r="AJ556" i="1"/>
  <c r="AH556" i="1"/>
  <c r="AG556" i="1"/>
  <c r="AF556" i="1"/>
  <c r="AE556" i="1"/>
  <c r="AC556" i="1"/>
  <c r="AB556" i="1"/>
  <c r="AA556" i="1"/>
  <c r="Z556" i="1"/>
  <c r="X556" i="1"/>
  <c r="W556" i="1"/>
  <c r="V556" i="1"/>
  <c r="U556" i="1"/>
  <c r="S556" i="1"/>
  <c r="R556" i="1"/>
  <c r="Q556" i="1"/>
  <c r="P556" i="1"/>
  <c r="N556" i="1"/>
  <c r="M556" i="1"/>
  <c r="L556" i="1"/>
  <c r="K556" i="1"/>
  <c r="I556" i="1"/>
  <c r="H556" i="1"/>
  <c r="G556" i="1"/>
  <c r="F556" i="1"/>
  <c r="E556" i="1"/>
  <c r="D556" i="1"/>
  <c r="C556" i="1"/>
  <c r="A556" i="1"/>
  <c r="BS555" i="1"/>
  <c r="BL555" i="1"/>
  <c r="BK555" i="1"/>
  <c r="BN555" i="1" s="1"/>
  <c r="BJ555" i="1"/>
  <c r="BI555" i="1"/>
  <c r="BG555" i="1"/>
  <c r="BF555" i="1"/>
  <c r="BE555" i="1"/>
  <c r="BD555" i="1"/>
  <c r="BB555" i="1"/>
  <c r="BA555" i="1"/>
  <c r="AZ555" i="1"/>
  <c r="AY555" i="1"/>
  <c r="AW555" i="1"/>
  <c r="AV555" i="1"/>
  <c r="AU555" i="1"/>
  <c r="AT555" i="1"/>
  <c r="AR555" i="1"/>
  <c r="AQ555" i="1"/>
  <c r="AP555" i="1"/>
  <c r="AO555" i="1"/>
  <c r="AM555" i="1"/>
  <c r="AL555" i="1"/>
  <c r="AK555" i="1"/>
  <c r="AJ555" i="1"/>
  <c r="AH555" i="1"/>
  <c r="AG555" i="1"/>
  <c r="AF555" i="1"/>
  <c r="AE555" i="1"/>
  <c r="AC555" i="1"/>
  <c r="AB555" i="1"/>
  <c r="AA555" i="1"/>
  <c r="Z555" i="1"/>
  <c r="X555" i="1"/>
  <c r="W555" i="1"/>
  <c r="V555" i="1"/>
  <c r="U555" i="1"/>
  <c r="S555" i="1"/>
  <c r="R555" i="1"/>
  <c r="Q555" i="1"/>
  <c r="P555" i="1"/>
  <c r="N555" i="1"/>
  <c r="N378" i="1" s="1"/>
  <c r="N110" i="9" s="1"/>
  <c r="M555" i="1"/>
  <c r="L555" i="1"/>
  <c r="L378" i="1" s="1"/>
  <c r="L110" i="9" s="1"/>
  <c r="K555" i="1"/>
  <c r="I555" i="1"/>
  <c r="H555" i="1"/>
  <c r="G555" i="1"/>
  <c r="F555" i="1"/>
  <c r="E555" i="1"/>
  <c r="D555" i="1"/>
  <c r="C555" i="1"/>
  <c r="A555" i="1"/>
  <c r="BS554" i="1"/>
  <c r="BL554" i="1"/>
  <c r="BK554" i="1"/>
  <c r="BJ554" i="1"/>
  <c r="BN554" i="1" s="1"/>
  <c r="BI554" i="1"/>
  <c r="BG554" i="1"/>
  <c r="BF554" i="1"/>
  <c r="BE554" i="1"/>
  <c r="BD554" i="1"/>
  <c r="BB554" i="1"/>
  <c r="BA554" i="1"/>
  <c r="AZ554" i="1"/>
  <c r="AY554" i="1"/>
  <c r="AW554" i="1"/>
  <c r="AV554" i="1"/>
  <c r="AU554" i="1"/>
  <c r="AT554" i="1"/>
  <c r="AR554" i="1"/>
  <c r="AQ554" i="1"/>
  <c r="AP554" i="1"/>
  <c r="AO554" i="1"/>
  <c r="AM554" i="1"/>
  <c r="AL554" i="1"/>
  <c r="AK554" i="1"/>
  <c r="AJ554" i="1"/>
  <c r="AH554" i="1"/>
  <c r="AG554" i="1"/>
  <c r="AF554" i="1"/>
  <c r="AE554" i="1"/>
  <c r="AC554" i="1"/>
  <c r="AB554" i="1"/>
  <c r="AA554" i="1"/>
  <c r="Z554" i="1"/>
  <c r="X554" i="1"/>
  <c r="W554" i="1"/>
  <c r="V554" i="1"/>
  <c r="U554" i="1"/>
  <c r="S554" i="1"/>
  <c r="R554" i="1"/>
  <c r="Q554" i="1"/>
  <c r="P554" i="1"/>
  <c r="N554" i="1"/>
  <c r="M554" i="1"/>
  <c r="L554" i="1"/>
  <c r="K554" i="1"/>
  <c r="I554" i="1"/>
  <c r="H554" i="1"/>
  <c r="G554" i="1"/>
  <c r="F554" i="1"/>
  <c r="E554" i="1"/>
  <c r="D554" i="1"/>
  <c r="C554" i="1"/>
  <c r="A554" i="1"/>
  <c r="BS553" i="1"/>
  <c r="BL553" i="1"/>
  <c r="BK553" i="1"/>
  <c r="BJ553" i="1"/>
  <c r="BI553" i="1"/>
  <c r="BG553" i="1"/>
  <c r="BF553" i="1"/>
  <c r="BE553" i="1"/>
  <c r="BD553" i="1"/>
  <c r="BB553" i="1"/>
  <c r="BA553" i="1"/>
  <c r="AZ553" i="1"/>
  <c r="AY553" i="1"/>
  <c r="AW553" i="1"/>
  <c r="AV553" i="1"/>
  <c r="AU553" i="1"/>
  <c r="AU378" i="1" s="1"/>
  <c r="AU110" i="9" s="1"/>
  <c r="AT553" i="1"/>
  <c r="AR553" i="1"/>
  <c r="AR378" i="1" s="1"/>
  <c r="AR110" i="9" s="1"/>
  <c r="AQ553" i="1"/>
  <c r="AP553" i="1"/>
  <c r="AO553" i="1"/>
  <c r="AM553" i="1"/>
  <c r="AL553" i="1"/>
  <c r="AK553" i="1"/>
  <c r="AJ553" i="1"/>
  <c r="AH553" i="1"/>
  <c r="AG553" i="1"/>
  <c r="AF553" i="1"/>
  <c r="AE553" i="1"/>
  <c r="AC553" i="1"/>
  <c r="AB553" i="1"/>
  <c r="AA553" i="1"/>
  <c r="AA378" i="1" s="1"/>
  <c r="AA110" i="9" s="1"/>
  <c r="Z553" i="1"/>
  <c r="X553" i="1"/>
  <c r="X378" i="1" s="1"/>
  <c r="X110" i="9" s="1"/>
  <c r="W553" i="1"/>
  <c r="V553" i="1"/>
  <c r="U553" i="1"/>
  <c r="S553" i="1"/>
  <c r="R553" i="1"/>
  <c r="Q553" i="1"/>
  <c r="P553" i="1"/>
  <c r="N553" i="1"/>
  <c r="M553" i="1"/>
  <c r="L553" i="1"/>
  <c r="K553" i="1"/>
  <c r="I553" i="1"/>
  <c r="H553" i="1"/>
  <c r="G553" i="1"/>
  <c r="G378" i="1" s="1"/>
  <c r="G110" i="9" s="1"/>
  <c r="F553" i="1"/>
  <c r="E553" i="1"/>
  <c r="E378" i="1" s="1"/>
  <c r="E110" i="9" s="1"/>
  <c r="D553" i="1"/>
  <c r="C553" i="1"/>
  <c r="A553" i="1"/>
  <c r="BS552" i="1"/>
  <c r="BL552" i="1"/>
  <c r="BK552" i="1"/>
  <c r="BJ552" i="1"/>
  <c r="BN552" i="1" s="1"/>
  <c r="BI552" i="1"/>
  <c r="BG552" i="1"/>
  <c r="BF552" i="1"/>
  <c r="BE552" i="1"/>
  <c r="BD552" i="1"/>
  <c r="BB552" i="1"/>
  <c r="BA552" i="1"/>
  <c r="BA378" i="1" s="1"/>
  <c r="BA110" i="9" s="1"/>
  <c r="AZ552" i="1"/>
  <c r="AY552" i="1"/>
  <c r="AY378" i="1" s="1"/>
  <c r="AY110" i="9" s="1"/>
  <c r="AW552" i="1"/>
  <c r="AV552" i="1"/>
  <c r="AU552" i="1"/>
  <c r="AT552" i="1"/>
  <c r="AR552" i="1"/>
  <c r="AQ552" i="1"/>
  <c r="AP552" i="1"/>
  <c r="AO552" i="1"/>
  <c r="AM552" i="1"/>
  <c r="AL552" i="1"/>
  <c r="AK552" i="1"/>
  <c r="AJ552" i="1"/>
  <c r="AH552" i="1"/>
  <c r="AG552" i="1"/>
  <c r="AG378" i="1" s="1"/>
  <c r="AG110" i="9" s="1"/>
  <c r="AF552" i="1"/>
  <c r="AE552" i="1"/>
  <c r="AE378" i="1" s="1"/>
  <c r="AE110" i="9" s="1"/>
  <c r="AC552" i="1"/>
  <c r="AB552" i="1"/>
  <c r="AA552" i="1"/>
  <c r="Z552" i="1"/>
  <c r="X552" i="1"/>
  <c r="W552" i="1"/>
  <c r="V552" i="1"/>
  <c r="U552" i="1"/>
  <c r="S552" i="1"/>
  <c r="R552" i="1"/>
  <c r="Q552" i="1"/>
  <c r="P552" i="1"/>
  <c r="N552" i="1"/>
  <c r="M552" i="1"/>
  <c r="L552" i="1"/>
  <c r="K552" i="1"/>
  <c r="K378" i="1" s="1"/>
  <c r="K110" i="9" s="1"/>
  <c r="I552" i="1"/>
  <c r="H552" i="1"/>
  <c r="G552" i="1"/>
  <c r="F552" i="1"/>
  <c r="E552" i="1"/>
  <c r="D552" i="1"/>
  <c r="C552" i="1"/>
  <c r="A552" i="1"/>
  <c r="BS551" i="1"/>
  <c r="BN551" i="1"/>
  <c r="BL551" i="1"/>
  <c r="BK551" i="1"/>
  <c r="BJ551" i="1"/>
  <c r="BI551" i="1"/>
  <c r="BI378" i="1" s="1"/>
  <c r="BI110" i="9" s="1"/>
  <c r="BG551" i="1"/>
  <c r="BF551" i="1"/>
  <c r="BF378" i="1" s="1"/>
  <c r="BF110" i="9" s="1"/>
  <c r="BE551" i="1"/>
  <c r="BD551" i="1"/>
  <c r="BB551" i="1"/>
  <c r="BA551" i="1"/>
  <c r="AZ551" i="1"/>
  <c r="AY551" i="1"/>
  <c r="AW551" i="1"/>
  <c r="AV551" i="1"/>
  <c r="AU551" i="1"/>
  <c r="AT551" i="1"/>
  <c r="AR551" i="1"/>
  <c r="AQ551" i="1"/>
  <c r="AP551" i="1"/>
  <c r="AO551" i="1"/>
  <c r="AO378" i="1" s="1"/>
  <c r="AO110" i="9" s="1"/>
  <c r="AM551" i="1"/>
  <c r="AL551" i="1"/>
  <c r="AL378" i="1" s="1"/>
  <c r="AL110" i="9" s="1"/>
  <c r="AK551" i="1"/>
  <c r="AJ551" i="1"/>
  <c r="AH551" i="1"/>
  <c r="AG551" i="1"/>
  <c r="AF551" i="1"/>
  <c r="AE551" i="1"/>
  <c r="AC551" i="1"/>
  <c r="AB551" i="1"/>
  <c r="AA551" i="1"/>
  <c r="Z551" i="1"/>
  <c r="Y551" i="1"/>
  <c r="X551" i="1"/>
  <c r="W551" i="1"/>
  <c r="V551" i="1"/>
  <c r="U551" i="1"/>
  <c r="S551" i="1"/>
  <c r="R551" i="1"/>
  <c r="Q551" i="1"/>
  <c r="P551" i="1"/>
  <c r="N551" i="1"/>
  <c r="M551" i="1"/>
  <c r="L551" i="1"/>
  <c r="K551" i="1"/>
  <c r="I551" i="1"/>
  <c r="H551" i="1"/>
  <c r="G551" i="1"/>
  <c r="F551" i="1"/>
  <c r="E551" i="1"/>
  <c r="D551" i="1"/>
  <c r="C551" i="1"/>
  <c r="A551" i="1"/>
  <c r="BS550" i="1"/>
  <c r="BL550" i="1"/>
  <c r="BK550" i="1"/>
  <c r="BJ550" i="1"/>
  <c r="BI550" i="1"/>
  <c r="BG550" i="1"/>
  <c r="BF550" i="1"/>
  <c r="BE550" i="1"/>
  <c r="BD550" i="1"/>
  <c r="BB550" i="1"/>
  <c r="BA550" i="1"/>
  <c r="AZ550" i="1"/>
  <c r="AY550" i="1"/>
  <c r="AW550" i="1"/>
  <c r="AV550" i="1"/>
  <c r="AU550" i="1"/>
  <c r="AT550" i="1"/>
  <c r="AT378" i="1" s="1"/>
  <c r="AT110" i="9" s="1"/>
  <c r="AR550" i="1"/>
  <c r="AQ550" i="1"/>
  <c r="AP550" i="1"/>
  <c r="AO550" i="1"/>
  <c r="AM550" i="1"/>
  <c r="AL550" i="1"/>
  <c r="AK550" i="1"/>
  <c r="AJ550" i="1"/>
  <c r="AH550" i="1"/>
  <c r="AG550" i="1"/>
  <c r="AF550" i="1"/>
  <c r="AE550" i="1"/>
  <c r="AC550" i="1"/>
  <c r="AB550" i="1"/>
  <c r="AB378" i="1" s="1"/>
  <c r="AB110" i="9" s="1"/>
  <c r="AA550" i="1"/>
  <c r="Z550" i="1"/>
  <c r="Z378" i="1" s="1"/>
  <c r="Z110" i="9" s="1"/>
  <c r="X550" i="1"/>
  <c r="W550" i="1"/>
  <c r="V550" i="1"/>
  <c r="U550" i="1"/>
  <c r="S550" i="1"/>
  <c r="R550" i="1"/>
  <c r="Q550" i="1"/>
  <c r="P550" i="1"/>
  <c r="N550" i="1"/>
  <c r="M550" i="1"/>
  <c r="L550" i="1"/>
  <c r="K550" i="1"/>
  <c r="I550" i="1"/>
  <c r="H550" i="1"/>
  <c r="H378" i="1" s="1"/>
  <c r="H110" i="9" s="1"/>
  <c r="G550" i="1"/>
  <c r="F550" i="1"/>
  <c r="F378" i="1" s="1"/>
  <c r="F110" i="9" s="1"/>
  <c r="E550" i="1"/>
  <c r="D550" i="1"/>
  <c r="C550" i="1"/>
  <c r="A550" i="1"/>
  <c r="BS549" i="1"/>
  <c r="BL549" i="1"/>
  <c r="BK549" i="1"/>
  <c r="BN549" i="1" s="1"/>
  <c r="BJ549" i="1"/>
  <c r="BI549" i="1"/>
  <c r="BG549" i="1"/>
  <c r="BF549" i="1"/>
  <c r="BE549" i="1"/>
  <c r="BD549" i="1"/>
  <c r="BB549" i="1"/>
  <c r="BB378" i="1" s="1"/>
  <c r="BB110" i="9" s="1"/>
  <c r="BA549" i="1"/>
  <c r="AZ549" i="1"/>
  <c r="AZ378" i="1" s="1"/>
  <c r="AZ110" i="9" s="1"/>
  <c r="AY549" i="1"/>
  <c r="AW549" i="1"/>
  <c r="AV549" i="1"/>
  <c r="AU549" i="1"/>
  <c r="AT549" i="1"/>
  <c r="AR549" i="1"/>
  <c r="AQ549" i="1"/>
  <c r="AP549" i="1"/>
  <c r="AO549" i="1"/>
  <c r="AM549" i="1"/>
  <c r="AL549" i="1"/>
  <c r="AK549" i="1"/>
  <c r="AJ549" i="1"/>
  <c r="AH549" i="1"/>
  <c r="AG549" i="1"/>
  <c r="AF549" i="1"/>
  <c r="AE549" i="1"/>
  <c r="AC549" i="1"/>
  <c r="AB549" i="1"/>
  <c r="AA549" i="1"/>
  <c r="Z549" i="1"/>
  <c r="Y549" i="1"/>
  <c r="X549" i="1"/>
  <c r="W549" i="1"/>
  <c r="V549" i="1"/>
  <c r="U549" i="1"/>
  <c r="S549" i="1"/>
  <c r="R549" i="1"/>
  <c r="Q549" i="1"/>
  <c r="P549" i="1"/>
  <c r="N549" i="1"/>
  <c r="M549" i="1"/>
  <c r="M378" i="1" s="1"/>
  <c r="M110" i="9" s="1"/>
  <c r="L549" i="1"/>
  <c r="K549" i="1"/>
  <c r="I549" i="1"/>
  <c r="H549" i="1"/>
  <c r="G549" i="1"/>
  <c r="F549" i="1"/>
  <c r="E549" i="1"/>
  <c r="D549" i="1"/>
  <c r="C549" i="1"/>
  <c r="A549" i="1"/>
  <c r="BS548" i="1"/>
  <c r="BL548" i="1"/>
  <c r="BK548" i="1"/>
  <c r="BJ548" i="1"/>
  <c r="BJ561" i="1" s="1"/>
  <c r="BI548" i="1"/>
  <c r="BG548" i="1"/>
  <c r="BG561" i="1" s="1"/>
  <c r="BF548" i="1"/>
  <c r="BE548" i="1"/>
  <c r="BD548" i="1"/>
  <c r="BB548" i="1"/>
  <c r="BA548" i="1"/>
  <c r="AZ548" i="1"/>
  <c r="AY548" i="1"/>
  <c r="AW548" i="1"/>
  <c r="AV548" i="1"/>
  <c r="AU548" i="1"/>
  <c r="AT548" i="1"/>
  <c r="AR548" i="1"/>
  <c r="AQ548" i="1"/>
  <c r="AP548" i="1"/>
  <c r="AP561" i="1" s="1"/>
  <c r="AO548" i="1"/>
  <c r="AM548" i="1"/>
  <c r="AM561" i="1" s="1"/>
  <c r="AL548" i="1"/>
  <c r="AK548" i="1"/>
  <c r="AJ548" i="1"/>
  <c r="AH548" i="1"/>
  <c r="AG548" i="1"/>
  <c r="AF548" i="1"/>
  <c r="AE548" i="1"/>
  <c r="AC548" i="1"/>
  <c r="AB548" i="1"/>
  <c r="AA548" i="1"/>
  <c r="Z548" i="1"/>
  <c r="X548" i="1"/>
  <c r="W548" i="1"/>
  <c r="V548" i="1"/>
  <c r="V561" i="1" s="1"/>
  <c r="U548" i="1"/>
  <c r="S548" i="1"/>
  <c r="S561" i="1" s="1"/>
  <c r="R548" i="1"/>
  <c r="Q548" i="1"/>
  <c r="P548" i="1"/>
  <c r="N548" i="1"/>
  <c r="M548" i="1"/>
  <c r="L548" i="1"/>
  <c r="K548" i="1"/>
  <c r="I548" i="1"/>
  <c r="H548" i="1"/>
  <c r="G548" i="1"/>
  <c r="F548" i="1"/>
  <c r="E548" i="1"/>
  <c r="D548" i="1"/>
  <c r="C548" i="1"/>
  <c r="C561" i="1" s="1"/>
  <c r="A548" i="1"/>
  <c r="A547" i="1"/>
  <c r="A545" i="1"/>
  <c r="BS544" i="1"/>
  <c r="BL544" i="1"/>
  <c r="BK544" i="1"/>
  <c r="BN544" i="1" s="1"/>
  <c r="BJ544" i="1"/>
  <c r="BI544" i="1"/>
  <c r="BG544" i="1"/>
  <c r="BF544" i="1"/>
  <c r="BE544" i="1"/>
  <c r="BD544" i="1"/>
  <c r="BB544" i="1"/>
  <c r="BA544" i="1"/>
  <c r="AZ544" i="1"/>
  <c r="AY544" i="1"/>
  <c r="AW544" i="1"/>
  <c r="AV544" i="1"/>
  <c r="AU544" i="1"/>
  <c r="AT544" i="1"/>
  <c r="AR544" i="1"/>
  <c r="AQ544" i="1"/>
  <c r="AP544" i="1"/>
  <c r="AO544" i="1"/>
  <c r="AM544" i="1"/>
  <c r="AL544" i="1"/>
  <c r="AK544" i="1"/>
  <c r="AJ544" i="1"/>
  <c r="AH544" i="1"/>
  <c r="AG544" i="1"/>
  <c r="AF544" i="1"/>
  <c r="AE544" i="1"/>
  <c r="AC544" i="1"/>
  <c r="AB544" i="1"/>
  <c r="AA544" i="1"/>
  <c r="Z544" i="1"/>
  <c r="X544" i="1"/>
  <c r="W544" i="1"/>
  <c r="V544" i="1"/>
  <c r="U544" i="1"/>
  <c r="S544" i="1"/>
  <c r="R544" i="1"/>
  <c r="Q544" i="1"/>
  <c r="P544" i="1"/>
  <c r="N544" i="1"/>
  <c r="M544" i="1"/>
  <c r="L544" i="1"/>
  <c r="K544" i="1"/>
  <c r="I544" i="1"/>
  <c r="H544" i="1"/>
  <c r="G544" i="1"/>
  <c r="F544" i="1"/>
  <c r="E544" i="1"/>
  <c r="D544" i="1"/>
  <c r="C544" i="1"/>
  <c r="A544" i="1"/>
  <c r="BS543" i="1"/>
  <c r="BL543" i="1"/>
  <c r="BK543" i="1"/>
  <c r="BJ543" i="1"/>
  <c r="BN543" i="1" s="1"/>
  <c r="BI543" i="1"/>
  <c r="BG543" i="1"/>
  <c r="BF543" i="1"/>
  <c r="BE543" i="1"/>
  <c r="BD543" i="1"/>
  <c r="BB543" i="1"/>
  <c r="BA543" i="1"/>
  <c r="AZ543" i="1"/>
  <c r="AY543" i="1"/>
  <c r="AW543" i="1"/>
  <c r="AV543" i="1"/>
  <c r="AU543" i="1"/>
  <c r="AT543" i="1"/>
  <c r="AR543" i="1"/>
  <c r="AQ543" i="1"/>
  <c r="AP543" i="1"/>
  <c r="AO543" i="1"/>
  <c r="AM543" i="1"/>
  <c r="AL543" i="1"/>
  <c r="AK543" i="1"/>
  <c r="AJ543" i="1"/>
  <c r="AH543" i="1"/>
  <c r="AG543" i="1"/>
  <c r="AF543" i="1"/>
  <c r="AE543" i="1"/>
  <c r="AD543" i="1"/>
  <c r="AC543" i="1"/>
  <c r="AB543" i="1"/>
  <c r="AA543" i="1"/>
  <c r="Z543" i="1"/>
  <c r="Y543" i="1"/>
  <c r="X543" i="1"/>
  <c r="W543" i="1"/>
  <c r="V543" i="1"/>
  <c r="U543" i="1"/>
  <c r="T543" i="1"/>
  <c r="S543" i="1"/>
  <c r="R543" i="1"/>
  <c r="Q543" i="1"/>
  <c r="P543" i="1"/>
  <c r="O543" i="1"/>
  <c r="N543" i="1"/>
  <c r="M543" i="1"/>
  <c r="L543" i="1"/>
  <c r="K543" i="1"/>
  <c r="J543" i="1"/>
  <c r="I543" i="1"/>
  <c r="H543" i="1"/>
  <c r="G543" i="1"/>
  <c r="F543" i="1"/>
  <c r="E543" i="1"/>
  <c r="D543" i="1"/>
  <c r="C543" i="1"/>
  <c r="A543" i="1"/>
  <c r="BS542" i="1"/>
  <c r="BL542" i="1"/>
  <c r="BK542" i="1"/>
  <c r="BJ542" i="1"/>
  <c r="BI542" i="1"/>
  <c r="BG542" i="1"/>
  <c r="BF542" i="1"/>
  <c r="BE542" i="1"/>
  <c r="BD542" i="1"/>
  <c r="BB542" i="1"/>
  <c r="BA542" i="1"/>
  <c r="AZ542" i="1"/>
  <c r="AY542" i="1"/>
  <c r="AW542" i="1"/>
  <c r="AV542" i="1"/>
  <c r="AU542" i="1"/>
  <c r="AT542" i="1"/>
  <c r="AR542" i="1"/>
  <c r="AQ542" i="1"/>
  <c r="AP542" i="1"/>
  <c r="AO542" i="1"/>
  <c r="AM542" i="1"/>
  <c r="AL542" i="1"/>
  <c r="AK542" i="1"/>
  <c r="AJ542" i="1"/>
  <c r="AH542" i="1"/>
  <c r="AG542" i="1"/>
  <c r="AF542" i="1"/>
  <c r="AE542" i="1"/>
  <c r="AC542" i="1"/>
  <c r="AB542" i="1"/>
  <c r="AA542" i="1"/>
  <c r="Z542" i="1"/>
  <c r="X542" i="1"/>
  <c r="W542" i="1"/>
  <c r="V542" i="1"/>
  <c r="U542" i="1"/>
  <c r="S542" i="1"/>
  <c r="R542" i="1"/>
  <c r="Q542" i="1"/>
  <c r="P542" i="1"/>
  <c r="N542" i="1"/>
  <c r="M542" i="1"/>
  <c r="L542" i="1"/>
  <c r="K542" i="1"/>
  <c r="I542" i="1"/>
  <c r="H542" i="1"/>
  <c r="G542" i="1"/>
  <c r="F542" i="1"/>
  <c r="E542" i="1"/>
  <c r="D542" i="1"/>
  <c r="C542" i="1"/>
  <c r="A542" i="1"/>
  <c r="BS541" i="1"/>
  <c r="BL541" i="1"/>
  <c r="BK541" i="1"/>
  <c r="BJ541" i="1"/>
  <c r="BN541" i="1" s="1"/>
  <c r="BI541" i="1"/>
  <c r="BG541" i="1"/>
  <c r="BF541" i="1"/>
  <c r="BE541" i="1"/>
  <c r="BD541" i="1"/>
  <c r="BB541" i="1"/>
  <c r="BA541" i="1"/>
  <c r="AZ541" i="1"/>
  <c r="AY541" i="1"/>
  <c r="AW541" i="1"/>
  <c r="AV541" i="1"/>
  <c r="AU541" i="1"/>
  <c r="AT541" i="1"/>
  <c r="AR541" i="1"/>
  <c r="AQ541" i="1"/>
  <c r="AP541" i="1"/>
  <c r="AO541" i="1"/>
  <c r="AN541" i="1"/>
  <c r="AM541" i="1"/>
  <c r="AL541" i="1"/>
  <c r="AK541" i="1"/>
  <c r="AJ541" i="1"/>
  <c r="AI541" i="1"/>
  <c r="AH541" i="1"/>
  <c r="AG541" i="1"/>
  <c r="AF541" i="1"/>
  <c r="AE541" i="1"/>
  <c r="AD541" i="1"/>
  <c r="AC541" i="1"/>
  <c r="AB541" i="1"/>
  <c r="AA541" i="1"/>
  <c r="Z541" i="1"/>
  <c r="Y541" i="1"/>
  <c r="X541" i="1"/>
  <c r="W541" i="1"/>
  <c r="V541" i="1"/>
  <c r="U541" i="1"/>
  <c r="T541" i="1"/>
  <c r="S541" i="1"/>
  <c r="R541" i="1"/>
  <c r="Q541" i="1"/>
  <c r="P541" i="1"/>
  <c r="O541" i="1"/>
  <c r="N541" i="1"/>
  <c r="M541" i="1"/>
  <c r="L541" i="1"/>
  <c r="K541" i="1"/>
  <c r="J541" i="1"/>
  <c r="I541" i="1"/>
  <c r="H541" i="1"/>
  <c r="G541" i="1"/>
  <c r="F541" i="1"/>
  <c r="E541" i="1"/>
  <c r="D541" i="1"/>
  <c r="C541" i="1"/>
  <c r="A541" i="1"/>
  <c r="BS540" i="1"/>
  <c r="BN540" i="1"/>
  <c r="BL540" i="1"/>
  <c r="BK540" i="1"/>
  <c r="BJ540" i="1"/>
  <c r="BI540" i="1"/>
  <c r="BG540" i="1"/>
  <c r="BF540" i="1"/>
  <c r="BE540" i="1"/>
  <c r="BD540" i="1"/>
  <c r="BB540" i="1"/>
  <c r="BA540" i="1"/>
  <c r="AZ540" i="1"/>
  <c r="AY540" i="1"/>
  <c r="AW540" i="1"/>
  <c r="AV540" i="1"/>
  <c r="AU540" i="1"/>
  <c r="AT540" i="1"/>
  <c r="AR540" i="1"/>
  <c r="AQ540" i="1"/>
  <c r="AP540" i="1"/>
  <c r="AO540" i="1"/>
  <c r="AN540" i="1"/>
  <c r="AM540" i="1"/>
  <c r="AL540" i="1"/>
  <c r="AK540" i="1"/>
  <c r="AJ540" i="1"/>
  <c r="AI540" i="1"/>
  <c r="AH540" i="1"/>
  <c r="AG540" i="1"/>
  <c r="AF540" i="1"/>
  <c r="AE540" i="1"/>
  <c r="AD540" i="1"/>
  <c r="AC540" i="1"/>
  <c r="AB540" i="1"/>
  <c r="AA540" i="1"/>
  <c r="Z540" i="1"/>
  <c r="Y540" i="1"/>
  <c r="X540" i="1"/>
  <c r="W540" i="1"/>
  <c r="V540" i="1"/>
  <c r="U540" i="1"/>
  <c r="T540" i="1"/>
  <c r="S540" i="1"/>
  <c r="R540" i="1"/>
  <c r="Q540" i="1"/>
  <c r="P540" i="1"/>
  <c r="O540" i="1"/>
  <c r="N540" i="1"/>
  <c r="M540" i="1"/>
  <c r="L540" i="1"/>
  <c r="K540" i="1"/>
  <c r="J540" i="1"/>
  <c r="I540" i="1"/>
  <c r="H540" i="1"/>
  <c r="G540" i="1"/>
  <c r="F540" i="1"/>
  <c r="E540" i="1"/>
  <c r="D540" i="1"/>
  <c r="C540" i="1"/>
  <c r="A540" i="1"/>
  <c r="BS539" i="1"/>
  <c r="BL539" i="1"/>
  <c r="BK539" i="1"/>
  <c r="BJ539" i="1"/>
  <c r="BI539" i="1"/>
  <c r="BG539" i="1"/>
  <c r="BF539" i="1"/>
  <c r="BE539" i="1"/>
  <c r="BD539" i="1"/>
  <c r="BB539" i="1"/>
  <c r="BA539" i="1"/>
  <c r="AZ539" i="1"/>
  <c r="AY539" i="1"/>
  <c r="AW539" i="1"/>
  <c r="AV539" i="1"/>
  <c r="AV373" i="1" s="1"/>
  <c r="AV109" i="9" s="1"/>
  <c r="AU539" i="1"/>
  <c r="AT539" i="1"/>
  <c r="AR539" i="1"/>
  <c r="AQ539" i="1"/>
  <c r="AP539" i="1"/>
  <c r="AO539" i="1"/>
  <c r="AM539" i="1"/>
  <c r="AL539" i="1"/>
  <c r="AK539" i="1"/>
  <c r="AJ539" i="1"/>
  <c r="AH539" i="1"/>
  <c r="AG539" i="1"/>
  <c r="AF539" i="1"/>
  <c r="AE539" i="1"/>
  <c r="AC539" i="1"/>
  <c r="AB539" i="1"/>
  <c r="AB373" i="1" s="1"/>
  <c r="AB109" i="9" s="1"/>
  <c r="AA539" i="1"/>
  <c r="Z539" i="1"/>
  <c r="Y539" i="1"/>
  <c r="X539" i="1"/>
  <c r="W539" i="1"/>
  <c r="V539" i="1"/>
  <c r="U539" i="1"/>
  <c r="T539" i="1"/>
  <c r="S539" i="1"/>
  <c r="R539" i="1"/>
  <c r="Q539" i="1"/>
  <c r="P539" i="1"/>
  <c r="O539" i="1"/>
  <c r="N539" i="1"/>
  <c r="M539" i="1"/>
  <c r="L539" i="1"/>
  <c r="L373" i="1" s="1"/>
  <c r="L109" i="9" s="1"/>
  <c r="K539" i="1"/>
  <c r="J539" i="1"/>
  <c r="J373" i="1" s="1"/>
  <c r="J109" i="9" s="1"/>
  <c r="I539" i="1"/>
  <c r="H539" i="1"/>
  <c r="G539" i="1"/>
  <c r="F539" i="1"/>
  <c r="E539" i="1"/>
  <c r="D539" i="1"/>
  <c r="C539" i="1"/>
  <c r="A539" i="1"/>
  <c r="BS538" i="1"/>
  <c r="BL538" i="1"/>
  <c r="BK538" i="1"/>
  <c r="BJ538" i="1"/>
  <c r="BI538" i="1"/>
  <c r="BG538" i="1"/>
  <c r="BF538" i="1"/>
  <c r="BE538" i="1"/>
  <c r="BD538" i="1"/>
  <c r="BB538" i="1"/>
  <c r="BA538" i="1"/>
  <c r="AZ538" i="1"/>
  <c r="AY538" i="1"/>
  <c r="AW538" i="1"/>
  <c r="AV538" i="1"/>
  <c r="AU538" i="1"/>
  <c r="AT538" i="1"/>
  <c r="AR538" i="1"/>
  <c r="AQ538" i="1"/>
  <c r="AP538" i="1"/>
  <c r="AO538" i="1"/>
  <c r="AM538" i="1"/>
  <c r="AL538" i="1"/>
  <c r="AK538" i="1"/>
  <c r="AJ538" i="1"/>
  <c r="AH538" i="1"/>
  <c r="AG538" i="1"/>
  <c r="AF538" i="1"/>
  <c r="AE538" i="1"/>
  <c r="AC538" i="1"/>
  <c r="AB538" i="1"/>
  <c r="AA538" i="1"/>
  <c r="Z538" i="1"/>
  <c r="Y538" i="1"/>
  <c r="X538" i="1"/>
  <c r="W538" i="1"/>
  <c r="V538" i="1"/>
  <c r="U538" i="1"/>
  <c r="T538" i="1"/>
  <c r="S538" i="1"/>
  <c r="R538" i="1"/>
  <c r="Q538" i="1"/>
  <c r="P538" i="1"/>
  <c r="O538" i="1"/>
  <c r="N538" i="1"/>
  <c r="M538" i="1"/>
  <c r="L538" i="1"/>
  <c r="K538" i="1"/>
  <c r="J538" i="1"/>
  <c r="I538" i="1"/>
  <c r="H538" i="1"/>
  <c r="G538" i="1"/>
  <c r="F538" i="1"/>
  <c r="E538" i="1"/>
  <c r="D538" i="1"/>
  <c r="C538" i="1"/>
  <c r="A538" i="1"/>
  <c r="BS537" i="1"/>
  <c r="BL537" i="1"/>
  <c r="BK537" i="1"/>
  <c r="BJ537" i="1"/>
  <c r="BI537" i="1"/>
  <c r="BG537" i="1"/>
  <c r="BF537" i="1"/>
  <c r="BE537" i="1"/>
  <c r="BD537" i="1"/>
  <c r="BB537" i="1"/>
  <c r="BA537" i="1"/>
  <c r="AZ537" i="1"/>
  <c r="AY537" i="1"/>
  <c r="AW537" i="1"/>
  <c r="AV537" i="1"/>
  <c r="AU537" i="1"/>
  <c r="AT537" i="1"/>
  <c r="AR537" i="1"/>
  <c r="AQ537" i="1"/>
  <c r="AP537" i="1"/>
  <c r="AO537" i="1"/>
  <c r="AM537" i="1"/>
  <c r="AL537" i="1"/>
  <c r="AK537" i="1"/>
  <c r="AJ537" i="1"/>
  <c r="AH537" i="1"/>
  <c r="AG537" i="1"/>
  <c r="AF537" i="1"/>
  <c r="AE537" i="1"/>
  <c r="AC537" i="1"/>
  <c r="AB537" i="1"/>
  <c r="AA537" i="1"/>
  <c r="Z537" i="1"/>
  <c r="X537" i="1"/>
  <c r="W537" i="1"/>
  <c r="V537" i="1"/>
  <c r="U537" i="1"/>
  <c r="S537" i="1"/>
  <c r="R537" i="1"/>
  <c r="Q537" i="1"/>
  <c r="P537" i="1"/>
  <c r="N537" i="1"/>
  <c r="M537" i="1"/>
  <c r="L537" i="1"/>
  <c r="K537" i="1"/>
  <c r="I537" i="1"/>
  <c r="H537" i="1"/>
  <c r="G537" i="1"/>
  <c r="F537" i="1"/>
  <c r="E537" i="1"/>
  <c r="D537" i="1"/>
  <c r="C537" i="1"/>
  <c r="A537" i="1"/>
  <c r="BV536" i="1"/>
  <c r="BU536" i="1"/>
  <c r="BT536" i="1"/>
  <c r="BR536" i="1"/>
  <c r="BQ536" i="1"/>
  <c r="BP536" i="1"/>
  <c r="BS536" i="1" s="1"/>
  <c r="BO536" i="1"/>
  <c r="BM536" i="1"/>
  <c r="BL536" i="1"/>
  <c r="BK536" i="1"/>
  <c r="BK373" i="1" s="1"/>
  <c r="BK109" i="9" s="1"/>
  <c r="BJ536" i="1"/>
  <c r="BI536" i="1"/>
  <c r="BG536" i="1"/>
  <c r="BF536" i="1"/>
  <c r="BE536" i="1"/>
  <c r="BD536" i="1"/>
  <c r="BB536" i="1"/>
  <c r="BA536" i="1"/>
  <c r="AZ536" i="1"/>
  <c r="AY536" i="1"/>
  <c r="AW536" i="1"/>
  <c r="AV536" i="1"/>
  <c r="AU536" i="1"/>
  <c r="AT536" i="1"/>
  <c r="AT373" i="1" s="1"/>
  <c r="AT109" i="9" s="1"/>
  <c r="AR536" i="1"/>
  <c r="AQ536" i="1"/>
  <c r="AP536" i="1"/>
  <c r="AO536" i="1"/>
  <c r="AM536" i="1"/>
  <c r="AL536" i="1"/>
  <c r="AK536" i="1"/>
  <c r="AJ536" i="1"/>
  <c r="AH536" i="1"/>
  <c r="AG536" i="1"/>
  <c r="AF536" i="1"/>
  <c r="AE536" i="1"/>
  <c r="AC536" i="1"/>
  <c r="AB536" i="1"/>
  <c r="AA536" i="1"/>
  <c r="Z536" i="1"/>
  <c r="Z373" i="1" s="1"/>
  <c r="Z109" i="9" s="1"/>
  <c r="X536" i="1"/>
  <c r="W536" i="1"/>
  <c r="W373" i="1" s="1"/>
  <c r="W109" i="9" s="1"/>
  <c r="V536" i="1"/>
  <c r="U536" i="1"/>
  <c r="S536" i="1"/>
  <c r="R536" i="1"/>
  <c r="Q536" i="1"/>
  <c r="P536" i="1"/>
  <c r="N536" i="1"/>
  <c r="M536" i="1"/>
  <c r="L536" i="1"/>
  <c r="K536" i="1"/>
  <c r="I536" i="1"/>
  <c r="H536" i="1"/>
  <c r="G536" i="1"/>
  <c r="F536" i="1"/>
  <c r="F373" i="1" s="1"/>
  <c r="F109" i="9" s="1"/>
  <c r="E536" i="1"/>
  <c r="D536" i="1"/>
  <c r="D373" i="1" s="1"/>
  <c r="D109" i="9" s="1"/>
  <c r="C536" i="1"/>
  <c r="A536" i="1"/>
  <c r="BS535" i="1"/>
  <c r="BL535" i="1"/>
  <c r="BK535" i="1"/>
  <c r="BJ535" i="1"/>
  <c r="BI535" i="1"/>
  <c r="BG535" i="1"/>
  <c r="BF535" i="1"/>
  <c r="BE535" i="1"/>
  <c r="BD535" i="1"/>
  <c r="BB535" i="1"/>
  <c r="BA535" i="1"/>
  <c r="AZ535" i="1"/>
  <c r="AY535" i="1"/>
  <c r="AW535" i="1"/>
  <c r="AV535" i="1"/>
  <c r="AU535" i="1"/>
  <c r="AT535" i="1"/>
  <c r="AR535" i="1"/>
  <c r="AQ535" i="1"/>
  <c r="AP535" i="1"/>
  <c r="AO535" i="1"/>
  <c r="AM535" i="1"/>
  <c r="AL535" i="1"/>
  <c r="AK535" i="1"/>
  <c r="AJ535" i="1"/>
  <c r="AH535" i="1"/>
  <c r="AG535" i="1"/>
  <c r="AF535" i="1"/>
  <c r="AE535" i="1"/>
  <c r="AC535" i="1"/>
  <c r="AB535" i="1"/>
  <c r="AA535" i="1"/>
  <c r="Z535" i="1"/>
  <c r="X535" i="1"/>
  <c r="W535" i="1"/>
  <c r="V535" i="1"/>
  <c r="U535" i="1"/>
  <c r="T535" i="1"/>
  <c r="S535" i="1"/>
  <c r="R535" i="1"/>
  <c r="Q535" i="1"/>
  <c r="P535" i="1"/>
  <c r="O535" i="1"/>
  <c r="N535" i="1"/>
  <c r="M535" i="1"/>
  <c r="L535" i="1"/>
  <c r="K535" i="1"/>
  <c r="J535" i="1"/>
  <c r="I535" i="1"/>
  <c r="H535" i="1"/>
  <c r="G535" i="1"/>
  <c r="F535" i="1"/>
  <c r="E535" i="1"/>
  <c r="D535" i="1"/>
  <c r="C535" i="1"/>
  <c r="A535" i="1"/>
  <c r="BV534" i="1"/>
  <c r="BU534" i="1"/>
  <c r="BT534" i="1"/>
  <c r="BR534" i="1"/>
  <c r="BP534" i="1"/>
  <c r="BO534" i="1"/>
  <c r="BM534" i="1"/>
  <c r="BL534" i="1"/>
  <c r="BL589" i="1" s="1"/>
  <c r="BK534" i="1"/>
  <c r="BK589" i="1" s="1"/>
  <c r="BJ534" i="1"/>
  <c r="BJ589" i="1" s="1"/>
  <c r="BI534" i="1"/>
  <c r="BI589" i="1" s="1"/>
  <c r="BG534" i="1"/>
  <c r="BG589" i="1" s="1"/>
  <c r="BF534" i="1"/>
  <c r="BF589" i="1" s="1"/>
  <c r="BE534" i="1"/>
  <c r="BE589" i="1" s="1"/>
  <c r="BD534" i="1"/>
  <c r="BD589" i="1" s="1"/>
  <c r="BB534" i="1"/>
  <c r="BB589" i="1" s="1"/>
  <c r="BA534" i="1"/>
  <c r="BA589" i="1" s="1"/>
  <c r="AZ534" i="1"/>
  <c r="AZ589" i="1" s="1"/>
  <c r="AY534" i="1"/>
  <c r="AY589" i="1" s="1"/>
  <c r="AW534" i="1"/>
  <c r="AW589" i="1" s="1"/>
  <c r="AV534" i="1"/>
  <c r="AV589" i="1" s="1"/>
  <c r="AU534" i="1"/>
  <c r="AU589" i="1" s="1"/>
  <c r="AT534" i="1"/>
  <c r="AT589" i="1" s="1"/>
  <c r="AR534" i="1"/>
  <c r="AR589" i="1" s="1"/>
  <c r="AQ534" i="1"/>
  <c r="AQ589" i="1" s="1"/>
  <c r="AP534" i="1"/>
  <c r="AP589" i="1" s="1"/>
  <c r="AO534" i="1"/>
  <c r="AO589" i="1" s="1"/>
  <c r="AM534" i="1"/>
  <c r="AM589" i="1" s="1"/>
  <c r="AL534" i="1"/>
  <c r="AL589" i="1" s="1"/>
  <c r="AK534" i="1"/>
  <c r="AK589" i="1" s="1"/>
  <c r="AJ534" i="1"/>
  <c r="AJ589" i="1" s="1"/>
  <c r="AH534" i="1"/>
  <c r="AH589" i="1" s="1"/>
  <c r="AG534" i="1"/>
  <c r="AG589" i="1" s="1"/>
  <c r="AF534" i="1"/>
  <c r="AF589" i="1" s="1"/>
  <c r="AE534" i="1"/>
  <c r="AE589" i="1" s="1"/>
  <c r="AC534" i="1"/>
  <c r="AC589" i="1" s="1"/>
  <c r="AB534" i="1"/>
  <c r="AB589" i="1" s="1"/>
  <c r="AA534" i="1"/>
  <c r="AA589" i="1" s="1"/>
  <c r="Z534" i="1"/>
  <c r="Z589" i="1" s="1"/>
  <c r="X534" i="1"/>
  <c r="X589" i="1" s="1"/>
  <c r="W534" i="1"/>
  <c r="W589" i="1" s="1"/>
  <c r="V534" i="1"/>
  <c r="V589" i="1" s="1"/>
  <c r="U534" i="1"/>
  <c r="U589" i="1" s="1"/>
  <c r="S534" i="1"/>
  <c r="S589" i="1" s="1"/>
  <c r="S590" i="1" s="1"/>
  <c r="R534" i="1"/>
  <c r="R589" i="1" s="1"/>
  <c r="Q534" i="1"/>
  <c r="Q589" i="1" s="1"/>
  <c r="P534" i="1"/>
  <c r="P589" i="1" s="1"/>
  <c r="N534" i="1"/>
  <c r="N589" i="1" s="1"/>
  <c r="M534" i="1"/>
  <c r="M589" i="1" s="1"/>
  <c r="L534" i="1"/>
  <c r="L589" i="1" s="1"/>
  <c r="K534" i="1"/>
  <c r="K589" i="1" s="1"/>
  <c r="I534" i="1"/>
  <c r="I589" i="1" s="1"/>
  <c r="H534" i="1"/>
  <c r="H589" i="1" s="1"/>
  <c r="G534" i="1"/>
  <c r="G589" i="1" s="1"/>
  <c r="F534" i="1"/>
  <c r="F589" i="1" s="1"/>
  <c r="E534" i="1"/>
  <c r="D534" i="1"/>
  <c r="C534" i="1"/>
  <c r="A534" i="1"/>
  <c r="BS533" i="1"/>
  <c r="BL533" i="1"/>
  <c r="BK533" i="1"/>
  <c r="BJ533" i="1"/>
  <c r="BN533" i="1" s="1"/>
  <c r="BI533" i="1"/>
  <c r="BG533" i="1"/>
  <c r="BF533" i="1"/>
  <c r="BE533" i="1"/>
  <c r="BD533" i="1"/>
  <c r="BB533" i="1"/>
  <c r="BA533" i="1"/>
  <c r="AZ533" i="1"/>
  <c r="AY533" i="1"/>
  <c r="AW533" i="1"/>
  <c r="AV533" i="1"/>
  <c r="AU533" i="1"/>
  <c r="AT533" i="1"/>
  <c r="AR533" i="1"/>
  <c r="AQ533" i="1"/>
  <c r="AP533" i="1"/>
  <c r="AO533" i="1"/>
  <c r="AM533" i="1"/>
  <c r="AL533" i="1"/>
  <c r="AK533" i="1"/>
  <c r="AJ533" i="1"/>
  <c r="AH533" i="1"/>
  <c r="AG533" i="1"/>
  <c r="AF533" i="1"/>
  <c r="AE533" i="1"/>
  <c r="AC533" i="1"/>
  <c r="AB533" i="1"/>
  <c r="AA533" i="1"/>
  <c r="Z533" i="1"/>
  <c r="X533" i="1"/>
  <c r="W533" i="1"/>
  <c r="V533" i="1"/>
  <c r="U533" i="1"/>
  <c r="S533" i="1"/>
  <c r="R533" i="1"/>
  <c r="Q533" i="1"/>
  <c r="P533" i="1"/>
  <c r="N533" i="1"/>
  <c r="M533" i="1"/>
  <c r="L533" i="1"/>
  <c r="K533" i="1"/>
  <c r="I533" i="1"/>
  <c r="H533" i="1"/>
  <c r="G533" i="1"/>
  <c r="F533" i="1"/>
  <c r="E533" i="1"/>
  <c r="D533" i="1"/>
  <c r="C533" i="1"/>
  <c r="A533" i="1"/>
  <c r="BS532" i="1"/>
  <c r="BL532" i="1"/>
  <c r="BK532" i="1"/>
  <c r="BJ532" i="1"/>
  <c r="BJ370" i="1" s="1"/>
  <c r="BI532" i="1"/>
  <c r="BG532" i="1"/>
  <c r="BG370" i="1" s="1"/>
  <c r="BF532" i="1"/>
  <c r="BE532" i="1"/>
  <c r="BD532" i="1"/>
  <c r="BB532" i="1"/>
  <c r="BA532" i="1"/>
  <c r="AZ532" i="1"/>
  <c r="AY532" i="1"/>
  <c r="AW532" i="1"/>
  <c r="AV532" i="1"/>
  <c r="AU532" i="1"/>
  <c r="AT532" i="1"/>
  <c r="AR532" i="1"/>
  <c r="AQ532" i="1"/>
  <c r="AP532" i="1"/>
  <c r="AO532" i="1"/>
  <c r="AM532" i="1"/>
  <c r="AM370" i="1" s="1"/>
  <c r="AL532" i="1"/>
  <c r="AK532" i="1"/>
  <c r="AJ532" i="1"/>
  <c r="AH532" i="1"/>
  <c r="AG532" i="1"/>
  <c r="AF532" i="1"/>
  <c r="AE532" i="1"/>
  <c r="AC532" i="1"/>
  <c r="AB532" i="1"/>
  <c r="AA532" i="1"/>
  <c r="Z532" i="1"/>
  <c r="X532" i="1"/>
  <c r="W532" i="1"/>
  <c r="V532" i="1"/>
  <c r="V370" i="1" s="1"/>
  <c r="U532" i="1"/>
  <c r="S532" i="1"/>
  <c r="S370" i="1" s="1"/>
  <c r="R532" i="1"/>
  <c r="Q532" i="1"/>
  <c r="P532" i="1"/>
  <c r="N532" i="1"/>
  <c r="M532" i="1"/>
  <c r="L532" i="1"/>
  <c r="K532" i="1"/>
  <c r="I532" i="1"/>
  <c r="H532" i="1"/>
  <c r="G532" i="1"/>
  <c r="F532" i="1"/>
  <c r="E532" i="1"/>
  <c r="D532" i="1"/>
  <c r="C532" i="1"/>
  <c r="C370" i="1" s="1"/>
  <c r="A532" i="1"/>
  <c r="BV531" i="1"/>
  <c r="BV664" i="1" s="1"/>
  <c r="BU531" i="1"/>
  <c r="BU664" i="1" s="1"/>
  <c r="BT531" i="1"/>
  <c r="BT664" i="1" s="1"/>
  <c r="BR531" i="1"/>
  <c r="BR664" i="1" s="1"/>
  <c r="BP531" i="1"/>
  <c r="BP664" i="1" s="1"/>
  <c r="BO531" i="1"/>
  <c r="BO664" i="1" s="1"/>
  <c r="BM531" i="1"/>
  <c r="BM664" i="1" s="1"/>
  <c r="BL531" i="1"/>
  <c r="BK531" i="1"/>
  <c r="BJ531" i="1"/>
  <c r="BN531" i="1" s="1"/>
  <c r="BI531" i="1"/>
  <c r="BG531" i="1"/>
  <c r="BF531" i="1"/>
  <c r="BE531" i="1"/>
  <c r="BD531" i="1"/>
  <c r="BB531" i="1"/>
  <c r="BA531" i="1"/>
  <c r="BA370" i="1" s="1"/>
  <c r="AZ531" i="1"/>
  <c r="AY531" i="1"/>
  <c r="AW531" i="1"/>
  <c r="AV531" i="1"/>
  <c r="AU531" i="1"/>
  <c r="AT531" i="1"/>
  <c r="AR531" i="1"/>
  <c r="AQ531" i="1"/>
  <c r="AP531" i="1"/>
  <c r="AO531" i="1"/>
  <c r="AM531" i="1"/>
  <c r="AL531" i="1"/>
  <c r="AK531" i="1"/>
  <c r="AJ531" i="1"/>
  <c r="AJ370" i="1" s="1"/>
  <c r="AH531" i="1"/>
  <c r="AG531" i="1"/>
  <c r="AG370" i="1" s="1"/>
  <c r="AF531" i="1"/>
  <c r="AE531" i="1"/>
  <c r="AC531" i="1"/>
  <c r="AB531" i="1"/>
  <c r="AA531" i="1"/>
  <c r="Z531" i="1"/>
  <c r="X531" i="1"/>
  <c r="W531" i="1"/>
  <c r="V531" i="1"/>
  <c r="U531" i="1"/>
  <c r="S531" i="1"/>
  <c r="R531" i="1"/>
  <c r="Q531" i="1"/>
  <c r="P531" i="1"/>
  <c r="P370" i="1" s="1"/>
  <c r="N531" i="1"/>
  <c r="M531" i="1"/>
  <c r="M370" i="1" s="1"/>
  <c r="L531" i="1"/>
  <c r="K531" i="1"/>
  <c r="I531" i="1"/>
  <c r="H531" i="1"/>
  <c r="G531" i="1"/>
  <c r="F531" i="1"/>
  <c r="E531" i="1"/>
  <c r="D531" i="1"/>
  <c r="C531" i="1"/>
  <c r="A531" i="1"/>
  <c r="BV530" i="1"/>
  <c r="BV545" i="1" s="1"/>
  <c r="BU530" i="1"/>
  <c r="BU545" i="1" s="1"/>
  <c r="BT530" i="1"/>
  <c r="BT545" i="1" s="1"/>
  <c r="BR530" i="1"/>
  <c r="BR545" i="1" s="1"/>
  <c r="BQ530" i="1"/>
  <c r="BP530" i="1"/>
  <c r="BP545" i="1" s="1"/>
  <c r="BO530" i="1"/>
  <c r="BO545" i="1" s="1"/>
  <c r="BM530" i="1"/>
  <c r="BL530" i="1"/>
  <c r="BK530" i="1"/>
  <c r="BJ530" i="1"/>
  <c r="BI530" i="1"/>
  <c r="BG530" i="1"/>
  <c r="BF530" i="1"/>
  <c r="BE530" i="1"/>
  <c r="BD530" i="1"/>
  <c r="BB530" i="1"/>
  <c r="BA530" i="1"/>
  <c r="AZ530" i="1"/>
  <c r="AY530" i="1"/>
  <c r="AY545" i="1" s="1"/>
  <c r="AW530" i="1"/>
  <c r="AV530" i="1"/>
  <c r="AV545" i="1" s="1"/>
  <c r="AU530" i="1"/>
  <c r="AT530" i="1"/>
  <c r="AR530" i="1"/>
  <c r="AQ530" i="1"/>
  <c r="AP530" i="1"/>
  <c r="AO530" i="1"/>
  <c r="AM530" i="1"/>
  <c r="AL530" i="1"/>
  <c r="AK530" i="1"/>
  <c r="AJ530" i="1"/>
  <c r="AH530" i="1"/>
  <c r="AG530" i="1"/>
  <c r="AF530" i="1"/>
  <c r="AE530" i="1"/>
  <c r="AE545" i="1" s="1"/>
  <c r="AC530" i="1"/>
  <c r="AB530" i="1"/>
  <c r="AB545" i="1" s="1"/>
  <c r="AA530" i="1"/>
  <c r="Z530" i="1"/>
  <c r="X530" i="1"/>
  <c r="W530" i="1"/>
  <c r="V530" i="1"/>
  <c r="U530" i="1"/>
  <c r="S530" i="1"/>
  <c r="R530" i="1"/>
  <c r="Q530" i="1"/>
  <c r="P530" i="1"/>
  <c r="N530" i="1"/>
  <c r="M530" i="1"/>
  <c r="L530" i="1"/>
  <c r="K530" i="1"/>
  <c r="I530" i="1"/>
  <c r="H530" i="1"/>
  <c r="H545" i="1" s="1"/>
  <c r="G530" i="1"/>
  <c r="F530" i="1"/>
  <c r="E530" i="1"/>
  <c r="D530" i="1"/>
  <c r="C530" i="1"/>
  <c r="A530" i="1"/>
  <c r="A529" i="1"/>
  <c r="A527" i="1"/>
  <c r="BS526" i="1"/>
  <c r="BL526" i="1"/>
  <c r="BK526" i="1"/>
  <c r="BJ526" i="1"/>
  <c r="BI526" i="1"/>
  <c r="BG526" i="1"/>
  <c r="BF526" i="1"/>
  <c r="BE526" i="1"/>
  <c r="BE365" i="1" s="1"/>
  <c r="BD526" i="1"/>
  <c r="BB526" i="1"/>
  <c r="BA526" i="1"/>
  <c r="AZ526" i="1"/>
  <c r="AY526" i="1"/>
  <c r="AW526" i="1"/>
  <c r="AV526" i="1"/>
  <c r="AU526" i="1"/>
  <c r="AT526" i="1"/>
  <c r="AR526" i="1"/>
  <c r="AQ526" i="1"/>
  <c r="AP526" i="1"/>
  <c r="AO526" i="1"/>
  <c r="AM526" i="1"/>
  <c r="AL526" i="1"/>
  <c r="AK526" i="1"/>
  <c r="AK365" i="1" s="1"/>
  <c r="AJ526" i="1"/>
  <c r="AH526" i="1"/>
  <c r="AG526" i="1"/>
  <c r="AF526" i="1"/>
  <c r="AE526" i="1"/>
  <c r="AC526" i="1"/>
  <c r="AB526" i="1"/>
  <c r="AA526" i="1"/>
  <c r="Z526" i="1"/>
  <c r="X526" i="1"/>
  <c r="W526" i="1"/>
  <c r="V526" i="1"/>
  <c r="U526" i="1"/>
  <c r="S526" i="1"/>
  <c r="R526" i="1"/>
  <c r="Q526" i="1"/>
  <c r="Q365" i="1" s="1"/>
  <c r="P526" i="1"/>
  <c r="N526" i="1"/>
  <c r="M526" i="1"/>
  <c r="L526" i="1"/>
  <c r="K526" i="1"/>
  <c r="I526" i="1"/>
  <c r="H526" i="1"/>
  <c r="G526" i="1"/>
  <c r="F526" i="1"/>
  <c r="E526" i="1"/>
  <c r="D526" i="1"/>
  <c r="C526" i="1"/>
  <c r="A526" i="1"/>
  <c r="BQ525" i="1"/>
  <c r="BP525" i="1"/>
  <c r="BO525" i="1"/>
  <c r="BM525" i="1"/>
  <c r="BL525" i="1"/>
  <c r="BK525" i="1"/>
  <c r="BJ525" i="1"/>
  <c r="BI525" i="1"/>
  <c r="BG525" i="1"/>
  <c r="BF525" i="1"/>
  <c r="BE525" i="1"/>
  <c r="BD525" i="1"/>
  <c r="BB525" i="1"/>
  <c r="BA525" i="1"/>
  <c r="AZ525" i="1"/>
  <c r="AY525" i="1"/>
  <c r="AW525" i="1"/>
  <c r="AV525" i="1"/>
  <c r="AU525" i="1"/>
  <c r="AT525" i="1"/>
  <c r="AR525" i="1"/>
  <c r="AQ525" i="1"/>
  <c r="AP525" i="1"/>
  <c r="AO525" i="1"/>
  <c r="AM525" i="1"/>
  <c r="AL525" i="1"/>
  <c r="AK525" i="1"/>
  <c r="AJ525" i="1"/>
  <c r="AI525" i="1"/>
  <c r="AH525" i="1"/>
  <c r="AG525" i="1"/>
  <c r="AF525" i="1"/>
  <c r="AE525" i="1"/>
  <c r="AE365" i="1" s="1"/>
  <c r="AD525" i="1"/>
  <c r="AC525" i="1"/>
  <c r="AB525" i="1"/>
  <c r="AA525" i="1"/>
  <c r="Z525" i="1"/>
  <c r="Y525" i="1"/>
  <c r="X525" i="1"/>
  <c r="W525" i="1"/>
  <c r="V525" i="1"/>
  <c r="U525" i="1"/>
  <c r="T525" i="1"/>
  <c r="S525" i="1"/>
  <c r="R525" i="1"/>
  <c r="Q525" i="1"/>
  <c r="P525" i="1"/>
  <c r="O525" i="1"/>
  <c r="N525" i="1"/>
  <c r="M525" i="1"/>
  <c r="M365" i="1" s="1"/>
  <c r="L525" i="1"/>
  <c r="K525" i="1"/>
  <c r="J525" i="1"/>
  <c r="I525" i="1"/>
  <c r="H525" i="1"/>
  <c r="G525" i="1"/>
  <c r="F525" i="1"/>
  <c r="E525" i="1"/>
  <c r="D525" i="1"/>
  <c r="C525" i="1"/>
  <c r="A525" i="1"/>
  <c r="BL524" i="1"/>
  <c r="BK524" i="1"/>
  <c r="BJ524" i="1"/>
  <c r="BJ365" i="1" s="1"/>
  <c r="BI524" i="1"/>
  <c r="BG524" i="1"/>
  <c r="BG365" i="1" s="1"/>
  <c r="BF524" i="1"/>
  <c r="BE524" i="1"/>
  <c r="BD524" i="1"/>
  <c r="BB524" i="1"/>
  <c r="BA524" i="1"/>
  <c r="AZ524" i="1"/>
  <c r="AY524" i="1"/>
  <c r="AW524" i="1"/>
  <c r="AV524" i="1"/>
  <c r="AU524" i="1"/>
  <c r="AT524" i="1"/>
  <c r="AR524" i="1"/>
  <c r="AQ524" i="1"/>
  <c r="AP524" i="1"/>
  <c r="AP365" i="1" s="1"/>
  <c r="AO524" i="1"/>
  <c r="AM524" i="1"/>
  <c r="AM365" i="1" s="1"/>
  <c r="AL524" i="1"/>
  <c r="AK524" i="1"/>
  <c r="AJ524" i="1"/>
  <c r="AH524" i="1"/>
  <c r="AG524" i="1"/>
  <c r="AF524" i="1"/>
  <c r="AE524" i="1"/>
  <c r="AC524" i="1"/>
  <c r="AB524" i="1"/>
  <c r="AA524" i="1"/>
  <c r="Z524" i="1"/>
  <c r="X524" i="1"/>
  <c r="W524" i="1"/>
  <c r="V524" i="1"/>
  <c r="U524" i="1"/>
  <c r="S524" i="1"/>
  <c r="S365" i="1" s="1"/>
  <c r="R524" i="1"/>
  <c r="Q524" i="1"/>
  <c r="P524" i="1"/>
  <c r="N524" i="1"/>
  <c r="M524" i="1"/>
  <c r="L524" i="1"/>
  <c r="K524" i="1"/>
  <c r="I524" i="1"/>
  <c r="H524" i="1"/>
  <c r="G524" i="1"/>
  <c r="F524" i="1"/>
  <c r="E524" i="1"/>
  <c r="D524" i="1"/>
  <c r="C524" i="1"/>
  <c r="C365" i="1" s="1"/>
  <c r="A524" i="1"/>
  <c r="BS523" i="1"/>
  <c r="BL523" i="1"/>
  <c r="BK523" i="1"/>
  <c r="BJ523" i="1"/>
  <c r="BN523" i="1" s="1"/>
  <c r="BI523" i="1"/>
  <c r="BG523" i="1"/>
  <c r="BF523" i="1"/>
  <c r="BE523" i="1"/>
  <c r="BD523" i="1"/>
  <c r="BB523" i="1"/>
  <c r="BA523" i="1"/>
  <c r="AZ523" i="1"/>
  <c r="AY523" i="1"/>
  <c r="AW523" i="1"/>
  <c r="AW365" i="1" s="1"/>
  <c r="AV523" i="1"/>
  <c r="AU523" i="1"/>
  <c r="AU365" i="1" s="1"/>
  <c r="AT523" i="1"/>
  <c r="AR523" i="1"/>
  <c r="AQ523" i="1"/>
  <c r="AP523" i="1"/>
  <c r="AO523" i="1"/>
  <c r="AM523" i="1"/>
  <c r="AL523" i="1"/>
  <c r="AK523" i="1"/>
  <c r="AJ523" i="1"/>
  <c r="AH523" i="1"/>
  <c r="AG523" i="1"/>
  <c r="AF523" i="1"/>
  <c r="AE523" i="1"/>
  <c r="AC523" i="1"/>
  <c r="AC365" i="1" s="1"/>
  <c r="AB523" i="1"/>
  <c r="AA523" i="1"/>
  <c r="AA365" i="1" s="1"/>
  <c r="Z523" i="1"/>
  <c r="X523" i="1"/>
  <c r="W523" i="1"/>
  <c r="V523" i="1"/>
  <c r="U523" i="1"/>
  <c r="S523" i="1"/>
  <c r="R523" i="1"/>
  <c r="Q523" i="1"/>
  <c r="P523" i="1"/>
  <c r="N523" i="1"/>
  <c r="M523" i="1"/>
  <c r="L523" i="1"/>
  <c r="K523" i="1"/>
  <c r="I523" i="1"/>
  <c r="H523" i="1"/>
  <c r="G523" i="1"/>
  <c r="G365" i="1" s="1"/>
  <c r="F523" i="1"/>
  <c r="E523" i="1"/>
  <c r="D523" i="1"/>
  <c r="C523" i="1"/>
  <c r="A523" i="1"/>
  <c r="BL522" i="1"/>
  <c r="BK522" i="1"/>
  <c r="BJ522" i="1"/>
  <c r="BI522" i="1"/>
  <c r="BI102" i="9" s="1"/>
  <c r="BG522" i="1"/>
  <c r="BF522" i="1"/>
  <c r="BE522" i="1"/>
  <c r="BD522" i="1"/>
  <c r="BB522" i="1"/>
  <c r="BB102" i="9" s="1"/>
  <c r="BA522" i="1"/>
  <c r="BA102" i="9" s="1"/>
  <c r="AZ522" i="1"/>
  <c r="AZ102" i="9" s="1"/>
  <c r="AY522" i="1"/>
  <c r="AY102" i="9" s="1"/>
  <c r="AW522" i="1"/>
  <c r="AV522" i="1"/>
  <c r="AV102" i="9" s="1"/>
  <c r="AU522" i="1"/>
  <c r="AT522" i="1"/>
  <c r="AR522" i="1"/>
  <c r="AQ522" i="1"/>
  <c r="AQ102" i="9" s="1"/>
  <c r="AP522" i="1"/>
  <c r="AO522" i="1"/>
  <c r="AO102" i="9" s="1"/>
  <c r="AM522" i="1"/>
  <c r="AL522" i="1"/>
  <c r="AL102" i="9" s="1"/>
  <c r="AK522" i="1"/>
  <c r="AJ522" i="1"/>
  <c r="AJ102" i="9" s="1"/>
  <c r="AH522" i="1"/>
  <c r="AH102" i="9" s="1"/>
  <c r="AG522" i="1"/>
  <c r="AG102" i="9" s="1"/>
  <c r="AF522" i="1"/>
  <c r="AF102" i="9" s="1"/>
  <c r="AE522" i="1"/>
  <c r="AC522" i="1"/>
  <c r="AB522" i="1"/>
  <c r="AB102" i="9" s="1"/>
  <c r="AA522" i="1"/>
  <c r="Z522" i="1"/>
  <c r="Z102" i="9" s="1"/>
  <c r="X522" i="1"/>
  <c r="W522" i="1"/>
  <c r="W102" i="9" s="1"/>
  <c r="V522" i="1"/>
  <c r="U522" i="1"/>
  <c r="U102" i="9" s="1"/>
  <c r="S522" i="1"/>
  <c r="R522" i="1"/>
  <c r="R102" i="9" s="1"/>
  <c r="Q522" i="1"/>
  <c r="P522" i="1"/>
  <c r="P102" i="9" s="1"/>
  <c r="N522" i="1"/>
  <c r="N102" i="9" s="1"/>
  <c r="M522" i="1"/>
  <c r="L522" i="1"/>
  <c r="L102" i="9" s="1"/>
  <c r="K522" i="1"/>
  <c r="I522" i="1"/>
  <c r="H522" i="1"/>
  <c r="H102" i="9" s="1"/>
  <c r="G522" i="1"/>
  <c r="F522" i="1"/>
  <c r="F102" i="9" s="1"/>
  <c r="E522" i="1"/>
  <c r="D522" i="1"/>
  <c r="D102" i="9" s="1"/>
  <c r="C522" i="1"/>
  <c r="A522" i="1"/>
  <c r="A521" i="1"/>
  <c r="BS520" i="1"/>
  <c r="BL520" i="1"/>
  <c r="BK520" i="1"/>
  <c r="BJ520" i="1"/>
  <c r="BN520" i="1" s="1"/>
  <c r="BI520" i="1"/>
  <c r="BG520" i="1"/>
  <c r="BF520" i="1"/>
  <c r="BE520" i="1"/>
  <c r="BD520" i="1"/>
  <c r="BB520" i="1"/>
  <c r="BA520" i="1"/>
  <c r="AZ520" i="1"/>
  <c r="AY520" i="1"/>
  <c r="AW520" i="1"/>
  <c r="AV520" i="1"/>
  <c r="AU520" i="1"/>
  <c r="AT520" i="1"/>
  <c r="AR520" i="1"/>
  <c r="AQ520" i="1"/>
  <c r="AP520" i="1"/>
  <c r="AO520" i="1"/>
  <c r="AM520" i="1"/>
  <c r="AL520" i="1"/>
  <c r="AK520" i="1"/>
  <c r="AJ520" i="1"/>
  <c r="AH520" i="1"/>
  <c r="AG520" i="1"/>
  <c r="AF520" i="1"/>
  <c r="AE520" i="1"/>
  <c r="AC520" i="1"/>
  <c r="AB520" i="1"/>
  <c r="AA520" i="1"/>
  <c r="Z520" i="1"/>
  <c r="Y520" i="1"/>
  <c r="X520" i="1"/>
  <c r="W520" i="1"/>
  <c r="V520" i="1"/>
  <c r="U520" i="1"/>
  <c r="T520" i="1"/>
  <c r="S520" i="1"/>
  <c r="R520" i="1"/>
  <c r="Q520" i="1"/>
  <c r="P520" i="1"/>
  <c r="O520" i="1"/>
  <c r="N520" i="1"/>
  <c r="M520" i="1"/>
  <c r="L520" i="1"/>
  <c r="K520" i="1"/>
  <c r="J520" i="1"/>
  <c r="I520" i="1"/>
  <c r="H520" i="1"/>
  <c r="G520" i="1"/>
  <c r="F520" i="1"/>
  <c r="E520" i="1"/>
  <c r="D520" i="1"/>
  <c r="C520" i="1"/>
  <c r="A520" i="1"/>
  <c r="BS519" i="1"/>
  <c r="BL519" i="1"/>
  <c r="BK519" i="1"/>
  <c r="BJ519" i="1"/>
  <c r="BN519" i="1" s="1"/>
  <c r="BI519" i="1"/>
  <c r="BG519" i="1"/>
  <c r="BF519" i="1"/>
  <c r="BE519" i="1"/>
  <c r="BD519" i="1"/>
  <c r="BB519" i="1"/>
  <c r="BA519" i="1"/>
  <c r="AZ519" i="1"/>
  <c r="AY519" i="1"/>
  <c r="AW519" i="1"/>
  <c r="AV519" i="1"/>
  <c r="AU519" i="1"/>
  <c r="AT519" i="1"/>
  <c r="AR519" i="1"/>
  <c r="AQ519" i="1"/>
  <c r="AP519" i="1"/>
  <c r="AO519" i="1"/>
  <c r="AM519" i="1"/>
  <c r="AL519" i="1"/>
  <c r="AK519" i="1"/>
  <c r="AJ519" i="1"/>
  <c r="AH519" i="1"/>
  <c r="AG519" i="1"/>
  <c r="AF519" i="1"/>
  <c r="AE519" i="1"/>
  <c r="AC519" i="1"/>
  <c r="AB519" i="1"/>
  <c r="AA519" i="1"/>
  <c r="Z519" i="1"/>
  <c r="Y519" i="1"/>
  <c r="X519" i="1"/>
  <c r="W519" i="1"/>
  <c r="V519" i="1"/>
  <c r="U519" i="1"/>
  <c r="T519" i="1"/>
  <c r="S519" i="1"/>
  <c r="R519" i="1"/>
  <c r="Q519" i="1"/>
  <c r="P519" i="1"/>
  <c r="O519" i="1"/>
  <c r="N519" i="1"/>
  <c r="M519" i="1"/>
  <c r="L519" i="1"/>
  <c r="K519" i="1"/>
  <c r="J519" i="1"/>
  <c r="I519" i="1"/>
  <c r="H519" i="1"/>
  <c r="G519" i="1"/>
  <c r="F519" i="1"/>
  <c r="E519" i="1"/>
  <c r="D519" i="1"/>
  <c r="C519" i="1"/>
  <c r="A519" i="1"/>
  <c r="BS518" i="1"/>
  <c r="BL518" i="1"/>
  <c r="BK518" i="1"/>
  <c r="BJ518" i="1"/>
  <c r="BI518" i="1"/>
  <c r="BG518" i="1"/>
  <c r="BF518" i="1"/>
  <c r="BE518" i="1"/>
  <c r="BD518" i="1"/>
  <c r="BB518" i="1"/>
  <c r="BA518" i="1"/>
  <c r="AZ518" i="1"/>
  <c r="AY518" i="1"/>
  <c r="AW518" i="1"/>
  <c r="AV518" i="1"/>
  <c r="AU518" i="1"/>
  <c r="AT518" i="1"/>
  <c r="AS518" i="1"/>
  <c r="AR518" i="1"/>
  <c r="AQ518" i="1"/>
  <c r="AP518" i="1"/>
  <c r="AO518" i="1"/>
  <c r="AN518" i="1"/>
  <c r="AM518" i="1"/>
  <c r="AL518" i="1"/>
  <c r="AK518" i="1"/>
  <c r="AJ518" i="1"/>
  <c r="AI518" i="1"/>
  <c r="AH518" i="1"/>
  <c r="AG518" i="1"/>
  <c r="AF518" i="1"/>
  <c r="AE518" i="1"/>
  <c r="AD518" i="1"/>
  <c r="AC518" i="1"/>
  <c r="AB518" i="1"/>
  <c r="AA518" i="1"/>
  <c r="Z518" i="1"/>
  <c r="Y518" i="1"/>
  <c r="X518" i="1"/>
  <c r="W518" i="1"/>
  <c r="V518" i="1"/>
  <c r="U518" i="1"/>
  <c r="T518" i="1"/>
  <c r="S518" i="1"/>
  <c r="R518" i="1"/>
  <c r="Q518" i="1"/>
  <c r="P518" i="1"/>
  <c r="O518" i="1"/>
  <c r="N518" i="1"/>
  <c r="M518" i="1"/>
  <c r="L518" i="1"/>
  <c r="K518" i="1"/>
  <c r="J518" i="1"/>
  <c r="I518" i="1"/>
  <c r="H518" i="1"/>
  <c r="G518" i="1"/>
  <c r="F518" i="1"/>
  <c r="E518" i="1"/>
  <c r="D518" i="1"/>
  <c r="C518" i="1"/>
  <c r="A518" i="1"/>
  <c r="BS517" i="1"/>
  <c r="BL517" i="1"/>
  <c r="BK517" i="1"/>
  <c r="BJ517" i="1"/>
  <c r="BN517" i="1" s="1"/>
  <c r="BI517" i="1"/>
  <c r="BG517" i="1"/>
  <c r="BF517" i="1"/>
  <c r="BE517" i="1"/>
  <c r="BD517" i="1"/>
  <c r="BB517" i="1"/>
  <c r="BA517" i="1"/>
  <c r="AZ517" i="1"/>
  <c r="AY517" i="1"/>
  <c r="AW517" i="1"/>
  <c r="AV517" i="1"/>
  <c r="AU517" i="1"/>
  <c r="AT517" i="1"/>
  <c r="AS517" i="1"/>
  <c r="AR517" i="1"/>
  <c r="AQ517" i="1"/>
  <c r="AP517" i="1"/>
  <c r="AO517" i="1"/>
  <c r="AN517" i="1"/>
  <c r="AM517" i="1"/>
  <c r="AL517" i="1"/>
  <c r="AK517" i="1"/>
  <c r="AJ517" i="1"/>
  <c r="AI517" i="1"/>
  <c r="AH517" i="1"/>
  <c r="AG517" i="1"/>
  <c r="AF517" i="1"/>
  <c r="AE517" i="1"/>
  <c r="AD517" i="1"/>
  <c r="AC517" i="1"/>
  <c r="AB517" i="1"/>
  <c r="AA517" i="1"/>
  <c r="Z517" i="1"/>
  <c r="Y517" i="1"/>
  <c r="X517" i="1"/>
  <c r="W517" i="1"/>
  <c r="V517" i="1"/>
  <c r="U517" i="1"/>
  <c r="T517" i="1"/>
  <c r="S517" i="1"/>
  <c r="R517" i="1"/>
  <c r="Q517" i="1"/>
  <c r="P517" i="1"/>
  <c r="O517" i="1"/>
  <c r="N517" i="1"/>
  <c r="M517" i="1"/>
  <c r="L517" i="1"/>
  <c r="K517" i="1"/>
  <c r="J517" i="1"/>
  <c r="I517" i="1"/>
  <c r="H517" i="1"/>
  <c r="G517" i="1"/>
  <c r="F517" i="1"/>
  <c r="E517" i="1"/>
  <c r="D517" i="1"/>
  <c r="C517" i="1"/>
  <c r="A517" i="1"/>
  <c r="BS516" i="1"/>
  <c r="BN516" i="1"/>
  <c r="BL516" i="1"/>
  <c r="BK516" i="1"/>
  <c r="BJ516" i="1"/>
  <c r="BI516" i="1"/>
  <c r="BG516" i="1"/>
  <c r="BF516" i="1"/>
  <c r="BE516" i="1"/>
  <c r="BD516" i="1"/>
  <c r="BB516" i="1"/>
  <c r="BA516" i="1"/>
  <c r="AZ516" i="1"/>
  <c r="AY516" i="1"/>
  <c r="AW516" i="1"/>
  <c r="AV516" i="1"/>
  <c r="AU516" i="1"/>
  <c r="AT516" i="1"/>
  <c r="AR516" i="1"/>
  <c r="AQ516" i="1"/>
  <c r="AP516" i="1"/>
  <c r="AO516" i="1"/>
  <c r="AM516" i="1"/>
  <c r="AL516" i="1"/>
  <c r="AK516" i="1"/>
  <c r="AJ516" i="1"/>
  <c r="AH516" i="1"/>
  <c r="AG516" i="1"/>
  <c r="AF516" i="1"/>
  <c r="AE516" i="1"/>
  <c r="AC516" i="1"/>
  <c r="AB516" i="1"/>
  <c r="AA516" i="1"/>
  <c r="Z516" i="1"/>
  <c r="X516" i="1"/>
  <c r="W516" i="1"/>
  <c r="V516" i="1"/>
  <c r="U516" i="1"/>
  <c r="S516" i="1"/>
  <c r="R516" i="1"/>
  <c r="Q516" i="1"/>
  <c r="P516" i="1"/>
  <c r="N516" i="1"/>
  <c r="M516" i="1"/>
  <c r="L516" i="1"/>
  <c r="K516" i="1"/>
  <c r="I516" i="1"/>
  <c r="H516" i="1"/>
  <c r="G516" i="1"/>
  <c r="F516" i="1"/>
  <c r="E516" i="1"/>
  <c r="D516" i="1"/>
  <c r="C516" i="1"/>
  <c r="A516" i="1"/>
  <c r="BS515" i="1"/>
  <c r="BL515" i="1"/>
  <c r="BK515" i="1"/>
  <c r="BJ515" i="1"/>
  <c r="BI515" i="1"/>
  <c r="BG515" i="1"/>
  <c r="BF515" i="1"/>
  <c r="BE515" i="1"/>
  <c r="BD515" i="1"/>
  <c r="BB515" i="1"/>
  <c r="BA515" i="1"/>
  <c r="AZ515" i="1"/>
  <c r="AY515" i="1"/>
  <c r="AX515" i="1"/>
  <c r="AW515" i="1"/>
  <c r="AV515" i="1"/>
  <c r="AU515" i="1"/>
  <c r="AT515" i="1"/>
  <c r="AS515" i="1"/>
  <c r="AR515" i="1"/>
  <c r="AQ515" i="1"/>
  <c r="AP515" i="1"/>
  <c r="AO515" i="1"/>
  <c r="AN515" i="1"/>
  <c r="AM515" i="1"/>
  <c r="AL515" i="1"/>
  <c r="AK515" i="1"/>
  <c r="AJ515" i="1"/>
  <c r="AI515" i="1"/>
  <c r="AH515" i="1"/>
  <c r="AG515" i="1"/>
  <c r="AF515" i="1"/>
  <c r="AE515" i="1"/>
  <c r="AD515" i="1"/>
  <c r="AC515" i="1"/>
  <c r="AB515" i="1"/>
  <c r="AA515" i="1"/>
  <c r="Z515" i="1"/>
  <c r="Y515" i="1"/>
  <c r="X515" i="1"/>
  <c r="W515" i="1"/>
  <c r="V515" i="1"/>
  <c r="U515" i="1"/>
  <c r="T515" i="1"/>
  <c r="S515" i="1"/>
  <c r="R515" i="1"/>
  <c r="Q515" i="1"/>
  <c r="P515" i="1"/>
  <c r="O515" i="1"/>
  <c r="N515" i="1"/>
  <c r="M515" i="1"/>
  <c r="L515" i="1"/>
  <c r="K515" i="1"/>
  <c r="J515" i="1"/>
  <c r="I515" i="1"/>
  <c r="H515" i="1"/>
  <c r="G515" i="1"/>
  <c r="F515" i="1"/>
  <c r="E515" i="1"/>
  <c r="D515" i="1"/>
  <c r="C515" i="1"/>
  <c r="A515" i="1"/>
  <c r="BL514" i="1"/>
  <c r="BK514" i="1"/>
  <c r="BJ514" i="1"/>
  <c r="BJ241" i="1" s="1"/>
  <c r="BJ240" i="1" s="1"/>
  <c r="BI514" i="1"/>
  <c r="BG514" i="1"/>
  <c r="BG241" i="1" s="1"/>
  <c r="BG240" i="1" s="1"/>
  <c r="BG72" i="9" s="1"/>
  <c r="BF514" i="1"/>
  <c r="BE514" i="1"/>
  <c r="BD514" i="1"/>
  <c r="BB514" i="1"/>
  <c r="BA514" i="1"/>
  <c r="AZ514" i="1"/>
  <c r="AY514" i="1"/>
  <c r="AW514" i="1"/>
  <c r="AV514" i="1"/>
  <c r="AU514" i="1"/>
  <c r="AT514" i="1"/>
  <c r="AR514" i="1"/>
  <c r="AQ514" i="1"/>
  <c r="AP514" i="1"/>
  <c r="AP241" i="1" s="1"/>
  <c r="AP240" i="1" s="1"/>
  <c r="AP72" i="9" s="1"/>
  <c r="AO514" i="1"/>
  <c r="AM514" i="1"/>
  <c r="AM241" i="1" s="1"/>
  <c r="AM240" i="1" s="1"/>
  <c r="AM72" i="9" s="1"/>
  <c r="AL514" i="1"/>
  <c r="AK514" i="1"/>
  <c r="AK241" i="1" s="1"/>
  <c r="AK240" i="1" s="1"/>
  <c r="AK72" i="9" s="1"/>
  <c r="AJ514" i="1"/>
  <c r="AH514" i="1"/>
  <c r="AG514" i="1"/>
  <c r="AF514" i="1"/>
  <c r="AE514" i="1"/>
  <c r="AC514" i="1"/>
  <c r="AB514" i="1"/>
  <c r="AA514" i="1"/>
  <c r="Z514" i="1"/>
  <c r="X514" i="1"/>
  <c r="W514" i="1"/>
  <c r="V514" i="1"/>
  <c r="V241" i="1" s="1"/>
  <c r="V240" i="1" s="1"/>
  <c r="V72" i="9" s="1"/>
  <c r="U514" i="1"/>
  <c r="T514" i="1"/>
  <c r="S514" i="1"/>
  <c r="R514" i="1"/>
  <c r="Q514" i="1"/>
  <c r="P514" i="1"/>
  <c r="O514" i="1"/>
  <c r="N514" i="1"/>
  <c r="M514" i="1"/>
  <c r="L514" i="1"/>
  <c r="K514" i="1"/>
  <c r="J514" i="1"/>
  <c r="I514" i="1"/>
  <c r="H514" i="1"/>
  <c r="G514" i="1"/>
  <c r="F514" i="1"/>
  <c r="E514" i="1"/>
  <c r="D514" i="1"/>
  <c r="C514" i="1"/>
  <c r="BS513" i="1"/>
  <c r="BL513" i="1"/>
  <c r="BN513" i="1" s="1"/>
  <c r="BK513" i="1"/>
  <c r="BJ513" i="1"/>
  <c r="BI513" i="1"/>
  <c r="BG513" i="1"/>
  <c r="BF513" i="1"/>
  <c r="BE513" i="1"/>
  <c r="BD513" i="1"/>
  <c r="BB513" i="1"/>
  <c r="BA513" i="1"/>
  <c r="AZ513" i="1"/>
  <c r="AY513" i="1"/>
  <c r="AW513" i="1"/>
  <c r="AV513" i="1"/>
  <c r="AU513" i="1"/>
  <c r="AT513" i="1"/>
  <c r="AR513" i="1"/>
  <c r="AQ513" i="1"/>
  <c r="AP513" i="1"/>
  <c r="AO513" i="1"/>
  <c r="AM513" i="1"/>
  <c r="AL513" i="1"/>
  <c r="AK513" i="1"/>
  <c r="AJ513" i="1"/>
  <c r="AH513" i="1"/>
  <c r="AG513" i="1"/>
  <c r="AF513" i="1"/>
  <c r="AE513" i="1"/>
  <c r="AC513" i="1"/>
  <c r="AB513" i="1"/>
  <c r="AA513" i="1"/>
  <c r="Z513" i="1"/>
  <c r="X513" i="1"/>
  <c r="W513" i="1"/>
  <c r="V513" i="1"/>
  <c r="U513" i="1"/>
  <c r="S513" i="1"/>
  <c r="R513" i="1"/>
  <c r="Q513" i="1"/>
  <c r="P513" i="1"/>
  <c r="N513" i="1"/>
  <c r="M513" i="1"/>
  <c r="L513" i="1"/>
  <c r="K513" i="1"/>
  <c r="I513" i="1"/>
  <c r="H513" i="1"/>
  <c r="G513" i="1"/>
  <c r="F513" i="1"/>
  <c r="E513" i="1"/>
  <c r="D513" i="1"/>
  <c r="C513" i="1"/>
  <c r="A513" i="1"/>
  <c r="BS512" i="1"/>
  <c r="BL512" i="1"/>
  <c r="BK512" i="1"/>
  <c r="BJ512" i="1"/>
  <c r="BI512" i="1"/>
  <c r="BG512" i="1"/>
  <c r="BF512" i="1"/>
  <c r="BE512" i="1"/>
  <c r="BD512" i="1"/>
  <c r="BB512" i="1"/>
  <c r="BA512" i="1"/>
  <c r="AZ512" i="1"/>
  <c r="AY512" i="1"/>
  <c r="AW512" i="1"/>
  <c r="AV512" i="1"/>
  <c r="AU512" i="1"/>
  <c r="AT512" i="1"/>
  <c r="AR512" i="1"/>
  <c r="AQ512" i="1"/>
  <c r="AP512" i="1"/>
  <c r="AO512" i="1"/>
  <c r="AM512" i="1"/>
  <c r="AL512" i="1"/>
  <c r="AK512" i="1"/>
  <c r="AJ512" i="1"/>
  <c r="AH512" i="1"/>
  <c r="AG512" i="1"/>
  <c r="AF512" i="1"/>
  <c r="AE512" i="1"/>
  <c r="AC512" i="1"/>
  <c r="AB512" i="1"/>
  <c r="AA512" i="1"/>
  <c r="Z512" i="1"/>
  <c r="X512" i="1"/>
  <c r="W512" i="1"/>
  <c r="V512" i="1"/>
  <c r="U512" i="1"/>
  <c r="S512" i="1"/>
  <c r="R512" i="1"/>
  <c r="Q512" i="1"/>
  <c r="P512" i="1"/>
  <c r="N512" i="1"/>
  <c r="M512" i="1"/>
  <c r="L512" i="1"/>
  <c r="K512" i="1"/>
  <c r="I512" i="1"/>
  <c r="H512" i="1"/>
  <c r="G512" i="1"/>
  <c r="F512" i="1"/>
  <c r="E512" i="1"/>
  <c r="D512" i="1"/>
  <c r="C512" i="1"/>
  <c r="A512" i="1"/>
  <c r="BS511" i="1"/>
  <c r="BL511" i="1"/>
  <c r="BK511" i="1"/>
  <c r="BJ511" i="1"/>
  <c r="BN511" i="1" s="1"/>
  <c r="BI511" i="1"/>
  <c r="BG511" i="1"/>
  <c r="BF511" i="1"/>
  <c r="BE511" i="1"/>
  <c r="BD511" i="1"/>
  <c r="BB511" i="1"/>
  <c r="BA511" i="1"/>
  <c r="AZ511" i="1"/>
  <c r="AY511" i="1"/>
  <c r="AW511" i="1"/>
  <c r="AV511" i="1"/>
  <c r="AU511" i="1"/>
  <c r="AT511" i="1"/>
  <c r="AR511" i="1"/>
  <c r="AQ511" i="1"/>
  <c r="AP511" i="1"/>
  <c r="AO511" i="1"/>
  <c r="AM511" i="1"/>
  <c r="AL511" i="1"/>
  <c r="AK511" i="1"/>
  <c r="AJ511" i="1"/>
  <c r="AH511" i="1"/>
  <c r="AG511" i="1"/>
  <c r="AF511" i="1"/>
  <c r="AE511" i="1"/>
  <c r="AC511" i="1"/>
  <c r="AB511" i="1"/>
  <c r="AA511" i="1"/>
  <c r="Z511" i="1"/>
  <c r="X511" i="1"/>
  <c r="W511" i="1"/>
  <c r="V511" i="1"/>
  <c r="U511" i="1"/>
  <c r="S511" i="1"/>
  <c r="R511" i="1"/>
  <c r="Q511" i="1"/>
  <c r="P511" i="1"/>
  <c r="N511" i="1"/>
  <c r="M511" i="1"/>
  <c r="L511" i="1"/>
  <c r="K511" i="1"/>
  <c r="I511" i="1"/>
  <c r="H511" i="1"/>
  <c r="G511" i="1"/>
  <c r="F511" i="1"/>
  <c r="E511" i="1"/>
  <c r="D511" i="1"/>
  <c r="C511" i="1"/>
  <c r="A511" i="1"/>
  <c r="BS510" i="1"/>
  <c r="BL510" i="1"/>
  <c r="BK510" i="1"/>
  <c r="BJ510" i="1"/>
  <c r="BI510" i="1"/>
  <c r="BG510" i="1"/>
  <c r="BF510" i="1"/>
  <c r="BE510" i="1"/>
  <c r="BD510" i="1"/>
  <c r="BB510" i="1"/>
  <c r="BA510" i="1"/>
  <c r="AZ510" i="1"/>
  <c r="AY510" i="1"/>
  <c r="AW510" i="1"/>
  <c r="AV510" i="1"/>
  <c r="AU510" i="1"/>
  <c r="AT510" i="1"/>
  <c r="AR510" i="1"/>
  <c r="AQ510" i="1"/>
  <c r="AP510" i="1"/>
  <c r="AO510" i="1"/>
  <c r="AM510" i="1"/>
  <c r="AL510" i="1"/>
  <c r="AK510" i="1"/>
  <c r="AJ510" i="1"/>
  <c r="AH510" i="1"/>
  <c r="AG510" i="1"/>
  <c r="AF510" i="1"/>
  <c r="AE510" i="1"/>
  <c r="AC510" i="1"/>
  <c r="AB510" i="1"/>
  <c r="AA510" i="1"/>
  <c r="Z510" i="1"/>
  <c r="X510" i="1"/>
  <c r="W510" i="1"/>
  <c r="V510" i="1"/>
  <c r="U510" i="1"/>
  <c r="S510" i="1"/>
  <c r="R510" i="1"/>
  <c r="Q510" i="1"/>
  <c r="P510" i="1"/>
  <c r="N510" i="1"/>
  <c r="M510" i="1"/>
  <c r="L510" i="1"/>
  <c r="K510" i="1"/>
  <c r="I510" i="1"/>
  <c r="H510" i="1"/>
  <c r="G510" i="1"/>
  <c r="F510" i="1"/>
  <c r="E510" i="1"/>
  <c r="D510" i="1"/>
  <c r="C510" i="1"/>
  <c r="A510" i="1"/>
  <c r="BS509" i="1"/>
  <c r="BL509" i="1"/>
  <c r="BN509" i="1" s="1"/>
  <c r="BK509" i="1"/>
  <c r="BJ509" i="1"/>
  <c r="BI509" i="1"/>
  <c r="BG509" i="1"/>
  <c r="BF509" i="1"/>
  <c r="BE509" i="1"/>
  <c r="BD509" i="1"/>
  <c r="BB509" i="1"/>
  <c r="BA509" i="1"/>
  <c r="AZ509" i="1"/>
  <c r="AY509" i="1"/>
  <c r="AW509" i="1"/>
  <c r="AV509" i="1"/>
  <c r="AU509" i="1"/>
  <c r="AT509" i="1"/>
  <c r="AR509" i="1"/>
  <c r="AQ509" i="1"/>
  <c r="AP509" i="1"/>
  <c r="AO509" i="1"/>
  <c r="AM509" i="1"/>
  <c r="AL509" i="1"/>
  <c r="AK509" i="1"/>
  <c r="AJ509" i="1"/>
  <c r="AI509" i="1"/>
  <c r="AH509" i="1"/>
  <c r="AG509" i="1"/>
  <c r="AF509" i="1"/>
  <c r="AE509" i="1"/>
  <c r="AD509" i="1"/>
  <c r="AC509" i="1"/>
  <c r="AB509" i="1"/>
  <c r="AA509" i="1"/>
  <c r="Z509" i="1"/>
  <c r="Y509" i="1"/>
  <c r="X509" i="1"/>
  <c r="W509" i="1"/>
  <c r="V509" i="1"/>
  <c r="U509" i="1"/>
  <c r="T509" i="1"/>
  <c r="S509" i="1"/>
  <c r="R509" i="1"/>
  <c r="Q509" i="1"/>
  <c r="P509" i="1"/>
  <c r="O509" i="1"/>
  <c r="N509" i="1"/>
  <c r="M509" i="1"/>
  <c r="L509" i="1"/>
  <c r="K509" i="1"/>
  <c r="J509" i="1"/>
  <c r="I509" i="1"/>
  <c r="H509" i="1"/>
  <c r="G509" i="1"/>
  <c r="F509" i="1"/>
  <c r="E509" i="1"/>
  <c r="D509" i="1"/>
  <c r="C509" i="1"/>
  <c r="A509" i="1"/>
  <c r="BS508" i="1"/>
  <c r="BN508" i="1"/>
  <c r="BL508" i="1"/>
  <c r="BK508" i="1"/>
  <c r="BJ508" i="1"/>
  <c r="BI508" i="1"/>
  <c r="BG508" i="1"/>
  <c r="BF508" i="1"/>
  <c r="BE508" i="1"/>
  <c r="BD508" i="1"/>
  <c r="BB508" i="1"/>
  <c r="BA508" i="1"/>
  <c r="AZ508" i="1"/>
  <c r="AY508" i="1"/>
  <c r="AW508" i="1"/>
  <c r="AV508" i="1"/>
  <c r="AU508" i="1"/>
  <c r="AT508" i="1"/>
  <c r="AR508" i="1"/>
  <c r="AQ508" i="1"/>
  <c r="AP508" i="1"/>
  <c r="AO508" i="1"/>
  <c r="AM508" i="1"/>
  <c r="AL508" i="1"/>
  <c r="AK508" i="1"/>
  <c r="AJ508" i="1"/>
  <c r="AH508" i="1"/>
  <c r="AG508" i="1"/>
  <c r="AF508" i="1"/>
  <c r="AE508" i="1"/>
  <c r="AC508" i="1"/>
  <c r="AB508" i="1"/>
  <c r="AA508" i="1"/>
  <c r="Z508" i="1"/>
  <c r="X508" i="1"/>
  <c r="W508" i="1"/>
  <c r="V508" i="1"/>
  <c r="U508" i="1"/>
  <c r="S508" i="1"/>
  <c r="R508" i="1"/>
  <c r="Q508" i="1"/>
  <c r="P508" i="1"/>
  <c r="N508" i="1"/>
  <c r="M508" i="1"/>
  <c r="L508" i="1"/>
  <c r="K508" i="1"/>
  <c r="I508" i="1"/>
  <c r="H508" i="1"/>
  <c r="G508" i="1"/>
  <c r="F508" i="1"/>
  <c r="E508" i="1"/>
  <c r="D508" i="1"/>
  <c r="C508" i="1"/>
  <c r="A508" i="1"/>
  <c r="BV507" i="1"/>
  <c r="BU507" i="1"/>
  <c r="BT507" i="1"/>
  <c r="BS507" i="1"/>
  <c r="BR507" i="1"/>
  <c r="BQ507" i="1"/>
  <c r="BP507" i="1"/>
  <c r="BO507" i="1"/>
  <c r="BM507" i="1"/>
  <c r="BM644" i="1" s="1"/>
  <c r="BN644" i="1" s="1"/>
  <c r="BO644" i="1" s="1"/>
  <c r="BP644" i="1" s="1"/>
  <c r="BQ644" i="1" s="1"/>
  <c r="BR644" i="1" s="1"/>
  <c r="BS644" i="1" s="1"/>
  <c r="BT644" i="1" s="1"/>
  <c r="BU644" i="1" s="1"/>
  <c r="BV644" i="1" s="1"/>
  <c r="BL507" i="1"/>
  <c r="BK507" i="1"/>
  <c r="BN507" i="1" s="1"/>
  <c r="BJ507" i="1"/>
  <c r="BI507" i="1"/>
  <c r="BG507" i="1"/>
  <c r="BF507" i="1"/>
  <c r="BE507" i="1"/>
  <c r="BD507" i="1"/>
  <c r="BB507" i="1"/>
  <c r="BA507" i="1"/>
  <c r="AZ507" i="1"/>
  <c r="AY507" i="1"/>
  <c r="AW507" i="1"/>
  <c r="AV507" i="1"/>
  <c r="AU507" i="1"/>
  <c r="AT507" i="1"/>
  <c r="AR507" i="1"/>
  <c r="AQ507" i="1"/>
  <c r="AP507" i="1"/>
  <c r="AO507" i="1"/>
  <c r="AM507" i="1"/>
  <c r="AL507" i="1"/>
  <c r="AK507" i="1"/>
  <c r="AJ507" i="1"/>
  <c r="AH507" i="1"/>
  <c r="AG507" i="1"/>
  <c r="AF507" i="1"/>
  <c r="AE507" i="1"/>
  <c r="AC507" i="1"/>
  <c r="AB507" i="1"/>
  <c r="AA507" i="1"/>
  <c r="Z507" i="1"/>
  <c r="X507" i="1"/>
  <c r="W507" i="1"/>
  <c r="V507" i="1"/>
  <c r="U507" i="1"/>
  <c r="S507" i="1"/>
  <c r="R507" i="1"/>
  <c r="Q507" i="1"/>
  <c r="P507" i="1"/>
  <c r="N507" i="1"/>
  <c r="M507" i="1"/>
  <c r="L507" i="1"/>
  <c r="K507" i="1"/>
  <c r="I507" i="1"/>
  <c r="H507" i="1"/>
  <c r="G507" i="1"/>
  <c r="F507" i="1"/>
  <c r="E507" i="1"/>
  <c r="D507" i="1"/>
  <c r="C507" i="1"/>
  <c r="A507" i="1"/>
  <c r="BS506" i="1"/>
  <c r="BL506" i="1"/>
  <c r="BK506" i="1"/>
  <c r="BJ506" i="1"/>
  <c r="BI506" i="1"/>
  <c r="BG506" i="1"/>
  <c r="BF506" i="1"/>
  <c r="BE506" i="1"/>
  <c r="BD506" i="1"/>
  <c r="BB506" i="1"/>
  <c r="BA506" i="1"/>
  <c r="AZ506" i="1"/>
  <c r="AY506" i="1"/>
  <c r="AW506" i="1"/>
  <c r="AV506" i="1"/>
  <c r="AU506" i="1"/>
  <c r="AT506" i="1"/>
  <c r="AR506" i="1"/>
  <c r="AQ506" i="1"/>
  <c r="AP506" i="1"/>
  <c r="AO506" i="1"/>
  <c r="AM506" i="1"/>
  <c r="AL506" i="1"/>
  <c r="AK506" i="1"/>
  <c r="AJ506" i="1"/>
  <c r="AH506" i="1"/>
  <c r="AG506" i="1"/>
  <c r="AF506" i="1"/>
  <c r="AE506" i="1"/>
  <c r="AC506" i="1"/>
  <c r="AB506" i="1"/>
  <c r="AA506" i="1"/>
  <c r="Z506" i="1"/>
  <c r="X506" i="1"/>
  <c r="W506" i="1"/>
  <c r="V506" i="1"/>
  <c r="U506" i="1"/>
  <c r="S506" i="1"/>
  <c r="R506" i="1"/>
  <c r="Q506" i="1"/>
  <c r="P506" i="1"/>
  <c r="N506" i="1"/>
  <c r="M506" i="1"/>
  <c r="L506" i="1"/>
  <c r="K506" i="1"/>
  <c r="I506" i="1"/>
  <c r="H506" i="1"/>
  <c r="G506" i="1"/>
  <c r="F506" i="1"/>
  <c r="E506" i="1"/>
  <c r="D506" i="1"/>
  <c r="C506" i="1"/>
  <c r="A506" i="1"/>
  <c r="BL505" i="1"/>
  <c r="BK505" i="1"/>
  <c r="BJ505" i="1"/>
  <c r="BJ211" i="1" s="1"/>
  <c r="BI505" i="1"/>
  <c r="BG505" i="1"/>
  <c r="BG211" i="1" s="1"/>
  <c r="BG210" i="1" s="1"/>
  <c r="BF505" i="1"/>
  <c r="BE505" i="1"/>
  <c r="BD505" i="1"/>
  <c r="BB505" i="1"/>
  <c r="BA505" i="1"/>
  <c r="AZ505" i="1"/>
  <c r="AY505" i="1"/>
  <c r="AW505" i="1"/>
  <c r="AV505" i="1"/>
  <c r="AU505" i="1"/>
  <c r="AT505" i="1"/>
  <c r="AR505" i="1"/>
  <c r="AQ505" i="1"/>
  <c r="AP505" i="1"/>
  <c r="AP211" i="1" s="1"/>
  <c r="AP210" i="1" s="1"/>
  <c r="AO505" i="1"/>
  <c r="AM505" i="1"/>
  <c r="AM211" i="1" s="1"/>
  <c r="AM210" i="1" s="1"/>
  <c r="AL505" i="1"/>
  <c r="AK505" i="1"/>
  <c r="AJ505" i="1"/>
  <c r="AH505" i="1"/>
  <c r="AG505" i="1"/>
  <c r="AF505" i="1"/>
  <c r="AE505" i="1"/>
  <c r="AC505" i="1"/>
  <c r="AB505" i="1"/>
  <c r="AA505" i="1"/>
  <c r="Z505" i="1"/>
  <c r="X505" i="1"/>
  <c r="W505" i="1"/>
  <c r="V505" i="1"/>
  <c r="U505" i="1"/>
  <c r="S505" i="1"/>
  <c r="S211" i="1" s="1"/>
  <c r="S210" i="1" s="1"/>
  <c r="R505" i="1"/>
  <c r="Q505" i="1"/>
  <c r="P505" i="1"/>
  <c r="N505" i="1"/>
  <c r="M505" i="1"/>
  <c r="L505" i="1"/>
  <c r="K505" i="1"/>
  <c r="I505" i="1"/>
  <c r="H505" i="1"/>
  <c r="G505" i="1"/>
  <c r="F505" i="1"/>
  <c r="E505" i="1"/>
  <c r="D505" i="1"/>
  <c r="C505" i="1"/>
  <c r="C211" i="1" s="1"/>
  <c r="C210" i="1" s="1"/>
  <c r="A505" i="1"/>
  <c r="BL504" i="1"/>
  <c r="BK504" i="1"/>
  <c r="BJ504" i="1"/>
  <c r="BI504" i="1"/>
  <c r="BG504" i="1"/>
  <c r="BF504" i="1"/>
  <c r="BE504" i="1"/>
  <c r="BD504" i="1"/>
  <c r="BB504" i="1"/>
  <c r="BA504" i="1"/>
  <c r="AZ504" i="1"/>
  <c r="AY504" i="1"/>
  <c r="AW504" i="1"/>
  <c r="AV504" i="1"/>
  <c r="AU504" i="1"/>
  <c r="AT504" i="1"/>
  <c r="AR504" i="1"/>
  <c r="AR521" i="1" s="1"/>
  <c r="AR527" i="1" s="1"/>
  <c r="AQ504" i="1"/>
  <c r="AP504" i="1"/>
  <c r="AO504" i="1"/>
  <c r="AM504" i="1"/>
  <c r="AL504" i="1"/>
  <c r="AK504" i="1"/>
  <c r="AJ504" i="1"/>
  <c r="AH504" i="1"/>
  <c r="AG504" i="1"/>
  <c r="AF504" i="1"/>
  <c r="AE504" i="1"/>
  <c r="AC504" i="1"/>
  <c r="AB504" i="1"/>
  <c r="AA504" i="1"/>
  <c r="AA521" i="1" s="1"/>
  <c r="Z504" i="1"/>
  <c r="X504" i="1"/>
  <c r="W504" i="1"/>
  <c r="V504" i="1"/>
  <c r="U504" i="1"/>
  <c r="S504" i="1"/>
  <c r="R504" i="1"/>
  <c r="Q504" i="1"/>
  <c r="P504" i="1"/>
  <c r="N504" i="1"/>
  <c r="M504" i="1"/>
  <c r="L504" i="1"/>
  <c r="K504" i="1"/>
  <c r="I504" i="1"/>
  <c r="H504" i="1"/>
  <c r="G504" i="1"/>
  <c r="G521" i="1" s="1"/>
  <c r="G364" i="1" s="1"/>
  <c r="G101" i="9" s="1"/>
  <c r="F504" i="1"/>
  <c r="E504" i="1"/>
  <c r="D504" i="1"/>
  <c r="C504" i="1"/>
  <c r="A504" i="1"/>
  <c r="A503" i="1"/>
  <c r="BH500" i="1"/>
  <c r="BH569" i="1" s="1"/>
  <c r="BC500" i="1"/>
  <c r="BC569" i="1" s="1"/>
  <c r="AX500" i="1"/>
  <c r="AX569" i="1" s="1"/>
  <c r="AS500" i="1"/>
  <c r="AS569" i="1" s="1"/>
  <c r="AN500" i="1"/>
  <c r="AN569" i="1" s="1"/>
  <c r="AI500" i="1"/>
  <c r="AI569" i="1" s="1"/>
  <c r="AD500" i="1"/>
  <c r="AD569" i="1" s="1"/>
  <c r="Y500" i="1"/>
  <c r="Y569" i="1" s="1"/>
  <c r="T500" i="1"/>
  <c r="T569" i="1" s="1"/>
  <c r="O500" i="1"/>
  <c r="O569" i="1" s="1"/>
  <c r="J500" i="1"/>
  <c r="J569" i="1" s="1"/>
  <c r="AR497" i="1"/>
  <c r="AS497" i="1" s="1"/>
  <c r="AT497" i="1" s="1"/>
  <c r="AQ497" i="1"/>
  <c r="AM497" i="1"/>
  <c r="AN497" i="1" s="1"/>
  <c r="AO497" i="1" s="1"/>
  <c r="AL497" i="1"/>
  <c r="AI497" i="1"/>
  <c r="AJ497" i="1" s="1"/>
  <c r="AG497" i="1"/>
  <c r="AH497" i="1" s="1"/>
  <c r="AC497" i="1"/>
  <c r="AD497" i="1" s="1"/>
  <c r="AE497" i="1" s="1"/>
  <c r="AB497" i="1"/>
  <c r="BH494" i="1"/>
  <c r="BH563" i="1" s="1"/>
  <c r="BC494" i="1"/>
  <c r="BC563" i="1" s="1"/>
  <c r="AX494" i="1"/>
  <c r="AX563" i="1" s="1"/>
  <c r="AS494" i="1"/>
  <c r="AS563" i="1" s="1"/>
  <c r="AN494" i="1"/>
  <c r="AN563" i="1" s="1"/>
  <c r="AI494" i="1"/>
  <c r="AI563" i="1" s="1"/>
  <c r="AD494" i="1"/>
  <c r="AD563" i="1" s="1"/>
  <c r="Y494" i="1"/>
  <c r="Y563" i="1" s="1"/>
  <c r="T494" i="1"/>
  <c r="T563" i="1" s="1"/>
  <c r="O494" i="1"/>
  <c r="O563" i="1" s="1"/>
  <c r="J494" i="1"/>
  <c r="J563" i="1" s="1"/>
  <c r="BL492" i="1"/>
  <c r="BK492" i="1"/>
  <c r="BJ492" i="1"/>
  <c r="BI492" i="1"/>
  <c r="BG492" i="1"/>
  <c r="BF492" i="1"/>
  <c r="BE492" i="1"/>
  <c r="BD492" i="1"/>
  <c r="BB492" i="1"/>
  <c r="BA492" i="1"/>
  <c r="AZ492" i="1"/>
  <c r="AY492" i="1"/>
  <c r="AW492" i="1"/>
  <c r="AV492" i="1"/>
  <c r="AU492" i="1"/>
  <c r="AT492" i="1"/>
  <c r="AR492" i="1"/>
  <c r="AQ492" i="1"/>
  <c r="AP492" i="1"/>
  <c r="AO492" i="1"/>
  <c r="AM492" i="1"/>
  <c r="AL492" i="1"/>
  <c r="AK492" i="1"/>
  <c r="AJ492" i="1"/>
  <c r="AH492" i="1"/>
  <c r="AG492" i="1"/>
  <c r="AF492" i="1"/>
  <c r="AE492" i="1"/>
  <c r="AC492" i="1"/>
  <c r="AB492" i="1"/>
  <c r="AA492" i="1"/>
  <c r="Z492" i="1"/>
  <c r="X492" i="1"/>
  <c r="W492" i="1"/>
  <c r="V492" i="1"/>
  <c r="U492" i="1"/>
  <c r="S492" i="1"/>
  <c r="R492" i="1"/>
  <c r="Q492" i="1"/>
  <c r="P492" i="1"/>
  <c r="N492" i="1"/>
  <c r="M492" i="1"/>
  <c r="L492" i="1"/>
  <c r="K492" i="1"/>
  <c r="I492" i="1"/>
  <c r="H492" i="1"/>
  <c r="G492" i="1"/>
  <c r="F492" i="1"/>
  <c r="E492" i="1"/>
  <c r="D492" i="1"/>
  <c r="C492" i="1"/>
  <c r="BH491" i="1"/>
  <c r="BH560" i="1" s="1"/>
  <c r="BC491" i="1"/>
  <c r="BC560" i="1" s="1"/>
  <c r="AX491" i="1"/>
  <c r="AX560" i="1" s="1"/>
  <c r="AS491" i="1"/>
  <c r="AS560" i="1" s="1"/>
  <c r="BH490" i="1"/>
  <c r="BH559" i="1" s="1"/>
  <c r="BC490" i="1"/>
  <c r="BC559" i="1" s="1"/>
  <c r="AX490" i="1"/>
  <c r="AX559" i="1" s="1"/>
  <c r="AS490" i="1"/>
  <c r="AS559" i="1" s="1"/>
  <c r="AN490" i="1"/>
  <c r="AN559" i="1" s="1"/>
  <c r="AN374" i="1" s="1"/>
  <c r="AN106" i="9" s="1"/>
  <c r="AI490" i="1"/>
  <c r="AI559" i="1" s="1"/>
  <c r="AD490" i="1"/>
  <c r="AD559" i="1" s="1"/>
  <c r="AD374" i="1" s="1"/>
  <c r="AD106" i="9" s="1"/>
  <c r="Y490" i="1"/>
  <c r="Y559" i="1" s="1"/>
  <c r="T490" i="1"/>
  <c r="T559" i="1" s="1"/>
  <c r="T374" i="1" s="1"/>
  <c r="T106" i="9" s="1"/>
  <c r="O490" i="1"/>
  <c r="O559" i="1" s="1"/>
  <c r="J490" i="1"/>
  <c r="J559" i="1" s="1"/>
  <c r="BH489" i="1"/>
  <c r="BH558" i="1" s="1"/>
  <c r="BC489" i="1"/>
  <c r="BC558" i="1" s="1"/>
  <c r="BH488" i="1"/>
  <c r="BH557" i="1" s="1"/>
  <c r="BC488" i="1"/>
  <c r="BC557" i="1" s="1"/>
  <c r="AX488" i="1"/>
  <c r="AX557" i="1" s="1"/>
  <c r="AS488" i="1"/>
  <c r="AS557" i="1" s="1"/>
  <c r="AN488" i="1"/>
  <c r="AN557" i="1" s="1"/>
  <c r="AI488" i="1"/>
  <c r="AI557" i="1" s="1"/>
  <c r="AD488" i="1"/>
  <c r="AD557" i="1" s="1"/>
  <c r="T488" i="1"/>
  <c r="T557" i="1" s="1"/>
  <c r="T377" i="1" s="1"/>
  <c r="T111" i="9" s="1"/>
  <c r="O488" i="1"/>
  <c r="O557" i="1" s="1"/>
  <c r="J488" i="1"/>
  <c r="J557" i="1" s="1"/>
  <c r="J377" i="1" s="1"/>
  <c r="J111" i="9" s="1"/>
  <c r="BH487" i="1"/>
  <c r="BH556" i="1" s="1"/>
  <c r="BC487" i="1"/>
  <c r="BC556" i="1" s="1"/>
  <c r="AX487" i="1"/>
  <c r="AX556" i="1" s="1"/>
  <c r="AS487" i="1"/>
  <c r="AS556" i="1" s="1"/>
  <c r="AN487" i="1"/>
  <c r="AN556" i="1" s="1"/>
  <c r="AI487" i="1"/>
  <c r="AI556" i="1" s="1"/>
  <c r="AD487" i="1"/>
  <c r="AD556" i="1" s="1"/>
  <c r="Y487" i="1"/>
  <c r="Y556" i="1" s="1"/>
  <c r="T487" i="1"/>
  <c r="T556" i="1" s="1"/>
  <c r="O487" i="1"/>
  <c r="O556" i="1" s="1"/>
  <c r="J487" i="1"/>
  <c r="J556" i="1" s="1"/>
  <c r="BH486" i="1"/>
  <c r="BH555" i="1" s="1"/>
  <c r="BC486" i="1"/>
  <c r="BC555" i="1" s="1"/>
  <c r="AX486" i="1"/>
  <c r="AX555" i="1" s="1"/>
  <c r="AS486" i="1"/>
  <c r="AS555" i="1" s="1"/>
  <c r="AN486" i="1"/>
  <c r="AN555" i="1" s="1"/>
  <c r="AN378" i="1" s="1"/>
  <c r="AN110" i="9" s="1"/>
  <c r="AI486" i="1"/>
  <c r="AI555" i="1" s="1"/>
  <c r="AD486" i="1"/>
  <c r="AD555" i="1" s="1"/>
  <c r="Y486" i="1"/>
  <c r="Y555" i="1" s="1"/>
  <c r="T486" i="1"/>
  <c r="T555" i="1" s="1"/>
  <c r="O486" i="1"/>
  <c r="O555" i="1" s="1"/>
  <c r="J486" i="1"/>
  <c r="J555" i="1" s="1"/>
  <c r="BH485" i="1"/>
  <c r="BH554" i="1" s="1"/>
  <c r="BC485" i="1"/>
  <c r="BC554" i="1" s="1"/>
  <c r="AX485" i="1"/>
  <c r="AX554" i="1" s="1"/>
  <c r="AS485" i="1"/>
  <c r="AS554" i="1" s="1"/>
  <c r="AN485" i="1"/>
  <c r="AN554" i="1" s="1"/>
  <c r="AI485" i="1"/>
  <c r="AI554" i="1" s="1"/>
  <c r="AD485" i="1"/>
  <c r="AD554" i="1" s="1"/>
  <c r="Y485" i="1"/>
  <c r="Y554" i="1" s="1"/>
  <c r="T485" i="1"/>
  <c r="T554" i="1" s="1"/>
  <c r="O485" i="1"/>
  <c r="O554" i="1" s="1"/>
  <c r="J485" i="1"/>
  <c r="J554" i="1" s="1"/>
  <c r="BH484" i="1"/>
  <c r="BH553" i="1" s="1"/>
  <c r="BC484" i="1"/>
  <c r="BC553" i="1" s="1"/>
  <c r="AX484" i="1"/>
  <c r="AX553" i="1" s="1"/>
  <c r="AS484" i="1"/>
  <c r="AS553" i="1" s="1"/>
  <c r="AN484" i="1"/>
  <c r="AN553" i="1" s="1"/>
  <c r="AI484" i="1"/>
  <c r="AI553" i="1" s="1"/>
  <c r="AD484" i="1"/>
  <c r="AD553" i="1" s="1"/>
  <c r="Y484" i="1"/>
  <c r="Y553" i="1" s="1"/>
  <c r="T484" i="1"/>
  <c r="T553" i="1" s="1"/>
  <c r="O484" i="1"/>
  <c r="O553" i="1" s="1"/>
  <c r="J484" i="1"/>
  <c r="J553" i="1" s="1"/>
  <c r="BH483" i="1"/>
  <c r="BH552" i="1" s="1"/>
  <c r="BC483" i="1"/>
  <c r="BC552" i="1" s="1"/>
  <c r="AX483" i="1"/>
  <c r="AX552" i="1" s="1"/>
  <c r="AS483" i="1"/>
  <c r="AS552" i="1" s="1"/>
  <c r="AN483" i="1"/>
  <c r="AN552" i="1" s="1"/>
  <c r="AI483" i="1"/>
  <c r="AI552" i="1" s="1"/>
  <c r="AD483" i="1"/>
  <c r="AD552" i="1" s="1"/>
  <c r="Y483" i="1"/>
  <c r="Y552" i="1" s="1"/>
  <c r="T483" i="1"/>
  <c r="T552" i="1" s="1"/>
  <c r="O483" i="1"/>
  <c r="O552" i="1" s="1"/>
  <c r="J483" i="1"/>
  <c r="J552" i="1" s="1"/>
  <c r="BH482" i="1"/>
  <c r="BH551" i="1" s="1"/>
  <c r="BC482" i="1"/>
  <c r="BC551" i="1" s="1"/>
  <c r="AX482" i="1"/>
  <c r="AX551" i="1" s="1"/>
  <c r="AS482" i="1"/>
  <c r="AS551" i="1" s="1"/>
  <c r="AN482" i="1"/>
  <c r="AN551" i="1" s="1"/>
  <c r="AI482" i="1"/>
  <c r="AI551" i="1" s="1"/>
  <c r="AD482" i="1"/>
  <c r="AD551" i="1" s="1"/>
  <c r="AD378" i="1" s="1"/>
  <c r="AD110" i="9" s="1"/>
  <c r="T482" i="1"/>
  <c r="T551" i="1" s="1"/>
  <c r="O482" i="1"/>
  <c r="O551" i="1" s="1"/>
  <c r="J482" i="1"/>
  <c r="J551" i="1" s="1"/>
  <c r="BH481" i="1"/>
  <c r="BH550" i="1" s="1"/>
  <c r="BH378" i="1" s="1"/>
  <c r="BH110" i="9" s="1"/>
  <c r="BC481" i="1"/>
  <c r="BC550" i="1" s="1"/>
  <c r="AX481" i="1"/>
  <c r="AX550" i="1" s="1"/>
  <c r="AS481" i="1"/>
  <c r="AS550" i="1" s="1"/>
  <c r="AN481" i="1"/>
  <c r="AN550" i="1" s="1"/>
  <c r="AI481" i="1"/>
  <c r="AI550" i="1" s="1"/>
  <c r="AD481" i="1"/>
  <c r="AD550" i="1" s="1"/>
  <c r="Y481" i="1"/>
  <c r="Y550" i="1" s="1"/>
  <c r="T481" i="1"/>
  <c r="T550" i="1" s="1"/>
  <c r="O481" i="1"/>
  <c r="O550" i="1" s="1"/>
  <c r="J481" i="1"/>
  <c r="J550" i="1" s="1"/>
  <c r="BH480" i="1"/>
  <c r="BH549" i="1" s="1"/>
  <c r="BC480" i="1"/>
  <c r="BC549" i="1" s="1"/>
  <c r="BC378" i="1" s="1"/>
  <c r="BC110" i="9" s="1"/>
  <c r="AX480" i="1"/>
  <c r="AX549" i="1" s="1"/>
  <c r="AS480" i="1"/>
  <c r="AS549" i="1" s="1"/>
  <c r="AS378" i="1" s="1"/>
  <c r="AS110" i="9" s="1"/>
  <c r="AN480" i="1"/>
  <c r="AN549" i="1" s="1"/>
  <c r="AI480" i="1"/>
  <c r="AI549" i="1" s="1"/>
  <c r="AI378" i="1" s="1"/>
  <c r="AI110" i="9" s="1"/>
  <c r="AD480" i="1"/>
  <c r="AD549" i="1" s="1"/>
  <c r="T480" i="1"/>
  <c r="T549" i="1" s="1"/>
  <c r="O480" i="1"/>
  <c r="O549" i="1" s="1"/>
  <c r="J480" i="1"/>
  <c r="J549" i="1" s="1"/>
  <c r="BH479" i="1"/>
  <c r="BH548" i="1" s="1"/>
  <c r="BC479" i="1"/>
  <c r="BC548" i="1" s="1"/>
  <c r="AX479" i="1"/>
  <c r="AX548" i="1" s="1"/>
  <c r="AS479" i="1"/>
  <c r="AS548" i="1" s="1"/>
  <c r="AN479" i="1"/>
  <c r="AN548" i="1" s="1"/>
  <c r="AI479" i="1"/>
  <c r="AI548" i="1" s="1"/>
  <c r="AD479" i="1"/>
  <c r="AD548" i="1" s="1"/>
  <c r="Y479" i="1"/>
  <c r="Y548" i="1" s="1"/>
  <c r="Y561" i="1" s="1"/>
  <c r="T479" i="1"/>
  <c r="T548" i="1" s="1"/>
  <c r="T378" i="1" s="1"/>
  <c r="T110" i="9" s="1"/>
  <c r="O479" i="1"/>
  <c r="O548" i="1" s="1"/>
  <c r="O378" i="1" s="1"/>
  <c r="O110" i="9" s="1"/>
  <c r="J479" i="1"/>
  <c r="J548" i="1" s="1"/>
  <c r="BL476" i="1"/>
  <c r="BK476" i="1"/>
  <c r="BJ476" i="1"/>
  <c r="BI476" i="1"/>
  <c r="BG476" i="1"/>
  <c r="BF476" i="1"/>
  <c r="BE476" i="1"/>
  <c r="BD476" i="1"/>
  <c r="BB476" i="1"/>
  <c r="BA476" i="1"/>
  <c r="AZ476" i="1"/>
  <c r="AY476" i="1"/>
  <c r="AW476" i="1"/>
  <c r="AV476" i="1"/>
  <c r="AU476" i="1"/>
  <c r="AT476" i="1"/>
  <c r="AR476" i="1"/>
  <c r="AQ476" i="1"/>
  <c r="AP476" i="1"/>
  <c r="AO476" i="1"/>
  <c r="AM476" i="1"/>
  <c r="AL476" i="1"/>
  <c r="AK476" i="1"/>
  <c r="AJ476" i="1"/>
  <c r="AH476" i="1"/>
  <c r="AG476" i="1"/>
  <c r="AF476" i="1"/>
  <c r="AE476" i="1"/>
  <c r="AC476" i="1"/>
  <c r="AB476" i="1"/>
  <c r="AA476" i="1"/>
  <c r="Z476" i="1"/>
  <c r="X476" i="1"/>
  <c r="W476" i="1"/>
  <c r="V476" i="1"/>
  <c r="U476" i="1"/>
  <c r="S476" i="1"/>
  <c r="R476" i="1"/>
  <c r="Q476" i="1"/>
  <c r="P476" i="1"/>
  <c r="N476" i="1"/>
  <c r="M476" i="1"/>
  <c r="L476" i="1"/>
  <c r="K476" i="1"/>
  <c r="I476" i="1"/>
  <c r="H476" i="1"/>
  <c r="G476" i="1"/>
  <c r="F476" i="1"/>
  <c r="E476" i="1"/>
  <c r="D476" i="1"/>
  <c r="C476" i="1"/>
  <c r="BH475" i="1"/>
  <c r="BH544" i="1" s="1"/>
  <c r="BC475" i="1"/>
  <c r="BC544" i="1" s="1"/>
  <c r="AX475" i="1"/>
  <c r="AX544" i="1" s="1"/>
  <c r="AS475" i="1"/>
  <c r="AS544" i="1" s="1"/>
  <c r="AN475" i="1"/>
  <c r="AN544" i="1" s="1"/>
  <c r="AI475" i="1"/>
  <c r="AI544" i="1" s="1"/>
  <c r="AD475" i="1"/>
  <c r="AD544" i="1" s="1"/>
  <c r="Y475" i="1"/>
  <c r="Y544" i="1" s="1"/>
  <c r="T475" i="1"/>
  <c r="T544" i="1" s="1"/>
  <c r="O475" i="1"/>
  <c r="O544" i="1" s="1"/>
  <c r="J475" i="1"/>
  <c r="J544" i="1" s="1"/>
  <c r="BH474" i="1"/>
  <c r="BH543" i="1" s="1"/>
  <c r="BC474" i="1"/>
  <c r="BC543" i="1" s="1"/>
  <c r="AX474" i="1"/>
  <c r="AX543" i="1" s="1"/>
  <c r="AS474" i="1"/>
  <c r="AS543" i="1" s="1"/>
  <c r="AN474" i="1"/>
  <c r="AN543" i="1" s="1"/>
  <c r="AI474" i="1"/>
  <c r="AI543" i="1" s="1"/>
  <c r="BH473" i="1"/>
  <c r="BH542" i="1" s="1"/>
  <c r="BC473" i="1"/>
  <c r="BC542" i="1" s="1"/>
  <c r="AX473" i="1"/>
  <c r="AX542" i="1" s="1"/>
  <c r="AS473" i="1"/>
  <c r="AS542" i="1" s="1"/>
  <c r="AN473" i="1"/>
  <c r="AN542" i="1" s="1"/>
  <c r="AI473" i="1"/>
  <c r="AI542" i="1" s="1"/>
  <c r="AD473" i="1"/>
  <c r="AD542" i="1" s="1"/>
  <c r="Y473" i="1"/>
  <c r="Y542" i="1" s="1"/>
  <c r="T473" i="1"/>
  <c r="T542" i="1" s="1"/>
  <c r="O473" i="1"/>
  <c r="O542" i="1" s="1"/>
  <c r="J473" i="1"/>
  <c r="J542" i="1" s="1"/>
  <c r="BH472" i="1"/>
  <c r="BH541" i="1" s="1"/>
  <c r="BC472" i="1"/>
  <c r="BC541" i="1" s="1"/>
  <c r="AX472" i="1"/>
  <c r="AX541" i="1" s="1"/>
  <c r="AS472" i="1"/>
  <c r="AS541" i="1" s="1"/>
  <c r="BH471" i="1"/>
  <c r="BH540" i="1" s="1"/>
  <c r="BC471" i="1"/>
  <c r="BC540" i="1" s="1"/>
  <c r="AX471" i="1"/>
  <c r="AX540" i="1" s="1"/>
  <c r="AS471" i="1"/>
  <c r="AS540" i="1" s="1"/>
  <c r="BH470" i="1"/>
  <c r="BH539" i="1" s="1"/>
  <c r="BC470" i="1"/>
  <c r="BC539" i="1" s="1"/>
  <c r="AX470" i="1"/>
  <c r="AX539" i="1" s="1"/>
  <c r="AS470" i="1"/>
  <c r="AS539" i="1" s="1"/>
  <c r="AN470" i="1"/>
  <c r="AN539" i="1" s="1"/>
  <c r="AI470" i="1"/>
  <c r="AI539" i="1" s="1"/>
  <c r="AI373" i="1" s="1"/>
  <c r="AI109" i="9" s="1"/>
  <c r="AD470" i="1"/>
  <c r="AD539" i="1" s="1"/>
  <c r="BH469" i="1"/>
  <c r="BH538" i="1" s="1"/>
  <c r="BC469" i="1"/>
  <c r="BC538" i="1" s="1"/>
  <c r="AX469" i="1"/>
  <c r="AX538" i="1" s="1"/>
  <c r="AS469" i="1"/>
  <c r="AS538" i="1" s="1"/>
  <c r="AN469" i="1"/>
  <c r="AN538" i="1" s="1"/>
  <c r="AI469" i="1"/>
  <c r="AI538" i="1" s="1"/>
  <c r="AD469" i="1"/>
  <c r="AD538" i="1" s="1"/>
  <c r="BH468" i="1"/>
  <c r="BH537" i="1" s="1"/>
  <c r="BC468" i="1"/>
  <c r="BC537" i="1" s="1"/>
  <c r="AX468" i="1"/>
  <c r="AX537" i="1" s="1"/>
  <c r="AS468" i="1"/>
  <c r="AS537" i="1" s="1"/>
  <c r="AN468" i="1"/>
  <c r="AN537" i="1" s="1"/>
  <c r="AI468" i="1"/>
  <c r="AI537" i="1" s="1"/>
  <c r="AD468" i="1"/>
  <c r="AD537" i="1" s="1"/>
  <c r="Y468" i="1"/>
  <c r="Y537" i="1" s="1"/>
  <c r="T468" i="1"/>
  <c r="T537" i="1" s="1"/>
  <c r="O468" i="1"/>
  <c r="O537" i="1" s="1"/>
  <c r="J468" i="1"/>
  <c r="J537" i="1" s="1"/>
  <c r="BH467" i="1"/>
  <c r="BH536" i="1" s="1"/>
  <c r="BH373" i="1" s="1"/>
  <c r="BH109" i="9" s="1"/>
  <c r="BC467" i="1"/>
  <c r="BC536" i="1" s="1"/>
  <c r="AX467" i="1"/>
  <c r="AX536" i="1" s="1"/>
  <c r="AS467" i="1"/>
  <c r="AS536" i="1" s="1"/>
  <c r="AN467" i="1"/>
  <c r="AN536" i="1" s="1"/>
  <c r="AI467" i="1"/>
  <c r="AI536" i="1" s="1"/>
  <c r="AD467" i="1"/>
  <c r="AD536" i="1" s="1"/>
  <c r="Y467" i="1"/>
  <c r="Y536" i="1" s="1"/>
  <c r="T467" i="1"/>
  <c r="T536" i="1" s="1"/>
  <c r="O467" i="1"/>
  <c r="O536" i="1" s="1"/>
  <c r="J467" i="1"/>
  <c r="J536" i="1" s="1"/>
  <c r="BH466" i="1"/>
  <c r="BH535" i="1" s="1"/>
  <c r="BC466" i="1"/>
  <c r="BC535" i="1" s="1"/>
  <c r="AX466" i="1"/>
  <c r="AX535" i="1" s="1"/>
  <c r="AS466" i="1"/>
  <c r="AS535" i="1" s="1"/>
  <c r="AN466" i="1"/>
  <c r="AN535" i="1" s="1"/>
  <c r="AI466" i="1"/>
  <c r="AI535" i="1" s="1"/>
  <c r="AD466" i="1"/>
  <c r="AD535" i="1" s="1"/>
  <c r="Y466" i="1"/>
  <c r="Y535" i="1" s="1"/>
  <c r="BH465" i="1"/>
  <c r="BH534" i="1" s="1"/>
  <c r="BH589" i="1" s="1"/>
  <c r="BC465" i="1"/>
  <c r="BC534" i="1" s="1"/>
  <c r="BC589" i="1" s="1"/>
  <c r="AX465" i="1"/>
  <c r="AX534" i="1" s="1"/>
  <c r="AX589" i="1" s="1"/>
  <c r="AS465" i="1"/>
  <c r="AS534" i="1" s="1"/>
  <c r="AS589" i="1" s="1"/>
  <c r="AN465" i="1"/>
  <c r="AN534" i="1" s="1"/>
  <c r="AN589" i="1" s="1"/>
  <c r="AI465" i="1"/>
  <c r="AI534" i="1" s="1"/>
  <c r="AI589" i="1" s="1"/>
  <c r="AD465" i="1"/>
  <c r="AD534" i="1" s="1"/>
  <c r="AD589" i="1" s="1"/>
  <c r="Y465" i="1"/>
  <c r="Y534" i="1" s="1"/>
  <c r="Y589" i="1" s="1"/>
  <c r="T465" i="1"/>
  <c r="T534" i="1" s="1"/>
  <c r="T589" i="1" s="1"/>
  <c r="O465" i="1"/>
  <c r="O534" i="1" s="1"/>
  <c r="O589" i="1" s="1"/>
  <c r="J465" i="1"/>
  <c r="J534" i="1" s="1"/>
  <c r="J589" i="1" s="1"/>
  <c r="BH464" i="1"/>
  <c r="BH533" i="1" s="1"/>
  <c r="BC464" i="1"/>
  <c r="BC533" i="1" s="1"/>
  <c r="AX464" i="1"/>
  <c r="AX533" i="1" s="1"/>
  <c r="AS464" i="1"/>
  <c r="AS533" i="1" s="1"/>
  <c r="AN464" i="1"/>
  <c r="AN533" i="1" s="1"/>
  <c r="AI464" i="1"/>
  <c r="AI533" i="1" s="1"/>
  <c r="AD464" i="1"/>
  <c r="AD533" i="1" s="1"/>
  <c r="Y464" i="1"/>
  <c r="Y533" i="1" s="1"/>
  <c r="T464" i="1"/>
  <c r="T533" i="1" s="1"/>
  <c r="O464" i="1"/>
  <c r="O533" i="1" s="1"/>
  <c r="J464" i="1"/>
  <c r="J533" i="1" s="1"/>
  <c r="BH463" i="1"/>
  <c r="BH532" i="1" s="1"/>
  <c r="BC463" i="1"/>
  <c r="BC532" i="1" s="1"/>
  <c r="AX463" i="1"/>
  <c r="AX532" i="1" s="1"/>
  <c r="AS463" i="1"/>
  <c r="AS532" i="1" s="1"/>
  <c r="AS370" i="1" s="1"/>
  <c r="AN463" i="1"/>
  <c r="AN532" i="1" s="1"/>
  <c r="AI463" i="1"/>
  <c r="AI532" i="1" s="1"/>
  <c r="AI370" i="1" s="1"/>
  <c r="AD463" i="1"/>
  <c r="AD532" i="1" s="1"/>
  <c r="Y463" i="1"/>
  <c r="Y532" i="1" s="1"/>
  <c r="Y370" i="1" s="1"/>
  <c r="T463" i="1"/>
  <c r="T532" i="1" s="1"/>
  <c r="O463" i="1"/>
  <c r="O532" i="1" s="1"/>
  <c r="J463" i="1"/>
  <c r="J532" i="1" s="1"/>
  <c r="BH462" i="1"/>
  <c r="BH531" i="1" s="1"/>
  <c r="BC462" i="1"/>
  <c r="BC531" i="1" s="1"/>
  <c r="AX462" i="1"/>
  <c r="AX531" i="1" s="1"/>
  <c r="AS462" i="1"/>
  <c r="AS531" i="1" s="1"/>
  <c r="AN462" i="1"/>
  <c r="AN531" i="1" s="1"/>
  <c r="AI462" i="1"/>
  <c r="AI531" i="1" s="1"/>
  <c r="AD462" i="1"/>
  <c r="AD531" i="1" s="1"/>
  <c r="Y462" i="1"/>
  <c r="Y531" i="1" s="1"/>
  <c r="T462" i="1"/>
  <c r="T531" i="1" s="1"/>
  <c r="T370" i="1" s="1"/>
  <c r="O462" i="1"/>
  <c r="O531" i="1" s="1"/>
  <c r="J462" i="1"/>
  <c r="J531" i="1" s="1"/>
  <c r="J370" i="1" s="1"/>
  <c r="BH461" i="1"/>
  <c r="BH530" i="1" s="1"/>
  <c r="BC461" i="1"/>
  <c r="BC530" i="1" s="1"/>
  <c r="AX461" i="1"/>
  <c r="AX530" i="1" s="1"/>
  <c r="AS461" i="1"/>
  <c r="AS530" i="1" s="1"/>
  <c r="AN461" i="1"/>
  <c r="AN530" i="1" s="1"/>
  <c r="AI461" i="1"/>
  <c r="AI530" i="1" s="1"/>
  <c r="AD461" i="1"/>
  <c r="AD530" i="1" s="1"/>
  <c r="Y461" i="1"/>
  <c r="Y530" i="1" s="1"/>
  <c r="T461" i="1"/>
  <c r="T530" i="1" s="1"/>
  <c r="O461" i="1"/>
  <c r="O530" i="1" s="1"/>
  <c r="J461" i="1"/>
  <c r="J530" i="1" s="1"/>
  <c r="AW458" i="1"/>
  <c r="AW495" i="1" s="1"/>
  <c r="AV458" i="1"/>
  <c r="AQ458" i="1"/>
  <c r="AQ495" i="1" s="1"/>
  <c r="AQ498" i="1" s="1"/>
  <c r="AK458" i="1"/>
  <c r="AK495" i="1" s="1"/>
  <c r="AK498" i="1" s="1"/>
  <c r="S458" i="1"/>
  <c r="S495" i="1" s="1"/>
  <c r="M458" i="1"/>
  <c r="M495" i="1" s="1"/>
  <c r="L458" i="1"/>
  <c r="L495" i="1" s="1"/>
  <c r="G458" i="1"/>
  <c r="BH457" i="1"/>
  <c r="BH526" i="1" s="1"/>
  <c r="BC457" i="1"/>
  <c r="BC526" i="1" s="1"/>
  <c r="AX457" i="1"/>
  <c r="AX526" i="1" s="1"/>
  <c r="AS457" i="1"/>
  <c r="AS526" i="1" s="1"/>
  <c r="AN457" i="1"/>
  <c r="AN526" i="1" s="1"/>
  <c r="AI457" i="1"/>
  <c r="AI526" i="1" s="1"/>
  <c r="AD457" i="1"/>
  <c r="AD526" i="1" s="1"/>
  <c r="Y457" i="1"/>
  <c r="Y526" i="1" s="1"/>
  <c r="T457" i="1"/>
  <c r="T526" i="1" s="1"/>
  <c r="O457" i="1"/>
  <c r="O526" i="1" s="1"/>
  <c r="J457" i="1"/>
  <c r="J526" i="1" s="1"/>
  <c r="BH456" i="1"/>
  <c r="BH525" i="1" s="1"/>
  <c r="BC456" i="1"/>
  <c r="BC525" i="1" s="1"/>
  <c r="AX456" i="1"/>
  <c r="AX525" i="1" s="1"/>
  <c r="AS456" i="1"/>
  <c r="AS525" i="1" s="1"/>
  <c r="AN456" i="1"/>
  <c r="AN525" i="1" s="1"/>
  <c r="BH455" i="1"/>
  <c r="BH524" i="1" s="1"/>
  <c r="BC455" i="1"/>
  <c r="BC524" i="1" s="1"/>
  <c r="AX455" i="1"/>
  <c r="AX524" i="1" s="1"/>
  <c r="AX365" i="1" s="1"/>
  <c r="AS455" i="1"/>
  <c r="AS524" i="1" s="1"/>
  <c r="AN455" i="1"/>
  <c r="AN524" i="1" s="1"/>
  <c r="AN365" i="1" s="1"/>
  <c r="AI455" i="1"/>
  <c r="AI524" i="1" s="1"/>
  <c r="AD455" i="1"/>
  <c r="AD524" i="1" s="1"/>
  <c r="Y455" i="1"/>
  <c r="Y524" i="1" s="1"/>
  <c r="T455" i="1"/>
  <c r="T524" i="1" s="1"/>
  <c r="O455" i="1"/>
  <c r="O524" i="1" s="1"/>
  <c r="J455" i="1"/>
  <c r="J524" i="1" s="1"/>
  <c r="BH454" i="1"/>
  <c r="BH523" i="1" s="1"/>
  <c r="BC454" i="1"/>
  <c r="BC523" i="1" s="1"/>
  <c r="AX454" i="1"/>
  <c r="AX523" i="1" s="1"/>
  <c r="AS454" i="1"/>
  <c r="AS523" i="1" s="1"/>
  <c r="AN454" i="1"/>
  <c r="AN523" i="1" s="1"/>
  <c r="AI454" i="1"/>
  <c r="AI523" i="1" s="1"/>
  <c r="AD454" i="1"/>
  <c r="AD523" i="1" s="1"/>
  <c r="Y454" i="1"/>
  <c r="Y523" i="1" s="1"/>
  <c r="Y365" i="1" s="1"/>
  <c r="T454" i="1"/>
  <c r="T523" i="1" s="1"/>
  <c r="O454" i="1"/>
  <c r="O523" i="1" s="1"/>
  <c r="O365" i="1" s="1"/>
  <c r="J454" i="1"/>
  <c r="J523" i="1" s="1"/>
  <c r="BH453" i="1"/>
  <c r="BH522" i="1" s="1"/>
  <c r="BH102" i="9" s="1"/>
  <c r="BC453" i="1"/>
  <c r="BC522" i="1" s="1"/>
  <c r="AX453" i="1"/>
  <c r="AX522" i="1" s="1"/>
  <c r="AS453" i="1"/>
  <c r="AS522" i="1" s="1"/>
  <c r="AN453" i="1"/>
  <c r="AN522" i="1" s="1"/>
  <c r="AI453" i="1"/>
  <c r="AI522" i="1" s="1"/>
  <c r="AI102" i="9" s="1"/>
  <c r="AD453" i="1"/>
  <c r="AD522" i="1" s="1"/>
  <c r="Y453" i="1"/>
  <c r="Y522" i="1" s="1"/>
  <c r="T453" i="1"/>
  <c r="T522" i="1" s="1"/>
  <c r="O453" i="1"/>
  <c r="O522" i="1" s="1"/>
  <c r="J453" i="1"/>
  <c r="J522" i="1" s="1"/>
  <c r="BL452" i="1"/>
  <c r="BL458" i="1" s="1"/>
  <c r="BK452" i="1"/>
  <c r="BK458" i="1" s="1"/>
  <c r="BJ452" i="1"/>
  <c r="BJ458" i="1" s="1"/>
  <c r="BI452" i="1"/>
  <c r="BI458" i="1" s="1"/>
  <c r="BI495" i="1" s="1"/>
  <c r="BG452" i="1"/>
  <c r="BG458" i="1" s="1"/>
  <c r="BF452" i="1"/>
  <c r="BF458" i="1" s="1"/>
  <c r="BE452" i="1"/>
  <c r="BE458" i="1" s="1"/>
  <c r="BD452" i="1"/>
  <c r="BD458" i="1" s="1"/>
  <c r="BB452" i="1"/>
  <c r="BB458" i="1" s="1"/>
  <c r="BB495" i="1" s="1"/>
  <c r="BA452" i="1"/>
  <c r="BA458" i="1" s="1"/>
  <c r="AZ452" i="1"/>
  <c r="AZ458" i="1" s="1"/>
  <c r="AY452" i="1"/>
  <c r="AY458" i="1" s="1"/>
  <c r="AW452" i="1"/>
  <c r="AV452" i="1"/>
  <c r="AU452" i="1"/>
  <c r="AU458" i="1" s="1"/>
  <c r="AT452" i="1"/>
  <c r="AT458" i="1" s="1"/>
  <c r="AR452" i="1"/>
  <c r="AR458" i="1" s="1"/>
  <c r="AQ452" i="1"/>
  <c r="AP452" i="1"/>
  <c r="AP458" i="1" s="1"/>
  <c r="AP495" i="1" s="1"/>
  <c r="AP498" i="1" s="1"/>
  <c r="AO452" i="1"/>
  <c r="AO458" i="1" s="1"/>
  <c r="AM452" i="1"/>
  <c r="AM458" i="1" s="1"/>
  <c r="AL452" i="1"/>
  <c r="AL458" i="1" s="1"/>
  <c r="AK452" i="1"/>
  <c r="AJ452" i="1"/>
  <c r="AJ458" i="1" s="1"/>
  <c r="AJ495" i="1" s="1"/>
  <c r="AJ498" i="1" s="1"/>
  <c r="AH452" i="1"/>
  <c r="AH458" i="1" s="1"/>
  <c r="AG452" i="1"/>
  <c r="AG458" i="1" s="1"/>
  <c r="AF452" i="1"/>
  <c r="AF458" i="1" s="1"/>
  <c r="AE452" i="1"/>
  <c r="AE458" i="1" s="1"/>
  <c r="AE495" i="1" s="1"/>
  <c r="AE498" i="1" s="1"/>
  <c r="AC452" i="1"/>
  <c r="AC458" i="1" s="1"/>
  <c r="AB452" i="1"/>
  <c r="AB458" i="1" s="1"/>
  <c r="AA452" i="1"/>
  <c r="AA458" i="1" s="1"/>
  <c r="Z452" i="1"/>
  <c r="Z458" i="1" s="1"/>
  <c r="X452" i="1"/>
  <c r="X458" i="1" s="1"/>
  <c r="X495" i="1" s="1"/>
  <c r="W452" i="1"/>
  <c r="W458" i="1" s="1"/>
  <c r="V452" i="1"/>
  <c r="V458" i="1" s="1"/>
  <c r="U452" i="1"/>
  <c r="U458" i="1" s="1"/>
  <c r="S452" i="1"/>
  <c r="R452" i="1"/>
  <c r="R458" i="1" s="1"/>
  <c r="R495" i="1" s="1"/>
  <c r="Q452" i="1"/>
  <c r="Q458" i="1" s="1"/>
  <c r="P452" i="1"/>
  <c r="P458" i="1" s="1"/>
  <c r="N452" i="1"/>
  <c r="N458" i="1" s="1"/>
  <c r="M452" i="1"/>
  <c r="L452" i="1"/>
  <c r="K452" i="1"/>
  <c r="K458" i="1" s="1"/>
  <c r="I452" i="1"/>
  <c r="I458" i="1" s="1"/>
  <c r="H452" i="1"/>
  <c r="H458" i="1" s="1"/>
  <c r="G452" i="1"/>
  <c r="F452" i="1"/>
  <c r="F458" i="1" s="1"/>
  <c r="F495" i="1" s="1"/>
  <c r="E452" i="1"/>
  <c r="E458" i="1" s="1"/>
  <c r="D452" i="1"/>
  <c r="D458" i="1" s="1"/>
  <c r="C452" i="1"/>
  <c r="C458" i="1" s="1"/>
  <c r="BH451" i="1"/>
  <c r="BH520" i="1" s="1"/>
  <c r="BC451" i="1"/>
  <c r="BC520" i="1" s="1"/>
  <c r="AX451" i="1"/>
  <c r="AX520" i="1" s="1"/>
  <c r="AS451" i="1"/>
  <c r="AS520" i="1" s="1"/>
  <c r="AN451" i="1"/>
  <c r="AN520" i="1" s="1"/>
  <c r="AI451" i="1"/>
  <c r="AI520" i="1" s="1"/>
  <c r="AD451" i="1"/>
  <c r="AD520" i="1" s="1"/>
  <c r="BH450" i="1"/>
  <c r="BH519" i="1" s="1"/>
  <c r="BC450" i="1"/>
  <c r="BC519" i="1" s="1"/>
  <c r="AX450" i="1"/>
  <c r="AX519" i="1" s="1"/>
  <c r="AS450" i="1"/>
  <c r="AS519" i="1" s="1"/>
  <c r="AN450" i="1"/>
  <c r="AN519" i="1" s="1"/>
  <c r="AI450" i="1"/>
  <c r="AI519" i="1" s="1"/>
  <c r="AD450" i="1"/>
  <c r="AD519" i="1" s="1"/>
  <c r="BH449" i="1"/>
  <c r="BH518" i="1" s="1"/>
  <c r="BC449" i="1"/>
  <c r="BC518" i="1" s="1"/>
  <c r="AX449" i="1"/>
  <c r="AX518" i="1" s="1"/>
  <c r="BH448" i="1"/>
  <c r="BH517" i="1" s="1"/>
  <c r="BC448" i="1"/>
  <c r="BC517" i="1" s="1"/>
  <c r="AX448" i="1"/>
  <c r="AX517" i="1" s="1"/>
  <c r="BH447" i="1"/>
  <c r="BH516" i="1" s="1"/>
  <c r="BC447" i="1"/>
  <c r="BC516" i="1" s="1"/>
  <c r="AX447" i="1"/>
  <c r="AX516" i="1" s="1"/>
  <c r="AS447" i="1"/>
  <c r="AS516" i="1" s="1"/>
  <c r="AN447" i="1"/>
  <c r="AN516" i="1" s="1"/>
  <c r="AI447" i="1"/>
  <c r="AI516" i="1" s="1"/>
  <c r="AD447" i="1"/>
  <c r="AD516" i="1" s="1"/>
  <c r="Y447" i="1"/>
  <c r="Y516" i="1" s="1"/>
  <c r="T447" i="1"/>
  <c r="T516" i="1" s="1"/>
  <c r="O447" i="1"/>
  <c r="O516" i="1" s="1"/>
  <c r="J447" i="1"/>
  <c r="J516" i="1" s="1"/>
  <c r="BH446" i="1"/>
  <c r="BH515" i="1" s="1"/>
  <c r="BC446" i="1"/>
  <c r="BC515" i="1" s="1"/>
  <c r="BH445" i="1"/>
  <c r="BH514" i="1" s="1"/>
  <c r="BC445" i="1"/>
  <c r="BC514" i="1" s="1"/>
  <c r="AX445" i="1"/>
  <c r="AX514" i="1" s="1"/>
  <c r="AS445" i="1"/>
  <c r="AS514" i="1" s="1"/>
  <c r="AN445" i="1"/>
  <c r="AN514" i="1" s="1"/>
  <c r="AI445" i="1"/>
  <c r="AI514" i="1" s="1"/>
  <c r="AD445" i="1"/>
  <c r="AD514" i="1" s="1"/>
  <c r="Y445" i="1"/>
  <c r="Y514" i="1" s="1"/>
  <c r="BH444" i="1"/>
  <c r="BH513" i="1" s="1"/>
  <c r="BC444" i="1"/>
  <c r="BC513" i="1" s="1"/>
  <c r="AX444" i="1"/>
  <c r="AX513" i="1" s="1"/>
  <c r="AS444" i="1"/>
  <c r="AS513" i="1" s="1"/>
  <c r="AN444" i="1"/>
  <c r="AN513" i="1" s="1"/>
  <c r="AI444" i="1"/>
  <c r="AI513" i="1" s="1"/>
  <c r="AD444" i="1"/>
  <c r="AD513" i="1" s="1"/>
  <c r="Y444" i="1"/>
  <c r="Y513" i="1" s="1"/>
  <c r="T444" i="1"/>
  <c r="T513" i="1" s="1"/>
  <c r="O444" i="1"/>
  <c r="O513" i="1" s="1"/>
  <c r="J444" i="1"/>
  <c r="J513" i="1" s="1"/>
  <c r="BH443" i="1"/>
  <c r="BH512" i="1" s="1"/>
  <c r="BC443" i="1"/>
  <c r="BC512" i="1" s="1"/>
  <c r="AX443" i="1"/>
  <c r="AX512" i="1" s="1"/>
  <c r="AS443" i="1"/>
  <c r="AS512" i="1" s="1"/>
  <c r="AN443" i="1"/>
  <c r="AN512" i="1" s="1"/>
  <c r="AI443" i="1"/>
  <c r="AI512" i="1" s="1"/>
  <c r="AD443" i="1"/>
  <c r="AD512" i="1" s="1"/>
  <c r="Y443" i="1"/>
  <c r="Y512" i="1" s="1"/>
  <c r="T443" i="1"/>
  <c r="T512" i="1" s="1"/>
  <c r="O443" i="1"/>
  <c r="O512" i="1" s="1"/>
  <c r="J443" i="1"/>
  <c r="J512" i="1" s="1"/>
  <c r="BH442" i="1"/>
  <c r="BH511" i="1" s="1"/>
  <c r="BC442" i="1"/>
  <c r="BC511" i="1" s="1"/>
  <c r="AX442" i="1"/>
  <c r="AX511" i="1" s="1"/>
  <c r="AS442" i="1"/>
  <c r="AS511" i="1" s="1"/>
  <c r="AN442" i="1"/>
  <c r="AN511" i="1" s="1"/>
  <c r="AI442" i="1"/>
  <c r="AI511" i="1" s="1"/>
  <c r="AD442" i="1"/>
  <c r="AD511" i="1" s="1"/>
  <c r="Y442" i="1"/>
  <c r="Y511" i="1" s="1"/>
  <c r="T442" i="1"/>
  <c r="T511" i="1" s="1"/>
  <c r="O442" i="1"/>
  <c r="O511" i="1" s="1"/>
  <c r="J442" i="1"/>
  <c r="J511" i="1" s="1"/>
  <c r="BH441" i="1"/>
  <c r="BH510" i="1" s="1"/>
  <c r="BC441" i="1"/>
  <c r="BC510" i="1" s="1"/>
  <c r="AX441" i="1"/>
  <c r="AX510" i="1" s="1"/>
  <c r="AS441" i="1"/>
  <c r="AS510" i="1" s="1"/>
  <c r="AN441" i="1"/>
  <c r="AN510" i="1" s="1"/>
  <c r="AI441" i="1"/>
  <c r="AI510" i="1" s="1"/>
  <c r="AD441" i="1"/>
  <c r="AD510" i="1" s="1"/>
  <c r="Y441" i="1"/>
  <c r="Y510" i="1" s="1"/>
  <c r="T441" i="1"/>
  <c r="T510" i="1" s="1"/>
  <c r="O441" i="1"/>
  <c r="O510" i="1" s="1"/>
  <c r="J441" i="1"/>
  <c r="J510" i="1" s="1"/>
  <c r="BH440" i="1"/>
  <c r="BH509" i="1" s="1"/>
  <c r="BC440" i="1"/>
  <c r="BC509" i="1" s="1"/>
  <c r="AX440" i="1"/>
  <c r="AX509" i="1" s="1"/>
  <c r="AS440" i="1"/>
  <c r="AS509" i="1" s="1"/>
  <c r="AN440" i="1"/>
  <c r="AN509" i="1" s="1"/>
  <c r="BH439" i="1"/>
  <c r="BH508" i="1" s="1"/>
  <c r="BC439" i="1"/>
  <c r="BC508" i="1" s="1"/>
  <c r="AX439" i="1"/>
  <c r="AX508" i="1" s="1"/>
  <c r="AS439" i="1"/>
  <c r="AS508" i="1" s="1"/>
  <c r="AN439" i="1"/>
  <c r="AN508" i="1" s="1"/>
  <c r="AI439" i="1"/>
  <c r="AI508" i="1" s="1"/>
  <c r="AD439" i="1"/>
  <c r="AD508" i="1" s="1"/>
  <c r="Y439" i="1"/>
  <c r="Y508" i="1" s="1"/>
  <c r="T439" i="1"/>
  <c r="T508" i="1" s="1"/>
  <c r="O439" i="1"/>
  <c r="O508" i="1" s="1"/>
  <c r="J439" i="1"/>
  <c r="J508" i="1" s="1"/>
  <c r="BH438" i="1"/>
  <c r="BH507" i="1" s="1"/>
  <c r="BC438" i="1"/>
  <c r="BC507" i="1" s="1"/>
  <c r="AX438" i="1"/>
  <c r="AX507" i="1" s="1"/>
  <c r="AS438" i="1"/>
  <c r="AS507" i="1" s="1"/>
  <c r="AN438" i="1"/>
  <c r="AN507" i="1" s="1"/>
  <c r="AI438" i="1"/>
  <c r="AI507" i="1" s="1"/>
  <c r="AD438" i="1"/>
  <c r="AD507" i="1" s="1"/>
  <c r="Y438" i="1"/>
  <c r="Y507" i="1" s="1"/>
  <c r="T438" i="1"/>
  <c r="T507" i="1" s="1"/>
  <c r="O438" i="1"/>
  <c r="O507" i="1" s="1"/>
  <c r="J438" i="1"/>
  <c r="J507" i="1" s="1"/>
  <c r="BH437" i="1"/>
  <c r="BH506" i="1" s="1"/>
  <c r="BC437" i="1"/>
  <c r="BC506" i="1" s="1"/>
  <c r="AX437" i="1"/>
  <c r="AX506" i="1" s="1"/>
  <c r="AS437" i="1"/>
  <c r="AS506" i="1" s="1"/>
  <c r="AN437" i="1"/>
  <c r="AN506" i="1" s="1"/>
  <c r="AI437" i="1"/>
  <c r="AI506" i="1" s="1"/>
  <c r="AD437" i="1"/>
  <c r="AD506" i="1" s="1"/>
  <c r="Y437" i="1"/>
  <c r="Y506" i="1" s="1"/>
  <c r="T437" i="1"/>
  <c r="T506" i="1" s="1"/>
  <c r="O437" i="1"/>
  <c r="O506" i="1" s="1"/>
  <c r="J437" i="1"/>
  <c r="J506" i="1" s="1"/>
  <c r="BH436" i="1"/>
  <c r="BH505" i="1" s="1"/>
  <c r="BC436" i="1"/>
  <c r="BC505" i="1" s="1"/>
  <c r="AX436" i="1"/>
  <c r="AX505" i="1" s="1"/>
  <c r="AS436" i="1"/>
  <c r="AS505" i="1" s="1"/>
  <c r="AS211" i="1" s="1"/>
  <c r="AS210" i="1" s="1"/>
  <c r="AN436" i="1"/>
  <c r="AN505" i="1" s="1"/>
  <c r="AI436" i="1"/>
  <c r="AI505" i="1" s="1"/>
  <c r="AI211" i="1" s="1"/>
  <c r="AD436" i="1"/>
  <c r="AD505" i="1" s="1"/>
  <c r="Y436" i="1"/>
  <c r="Y505" i="1" s="1"/>
  <c r="Y211" i="1" s="1"/>
  <c r="T436" i="1"/>
  <c r="T505" i="1" s="1"/>
  <c r="O436" i="1"/>
  <c r="O505" i="1" s="1"/>
  <c r="J436" i="1"/>
  <c r="J505" i="1" s="1"/>
  <c r="BH435" i="1"/>
  <c r="BH504" i="1" s="1"/>
  <c r="BC435" i="1"/>
  <c r="BC504" i="1" s="1"/>
  <c r="AX435" i="1"/>
  <c r="AX504" i="1" s="1"/>
  <c r="AS435" i="1"/>
  <c r="AS504" i="1" s="1"/>
  <c r="AN435" i="1"/>
  <c r="AN504" i="1" s="1"/>
  <c r="AI435" i="1"/>
  <c r="AI504" i="1" s="1"/>
  <c r="AD435" i="1"/>
  <c r="AD504" i="1" s="1"/>
  <c r="Y435" i="1"/>
  <c r="Y504" i="1" s="1"/>
  <c r="T435" i="1"/>
  <c r="T504" i="1" s="1"/>
  <c r="O435" i="1"/>
  <c r="O504" i="1" s="1"/>
  <c r="J435" i="1"/>
  <c r="J504" i="1" s="1"/>
  <c r="BN430" i="1"/>
  <c r="BM430" i="1"/>
  <c r="BL430" i="1"/>
  <c r="BK430" i="1"/>
  <c r="BJ430" i="1"/>
  <c r="BI430" i="1"/>
  <c r="BH430" i="1"/>
  <c r="BG430" i="1"/>
  <c r="BF430" i="1"/>
  <c r="BE430" i="1"/>
  <c r="BD430" i="1"/>
  <c r="BC430" i="1"/>
  <c r="BB430" i="1"/>
  <c r="BA430" i="1"/>
  <c r="AZ430" i="1"/>
  <c r="AY430" i="1"/>
  <c r="AX430" i="1"/>
  <c r="AW430" i="1"/>
  <c r="AV430" i="1"/>
  <c r="AU430" i="1"/>
  <c r="AT430" i="1"/>
  <c r="AS430" i="1"/>
  <c r="AR430" i="1"/>
  <c r="AQ430" i="1"/>
  <c r="AP430" i="1"/>
  <c r="AO430" i="1"/>
  <c r="AN430" i="1"/>
  <c r="AM430" i="1"/>
  <c r="AL430" i="1"/>
  <c r="AK430" i="1"/>
  <c r="AJ430" i="1"/>
  <c r="AI430" i="1"/>
  <c r="AH430" i="1"/>
  <c r="AG430" i="1"/>
  <c r="AF430" i="1"/>
  <c r="AE430" i="1"/>
  <c r="AD430" i="1"/>
  <c r="AC430" i="1"/>
  <c r="AB430" i="1"/>
  <c r="AA430" i="1"/>
  <c r="Z430" i="1"/>
  <c r="Y430" i="1"/>
  <c r="X430" i="1"/>
  <c r="W430" i="1"/>
  <c r="V430" i="1"/>
  <c r="U430" i="1"/>
  <c r="T430" i="1"/>
  <c r="S430" i="1"/>
  <c r="R430" i="1"/>
  <c r="Q430" i="1"/>
  <c r="P430" i="1"/>
  <c r="O430" i="1"/>
  <c r="N430" i="1"/>
  <c r="M430" i="1"/>
  <c r="L430" i="1"/>
  <c r="K430" i="1"/>
  <c r="J430" i="1"/>
  <c r="I430" i="1"/>
  <c r="H430" i="1"/>
  <c r="G430" i="1"/>
  <c r="F430" i="1"/>
  <c r="E430" i="1"/>
  <c r="D430" i="1"/>
  <c r="C430" i="1"/>
  <c r="BV429" i="1"/>
  <c r="BU429" i="1"/>
  <c r="BT429" i="1"/>
  <c r="BS429" i="1"/>
  <c r="BR429" i="1"/>
  <c r="BQ429" i="1"/>
  <c r="BP429" i="1"/>
  <c r="BO429" i="1"/>
  <c r="BN429" i="1"/>
  <c r="BN10" i="9" s="1"/>
  <c r="BM429" i="1"/>
  <c r="BM10" i="9" s="1"/>
  <c r="BL429" i="1"/>
  <c r="BL10" i="9" s="1"/>
  <c r="BK429" i="1"/>
  <c r="BK10" i="9" s="1"/>
  <c r="BJ429" i="1"/>
  <c r="BJ10" i="9" s="1"/>
  <c r="BI429" i="1"/>
  <c r="BI10" i="9" s="1"/>
  <c r="BH429" i="1"/>
  <c r="BH10" i="9" s="1"/>
  <c r="BG429" i="1"/>
  <c r="BG10" i="9" s="1"/>
  <c r="BF429" i="1"/>
  <c r="BF10" i="9" s="1"/>
  <c r="BE429" i="1"/>
  <c r="BE10" i="9" s="1"/>
  <c r="BD429" i="1"/>
  <c r="BD10" i="9" s="1"/>
  <c r="BC429" i="1"/>
  <c r="BC10" i="9" s="1"/>
  <c r="BB429" i="1"/>
  <c r="BB10" i="9" s="1"/>
  <c r="BA429" i="1"/>
  <c r="BA10" i="9" s="1"/>
  <c r="AZ429" i="1"/>
  <c r="AZ10" i="9" s="1"/>
  <c r="AY429" i="1"/>
  <c r="AY10" i="9" s="1"/>
  <c r="AX429" i="1"/>
  <c r="AX10" i="9" s="1"/>
  <c r="AW429" i="1"/>
  <c r="AW10" i="9" s="1"/>
  <c r="AV429" i="1"/>
  <c r="AV10" i="9" s="1"/>
  <c r="AU429" i="1"/>
  <c r="AU10" i="9" s="1"/>
  <c r="AT429" i="1"/>
  <c r="AT10" i="9" s="1"/>
  <c r="AS429" i="1"/>
  <c r="AS10" i="9" s="1"/>
  <c r="AR429" i="1"/>
  <c r="AR10" i="9" s="1"/>
  <c r="AQ429" i="1"/>
  <c r="AQ10" i="9" s="1"/>
  <c r="AP429" i="1"/>
  <c r="AP10" i="9" s="1"/>
  <c r="AO429" i="1"/>
  <c r="AO10" i="9" s="1"/>
  <c r="AN429" i="1"/>
  <c r="AN10" i="9" s="1"/>
  <c r="AM429" i="1"/>
  <c r="AM10" i="9" s="1"/>
  <c r="AL429" i="1"/>
  <c r="AL10" i="9" s="1"/>
  <c r="AK429" i="1"/>
  <c r="AK10" i="9" s="1"/>
  <c r="AJ429" i="1"/>
  <c r="AJ10" i="9" s="1"/>
  <c r="AI429" i="1"/>
  <c r="AI10" i="9" s="1"/>
  <c r="AH429" i="1"/>
  <c r="AH10" i="9" s="1"/>
  <c r="AG429" i="1"/>
  <c r="AG10" i="9" s="1"/>
  <c r="AF429" i="1"/>
  <c r="AF10" i="9" s="1"/>
  <c r="AE429" i="1"/>
  <c r="AE10" i="9" s="1"/>
  <c r="AD429" i="1"/>
  <c r="AD10" i="9" s="1"/>
  <c r="AC429" i="1"/>
  <c r="AC10" i="9" s="1"/>
  <c r="AB429" i="1"/>
  <c r="AB10" i="9" s="1"/>
  <c r="AA429" i="1"/>
  <c r="AA10" i="9" s="1"/>
  <c r="Z429" i="1"/>
  <c r="Z10" i="9" s="1"/>
  <c r="Y429" i="1"/>
  <c r="Y10" i="9" s="1"/>
  <c r="X429" i="1"/>
  <c r="X10" i="9" s="1"/>
  <c r="W429" i="1"/>
  <c r="W10" i="9" s="1"/>
  <c r="V429" i="1"/>
  <c r="V10" i="9" s="1"/>
  <c r="U429" i="1"/>
  <c r="U10" i="9" s="1"/>
  <c r="T429" i="1"/>
  <c r="T10" i="9" s="1"/>
  <c r="S429" i="1"/>
  <c r="S10" i="9" s="1"/>
  <c r="R429" i="1"/>
  <c r="R10" i="9" s="1"/>
  <c r="Q429" i="1"/>
  <c r="Q10" i="9" s="1"/>
  <c r="P429" i="1"/>
  <c r="P10" i="9" s="1"/>
  <c r="O429" i="1"/>
  <c r="O10" i="9" s="1"/>
  <c r="N429" i="1"/>
  <c r="N10" i="9" s="1"/>
  <c r="M429" i="1"/>
  <c r="M10" i="9" s="1"/>
  <c r="L429" i="1"/>
  <c r="L10" i="9" s="1"/>
  <c r="K429" i="1"/>
  <c r="K10" i="9" s="1"/>
  <c r="J429" i="1"/>
  <c r="J10" i="9" s="1"/>
  <c r="I429" i="1"/>
  <c r="I10" i="9" s="1"/>
  <c r="H429" i="1"/>
  <c r="H10" i="9" s="1"/>
  <c r="G429" i="1"/>
  <c r="G10" i="9" s="1"/>
  <c r="F429" i="1"/>
  <c r="F10" i="9" s="1"/>
  <c r="E429" i="1"/>
  <c r="D429" i="1"/>
  <c r="C429" i="1"/>
  <c r="BL425" i="1"/>
  <c r="BK425" i="1"/>
  <c r="BJ425" i="1"/>
  <c r="BI425" i="1"/>
  <c r="BH425" i="1"/>
  <c r="BG425" i="1"/>
  <c r="BF425" i="1"/>
  <c r="BE425" i="1"/>
  <c r="BD425" i="1"/>
  <c r="BC425" i="1"/>
  <c r="BB425" i="1"/>
  <c r="BA425" i="1"/>
  <c r="AZ425" i="1"/>
  <c r="AY425" i="1"/>
  <c r="AX425" i="1"/>
  <c r="AW425" i="1"/>
  <c r="AV425" i="1"/>
  <c r="AU425" i="1"/>
  <c r="AT425" i="1"/>
  <c r="AS425" i="1"/>
  <c r="AR425" i="1"/>
  <c r="AQ425" i="1"/>
  <c r="AP425" i="1"/>
  <c r="AO425" i="1"/>
  <c r="AN425" i="1"/>
  <c r="AM425" i="1"/>
  <c r="AL425" i="1"/>
  <c r="AK425" i="1"/>
  <c r="AJ425" i="1"/>
  <c r="AI425" i="1"/>
  <c r="AH425" i="1"/>
  <c r="AG425" i="1"/>
  <c r="AF425" i="1"/>
  <c r="AE425" i="1"/>
  <c r="AD425" i="1"/>
  <c r="AC425" i="1"/>
  <c r="AB425" i="1"/>
  <c r="AA425" i="1"/>
  <c r="Z425" i="1"/>
  <c r="Y425" i="1"/>
  <c r="X425" i="1"/>
  <c r="W425" i="1"/>
  <c r="V425" i="1"/>
  <c r="U425" i="1"/>
  <c r="T425" i="1"/>
  <c r="S425" i="1"/>
  <c r="R425" i="1"/>
  <c r="Q425" i="1"/>
  <c r="P425" i="1"/>
  <c r="O425" i="1"/>
  <c r="N425" i="1"/>
  <c r="M425" i="1"/>
  <c r="L425" i="1"/>
  <c r="K425" i="1"/>
  <c r="J425" i="1"/>
  <c r="I425" i="1"/>
  <c r="H425" i="1"/>
  <c r="G425" i="1"/>
  <c r="F425" i="1"/>
  <c r="BL423" i="1"/>
  <c r="BL426" i="1" s="1"/>
  <c r="BL410" i="1" s="1"/>
  <c r="BK423" i="1"/>
  <c r="BK426" i="1" s="1"/>
  <c r="BK410" i="1" s="1"/>
  <c r="BJ423" i="1"/>
  <c r="BJ426" i="1" s="1"/>
  <c r="BJ410" i="1" s="1"/>
  <c r="BI423" i="1"/>
  <c r="BI426" i="1" s="1"/>
  <c r="BI410" i="1" s="1"/>
  <c r="BH423" i="1"/>
  <c r="BH426" i="1" s="1"/>
  <c r="BH410" i="1" s="1"/>
  <c r="BG423" i="1"/>
  <c r="BG426" i="1" s="1"/>
  <c r="BF423" i="1"/>
  <c r="BF426" i="1" s="1"/>
  <c r="BE423" i="1"/>
  <c r="BE426" i="1" s="1"/>
  <c r="BD423" i="1"/>
  <c r="BD426" i="1" s="1"/>
  <c r="BD410" i="1" s="1"/>
  <c r="BC423" i="1"/>
  <c r="BC426" i="1" s="1"/>
  <c r="BC410" i="1" s="1"/>
  <c r="BB423" i="1"/>
  <c r="BB426" i="1" s="1"/>
  <c r="BB410" i="1" s="1"/>
  <c r="BA423" i="1"/>
  <c r="BA426" i="1" s="1"/>
  <c r="AZ423" i="1"/>
  <c r="AZ426" i="1" s="1"/>
  <c r="AZ410" i="1" s="1"/>
  <c r="AY423" i="1"/>
  <c r="AY426" i="1" s="1"/>
  <c r="AY410" i="1" s="1"/>
  <c r="AX423" i="1"/>
  <c r="AX426" i="1" s="1"/>
  <c r="AX410" i="1" s="1"/>
  <c r="AW423" i="1"/>
  <c r="AW426" i="1" s="1"/>
  <c r="AW410" i="1" s="1"/>
  <c r="AV423" i="1"/>
  <c r="AV426" i="1" s="1"/>
  <c r="AV410" i="1" s="1"/>
  <c r="AU423" i="1"/>
  <c r="AU426" i="1" s="1"/>
  <c r="AU410" i="1" s="1"/>
  <c r="AT423" i="1"/>
  <c r="AT426" i="1" s="1"/>
  <c r="AT410" i="1" s="1"/>
  <c r="AS423" i="1"/>
  <c r="AS426" i="1" s="1"/>
  <c r="AS410" i="1" s="1"/>
  <c r="AR423" i="1"/>
  <c r="AR426" i="1" s="1"/>
  <c r="AR410" i="1" s="1"/>
  <c r="AQ423" i="1"/>
  <c r="AQ426" i="1" s="1"/>
  <c r="AQ410" i="1" s="1"/>
  <c r="AP423" i="1"/>
  <c r="AP426" i="1" s="1"/>
  <c r="AP410" i="1" s="1"/>
  <c r="AO423" i="1"/>
  <c r="AO426" i="1" s="1"/>
  <c r="AN423" i="1"/>
  <c r="AN426" i="1" s="1"/>
  <c r="AN410" i="1" s="1"/>
  <c r="AM423" i="1"/>
  <c r="AM426" i="1" s="1"/>
  <c r="AM410" i="1" s="1"/>
  <c r="AL423" i="1"/>
  <c r="AL426" i="1" s="1"/>
  <c r="AL410" i="1" s="1"/>
  <c r="AK423" i="1"/>
  <c r="AK426" i="1" s="1"/>
  <c r="AJ423" i="1"/>
  <c r="AJ426" i="1" s="1"/>
  <c r="AJ410" i="1" s="1"/>
  <c r="AI423" i="1"/>
  <c r="AI426" i="1" s="1"/>
  <c r="AI410" i="1" s="1"/>
  <c r="AH423" i="1"/>
  <c r="AH426" i="1" s="1"/>
  <c r="AH410" i="1" s="1"/>
  <c r="AG423" i="1"/>
  <c r="AG426" i="1" s="1"/>
  <c r="AG410" i="1" s="1"/>
  <c r="AF423" i="1"/>
  <c r="AF426" i="1" s="1"/>
  <c r="AF410" i="1" s="1"/>
  <c r="AE423" i="1"/>
  <c r="AE426" i="1" s="1"/>
  <c r="AE410" i="1" s="1"/>
  <c r="AD423" i="1"/>
  <c r="AD426" i="1" s="1"/>
  <c r="AD410" i="1" s="1"/>
  <c r="AC423" i="1"/>
  <c r="AC426" i="1" s="1"/>
  <c r="AC410" i="1" s="1"/>
  <c r="AB423" i="1"/>
  <c r="AB426" i="1" s="1"/>
  <c r="AB410" i="1" s="1"/>
  <c r="AA423" i="1"/>
  <c r="AA426" i="1" s="1"/>
  <c r="AA410" i="1" s="1"/>
  <c r="Z423" i="1"/>
  <c r="Z426" i="1" s="1"/>
  <c r="Z410" i="1" s="1"/>
  <c r="Y423" i="1"/>
  <c r="Y426" i="1" s="1"/>
  <c r="X423" i="1"/>
  <c r="X426" i="1" s="1"/>
  <c r="X410" i="1" s="1"/>
  <c r="W423" i="1"/>
  <c r="W426" i="1" s="1"/>
  <c r="W410" i="1" s="1"/>
  <c r="V423" i="1"/>
  <c r="V426" i="1" s="1"/>
  <c r="V410" i="1" s="1"/>
  <c r="U423" i="1"/>
  <c r="U426" i="1" s="1"/>
  <c r="U410" i="1" s="1"/>
  <c r="T423" i="1"/>
  <c r="T426" i="1" s="1"/>
  <c r="T410" i="1" s="1"/>
  <c r="S423" i="1"/>
  <c r="S426" i="1" s="1"/>
  <c r="S410" i="1" s="1"/>
  <c r="R423" i="1"/>
  <c r="R426" i="1" s="1"/>
  <c r="R410" i="1" s="1"/>
  <c r="Q423" i="1"/>
  <c r="Q426" i="1" s="1"/>
  <c r="Q410" i="1" s="1"/>
  <c r="P423" i="1"/>
  <c r="P426" i="1" s="1"/>
  <c r="P410" i="1" s="1"/>
  <c r="O423" i="1"/>
  <c r="O426" i="1" s="1"/>
  <c r="O410" i="1" s="1"/>
  <c r="N423" i="1"/>
  <c r="N426" i="1" s="1"/>
  <c r="N410" i="1" s="1"/>
  <c r="M423" i="1"/>
  <c r="M426" i="1" s="1"/>
  <c r="M410" i="1" s="1"/>
  <c r="L423" i="1"/>
  <c r="L426" i="1" s="1"/>
  <c r="L410" i="1" s="1"/>
  <c r="K423" i="1"/>
  <c r="K426" i="1" s="1"/>
  <c r="K410" i="1" s="1"/>
  <c r="J423" i="1"/>
  <c r="J426" i="1" s="1"/>
  <c r="J410" i="1" s="1"/>
  <c r="I423" i="1"/>
  <c r="I426" i="1" s="1"/>
  <c r="H423" i="1"/>
  <c r="H426" i="1" s="1"/>
  <c r="H410" i="1" s="1"/>
  <c r="G423" i="1"/>
  <c r="G426" i="1" s="1"/>
  <c r="G410" i="1" s="1"/>
  <c r="F423" i="1"/>
  <c r="F426" i="1" s="1"/>
  <c r="F410" i="1" s="1"/>
  <c r="BV422" i="1"/>
  <c r="BU422" i="1"/>
  <c r="BT422" i="1"/>
  <c r="BS422" i="1"/>
  <c r="BR422" i="1"/>
  <c r="BQ422" i="1"/>
  <c r="BP422" i="1"/>
  <c r="BO422" i="1"/>
  <c r="BN422" i="1"/>
  <c r="BM422" i="1"/>
  <c r="BV421" i="1"/>
  <c r="BU421" i="1"/>
  <c r="BT421" i="1"/>
  <c r="BS421" i="1"/>
  <c r="BR421" i="1"/>
  <c r="BQ421" i="1"/>
  <c r="BP421" i="1"/>
  <c r="BO421" i="1"/>
  <c r="BN421" i="1"/>
  <c r="BM421" i="1"/>
  <c r="BV420" i="1"/>
  <c r="BU420" i="1"/>
  <c r="BT420" i="1"/>
  <c r="BS420" i="1"/>
  <c r="BR420" i="1"/>
  <c r="BQ420" i="1"/>
  <c r="BP420" i="1"/>
  <c r="BO420" i="1"/>
  <c r="BN420" i="1"/>
  <c r="BM420" i="1"/>
  <c r="A418" i="1"/>
  <c r="A417" i="1"/>
  <c r="A416" i="1"/>
  <c r="A415" i="1"/>
  <c r="A696" i="1" s="1"/>
  <c r="A414" i="1"/>
  <c r="A697" i="1" s="1"/>
  <c r="A412" i="1"/>
  <c r="A411" i="1"/>
  <c r="A410" i="1"/>
  <c r="K402" i="1"/>
  <c r="K403" i="1" s="1"/>
  <c r="J402" i="1"/>
  <c r="J403" i="1" s="1"/>
  <c r="I402" i="1"/>
  <c r="I403" i="1" s="1"/>
  <c r="H402" i="1"/>
  <c r="H403" i="1" s="1"/>
  <c r="G402" i="1"/>
  <c r="F402" i="1"/>
  <c r="F403" i="1" s="1"/>
  <c r="E402" i="1"/>
  <c r="E403" i="1" s="1"/>
  <c r="D402" i="1"/>
  <c r="D403" i="1" s="1"/>
  <c r="C402" i="1"/>
  <c r="AJ396" i="1"/>
  <c r="AD396" i="1"/>
  <c r="BR395" i="1"/>
  <c r="BR9" i="9" s="1"/>
  <c r="BQ395" i="1"/>
  <c r="BQ9" i="9" s="1"/>
  <c r="BP395" i="1"/>
  <c r="BP9" i="9" s="1"/>
  <c r="BO395" i="1"/>
  <c r="BO9" i="9" s="1"/>
  <c r="BN395" i="1"/>
  <c r="BN9" i="9" s="1"/>
  <c r="BM395" i="1"/>
  <c r="BM9" i="9" s="1"/>
  <c r="BL395" i="1"/>
  <c r="BL9" i="9" s="1"/>
  <c r="BK395" i="1"/>
  <c r="BK9" i="9" s="1"/>
  <c r="BJ395" i="1"/>
  <c r="BJ9" i="9" s="1"/>
  <c r="BI395" i="1"/>
  <c r="BI9" i="9" s="1"/>
  <c r="BH395" i="1"/>
  <c r="BH9" i="9" s="1"/>
  <c r="BG395" i="1"/>
  <c r="BG9" i="9" s="1"/>
  <c r="BF395" i="1"/>
  <c r="BF9" i="9" s="1"/>
  <c r="BE395" i="1"/>
  <c r="BE9" i="9" s="1"/>
  <c r="BD395" i="1"/>
  <c r="BD9" i="9" s="1"/>
  <c r="BC395" i="1"/>
  <c r="BC9" i="9" s="1"/>
  <c r="BB395" i="1"/>
  <c r="BB9" i="9" s="1"/>
  <c r="BA395" i="1"/>
  <c r="BA9" i="9" s="1"/>
  <c r="AZ395" i="1"/>
  <c r="AZ9" i="9" s="1"/>
  <c r="AY395" i="1"/>
  <c r="AY9" i="9" s="1"/>
  <c r="AX395" i="1"/>
  <c r="AX9" i="9" s="1"/>
  <c r="AW395" i="1"/>
  <c r="AW9" i="9" s="1"/>
  <c r="AV395" i="1"/>
  <c r="AV9" i="9" s="1"/>
  <c r="AU395" i="1"/>
  <c r="AU9" i="9" s="1"/>
  <c r="AT395" i="1"/>
  <c r="AT9" i="9" s="1"/>
  <c r="AS395" i="1"/>
  <c r="AS9" i="9" s="1"/>
  <c r="AR395" i="1"/>
  <c r="AR9" i="9" s="1"/>
  <c r="AQ395" i="1"/>
  <c r="AQ9" i="9" s="1"/>
  <c r="AP395" i="1"/>
  <c r="AP9" i="9" s="1"/>
  <c r="AO395" i="1"/>
  <c r="AO9" i="9" s="1"/>
  <c r="AN395" i="1"/>
  <c r="AN9" i="9" s="1"/>
  <c r="AM395" i="1"/>
  <c r="AM9" i="9" s="1"/>
  <c r="AL395" i="1"/>
  <c r="AL9" i="9" s="1"/>
  <c r="AK395" i="1"/>
  <c r="AK9" i="9" s="1"/>
  <c r="AJ395" i="1"/>
  <c r="AJ9" i="9" s="1"/>
  <c r="AI395" i="1"/>
  <c r="AI9" i="9" s="1"/>
  <c r="AH395" i="1"/>
  <c r="AH9" i="9" s="1"/>
  <c r="AG395" i="1"/>
  <c r="AG9" i="9" s="1"/>
  <c r="AF395" i="1"/>
  <c r="AF9" i="9" s="1"/>
  <c r="AE395" i="1"/>
  <c r="AE9" i="9" s="1"/>
  <c r="AD395" i="1"/>
  <c r="AD9" i="9" s="1"/>
  <c r="AC395" i="1"/>
  <c r="AC9" i="9" s="1"/>
  <c r="AB395" i="1"/>
  <c r="AB9" i="9" s="1"/>
  <c r="AA395" i="1"/>
  <c r="AA9" i="9" s="1"/>
  <c r="Z395" i="1"/>
  <c r="Z9" i="9" s="1"/>
  <c r="Y395" i="1"/>
  <c r="Y9" i="9" s="1"/>
  <c r="X395" i="1"/>
  <c r="X9" i="9" s="1"/>
  <c r="W395" i="1"/>
  <c r="W9" i="9" s="1"/>
  <c r="V395" i="1"/>
  <c r="V9" i="9" s="1"/>
  <c r="U395" i="1"/>
  <c r="U9" i="9" s="1"/>
  <c r="T395" i="1"/>
  <c r="T9" i="9" s="1"/>
  <c r="S395" i="1"/>
  <c r="S9" i="9" s="1"/>
  <c r="R395" i="1"/>
  <c r="R9" i="9" s="1"/>
  <c r="Q395" i="1"/>
  <c r="Q9" i="9" s="1"/>
  <c r="P395" i="1"/>
  <c r="P9" i="9" s="1"/>
  <c r="O395" i="1"/>
  <c r="O9" i="9" s="1"/>
  <c r="N395" i="1"/>
  <c r="N9" i="9" s="1"/>
  <c r="M395" i="1"/>
  <c r="M9" i="9" s="1"/>
  <c r="L395" i="1"/>
  <c r="L9" i="9" s="1"/>
  <c r="K395" i="1"/>
  <c r="K9" i="9" s="1"/>
  <c r="J395" i="1"/>
  <c r="J9" i="9" s="1"/>
  <c r="I395" i="1"/>
  <c r="I9" i="9" s="1"/>
  <c r="H395" i="1"/>
  <c r="H9" i="9" s="1"/>
  <c r="G395" i="1"/>
  <c r="G9" i="9" s="1"/>
  <c r="F395" i="1"/>
  <c r="F9" i="9" s="1"/>
  <c r="E395" i="1"/>
  <c r="E9" i="9" s="1"/>
  <c r="D395" i="1"/>
  <c r="D9" i="9" s="1"/>
  <c r="C395" i="1"/>
  <c r="C9" i="9" s="1"/>
  <c r="BL394" i="1"/>
  <c r="BK394" i="1"/>
  <c r="BJ394" i="1"/>
  <c r="BI394" i="1"/>
  <c r="BH394" i="1"/>
  <c r="BG394" i="1"/>
  <c r="BF394" i="1"/>
  <c r="BE394" i="1"/>
  <c r="BD394" i="1"/>
  <c r="BC394" i="1"/>
  <c r="BB394" i="1"/>
  <c r="BA394" i="1"/>
  <c r="AZ394" i="1"/>
  <c r="AY394" i="1"/>
  <c r="AX394" i="1"/>
  <c r="AW394" i="1"/>
  <c r="AV394" i="1"/>
  <c r="AU394" i="1"/>
  <c r="AT394" i="1"/>
  <c r="AS394" i="1"/>
  <c r="AR394" i="1"/>
  <c r="AQ394" i="1"/>
  <c r="AP394" i="1"/>
  <c r="AP396" i="1" s="1"/>
  <c r="AO394" i="1"/>
  <c r="AN394" i="1"/>
  <c r="AM394" i="1"/>
  <c r="AL394" i="1"/>
  <c r="AK394" i="1"/>
  <c r="AJ394" i="1"/>
  <c r="AI394" i="1"/>
  <c r="AH394" i="1"/>
  <c r="AG394" i="1"/>
  <c r="AF394" i="1"/>
  <c r="AE394" i="1"/>
  <c r="AD394" i="1"/>
  <c r="AC394" i="1"/>
  <c r="AB394" i="1"/>
  <c r="AA394" i="1"/>
  <c r="Z394" i="1"/>
  <c r="Y394" i="1"/>
  <c r="X394" i="1"/>
  <c r="W394" i="1"/>
  <c r="V394" i="1"/>
  <c r="U394" i="1"/>
  <c r="T394" i="1"/>
  <c r="S394" i="1"/>
  <c r="R394" i="1"/>
  <c r="Q394" i="1"/>
  <c r="P394" i="1"/>
  <c r="O394" i="1"/>
  <c r="N394" i="1"/>
  <c r="M394" i="1"/>
  <c r="L394" i="1"/>
  <c r="L396" i="1" s="1"/>
  <c r="K394" i="1"/>
  <c r="J394" i="1"/>
  <c r="I394" i="1"/>
  <c r="H394" i="1"/>
  <c r="G394" i="1"/>
  <c r="F394" i="1"/>
  <c r="F396" i="1" s="1"/>
  <c r="E394" i="1"/>
  <c r="E658" i="1" s="1"/>
  <c r="D394" i="1"/>
  <c r="D658" i="1" s="1"/>
  <c r="C394" i="1"/>
  <c r="C658" i="1" s="1"/>
  <c r="BL393" i="1"/>
  <c r="BM393" i="1" s="1"/>
  <c r="BM635" i="1" s="1"/>
  <c r="BK393" i="1"/>
  <c r="BJ393" i="1"/>
  <c r="BI393" i="1"/>
  <c r="BH393" i="1"/>
  <c r="BG393" i="1"/>
  <c r="BF393" i="1"/>
  <c r="BE393" i="1"/>
  <c r="BD393" i="1"/>
  <c r="BC393" i="1"/>
  <c r="BB393" i="1"/>
  <c r="BA393" i="1"/>
  <c r="AZ393" i="1"/>
  <c r="AY393" i="1"/>
  <c r="AX393" i="1"/>
  <c r="AW393" i="1"/>
  <c r="AV393" i="1"/>
  <c r="AU393" i="1"/>
  <c r="AT393" i="1"/>
  <c r="AS393" i="1"/>
  <c r="AR393" i="1"/>
  <c r="AQ393" i="1"/>
  <c r="AP393" i="1"/>
  <c r="AO393" i="1"/>
  <c r="AN393" i="1"/>
  <c r="AM393" i="1"/>
  <c r="AL393" i="1"/>
  <c r="AK393" i="1"/>
  <c r="AJ393" i="1"/>
  <c r="AI393" i="1"/>
  <c r="AH393" i="1"/>
  <c r="AG393" i="1"/>
  <c r="AF393" i="1"/>
  <c r="AE393" i="1"/>
  <c r="AD393" i="1"/>
  <c r="AC393" i="1"/>
  <c r="AB393" i="1"/>
  <c r="AA393" i="1"/>
  <c r="Z393" i="1"/>
  <c r="Y393" i="1"/>
  <c r="X393" i="1"/>
  <c r="W393" i="1"/>
  <c r="V393" i="1"/>
  <c r="U393" i="1"/>
  <c r="T393" i="1"/>
  <c r="S393" i="1"/>
  <c r="R393" i="1"/>
  <c r="Q393" i="1"/>
  <c r="P393" i="1"/>
  <c r="O393" i="1"/>
  <c r="N393" i="1"/>
  <c r="M393" i="1"/>
  <c r="L393" i="1"/>
  <c r="K393" i="1"/>
  <c r="J393" i="1"/>
  <c r="I393" i="1"/>
  <c r="H393" i="1"/>
  <c r="G393" i="1"/>
  <c r="F393" i="1"/>
  <c r="E393" i="1"/>
  <c r="D393" i="1"/>
  <c r="C393" i="1"/>
  <c r="BL392" i="1"/>
  <c r="BK392" i="1"/>
  <c r="BJ392" i="1"/>
  <c r="BI392" i="1"/>
  <c r="BH392" i="1"/>
  <c r="BG392" i="1"/>
  <c r="BF392" i="1"/>
  <c r="BE392" i="1"/>
  <c r="BD392" i="1"/>
  <c r="BC392" i="1"/>
  <c r="BB392" i="1"/>
  <c r="BA392" i="1"/>
  <c r="AZ392" i="1"/>
  <c r="AY392" i="1"/>
  <c r="AX392" i="1"/>
  <c r="AW392" i="1"/>
  <c r="AV392" i="1"/>
  <c r="AU392" i="1"/>
  <c r="AT392" i="1"/>
  <c r="AS392" i="1"/>
  <c r="AR392" i="1"/>
  <c r="AQ392" i="1"/>
  <c r="AP392" i="1"/>
  <c r="AO392" i="1"/>
  <c r="AN392" i="1"/>
  <c r="AM392" i="1"/>
  <c r="AL392" i="1"/>
  <c r="AK392" i="1"/>
  <c r="AJ392" i="1"/>
  <c r="AI392" i="1"/>
  <c r="AH392" i="1"/>
  <c r="AG392" i="1"/>
  <c r="AF392" i="1"/>
  <c r="AE392" i="1"/>
  <c r="AD392" i="1"/>
  <c r="AC392" i="1"/>
  <c r="AB392" i="1"/>
  <c r="AA392" i="1"/>
  <c r="Z392" i="1"/>
  <c r="Y392" i="1"/>
  <c r="X392" i="1"/>
  <c r="W392" i="1"/>
  <c r="V392" i="1"/>
  <c r="U392" i="1"/>
  <c r="T392" i="1"/>
  <c r="S392" i="1"/>
  <c r="R392" i="1"/>
  <c r="Q392" i="1"/>
  <c r="P392" i="1"/>
  <c r="O392" i="1"/>
  <c r="N392" i="1"/>
  <c r="M392" i="1"/>
  <c r="L392" i="1"/>
  <c r="K392" i="1"/>
  <c r="J392" i="1"/>
  <c r="I392" i="1"/>
  <c r="H392" i="1"/>
  <c r="G392" i="1"/>
  <c r="F392" i="1"/>
  <c r="E392" i="1"/>
  <c r="D392" i="1"/>
  <c r="C392" i="1"/>
  <c r="BL391" i="1"/>
  <c r="BK391" i="1"/>
  <c r="BJ391" i="1"/>
  <c r="BI391" i="1"/>
  <c r="BH391" i="1"/>
  <c r="BG391" i="1"/>
  <c r="BF391" i="1"/>
  <c r="BE391" i="1"/>
  <c r="BD391" i="1"/>
  <c r="BC391" i="1"/>
  <c r="BB391" i="1"/>
  <c r="BA391" i="1"/>
  <c r="AZ391" i="1"/>
  <c r="AY391" i="1"/>
  <c r="AX391" i="1"/>
  <c r="AW391" i="1"/>
  <c r="AV391" i="1"/>
  <c r="AU391" i="1"/>
  <c r="AT391" i="1"/>
  <c r="AS391" i="1"/>
  <c r="AR391" i="1"/>
  <c r="AQ391" i="1"/>
  <c r="AP391" i="1"/>
  <c r="AO391" i="1"/>
  <c r="AN391" i="1"/>
  <c r="AM391" i="1"/>
  <c r="AL391" i="1"/>
  <c r="AK391" i="1"/>
  <c r="AJ391" i="1"/>
  <c r="AI391" i="1"/>
  <c r="AH391" i="1"/>
  <c r="AG391" i="1"/>
  <c r="AF391" i="1"/>
  <c r="AE391" i="1"/>
  <c r="AD391" i="1"/>
  <c r="AC391" i="1"/>
  <c r="AB391" i="1"/>
  <c r="AA391" i="1"/>
  <c r="Z391" i="1"/>
  <c r="Y391" i="1"/>
  <c r="X391" i="1"/>
  <c r="W391" i="1"/>
  <c r="V391" i="1"/>
  <c r="U391" i="1"/>
  <c r="T391" i="1"/>
  <c r="S391" i="1"/>
  <c r="R391" i="1"/>
  <c r="Q391" i="1"/>
  <c r="P391" i="1"/>
  <c r="O391" i="1"/>
  <c r="N391" i="1"/>
  <c r="M391" i="1"/>
  <c r="L391" i="1"/>
  <c r="K391" i="1"/>
  <c r="J391" i="1"/>
  <c r="I391" i="1"/>
  <c r="H391" i="1"/>
  <c r="G391" i="1"/>
  <c r="F391" i="1"/>
  <c r="E391" i="1"/>
  <c r="E657" i="1" s="1"/>
  <c r="D391" i="1"/>
  <c r="D657" i="1" s="1"/>
  <c r="C391" i="1"/>
  <c r="C657" i="1" s="1"/>
  <c r="BS379" i="1"/>
  <c r="BN379" i="1"/>
  <c r="BL378" i="1"/>
  <c r="BL110" i="9" s="1"/>
  <c r="BK378" i="1"/>
  <c r="BK110" i="9" s="1"/>
  <c r="BE378" i="1"/>
  <c r="BE110" i="9" s="1"/>
  <c r="BD378" i="1"/>
  <c r="BD110" i="9" s="1"/>
  <c r="AX378" i="1"/>
  <c r="AX110" i="9" s="1"/>
  <c r="AW378" i="1"/>
  <c r="AW110" i="9" s="1"/>
  <c r="AV378" i="1"/>
  <c r="AV110" i="9" s="1"/>
  <c r="AQ378" i="1"/>
  <c r="AQ110" i="9" s="1"/>
  <c r="AK378" i="1"/>
  <c r="AK110" i="9" s="1"/>
  <c r="AJ378" i="1"/>
  <c r="AJ110" i="9" s="1"/>
  <c r="AH378" i="1"/>
  <c r="AH110" i="9" s="1"/>
  <c r="AF378" i="1"/>
  <c r="AF110" i="9" s="1"/>
  <c r="AC378" i="1"/>
  <c r="AC110" i="9" s="1"/>
  <c r="W378" i="1"/>
  <c r="W110" i="9" s="1"/>
  <c r="U378" i="1"/>
  <c r="U110" i="9" s="1"/>
  <c r="R378" i="1"/>
  <c r="R110" i="9" s="1"/>
  <c r="Q378" i="1"/>
  <c r="Q110" i="9" s="1"/>
  <c r="P378" i="1"/>
  <c r="P110" i="9" s="1"/>
  <c r="J378" i="1"/>
  <c r="J110" i="9" s="1"/>
  <c r="I378" i="1"/>
  <c r="I110" i="9" s="1"/>
  <c r="D378" i="1"/>
  <c r="D110" i="9" s="1"/>
  <c r="BS377" i="1"/>
  <c r="BS111" i="9" s="1"/>
  <c r="BL377" i="1"/>
  <c r="BL111" i="9" s="1"/>
  <c r="BK377" i="1"/>
  <c r="BK111" i="9" s="1"/>
  <c r="BJ377" i="1"/>
  <c r="BJ111" i="9" s="1"/>
  <c r="BI377" i="1"/>
  <c r="BI111" i="9" s="1"/>
  <c r="BH377" i="1"/>
  <c r="BH111" i="9" s="1"/>
  <c r="BG377" i="1"/>
  <c r="BG111" i="9" s="1"/>
  <c r="BF377" i="1"/>
  <c r="BF111" i="9" s="1"/>
  <c r="BE377" i="1"/>
  <c r="BE111" i="9" s="1"/>
  <c r="BD377" i="1"/>
  <c r="BD111" i="9" s="1"/>
  <c r="BC377" i="1"/>
  <c r="BC111" i="9" s="1"/>
  <c r="BB377" i="1"/>
  <c r="BB111" i="9" s="1"/>
  <c r="BA377" i="1"/>
  <c r="BA111" i="9" s="1"/>
  <c r="AY377" i="1"/>
  <c r="AY111" i="9" s="1"/>
  <c r="AX377" i="1"/>
  <c r="AX111" i="9" s="1"/>
  <c r="AV377" i="1"/>
  <c r="AV111" i="9" s="1"/>
  <c r="AU377" i="1"/>
  <c r="AU111" i="9" s="1"/>
  <c r="AT377" i="1"/>
  <c r="AT111" i="9" s="1"/>
  <c r="AS377" i="1"/>
  <c r="AS111" i="9" s="1"/>
  <c r="AR377" i="1"/>
  <c r="AR111" i="9" s="1"/>
  <c r="AQ377" i="1"/>
  <c r="AQ111" i="9" s="1"/>
  <c r="AP377" i="1"/>
  <c r="AP111" i="9" s="1"/>
  <c r="AO377" i="1"/>
  <c r="AO111" i="9" s="1"/>
  <c r="AN377" i="1"/>
  <c r="AN111" i="9" s="1"/>
  <c r="AM377" i="1"/>
  <c r="AM111" i="9" s="1"/>
  <c r="AL377" i="1"/>
  <c r="AL111" i="9" s="1"/>
  <c r="AK377" i="1"/>
  <c r="AK111" i="9" s="1"/>
  <c r="AJ377" i="1"/>
  <c r="AJ111" i="9" s="1"/>
  <c r="AI377" i="1"/>
  <c r="AI111" i="9" s="1"/>
  <c r="AH377" i="1"/>
  <c r="AH111" i="9" s="1"/>
  <c r="AG377" i="1"/>
  <c r="AG111" i="9" s="1"/>
  <c r="AF377" i="1"/>
  <c r="AF111" i="9" s="1"/>
  <c r="AE377" i="1"/>
  <c r="AE111" i="9" s="1"/>
  <c r="AD377" i="1"/>
  <c r="AD111" i="9" s="1"/>
  <c r="AB377" i="1"/>
  <c r="AB111" i="9" s="1"/>
  <c r="AA377" i="1"/>
  <c r="AA111" i="9" s="1"/>
  <c r="Z377" i="1"/>
  <c r="Z111" i="9" s="1"/>
  <c r="Y377" i="1"/>
  <c r="Y111" i="9" s="1"/>
  <c r="X377" i="1"/>
  <c r="X111" i="9" s="1"/>
  <c r="W377" i="1"/>
  <c r="W111" i="9" s="1"/>
  <c r="V377" i="1"/>
  <c r="V111" i="9" s="1"/>
  <c r="U377" i="1"/>
  <c r="U111" i="9" s="1"/>
  <c r="S377" i="1"/>
  <c r="S111" i="9" s="1"/>
  <c r="R377" i="1"/>
  <c r="R111" i="9" s="1"/>
  <c r="Q377" i="1"/>
  <c r="Q111" i="9" s="1"/>
  <c r="P377" i="1"/>
  <c r="P111" i="9" s="1"/>
  <c r="O377" i="1"/>
  <c r="O111" i="9" s="1"/>
  <c r="N377" i="1"/>
  <c r="N111" i="9" s="1"/>
  <c r="L377" i="1"/>
  <c r="L111" i="9" s="1"/>
  <c r="I377" i="1"/>
  <c r="I111" i="9" s="1"/>
  <c r="H377" i="1"/>
  <c r="H111" i="9" s="1"/>
  <c r="G377" i="1"/>
  <c r="G111" i="9" s="1"/>
  <c r="F377" i="1"/>
  <c r="F111" i="9" s="1"/>
  <c r="E377" i="1"/>
  <c r="E111" i="9" s="1"/>
  <c r="D377" i="1"/>
  <c r="D111" i="9" s="1"/>
  <c r="C377" i="1"/>
  <c r="C111" i="9" s="1"/>
  <c r="BS375" i="1"/>
  <c r="BS117" i="9" s="1"/>
  <c r="BN375" i="1"/>
  <c r="BN117" i="9" s="1"/>
  <c r="BI375" i="1"/>
  <c r="BI117" i="9" s="1"/>
  <c r="BD375" i="1"/>
  <c r="BD117" i="9" s="1"/>
  <c r="AY375" i="1"/>
  <c r="AY117" i="9" s="1"/>
  <c r="AT375" i="1"/>
  <c r="AT117" i="9" s="1"/>
  <c r="AO375" i="1"/>
  <c r="AO117" i="9" s="1"/>
  <c r="AJ375" i="1"/>
  <c r="AJ117" i="9" s="1"/>
  <c r="AE375" i="1"/>
  <c r="AE117" i="9" s="1"/>
  <c r="Z375" i="1"/>
  <c r="Z117" i="9" s="1"/>
  <c r="U375" i="1"/>
  <c r="U117" i="9" s="1"/>
  <c r="P375" i="1"/>
  <c r="P117" i="9" s="1"/>
  <c r="K375" i="1"/>
  <c r="K117" i="9" s="1"/>
  <c r="BL374" i="1"/>
  <c r="BL106" i="9" s="1"/>
  <c r="BK374" i="1"/>
  <c r="BK106" i="9" s="1"/>
  <c r="BJ374" i="1"/>
  <c r="BJ106" i="9" s="1"/>
  <c r="BI374" i="1"/>
  <c r="BI106" i="9" s="1"/>
  <c r="BH374" i="1"/>
  <c r="BH106" i="9" s="1"/>
  <c r="BG374" i="1"/>
  <c r="BG106" i="9" s="1"/>
  <c r="BF374" i="1"/>
  <c r="BF106" i="9" s="1"/>
  <c r="BD374" i="1"/>
  <c r="BD106" i="9" s="1"/>
  <c r="BC374" i="1"/>
  <c r="BC106" i="9" s="1"/>
  <c r="BB374" i="1"/>
  <c r="BB106" i="9" s="1"/>
  <c r="BA374" i="1"/>
  <c r="BA106" i="9" s="1"/>
  <c r="AZ374" i="1"/>
  <c r="AZ106" i="9" s="1"/>
  <c r="AY374" i="1"/>
  <c r="AY106" i="9" s="1"/>
  <c r="AX374" i="1"/>
  <c r="AX106" i="9" s="1"/>
  <c r="AW374" i="1"/>
  <c r="AW106" i="9" s="1"/>
  <c r="AV374" i="1"/>
  <c r="AV106" i="9" s="1"/>
  <c r="AU374" i="1"/>
  <c r="AU106" i="9" s="1"/>
  <c r="AT374" i="1"/>
  <c r="AT106" i="9" s="1"/>
  <c r="AS374" i="1"/>
  <c r="AS106" i="9" s="1"/>
  <c r="AR374" i="1"/>
  <c r="AR106" i="9" s="1"/>
  <c r="AQ374" i="1"/>
  <c r="AQ106" i="9" s="1"/>
  <c r="AP374" i="1"/>
  <c r="AP106" i="9" s="1"/>
  <c r="AO374" i="1"/>
  <c r="AO106" i="9" s="1"/>
  <c r="AL374" i="1"/>
  <c r="AL106" i="9" s="1"/>
  <c r="AJ374" i="1"/>
  <c r="AJ106" i="9" s="1"/>
  <c r="AI374" i="1"/>
  <c r="AI106" i="9" s="1"/>
  <c r="AH374" i="1"/>
  <c r="AH106" i="9" s="1"/>
  <c r="AG374" i="1"/>
  <c r="AG106" i="9" s="1"/>
  <c r="AF374" i="1"/>
  <c r="AF106" i="9" s="1"/>
  <c r="AE374" i="1"/>
  <c r="AE106" i="9" s="1"/>
  <c r="AC374" i="1"/>
  <c r="AC106" i="9" s="1"/>
  <c r="AB374" i="1"/>
  <c r="AB106" i="9" s="1"/>
  <c r="AA374" i="1"/>
  <c r="AA106" i="9" s="1"/>
  <c r="Z374" i="1"/>
  <c r="Z106" i="9" s="1"/>
  <c r="Y374" i="1"/>
  <c r="Y106" i="9" s="1"/>
  <c r="X374" i="1"/>
  <c r="X106" i="9" s="1"/>
  <c r="W374" i="1"/>
  <c r="W106" i="9" s="1"/>
  <c r="V374" i="1"/>
  <c r="V106" i="9" s="1"/>
  <c r="U374" i="1"/>
  <c r="U106" i="9" s="1"/>
  <c r="R374" i="1"/>
  <c r="R106" i="9" s="1"/>
  <c r="P374" i="1"/>
  <c r="P106" i="9" s="1"/>
  <c r="O374" i="1"/>
  <c r="O106" i="9" s="1"/>
  <c r="N374" i="1"/>
  <c r="N106" i="9" s="1"/>
  <c r="M374" i="1"/>
  <c r="M106" i="9" s="1"/>
  <c r="L374" i="1"/>
  <c r="L106" i="9" s="1"/>
  <c r="K374" i="1"/>
  <c r="K106" i="9" s="1"/>
  <c r="J374" i="1"/>
  <c r="J106" i="9" s="1"/>
  <c r="I374" i="1"/>
  <c r="I106" i="9" s="1"/>
  <c r="H374" i="1"/>
  <c r="H106" i="9" s="1"/>
  <c r="G374" i="1"/>
  <c r="G106" i="9" s="1"/>
  <c r="F374" i="1"/>
  <c r="F106" i="9" s="1"/>
  <c r="E374" i="1"/>
  <c r="E106" i="9" s="1"/>
  <c r="D374" i="1"/>
  <c r="D106" i="9" s="1"/>
  <c r="C374" i="1"/>
  <c r="C106" i="9" s="1"/>
  <c r="BS373" i="1"/>
  <c r="BS109" i="9" s="1"/>
  <c r="BL373" i="1"/>
  <c r="BL109" i="9" s="1"/>
  <c r="BJ373" i="1"/>
  <c r="BJ109" i="9" s="1"/>
  <c r="BI373" i="1"/>
  <c r="BI109" i="9" s="1"/>
  <c r="BG373" i="1"/>
  <c r="BG109" i="9" s="1"/>
  <c r="BF373" i="1"/>
  <c r="BF109" i="9" s="1"/>
  <c r="BE373" i="1"/>
  <c r="BE109" i="9" s="1"/>
  <c r="BD373" i="1"/>
  <c r="BD109" i="9" s="1"/>
  <c r="BC373" i="1"/>
  <c r="BC109" i="9" s="1"/>
  <c r="BB373" i="1"/>
  <c r="BB109" i="9" s="1"/>
  <c r="BA373" i="1"/>
  <c r="BA109" i="9" s="1"/>
  <c r="AZ373" i="1"/>
  <c r="AZ109" i="9" s="1"/>
  <c r="AY373" i="1"/>
  <c r="AY109" i="9" s="1"/>
  <c r="AX373" i="1"/>
  <c r="AX109" i="9" s="1"/>
  <c r="AW373" i="1"/>
  <c r="AW109" i="9" s="1"/>
  <c r="AU373" i="1"/>
  <c r="AU109" i="9" s="1"/>
  <c r="AS373" i="1"/>
  <c r="AS109" i="9" s="1"/>
  <c r="AR373" i="1"/>
  <c r="AR109" i="9" s="1"/>
  <c r="AQ373" i="1"/>
  <c r="AQ109" i="9" s="1"/>
  <c r="AP373" i="1"/>
  <c r="AP109" i="9" s="1"/>
  <c r="AO373" i="1"/>
  <c r="AO109" i="9" s="1"/>
  <c r="AN373" i="1"/>
  <c r="AN109" i="9" s="1"/>
  <c r="AM373" i="1"/>
  <c r="AM109" i="9" s="1"/>
  <c r="AL373" i="1"/>
  <c r="AL109" i="9" s="1"/>
  <c r="AK373" i="1"/>
  <c r="AK109" i="9" s="1"/>
  <c r="AJ373" i="1"/>
  <c r="AJ109" i="9" s="1"/>
  <c r="AH373" i="1"/>
  <c r="AH109" i="9" s="1"/>
  <c r="AG373" i="1"/>
  <c r="AG109" i="9" s="1"/>
  <c r="AF373" i="1"/>
  <c r="AF109" i="9" s="1"/>
  <c r="AE373" i="1"/>
  <c r="AE109" i="9" s="1"/>
  <c r="AD373" i="1"/>
  <c r="AD109" i="9" s="1"/>
  <c r="AC373" i="1"/>
  <c r="AC109" i="9" s="1"/>
  <c r="AA373" i="1"/>
  <c r="AA109" i="9" s="1"/>
  <c r="Y373" i="1"/>
  <c r="Y109" i="9" s="1"/>
  <c r="X373" i="1"/>
  <c r="X109" i="9" s="1"/>
  <c r="V373" i="1"/>
  <c r="V109" i="9" s="1"/>
  <c r="U373" i="1"/>
  <c r="U109" i="9" s="1"/>
  <c r="T373" i="1"/>
  <c r="T109" i="9" s="1"/>
  <c r="S373" i="1"/>
  <c r="S109" i="9" s="1"/>
  <c r="R373" i="1"/>
  <c r="R109" i="9" s="1"/>
  <c r="Q373" i="1"/>
  <c r="Q109" i="9" s="1"/>
  <c r="P373" i="1"/>
  <c r="P109" i="9" s="1"/>
  <c r="O373" i="1"/>
  <c r="O109" i="9" s="1"/>
  <c r="N373" i="1"/>
  <c r="N109" i="9" s="1"/>
  <c r="M373" i="1"/>
  <c r="M109" i="9" s="1"/>
  <c r="K373" i="1"/>
  <c r="K109" i="9" s="1"/>
  <c r="I373" i="1"/>
  <c r="I109" i="9" s="1"/>
  <c r="H373" i="1"/>
  <c r="H109" i="9" s="1"/>
  <c r="G373" i="1"/>
  <c r="G109" i="9" s="1"/>
  <c r="E373" i="1"/>
  <c r="E109" i="9" s="1"/>
  <c r="C373" i="1"/>
  <c r="C109" i="9" s="1"/>
  <c r="BL372" i="1"/>
  <c r="BK372" i="1"/>
  <c r="BJ372" i="1"/>
  <c r="BI372" i="1"/>
  <c r="BH372" i="1"/>
  <c r="BG372" i="1"/>
  <c r="BF372" i="1"/>
  <c r="BE372" i="1"/>
  <c r="BD372" i="1"/>
  <c r="BC372" i="1"/>
  <c r="BB372" i="1"/>
  <c r="BA372" i="1"/>
  <c r="AZ372" i="1"/>
  <c r="AX372" i="1"/>
  <c r="AW372" i="1"/>
  <c r="AU372" i="1"/>
  <c r="AT372" i="1"/>
  <c r="AS372" i="1"/>
  <c r="AR372" i="1"/>
  <c r="AQ372" i="1"/>
  <c r="AP372" i="1"/>
  <c r="AO372" i="1"/>
  <c r="AN372" i="1"/>
  <c r="AM372" i="1"/>
  <c r="AL372" i="1"/>
  <c r="AK372" i="1"/>
  <c r="AJ372" i="1"/>
  <c r="AI372" i="1"/>
  <c r="AH372" i="1"/>
  <c r="AG372" i="1"/>
  <c r="AF372" i="1"/>
  <c r="AD372" i="1"/>
  <c r="AC372" i="1"/>
  <c r="AA372" i="1"/>
  <c r="Z372" i="1"/>
  <c r="Y372" i="1"/>
  <c r="X372" i="1"/>
  <c r="W372" i="1"/>
  <c r="V372" i="1"/>
  <c r="U372" i="1"/>
  <c r="T372" i="1"/>
  <c r="S372" i="1"/>
  <c r="R372" i="1"/>
  <c r="Q372" i="1"/>
  <c r="P372" i="1"/>
  <c r="O372" i="1"/>
  <c r="N372" i="1"/>
  <c r="M372" i="1"/>
  <c r="L372" i="1"/>
  <c r="K372" i="1"/>
  <c r="J372" i="1"/>
  <c r="I372" i="1"/>
  <c r="G372" i="1"/>
  <c r="F372" i="1"/>
  <c r="E372" i="1"/>
  <c r="D372" i="1"/>
  <c r="C372" i="1"/>
  <c r="A371" i="1"/>
  <c r="A732" i="1" s="1"/>
  <c r="BL370" i="1"/>
  <c r="BK370" i="1"/>
  <c r="BI370" i="1"/>
  <c r="BH370" i="1"/>
  <c r="BF370" i="1"/>
  <c r="BE370" i="1"/>
  <c r="BD370" i="1"/>
  <c r="BC370" i="1"/>
  <c r="BB370" i="1"/>
  <c r="AZ370" i="1"/>
  <c r="AY370" i="1"/>
  <c r="AX370" i="1"/>
  <c r="AV370" i="1"/>
  <c r="AT370" i="1"/>
  <c r="AR370" i="1"/>
  <c r="AQ370" i="1"/>
  <c r="AP370" i="1"/>
  <c r="AO370" i="1"/>
  <c r="AN370" i="1"/>
  <c r="AL370" i="1"/>
  <c r="AK370" i="1"/>
  <c r="AH370" i="1"/>
  <c r="AF370" i="1"/>
  <c r="AE370" i="1"/>
  <c r="AD370" i="1"/>
  <c r="AB370" i="1"/>
  <c r="Z370" i="1"/>
  <c r="X370" i="1"/>
  <c r="W370" i="1"/>
  <c r="U370" i="1"/>
  <c r="R370" i="1"/>
  <c r="Q370" i="1"/>
  <c r="N370" i="1"/>
  <c r="L370" i="1"/>
  <c r="K370" i="1"/>
  <c r="H370" i="1"/>
  <c r="F370" i="1"/>
  <c r="E370" i="1"/>
  <c r="D370" i="1"/>
  <c r="BL365" i="1"/>
  <c r="BK365" i="1"/>
  <c r="BI365" i="1"/>
  <c r="BH365" i="1"/>
  <c r="BF365" i="1"/>
  <c r="BD365" i="1"/>
  <c r="BC365" i="1"/>
  <c r="BB365" i="1"/>
  <c r="BA365" i="1"/>
  <c r="AY365" i="1"/>
  <c r="AV365" i="1"/>
  <c r="AT365" i="1"/>
  <c r="AS365" i="1"/>
  <c r="AR365" i="1"/>
  <c r="AQ365" i="1"/>
  <c r="AO365" i="1"/>
  <c r="AL365" i="1"/>
  <c r="AJ365" i="1"/>
  <c r="AI365" i="1"/>
  <c r="AG365" i="1"/>
  <c r="AD365" i="1"/>
  <c r="AB365" i="1"/>
  <c r="Z365" i="1"/>
  <c r="X365" i="1"/>
  <c r="W365" i="1"/>
  <c r="V365" i="1"/>
  <c r="U365" i="1"/>
  <c r="T365" i="1"/>
  <c r="R365" i="1"/>
  <c r="P365" i="1"/>
  <c r="K365" i="1"/>
  <c r="J365" i="1"/>
  <c r="H365" i="1"/>
  <c r="F365" i="1"/>
  <c r="E365" i="1"/>
  <c r="D365" i="1"/>
  <c r="AA364" i="1"/>
  <c r="AA101" i="9" s="1"/>
  <c r="BL361" i="1"/>
  <c r="BK361" i="1"/>
  <c r="BJ361" i="1"/>
  <c r="BI361" i="1"/>
  <c r="BH361" i="1"/>
  <c r="BG361" i="1"/>
  <c r="BF361" i="1"/>
  <c r="BE361" i="1"/>
  <c r="BC361" i="1"/>
  <c r="BD361" i="1" s="1"/>
  <c r="BB361" i="1"/>
  <c r="BA361" i="1"/>
  <c r="AZ361" i="1"/>
  <c r="AX361" i="1"/>
  <c r="AY361" i="1" s="1"/>
  <c r="AW361" i="1"/>
  <c r="AV361" i="1"/>
  <c r="AU361" i="1"/>
  <c r="AS361" i="1"/>
  <c r="AT361" i="1" s="1"/>
  <c r="AN361" i="1"/>
  <c r="AO361" i="1" s="1"/>
  <c r="AM361" i="1"/>
  <c r="AL361" i="1"/>
  <c r="AK361" i="1"/>
  <c r="AI361" i="1"/>
  <c r="AJ361" i="1" s="1"/>
  <c r="AH361" i="1"/>
  <c r="AG361" i="1"/>
  <c r="AF361" i="1"/>
  <c r="AD361" i="1"/>
  <c r="AE361" i="1" s="1"/>
  <c r="AC361" i="1"/>
  <c r="AB361" i="1"/>
  <c r="AA361" i="1"/>
  <c r="Y361" i="1"/>
  <c r="Z361" i="1" s="1"/>
  <c r="X361" i="1"/>
  <c r="W361" i="1"/>
  <c r="V361" i="1"/>
  <c r="T361" i="1"/>
  <c r="U361" i="1" s="1"/>
  <c r="S361" i="1"/>
  <c r="R361" i="1"/>
  <c r="Q361" i="1"/>
  <c r="O361" i="1"/>
  <c r="P361" i="1" s="1"/>
  <c r="N361" i="1"/>
  <c r="M361" i="1"/>
  <c r="L361" i="1"/>
  <c r="J361" i="1"/>
  <c r="K361" i="1" s="1"/>
  <c r="I361" i="1"/>
  <c r="H361" i="1"/>
  <c r="G361" i="1"/>
  <c r="AP359" i="1"/>
  <c r="AP360" i="1" s="1"/>
  <c r="AP361" i="1" s="1"/>
  <c r="AQ358" i="1" s="1"/>
  <c r="AQ359" i="1" s="1"/>
  <c r="AQ360" i="1" s="1"/>
  <c r="AQ361" i="1" s="1"/>
  <c r="AR358" i="1" s="1"/>
  <c r="AR359" i="1" s="1"/>
  <c r="AR360" i="1" s="1"/>
  <c r="AR361" i="1" s="1"/>
  <c r="AP358" i="1"/>
  <c r="BL356" i="1"/>
  <c r="BK356" i="1"/>
  <c r="BJ356" i="1"/>
  <c r="BH356" i="1"/>
  <c r="BG356" i="1"/>
  <c r="BF356" i="1"/>
  <c r="BE356" i="1"/>
  <c r="BC356" i="1"/>
  <c r="BB356" i="1"/>
  <c r="BA356" i="1"/>
  <c r="AZ356" i="1"/>
  <c r="AX356" i="1"/>
  <c r="AY356" i="1" s="1"/>
  <c r="AW356" i="1"/>
  <c r="AV356" i="1"/>
  <c r="AU356" i="1"/>
  <c r="AS356" i="1"/>
  <c r="AR356" i="1"/>
  <c r="AQ356" i="1"/>
  <c r="AP356" i="1"/>
  <c r="AN356" i="1"/>
  <c r="AM356" i="1"/>
  <c r="AL356" i="1"/>
  <c r="AK356" i="1"/>
  <c r="AI356" i="1"/>
  <c r="AH356" i="1"/>
  <c r="AG356" i="1"/>
  <c r="AF356" i="1"/>
  <c r="AD356" i="1"/>
  <c r="AC356" i="1"/>
  <c r="AB356" i="1"/>
  <c r="AA356" i="1"/>
  <c r="Y356" i="1"/>
  <c r="X356" i="1"/>
  <c r="W356" i="1"/>
  <c r="V356" i="1"/>
  <c r="Z356" i="1" s="1"/>
  <c r="T356" i="1"/>
  <c r="S356" i="1"/>
  <c r="R356" i="1"/>
  <c r="Q356" i="1"/>
  <c r="O356" i="1"/>
  <c r="N356" i="1"/>
  <c r="M356" i="1"/>
  <c r="L356" i="1"/>
  <c r="P356" i="1" s="1"/>
  <c r="J356" i="1"/>
  <c r="I356" i="1"/>
  <c r="H356" i="1"/>
  <c r="G356" i="1"/>
  <c r="F351" i="1"/>
  <c r="F346" i="1" s="1"/>
  <c r="BL350" i="1"/>
  <c r="BK350" i="1"/>
  <c r="BJ350" i="1"/>
  <c r="BH350" i="1"/>
  <c r="BG350" i="1"/>
  <c r="BF350" i="1"/>
  <c r="BE350" i="1"/>
  <c r="BC350" i="1"/>
  <c r="BB350" i="1"/>
  <c r="BA350" i="1"/>
  <c r="AZ350" i="1"/>
  <c r="AX350" i="1"/>
  <c r="AW350" i="1"/>
  <c r="AV350" i="1"/>
  <c r="AU350" i="1"/>
  <c r="AS350" i="1"/>
  <c r="AR350" i="1"/>
  <c r="AQ350" i="1"/>
  <c r="AP350" i="1"/>
  <c r="AN350" i="1"/>
  <c r="AM350" i="1"/>
  <c r="AL350" i="1"/>
  <c r="AK350" i="1"/>
  <c r="AI350" i="1"/>
  <c r="AH350" i="1"/>
  <c r="AG350" i="1"/>
  <c r="AF350" i="1"/>
  <c r="AD350" i="1"/>
  <c r="AC350" i="1"/>
  <c r="AB350" i="1"/>
  <c r="AA350" i="1"/>
  <c r="Y350" i="1"/>
  <c r="X350" i="1"/>
  <c r="W350" i="1"/>
  <c r="V350" i="1"/>
  <c r="T350" i="1"/>
  <c r="S350" i="1"/>
  <c r="R350" i="1"/>
  <c r="Q350" i="1"/>
  <c r="O350" i="1"/>
  <c r="N350" i="1"/>
  <c r="M350" i="1"/>
  <c r="L350" i="1"/>
  <c r="J350" i="1"/>
  <c r="I350" i="1"/>
  <c r="H350" i="1"/>
  <c r="G350" i="1"/>
  <c r="BL349" i="1"/>
  <c r="BK349" i="1"/>
  <c r="BJ349" i="1"/>
  <c r="BH349" i="1"/>
  <c r="BG349" i="1"/>
  <c r="BF349" i="1"/>
  <c r="BE349" i="1"/>
  <c r="BC349" i="1"/>
  <c r="BB349" i="1"/>
  <c r="BA349" i="1"/>
  <c r="AZ349" i="1"/>
  <c r="AX349" i="1"/>
  <c r="AW349" i="1"/>
  <c r="AV349" i="1"/>
  <c r="AU349" i="1"/>
  <c r="AS349" i="1"/>
  <c r="AR349" i="1"/>
  <c r="AQ349" i="1"/>
  <c r="AP349" i="1"/>
  <c r="AN349" i="1"/>
  <c r="AM349" i="1"/>
  <c r="AL349" i="1"/>
  <c r="AK349" i="1"/>
  <c r="AI349" i="1"/>
  <c r="AH349" i="1"/>
  <c r="AG349" i="1"/>
  <c r="AF349" i="1"/>
  <c r="AD349" i="1"/>
  <c r="AC349" i="1"/>
  <c r="AB349" i="1"/>
  <c r="AA349" i="1"/>
  <c r="Y349" i="1"/>
  <c r="X349" i="1"/>
  <c r="W349" i="1"/>
  <c r="V349" i="1"/>
  <c r="T349" i="1"/>
  <c r="S349" i="1"/>
  <c r="R349" i="1"/>
  <c r="Q349" i="1"/>
  <c r="O349" i="1"/>
  <c r="N349" i="1"/>
  <c r="M349" i="1"/>
  <c r="L349" i="1"/>
  <c r="J349" i="1"/>
  <c r="I349" i="1"/>
  <c r="H349" i="1"/>
  <c r="G349" i="1"/>
  <c r="BL348" i="1"/>
  <c r="BL351" i="1" s="1"/>
  <c r="BK348" i="1"/>
  <c r="BJ348" i="1"/>
  <c r="BH348" i="1"/>
  <c r="BH351" i="1" s="1"/>
  <c r="BH346" i="1" s="1"/>
  <c r="BG348" i="1"/>
  <c r="BF348" i="1"/>
  <c r="BE348" i="1"/>
  <c r="BC348" i="1"/>
  <c r="BB348" i="1"/>
  <c r="BB351" i="1" s="1"/>
  <c r="BA348" i="1"/>
  <c r="AZ348" i="1"/>
  <c r="AX348" i="1"/>
  <c r="AW348" i="1"/>
  <c r="AV348" i="1"/>
  <c r="AU348" i="1"/>
  <c r="AS348" i="1"/>
  <c r="AR348" i="1"/>
  <c r="AR351" i="1" s="1"/>
  <c r="AQ348" i="1"/>
  <c r="AP348" i="1"/>
  <c r="AN348" i="1"/>
  <c r="AM348" i="1"/>
  <c r="AL348" i="1"/>
  <c r="AK348" i="1"/>
  <c r="AI348" i="1"/>
  <c r="AH348" i="1"/>
  <c r="AH351" i="1" s="1"/>
  <c r="AG348" i="1"/>
  <c r="AF348" i="1"/>
  <c r="AD348" i="1"/>
  <c r="AD351" i="1" s="1"/>
  <c r="AC348" i="1"/>
  <c r="AB348" i="1"/>
  <c r="AA348" i="1"/>
  <c r="Y348" i="1"/>
  <c r="X348" i="1"/>
  <c r="X351" i="1" s="1"/>
  <c r="W348" i="1"/>
  <c r="V348" i="1"/>
  <c r="T348" i="1"/>
  <c r="S348" i="1"/>
  <c r="R348" i="1"/>
  <c r="Q348" i="1"/>
  <c r="O348" i="1"/>
  <c r="N348" i="1"/>
  <c r="N351" i="1" s="1"/>
  <c r="M348" i="1"/>
  <c r="L348" i="1"/>
  <c r="J348" i="1"/>
  <c r="I348" i="1"/>
  <c r="H348" i="1"/>
  <c r="G348" i="1"/>
  <c r="BL341" i="1"/>
  <c r="BK341" i="1"/>
  <c r="BJ341" i="1"/>
  <c r="BH341" i="1"/>
  <c r="BG341" i="1"/>
  <c r="BI341" i="1" s="1"/>
  <c r="BF341" i="1"/>
  <c r="BE341" i="1"/>
  <c r="BC341" i="1"/>
  <c r="BB341" i="1"/>
  <c r="BA341" i="1"/>
  <c r="AZ341" i="1"/>
  <c r="AX341" i="1"/>
  <c r="AW341" i="1"/>
  <c r="AV341" i="1"/>
  <c r="AU341" i="1"/>
  <c r="AS341" i="1"/>
  <c r="AR341" i="1"/>
  <c r="AQ341" i="1"/>
  <c r="AP341" i="1"/>
  <c r="AN341" i="1"/>
  <c r="AM341" i="1"/>
  <c r="AL341" i="1"/>
  <c r="AK341" i="1"/>
  <c r="AI341" i="1"/>
  <c r="AH341" i="1"/>
  <c r="AG341" i="1"/>
  <c r="AF341" i="1"/>
  <c r="AD341" i="1"/>
  <c r="AC341" i="1"/>
  <c r="AB341" i="1"/>
  <c r="AA341" i="1"/>
  <c r="Y341" i="1"/>
  <c r="Z341" i="1" s="1"/>
  <c r="X341" i="1"/>
  <c r="W341" i="1"/>
  <c r="V341" i="1"/>
  <c r="T341" i="1"/>
  <c r="S341" i="1"/>
  <c r="R341" i="1"/>
  <c r="Q341" i="1"/>
  <c r="O341" i="1"/>
  <c r="N341" i="1"/>
  <c r="M341" i="1"/>
  <c r="L341" i="1"/>
  <c r="J341" i="1"/>
  <c r="I341" i="1"/>
  <c r="H341" i="1"/>
  <c r="G341" i="1"/>
  <c r="F341" i="1"/>
  <c r="BH334" i="1"/>
  <c r="BC334" i="1"/>
  <c r="AX334" i="1"/>
  <c r="AS334" i="1"/>
  <c r="AN334" i="1"/>
  <c r="AI334" i="1"/>
  <c r="AD334" i="1"/>
  <c r="Y334" i="1"/>
  <c r="T334" i="1"/>
  <c r="O334" i="1"/>
  <c r="J334" i="1"/>
  <c r="BH333" i="1"/>
  <c r="BC333" i="1"/>
  <c r="AX333" i="1"/>
  <c r="AS333" i="1"/>
  <c r="AN333" i="1"/>
  <c r="AI333" i="1"/>
  <c r="AD333" i="1"/>
  <c r="Y333" i="1"/>
  <c r="W333" i="1"/>
  <c r="V333" i="1"/>
  <c r="U333" i="1"/>
  <c r="S333" i="1"/>
  <c r="R333" i="1"/>
  <c r="Q333" i="1"/>
  <c r="P333" i="1"/>
  <c r="N333" i="1"/>
  <c r="M333" i="1"/>
  <c r="L333" i="1"/>
  <c r="K333" i="1"/>
  <c r="I333" i="1"/>
  <c r="H333" i="1"/>
  <c r="G333" i="1"/>
  <c r="F333" i="1"/>
  <c r="T332" i="1"/>
  <c r="O332" i="1"/>
  <c r="J332" i="1"/>
  <c r="T331" i="1"/>
  <c r="T333" i="1" s="1"/>
  <c r="O331" i="1"/>
  <c r="O333" i="1" s="1"/>
  <c r="J331" i="1"/>
  <c r="J333" i="1" s="1"/>
  <c r="U325" i="1"/>
  <c r="S325" i="1"/>
  <c r="R325" i="1"/>
  <c r="Q325" i="1"/>
  <c r="P325" i="1"/>
  <c r="N325" i="1"/>
  <c r="M325" i="1"/>
  <c r="L325" i="1"/>
  <c r="K325" i="1"/>
  <c r="I325" i="1"/>
  <c r="H325" i="1"/>
  <c r="G325" i="1"/>
  <c r="F325" i="1"/>
  <c r="T324" i="1"/>
  <c r="O324" i="1"/>
  <c r="T323" i="1"/>
  <c r="T325" i="1" s="1"/>
  <c r="O323" i="1"/>
  <c r="O325" i="1" s="1"/>
  <c r="J323" i="1"/>
  <c r="J325" i="1" s="1"/>
  <c r="BL321" i="1"/>
  <c r="BK321" i="1"/>
  <c r="BJ321" i="1"/>
  <c r="BI321" i="1"/>
  <c r="BG321" i="1"/>
  <c r="BF321" i="1"/>
  <c r="BE321" i="1"/>
  <c r="BD321" i="1"/>
  <c r="BC321" i="1"/>
  <c r="BB321" i="1"/>
  <c r="BA321" i="1"/>
  <c r="AZ321" i="1"/>
  <c r="AY321" i="1"/>
  <c r="AW321" i="1"/>
  <c r="AV321" i="1"/>
  <c r="AU321" i="1"/>
  <c r="AT321" i="1"/>
  <c r="AR321" i="1"/>
  <c r="AQ321" i="1"/>
  <c r="AP321" i="1"/>
  <c r="AO321" i="1"/>
  <c r="AM321" i="1"/>
  <c r="AL321" i="1"/>
  <c r="AK321" i="1"/>
  <c r="AJ321" i="1"/>
  <c r="AH321" i="1"/>
  <c r="AG321" i="1"/>
  <c r="AF321" i="1"/>
  <c r="AE321" i="1"/>
  <c r="AD321" i="1"/>
  <c r="AC321" i="1"/>
  <c r="AB321" i="1"/>
  <c r="AA321" i="1"/>
  <c r="Z321" i="1"/>
  <c r="X321" i="1"/>
  <c r="W321" i="1"/>
  <c r="V321" i="1"/>
  <c r="U321" i="1"/>
  <c r="S321" i="1"/>
  <c r="R321" i="1"/>
  <c r="Q321" i="1"/>
  <c r="P321" i="1"/>
  <c r="N321" i="1"/>
  <c r="M321" i="1"/>
  <c r="L321" i="1"/>
  <c r="K321" i="1"/>
  <c r="I321" i="1"/>
  <c r="H321" i="1"/>
  <c r="G321" i="1"/>
  <c r="BH320" i="1"/>
  <c r="BH321" i="1" s="1"/>
  <c r="BC320" i="1"/>
  <c r="AX320" i="1"/>
  <c r="AX321" i="1" s="1"/>
  <c r="AN320" i="1"/>
  <c r="AN321" i="1" s="1"/>
  <c r="AI320" i="1"/>
  <c r="AS319" i="1"/>
  <c r="AS321" i="1" s="1"/>
  <c r="AI319" i="1"/>
  <c r="AI321" i="1" s="1"/>
  <c r="Y319" i="1"/>
  <c r="Y321" i="1" s="1"/>
  <c r="T319" i="1"/>
  <c r="T321" i="1" s="1"/>
  <c r="O319" i="1"/>
  <c r="O321" i="1" s="1"/>
  <c r="J319" i="1"/>
  <c r="J321" i="1" s="1"/>
  <c r="BH317" i="1"/>
  <c r="BC317" i="1"/>
  <c r="AX317" i="1"/>
  <c r="AS317" i="1"/>
  <c r="AN317" i="1"/>
  <c r="AI317" i="1"/>
  <c r="AD317" i="1"/>
  <c r="Y317" i="1"/>
  <c r="T317" i="1"/>
  <c r="O317" i="1"/>
  <c r="BH316" i="1"/>
  <c r="BC316" i="1"/>
  <c r="AX316" i="1"/>
  <c r="AS316" i="1"/>
  <c r="AN316" i="1"/>
  <c r="AI316" i="1"/>
  <c r="AD316" i="1"/>
  <c r="Y316" i="1"/>
  <c r="T316" i="1"/>
  <c r="O316" i="1"/>
  <c r="J316" i="1"/>
  <c r="BH314" i="1"/>
  <c r="BC314" i="1"/>
  <c r="AX314" i="1"/>
  <c r="AS314" i="1"/>
  <c r="AN314" i="1"/>
  <c r="AI314" i="1"/>
  <c r="AD314" i="1"/>
  <c r="Y314" i="1"/>
  <c r="T314" i="1"/>
  <c r="O314" i="1"/>
  <c r="J314" i="1"/>
  <c r="BH313" i="1"/>
  <c r="BC313" i="1"/>
  <c r="AX313" i="1"/>
  <c r="AS313" i="1"/>
  <c r="AN313" i="1"/>
  <c r="AI313" i="1"/>
  <c r="AD313" i="1"/>
  <c r="Y313" i="1"/>
  <c r="T313" i="1"/>
  <c r="O313" i="1"/>
  <c r="J313" i="1"/>
  <c r="BA311" i="1"/>
  <c r="BA327" i="1" s="1"/>
  <c r="BL310" i="1"/>
  <c r="BK310" i="1"/>
  <c r="BJ310" i="1"/>
  <c r="BI310" i="1"/>
  <c r="BG310" i="1"/>
  <c r="BF310" i="1"/>
  <c r="BG306" i="1" s="1"/>
  <c r="BE310" i="1"/>
  <c r="BD310" i="1"/>
  <c r="BB310" i="1"/>
  <c r="BA310" i="1"/>
  <c r="AZ310" i="1"/>
  <c r="BA306" i="1" s="1"/>
  <c r="AY310" i="1"/>
  <c r="AW310" i="1"/>
  <c r="AV310" i="1"/>
  <c r="AU310" i="1"/>
  <c r="AT310" i="1"/>
  <c r="AR310" i="1"/>
  <c r="AS306" i="1" s="1"/>
  <c r="AQ310" i="1"/>
  <c r="AP310" i="1"/>
  <c r="AO310" i="1"/>
  <c r="AM310" i="1"/>
  <c r="AL310" i="1"/>
  <c r="AK310" i="1"/>
  <c r="AJ310" i="1"/>
  <c r="AH310" i="1"/>
  <c r="AI306" i="1" s="1"/>
  <c r="AG310" i="1"/>
  <c r="AF310" i="1"/>
  <c r="AE310" i="1"/>
  <c r="AC310" i="1"/>
  <c r="AB310" i="1"/>
  <c r="AC306" i="1" s="1"/>
  <c r="AA310" i="1"/>
  <c r="AB306" i="1" s="1"/>
  <c r="Z310" i="1"/>
  <c r="X310" i="1"/>
  <c r="W310" i="1"/>
  <c r="V310" i="1"/>
  <c r="W306" i="1" s="1"/>
  <c r="U310" i="1"/>
  <c r="S310" i="1"/>
  <c r="R310" i="1"/>
  <c r="Q310" i="1"/>
  <c r="P310" i="1"/>
  <c r="N310" i="1"/>
  <c r="M310" i="1"/>
  <c r="L310" i="1"/>
  <c r="K310" i="1"/>
  <c r="I310" i="1"/>
  <c r="H310" i="1"/>
  <c r="G310" i="1"/>
  <c r="F310" i="1"/>
  <c r="BJ309" i="1"/>
  <c r="BI309" i="1"/>
  <c r="BE309" i="1"/>
  <c r="BD309" i="1"/>
  <c r="AZ309" i="1"/>
  <c r="AY309" i="1"/>
  <c r="AU309" i="1"/>
  <c r="AT309" i="1"/>
  <c r="AP309" i="1"/>
  <c r="AO309" i="1"/>
  <c r="AK309" i="1"/>
  <c r="AJ309" i="1"/>
  <c r="AF309" i="1"/>
  <c r="AE309" i="1"/>
  <c r="AA309" i="1"/>
  <c r="Z309" i="1"/>
  <c r="V309" i="1"/>
  <c r="U309" i="1"/>
  <c r="Q309" i="1"/>
  <c r="P309" i="1"/>
  <c r="L309" i="1"/>
  <c r="K309" i="1"/>
  <c r="G309" i="1"/>
  <c r="F309" i="1"/>
  <c r="BJ308" i="1"/>
  <c r="BI308" i="1"/>
  <c r="BE308" i="1"/>
  <c r="BD308" i="1"/>
  <c r="AZ308" i="1"/>
  <c r="AY308" i="1"/>
  <c r="AU308" i="1"/>
  <c r="AT308" i="1"/>
  <c r="AP308" i="1"/>
  <c r="AO308" i="1"/>
  <c r="AK308" i="1"/>
  <c r="AJ308" i="1"/>
  <c r="AF308" i="1"/>
  <c r="AE308" i="1"/>
  <c r="AA308" i="1"/>
  <c r="Z308" i="1"/>
  <c r="V308" i="1"/>
  <c r="U308" i="1"/>
  <c r="Q308" i="1"/>
  <c r="P308" i="1"/>
  <c r="L308" i="1"/>
  <c r="K308" i="1"/>
  <c r="G308" i="1"/>
  <c r="F308" i="1"/>
  <c r="BJ307" i="1"/>
  <c r="BI307" i="1"/>
  <c r="BE307" i="1"/>
  <c r="BD307" i="1"/>
  <c r="AZ307" i="1"/>
  <c r="AY307" i="1"/>
  <c r="AU307" i="1"/>
  <c r="AT307" i="1"/>
  <c r="AQ307" i="1"/>
  <c r="AP307" i="1"/>
  <c r="AO307" i="1"/>
  <c r="AK307" i="1"/>
  <c r="AJ307" i="1"/>
  <c r="AF307" i="1"/>
  <c r="AE307" i="1"/>
  <c r="AA307" i="1"/>
  <c r="Z307" i="1"/>
  <c r="V307" i="1"/>
  <c r="U307" i="1"/>
  <c r="Q307" i="1"/>
  <c r="P307" i="1"/>
  <c r="L307" i="1"/>
  <c r="K307" i="1"/>
  <c r="G307" i="1"/>
  <c r="F307" i="1"/>
  <c r="BL306" i="1"/>
  <c r="BK306" i="1"/>
  <c r="BI306" i="1"/>
  <c r="BH306" i="1"/>
  <c r="BF306" i="1"/>
  <c r="BE306" i="1"/>
  <c r="BD306" i="1"/>
  <c r="BC306" i="1"/>
  <c r="BB306" i="1"/>
  <c r="AZ306" i="1"/>
  <c r="AY306" i="1"/>
  <c r="AX306" i="1"/>
  <c r="AW306" i="1"/>
  <c r="AV306" i="1"/>
  <c r="AU306" i="1"/>
  <c r="AT306" i="1"/>
  <c r="AR306" i="1"/>
  <c r="AQ306" i="1"/>
  <c r="AP306" i="1"/>
  <c r="AO306" i="1"/>
  <c r="AN306" i="1"/>
  <c r="AM306" i="1"/>
  <c r="AL306" i="1"/>
  <c r="AK306" i="1"/>
  <c r="AJ306" i="1"/>
  <c r="AH306" i="1"/>
  <c r="AG306" i="1"/>
  <c r="AF306" i="1"/>
  <c r="AE306" i="1"/>
  <c r="AD306" i="1"/>
  <c r="AA306" i="1"/>
  <c r="Z306" i="1"/>
  <c r="Y306" i="1"/>
  <c r="X306" i="1"/>
  <c r="V306" i="1"/>
  <c r="U306" i="1"/>
  <c r="T306" i="1"/>
  <c r="S306" i="1"/>
  <c r="R306" i="1"/>
  <c r="Q306" i="1"/>
  <c r="P306" i="1"/>
  <c r="O306" i="1"/>
  <c r="N306" i="1"/>
  <c r="M306" i="1"/>
  <c r="L306" i="1"/>
  <c r="K306" i="1"/>
  <c r="J306" i="1"/>
  <c r="I306" i="1"/>
  <c r="H306" i="1"/>
  <c r="G306" i="1"/>
  <c r="F306" i="1"/>
  <c r="BH304" i="1"/>
  <c r="BH310" i="1" s="1"/>
  <c r="BC304" i="1"/>
  <c r="BC310" i="1" s="1"/>
  <c r="AX304" i="1"/>
  <c r="AX310" i="1" s="1"/>
  <c r="AS304" i="1"/>
  <c r="AS310" i="1" s="1"/>
  <c r="AN304" i="1"/>
  <c r="AN310" i="1" s="1"/>
  <c r="AI304" i="1"/>
  <c r="AI310" i="1" s="1"/>
  <c r="AD304" i="1"/>
  <c r="AD310" i="1" s="1"/>
  <c r="Y304" i="1"/>
  <c r="Y310" i="1" s="1"/>
  <c r="T304" i="1"/>
  <c r="T310" i="1" s="1"/>
  <c r="O304" i="1"/>
  <c r="O310" i="1" s="1"/>
  <c r="J304" i="1"/>
  <c r="J310" i="1" s="1"/>
  <c r="BH303" i="1"/>
  <c r="BC303" i="1"/>
  <c r="AX303" i="1"/>
  <c r="AS303" i="1"/>
  <c r="AN303" i="1"/>
  <c r="AI303" i="1"/>
  <c r="AD303" i="1"/>
  <c r="Y303" i="1"/>
  <c r="T303" i="1"/>
  <c r="O303" i="1"/>
  <c r="J303" i="1"/>
  <c r="BH302" i="1"/>
  <c r="BC302" i="1"/>
  <c r="AX302" i="1"/>
  <c r="AS302" i="1"/>
  <c r="AN302" i="1"/>
  <c r="AI302" i="1"/>
  <c r="AD302" i="1"/>
  <c r="Y302" i="1"/>
  <c r="T302" i="1"/>
  <c r="O302" i="1"/>
  <c r="J302" i="1"/>
  <c r="BC301" i="1"/>
  <c r="AX301" i="1"/>
  <c r="AS301" i="1"/>
  <c r="AN301" i="1"/>
  <c r="AI301" i="1"/>
  <c r="AD301" i="1"/>
  <c r="Y301" i="1"/>
  <c r="T301" i="1"/>
  <c r="O301" i="1"/>
  <c r="J301" i="1"/>
  <c r="BL300" i="1"/>
  <c r="BJ300" i="1"/>
  <c r="BK300" i="1" s="1"/>
  <c r="BH300" i="1"/>
  <c r="BG300" i="1"/>
  <c r="BC300" i="1"/>
  <c r="AX300" i="1"/>
  <c r="AS300" i="1"/>
  <c r="AN300" i="1"/>
  <c r="AI300" i="1"/>
  <c r="AD300" i="1"/>
  <c r="Y300" i="1"/>
  <c r="T300" i="1"/>
  <c r="O300" i="1"/>
  <c r="J300" i="1"/>
  <c r="BL297" i="1"/>
  <c r="BL309" i="1" s="1"/>
  <c r="BK297" i="1"/>
  <c r="BK309" i="1" s="1"/>
  <c r="BJ297" i="1"/>
  <c r="BI297" i="1"/>
  <c r="BG297" i="1"/>
  <c r="BG309" i="1" s="1"/>
  <c r="BF297" i="1"/>
  <c r="BF309" i="1" s="1"/>
  <c r="BE297" i="1"/>
  <c r="BD297" i="1"/>
  <c r="BB297" i="1"/>
  <c r="BB309" i="1" s="1"/>
  <c r="BA297" i="1"/>
  <c r="BA309" i="1" s="1"/>
  <c r="AZ297" i="1"/>
  <c r="AY297" i="1"/>
  <c r="AW297" i="1"/>
  <c r="AW309" i="1" s="1"/>
  <c r="AV297" i="1"/>
  <c r="AV309" i="1" s="1"/>
  <c r="AU297" i="1"/>
  <c r="AT297" i="1"/>
  <c r="AR297" i="1"/>
  <c r="AR309" i="1" s="1"/>
  <c r="AQ297" i="1"/>
  <c r="AQ309" i="1" s="1"/>
  <c r="AP297" i="1"/>
  <c r="AO297" i="1"/>
  <c r="AM297" i="1"/>
  <c r="AM309" i="1" s="1"/>
  <c r="AL297" i="1"/>
  <c r="AL309" i="1" s="1"/>
  <c r="AK297" i="1"/>
  <c r="AJ297" i="1"/>
  <c r="AH297" i="1"/>
  <c r="AH309" i="1" s="1"/>
  <c r="AG297" i="1"/>
  <c r="AG309" i="1" s="1"/>
  <c r="AF297" i="1"/>
  <c r="AE297" i="1"/>
  <c r="AC297" i="1"/>
  <c r="AC309" i="1" s="1"/>
  <c r="AB297" i="1"/>
  <c r="AB309" i="1" s="1"/>
  <c r="AA297" i="1"/>
  <c r="Z297" i="1"/>
  <c r="X297" i="1"/>
  <c r="X309" i="1" s="1"/>
  <c r="W297" i="1"/>
  <c r="W309" i="1" s="1"/>
  <c r="V297" i="1"/>
  <c r="U297" i="1"/>
  <c r="S297" i="1"/>
  <c r="S309" i="1" s="1"/>
  <c r="R297" i="1"/>
  <c r="R309" i="1" s="1"/>
  <c r="Q297" i="1"/>
  <c r="P297" i="1"/>
  <c r="N297" i="1"/>
  <c r="N309" i="1" s="1"/>
  <c r="M297" i="1"/>
  <c r="M309" i="1" s="1"/>
  <c r="L297" i="1"/>
  <c r="K297" i="1"/>
  <c r="I297" i="1"/>
  <c r="I309" i="1" s="1"/>
  <c r="H297" i="1"/>
  <c r="H309" i="1" s="1"/>
  <c r="G297" i="1"/>
  <c r="F297" i="1"/>
  <c r="BL296" i="1"/>
  <c r="BL308" i="1" s="1"/>
  <c r="BK296" i="1"/>
  <c r="BK308" i="1" s="1"/>
  <c r="BJ296" i="1"/>
  <c r="BI296" i="1"/>
  <c r="BG296" i="1"/>
  <c r="BG308" i="1" s="1"/>
  <c r="BF296" i="1"/>
  <c r="BF308" i="1" s="1"/>
  <c r="BE296" i="1"/>
  <c r="BD296" i="1"/>
  <c r="BB296" i="1"/>
  <c r="BB308" i="1" s="1"/>
  <c r="BA296" i="1"/>
  <c r="BA308" i="1" s="1"/>
  <c r="AZ296" i="1"/>
  <c r="AY296" i="1"/>
  <c r="AW296" i="1"/>
  <c r="AW308" i="1" s="1"/>
  <c r="AV296" i="1"/>
  <c r="AV308" i="1" s="1"/>
  <c r="AU296" i="1"/>
  <c r="AT296" i="1"/>
  <c r="AR296" i="1"/>
  <c r="AR308" i="1" s="1"/>
  <c r="AQ296" i="1"/>
  <c r="AQ308" i="1" s="1"/>
  <c r="AP296" i="1"/>
  <c r="AO296" i="1"/>
  <c r="AM296" i="1"/>
  <c r="AM308" i="1" s="1"/>
  <c r="AL296" i="1"/>
  <c r="AL308" i="1" s="1"/>
  <c r="AK296" i="1"/>
  <c r="AJ296" i="1"/>
  <c r="AH296" i="1"/>
  <c r="AH308" i="1" s="1"/>
  <c r="AG296" i="1"/>
  <c r="AG308" i="1" s="1"/>
  <c r="AF296" i="1"/>
  <c r="AE296" i="1"/>
  <c r="AC296" i="1"/>
  <c r="AC308" i="1" s="1"/>
  <c r="AB296" i="1"/>
  <c r="AB308" i="1" s="1"/>
  <c r="AA296" i="1"/>
  <c r="Z296" i="1"/>
  <c r="X296" i="1"/>
  <c r="X308" i="1" s="1"/>
  <c r="W296" i="1"/>
  <c r="W308" i="1" s="1"/>
  <c r="V296" i="1"/>
  <c r="U296" i="1"/>
  <c r="S296" i="1"/>
  <c r="S308" i="1" s="1"/>
  <c r="R296" i="1"/>
  <c r="R308" i="1" s="1"/>
  <c r="Q296" i="1"/>
  <c r="P296" i="1"/>
  <c r="N296" i="1"/>
  <c r="N308" i="1" s="1"/>
  <c r="M296" i="1"/>
  <c r="M308" i="1" s="1"/>
  <c r="L296" i="1"/>
  <c r="K296" i="1"/>
  <c r="I296" i="1"/>
  <c r="I308" i="1" s="1"/>
  <c r="H296" i="1"/>
  <c r="H308" i="1" s="1"/>
  <c r="G296" i="1"/>
  <c r="F296" i="1"/>
  <c r="BL295" i="1"/>
  <c r="BL307" i="1" s="1"/>
  <c r="BK295" i="1"/>
  <c r="BK307" i="1" s="1"/>
  <c r="BJ295" i="1"/>
  <c r="BI295" i="1"/>
  <c r="BG295" i="1"/>
  <c r="BG307" i="1" s="1"/>
  <c r="BF295" i="1"/>
  <c r="BF307" i="1" s="1"/>
  <c r="BE295" i="1"/>
  <c r="BD295" i="1"/>
  <c r="BB295" i="1"/>
  <c r="BB307" i="1" s="1"/>
  <c r="BA295" i="1"/>
  <c r="BA307" i="1" s="1"/>
  <c r="AZ295" i="1"/>
  <c r="AY295" i="1"/>
  <c r="AW295" i="1"/>
  <c r="AW307" i="1" s="1"/>
  <c r="AV295" i="1"/>
  <c r="AV307" i="1" s="1"/>
  <c r="AU295" i="1"/>
  <c r="AT295" i="1"/>
  <c r="AR295" i="1"/>
  <c r="AR307" i="1" s="1"/>
  <c r="AQ295" i="1"/>
  <c r="AP295" i="1"/>
  <c r="AO295" i="1"/>
  <c r="AM295" i="1"/>
  <c r="AM307" i="1" s="1"/>
  <c r="AL295" i="1"/>
  <c r="AL307" i="1" s="1"/>
  <c r="AK295" i="1"/>
  <c r="AJ295" i="1"/>
  <c r="AH295" i="1"/>
  <c r="AH307" i="1" s="1"/>
  <c r="AG295" i="1"/>
  <c r="AG307" i="1" s="1"/>
  <c r="AF295" i="1"/>
  <c r="AE295" i="1"/>
  <c r="AD295" i="1"/>
  <c r="AC295" i="1"/>
  <c r="AC307" i="1" s="1"/>
  <c r="AB295" i="1"/>
  <c r="AB307" i="1" s="1"/>
  <c r="AA295" i="1"/>
  <c r="Z295" i="1"/>
  <c r="X295" i="1"/>
  <c r="X307" i="1" s="1"/>
  <c r="W295" i="1"/>
  <c r="W307" i="1" s="1"/>
  <c r="V295" i="1"/>
  <c r="U295" i="1"/>
  <c r="S295" i="1"/>
  <c r="S307" i="1" s="1"/>
  <c r="R295" i="1"/>
  <c r="R307" i="1" s="1"/>
  <c r="Q295" i="1"/>
  <c r="P295" i="1"/>
  <c r="N295" i="1"/>
  <c r="N307" i="1" s="1"/>
  <c r="M295" i="1"/>
  <c r="M307" i="1" s="1"/>
  <c r="L295" i="1"/>
  <c r="K295" i="1"/>
  <c r="I295" i="1"/>
  <c r="I307" i="1" s="1"/>
  <c r="H295" i="1"/>
  <c r="H307" i="1" s="1"/>
  <c r="G295" i="1"/>
  <c r="F295" i="1"/>
  <c r="F294" i="1"/>
  <c r="BC292" i="1"/>
  <c r="AX292" i="1"/>
  <c r="AS292" i="1"/>
  <c r="AN292" i="1"/>
  <c r="AI292" i="1"/>
  <c r="AD292" i="1"/>
  <c r="Y292" i="1"/>
  <c r="T292" i="1"/>
  <c r="O292" i="1"/>
  <c r="J292" i="1"/>
  <c r="BH291" i="1"/>
  <c r="BH297" i="1" s="1"/>
  <c r="BC291" i="1"/>
  <c r="BC297" i="1" s="1"/>
  <c r="AX291" i="1"/>
  <c r="AX297" i="1" s="1"/>
  <c r="AS291" i="1"/>
  <c r="AS297" i="1" s="1"/>
  <c r="AS309" i="1" s="1"/>
  <c r="AN291" i="1"/>
  <c r="AN297" i="1" s="1"/>
  <c r="AI291" i="1"/>
  <c r="AI297" i="1" s="1"/>
  <c r="AD291" i="1"/>
  <c r="AD297" i="1" s="1"/>
  <c r="Y291" i="1"/>
  <c r="Y297" i="1" s="1"/>
  <c r="T291" i="1"/>
  <c r="T297" i="1" s="1"/>
  <c r="O291" i="1"/>
  <c r="O297" i="1" s="1"/>
  <c r="O309" i="1" s="1"/>
  <c r="J291" i="1"/>
  <c r="J297" i="1" s="1"/>
  <c r="BH290" i="1"/>
  <c r="BH296" i="1" s="1"/>
  <c r="BC290" i="1"/>
  <c r="AX290" i="1"/>
  <c r="AX296" i="1" s="1"/>
  <c r="AS290" i="1"/>
  <c r="AN290" i="1"/>
  <c r="AN296" i="1" s="1"/>
  <c r="AI290" i="1"/>
  <c r="AI296" i="1" s="1"/>
  <c r="AD290" i="1"/>
  <c r="AD296" i="1" s="1"/>
  <c r="Y290" i="1"/>
  <c r="Y296" i="1" s="1"/>
  <c r="T290" i="1"/>
  <c r="T296" i="1" s="1"/>
  <c r="T308" i="1" s="1"/>
  <c r="O290" i="1"/>
  <c r="J290" i="1"/>
  <c r="J296" i="1" s="1"/>
  <c r="BH289" i="1"/>
  <c r="BH295" i="1" s="1"/>
  <c r="BC289" i="1"/>
  <c r="BC295" i="1" s="1"/>
  <c r="BC307" i="1" s="1"/>
  <c r="AX289" i="1"/>
  <c r="AX295" i="1" s="1"/>
  <c r="AS289" i="1"/>
  <c r="AS295" i="1" s="1"/>
  <c r="AN289" i="1"/>
  <c r="AI289" i="1"/>
  <c r="AI295" i="1" s="1"/>
  <c r="AD289" i="1"/>
  <c r="Y289" i="1"/>
  <c r="Y295" i="1" s="1"/>
  <c r="Y307" i="1" s="1"/>
  <c r="T289" i="1"/>
  <c r="T295" i="1" s="1"/>
  <c r="O289" i="1"/>
  <c r="O295" i="1" s="1"/>
  <c r="J289" i="1"/>
  <c r="BI288" i="1"/>
  <c r="BI292" i="1" s="1"/>
  <c r="BG288" i="1"/>
  <c r="BG292" i="1" s="1"/>
  <c r="BC288" i="1"/>
  <c r="AX288" i="1"/>
  <c r="AS288" i="1"/>
  <c r="AN288" i="1"/>
  <c r="AI288" i="1"/>
  <c r="AD288" i="1"/>
  <c r="Y288" i="1"/>
  <c r="T288" i="1"/>
  <c r="O288" i="1"/>
  <c r="J288" i="1"/>
  <c r="BL281" i="1"/>
  <c r="BK281" i="1"/>
  <c r="BJ281" i="1"/>
  <c r="BI281" i="1"/>
  <c r="BG281" i="1"/>
  <c r="BF281" i="1"/>
  <c r="BE281" i="1"/>
  <c r="BD281" i="1"/>
  <c r="BB281" i="1"/>
  <c r="BA281" i="1"/>
  <c r="AZ281" i="1"/>
  <c r="AY281" i="1"/>
  <c r="AW281" i="1"/>
  <c r="AV281" i="1"/>
  <c r="AU281" i="1"/>
  <c r="BL280" i="1"/>
  <c r="BK280" i="1"/>
  <c r="BG280" i="1"/>
  <c r="BF280" i="1"/>
  <c r="BB280" i="1"/>
  <c r="BA280" i="1"/>
  <c r="AW280" i="1"/>
  <c r="AV280" i="1"/>
  <c r="BL275" i="1"/>
  <c r="BK275" i="1"/>
  <c r="BJ275" i="1"/>
  <c r="BI275" i="1"/>
  <c r="BG275" i="1"/>
  <c r="BF275" i="1"/>
  <c r="BE275" i="1"/>
  <c r="BD275" i="1"/>
  <c r="BB275" i="1"/>
  <c r="BA275" i="1"/>
  <c r="AZ275" i="1"/>
  <c r="AY275" i="1"/>
  <c r="AW275" i="1"/>
  <c r="AV275" i="1"/>
  <c r="AU275" i="1"/>
  <c r="AT275" i="1"/>
  <c r="AR275" i="1"/>
  <c r="AQ275" i="1"/>
  <c r="AP275" i="1"/>
  <c r="AO275" i="1"/>
  <c r="AM275" i="1"/>
  <c r="AR281" i="1" s="1"/>
  <c r="AL275" i="1"/>
  <c r="AK275" i="1"/>
  <c r="AJ275" i="1"/>
  <c r="AH275" i="1"/>
  <c r="AG275" i="1"/>
  <c r="AF275" i="1"/>
  <c r="AF281" i="1" s="1"/>
  <c r="AE275" i="1"/>
  <c r="AC275" i="1"/>
  <c r="AC280" i="1" s="1"/>
  <c r="AB275" i="1"/>
  <c r="AA275" i="1"/>
  <c r="Z275" i="1"/>
  <c r="X275" i="1"/>
  <c r="V274" i="1"/>
  <c r="U274" i="1"/>
  <c r="S274" i="1"/>
  <c r="R274" i="1"/>
  <c r="Q274" i="1"/>
  <c r="P274" i="1"/>
  <c r="O274" i="1"/>
  <c r="N274" i="1"/>
  <c r="M274" i="1"/>
  <c r="L274" i="1"/>
  <c r="K274" i="1"/>
  <c r="J274" i="1"/>
  <c r="I274" i="1"/>
  <c r="H274" i="1"/>
  <c r="G274" i="1"/>
  <c r="F274" i="1"/>
  <c r="A274" i="1"/>
  <c r="BH273" i="1"/>
  <c r="BC273" i="1"/>
  <c r="AX273" i="1"/>
  <c r="AZ280" i="1" s="1"/>
  <c r="AS273" i="1"/>
  <c r="AS275" i="1" s="1"/>
  <c r="AS280" i="1" s="1"/>
  <c r="AN273" i="1"/>
  <c r="AN275" i="1" s="1"/>
  <c r="AI273" i="1"/>
  <c r="AI275" i="1" s="1"/>
  <c r="AD273" i="1"/>
  <c r="AD275" i="1" s="1"/>
  <c r="Y273" i="1"/>
  <c r="Y275" i="1" s="1"/>
  <c r="W273" i="1"/>
  <c r="W275" i="1" s="1"/>
  <c r="V273" i="1"/>
  <c r="V275" i="1" s="1"/>
  <c r="U273" i="1"/>
  <c r="U275" i="1" s="1"/>
  <c r="S273" i="1"/>
  <c r="S275" i="1" s="1"/>
  <c r="R273" i="1"/>
  <c r="Q273" i="1"/>
  <c r="Q275" i="1" s="1"/>
  <c r="P273" i="1"/>
  <c r="N273" i="1"/>
  <c r="N275" i="1" s="1"/>
  <c r="M273" i="1"/>
  <c r="L273" i="1"/>
  <c r="L275" i="1" s="1"/>
  <c r="K273" i="1"/>
  <c r="K275" i="1" s="1"/>
  <c r="I273" i="1"/>
  <c r="I275" i="1" s="1"/>
  <c r="H273" i="1"/>
  <c r="H275" i="1" s="1"/>
  <c r="H280" i="1" s="1"/>
  <c r="G273" i="1"/>
  <c r="G275" i="1" s="1"/>
  <c r="F273" i="1"/>
  <c r="F275" i="1" s="1"/>
  <c r="T272" i="1"/>
  <c r="O272" i="1"/>
  <c r="J272" i="1"/>
  <c r="T271" i="1"/>
  <c r="O271" i="1"/>
  <c r="O273" i="1" s="1"/>
  <c r="O275" i="1" s="1"/>
  <c r="O280" i="1" s="1"/>
  <c r="J271" i="1"/>
  <c r="T269" i="1"/>
  <c r="O269" i="1"/>
  <c r="J269" i="1"/>
  <c r="BJ267" i="1"/>
  <c r="BI267" i="1"/>
  <c r="BH267" i="1"/>
  <c r="BG267" i="1"/>
  <c r="BF267" i="1"/>
  <c r="BE267" i="1"/>
  <c r="BE311" i="1" s="1"/>
  <c r="BD267" i="1"/>
  <c r="BD311" i="1" s="1"/>
  <c r="BC267" i="1"/>
  <c r="BC311" i="1" s="1"/>
  <c r="BB267" i="1"/>
  <c r="BA267" i="1"/>
  <c r="AZ267" i="1"/>
  <c r="AX267" i="1"/>
  <c r="AW267" i="1"/>
  <c r="AT267" i="1"/>
  <c r="AS267" i="1"/>
  <c r="AR267" i="1"/>
  <c r="AR311" i="1" s="1"/>
  <c r="AQ267" i="1"/>
  <c r="AQ311" i="1" s="1"/>
  <c r="AP267" i="1"/>
  <c r="AP311" i="1" s="1"/>
  <c r="AO267" i="1"/>
  <c r="AN267" i="1"/>
  <c r="AM267" i="1"/>
  <c r="AL267" i="1"/>
  <c r="AK267" i="1"/>
  <c r="AJ267" i="1"/>
  <c r="AH267" i="1"/>
  <c r="AG267" i="1"/>
  <c r="AD267" i="1"/>
  <c r="AC267" i="1"/>
  <c r="AB267" i="1"/>
  <c r="AA267" i="1"/>
  <c r="Z267" i="1"/>
  <c r="Y267" i="1"/>
  <c r="X267" i="1"/>
  <c r="W267" i="1"/>
  <c r="U267" i="1"/>
  <c r="R267" i="1"/>
  <c r="Q267" i="1"/>
  <c r="N267" i="1"/>
  <c r="M267" i="1"/>
  <c r="L267" i="1"/>
  <c r="K267" i="1"/>
  <c r="J267" i="1"/>
  <c r="I267" i="1"/>
  <c r="H267" i="1"/>
  <c r="G267" i="1"/>
  <c r="F267" i="1"/>
  <c r="BL263" i="1"/>
  <c r="BL80" i="9" s="1"/>
  <c r="BK263" i="1"/>
  <c r="BK80" i="9" s="1"/>
  <c r="BJ263" i="1"/>
  <c r="BJ80" i="9" s="1"/>
  <c r="BI263" i="1"/>
  <c r="BI80" i="9" s="1"/>
  <c r="BH263" i="1"/>
  <c r="BH80" i="9" s="1"/>
  <c r="BG263" i="1"/>
  <c r="BG80" i="9" s="1"/>
  <c r="BF263" i="1"/>
  <c r="BF80" i="9" s="1"/>
  <c r="BE263" i="1"/>
  <c r="BE80" i="9" s="1"/>
  <c r="BD263" i="1"/>
  <c r="BD80" i="9" s="1"/>
  <c r="BC263" i="1"/>
  <c r="BC80" i="9" s="1"/>
  <c r="BB263" i="1"/>
  <c r="BB80" i="9" s="1"/>
  <c r="BA263" i="1"/>
  <c r="BA80" i="9" s="1"/>
  <c r="AZ263" i="1"/>
  <c r="AZ80" i="9" s="1"/>
  <c r="AY263" i="1"/>
  <c r="AY80" i="9" s="1"/>
  <c r="AX263" i="1"/>
  <c r="AX80" i="9" s="1"/>
  <c r="AW263" i="1"/>
  <c r="AW80" i="9" s="1"/>
  <c r="AU263" i="1"/>
  <c r="AU80" i="9" s="1"/>
  <c r="AT263" i="1"/>
  <c r="AT80" i="9" s="1"/>
  <c r="AS263" i="1"/>
  <c r="AS80" i="9" s="1"/>
  <c r="AR263" i="1"/>
  <c r="AR80" i="9" s="1"/>
  <c r="AQ263" i="1"/>
  <c r="AQ80" i="9" s="1"/>
  <c r="AP263" i="1"/>
  <c r="AP80" i="9" s="1"/>
  <c r="AO263" i="1"/>
  <c r="AO80" i="9" s="1"/>
  <c r="AN263" i="1"/>
  <c r="AN80" i="9" s="1"/>
  <c r="AM263" i="1"/>
  <c r="AM80" i="9" s="1"/>
  <c r="AL263" i="1"/>
  <c r="AL80" i="9" s="1"/>
  <c r="AK263" i="1"/>
  <c r="AK80" i="9" s="1"/>
  <c r="AJ263" i="1"/>
  <c r="AJ80" i="9" s="1"/>
  <c r="AI263" i="1"/>
  <c r="AI80" i="9" s="1"/>
  <c r="AH263" i="1"/>
  <c r="AH80" i="9" s="1"/>
  <c r="AG263" i="1"/>
  <c r="AG80" i="9" s="1"/>
  <c r="AF263" i="1"/>
  <c r="AF80" i="9" s="1"/>
  <c r="AE263" i="1"/>
  <c r="AE80" i="9" s="1"/>
  <c r="AD263" i="1"/>
  <c r="AD80" i="9" s="1"/>
  <c r="AC263" i="1"/>
  <c r="AC80" i="9" s="1"/>
  <c r="AB263" i="1"/>
  <c r="AB80" i="9" s="1"/>
  <c r="Y263" i="1"/>
  <c r="Y80" i="9" s="1"/>
  <c r="A259" i="1"/>
  <c r="BS249" i="1"/>
  <c r="BL249" i="1"/>
  <c r="BK249" i="1"/>
  <c r="BJ249" i="1"/>
  <c r="BN249" i="1" s="1"/>
  <c r="BI249" i="1"/>
  <c r="BH249" i="1"/>
  <c r="BG249" i="1"/>
  <c r="BF249" i="1"/>
  <c r="BE249" i="1"/>
  <c r="BD249" i="1"/>
  <c r="BC249" i="1"/>
  <c r="BB249" i="1"/>
  <c r="BA249" i="1"/>
  <c r="AZ249" i="1"/>
  <c r="AY249" i="1"/>
  <c r="AX249" i="1"/>
  <c r="AW249" i="1"/>
  <c r="AV249" i="1"/>
  <c r="AU249" i="1"/>
  <c r="AT249" i="1"/>
  <c r="AS249" i="1"/>
  <c r="AR249" i="1"/>
  <c r="AQ249" i="1"/>
  <c r="AP249" i="1"/>
  <c r="AO249" i="1"/>
  <c r="AN249" i="1"/>
  <c r="AM249" i="1"/>
  <c r="AL249" i="1"/>
  <c r="AK249" i="1"/>
  <c r="AJ249" i="1"/>
  <c r="AI249" i="1"/>
  <c r="AH249" i="1"/>
  <c r="AG249" i="1"/>
  <c r="AF249" i="1"/>
  <c r="AE249" i="1"/>
  <c r="AD249" i="1"/>
  <c r="AC249" i="1"/>
  <c r="AB249" i="1"/>
  <c r="AA249" i="1"/>
  <c r="Z249" i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H249" i="1"/>
  <c r="G249" i="1"/>
  <c r="F249" i="1"/>
  <c r="E249" i="1"/>
  <c r="D249" i="1"/>
  <c r="C249" i="1"/>
  <c r="BS247" i="1"/>
  <c r="BS77" i="9" s="1"/>
  <c r="BN247" i="1"/>
  <c r="BN77" i="9" s="1"/>
  <c r="BS245" i="1"/>
  <c r="BS75" i="9" s="1"/>
  <c r="BL245" i="1"/>
  <c r="BL75" i="9" s="1"/>
  <c r="BK245" i="1"/>
  <c r="BK75" i="9" s="1"/>
  <c r="BJ245" i="1"/>
  <c r="BJ75" i="9" s="1"/>
  <c r="BI245" i="1"/>
  <c r="BI75" i="9" s="1"/>
  <c r="BH245" i="1"/>
  <c r="BH75" i="9" s="1"/>
  <c r="BG245" i="1"/>
  <c r="BG75" i="9" s="1"/>
  <c r="BF245" i="1"/>
  <c r="BF75" i="9" s="1"/>
  <c r="BE245" i="1"/>
  <c r="BE75" i="9" s="1"/>
  <c r="BD245" i="1"/>
  <c r="BD75" i="9" s="1"/>
  <c r="BC245" i="1"/>
  <c r="BC75" i="9" s="1"/>
  <c r="BB245" i="1"/>
  <c r="BB75" i="9" s="1"/>
  <c r="BA245" i="1"/>
  <c r="BA75" i="9" s="1"/>
  <c r="AZ245" i="1"/>
  <c r="AZ75" i="9" s="1"/>
  <c r="AY245" i="1"/>
  <c r="AY75" i="9" s="1"/>
  <c r="AX245" i="1"/>
  <c r="AX75" i="9" s="1"/>
  <c r="AW245" i="1"/>
  <c r="AW75" i="9" s="1"/>
  <c r="AV245" i="1"/>
  <c r="AV75" i="9" s="1"/>
  <c r="AU245" i="1"/>
  <c r="AU75" i="9" s="1"/>
  <c r="AT245" i="1"/>
  <c r="AT75" i="9" s="1"/>
  <c r="AS245" i="1"/>
  <c r="AS75" i="9" s="1"/>
  <c r="AR245" i="1"/>
  <c r="AR75" i="9" s="1"/>
  <c r="AQ245" i="1"/>
  <c r="AQ75" i="9" s="1"/>
  <c r="AP245" i="1"/>
  <c r="AP75" i="9" s="1"/>
  <c r="AO245" i="1"/>
  <c r="AO75" i="9" s="1"/>
  <c r="AN245" i="1"/>
  <c r="AN75" i="9" s="1"/>
  <c r="AM245" i="1"/>
  <c r="AM75" i="9" s="1"/>
  <c r="AL245" i="1"/>
  <c r="AL75" i="9" s="1"/>
  <c r="AK245" i="1"/>
  <c r="AK75" i="9" s="1"/>
  <c r="AJ245" i="1"/>
  <c r="AJ75" i="9" s="1"/>
  <c r="AI245" i="1"/>
  <c r="AI75" i="9" s="1"/>
  <c r="AH245" i="1"/>
  <c r="AH75" i="9" s="1"/>
  <c r="AG245" i="1"/>
  <c r="AG75" i="9" s="1"/>
  <c r="AF245" i="1"/>
  <c r="AF75" i="9" s="1"/>
  <c r="AE245" i="1"/>
  <c r="AE75" i="9" s="1"/>
  <c r="AD245" i="1"/>
  <c r="AD75" i="9" s="1"/>
  <c r="AC245" i="1"/>
  <c r="AC75" i="9" s="1"/>
  <c r="AB245" i="1"/>
  <c r="AB75" i="9" s="1"/>
  <c r="AA245" i="1"/>
  <c r="AA75" i="9" s="1"/>
  <c r="Z245" i="1"/>
  <c r="Z75" i="9" s="1"/>
  <c r="Y245" i="1"/>
  <c r="Y75" i="9" s="1"/>
  <c r="X245" i="1"/>
  <c r="X75" i="9" s="1"/>
  <c r="W245" i="1"/>
  <c r="W75" i="9" s="1"/>
  <c r="V245" i="1"/>
  <c r="V75" i="9" s="1"/>
  <c r="U245" i="1"/>
  <c r="U75" i="9" s="1"/>
  <c r="T245" i="1"/>
  <c r="T75" i="9" s="1"/>
  <c r="S245" i="1"/>
  <c r="S75" i="9" s="1"/>
  <c r="R245" i="1"/>
  <c r="R75" i="9" s="1"/>
  <c r="Q245" i="1"/>
  <c r="Q75" i="9" s="1"/>
  <c r="P245" i="1"/>
  <c r="P75" i="9" s="1"/>
  <c r="O245" i="1"/>
  <c r="O75" i="9" s="1"/>
  <c r="N245" i="1"/>
  <c r="N75" i="9" s="1"/>
  <c r="M245" i="1"/>
  <c r="M75" i="9" s="1"/>
  <c r="L245" i="1"/>
  <c r="L75" i="9" s="1"/>
  <c r="K245" i="1"/>
  <c r="K75" i="9" s="1"/>
  <c r="J245" i="1"/>
  <c r="J75" i="9" s="1"/>
  <c r="I245" i="1"/>
  <c r="I75" i="9" s="1"/>
  <c r="H245" i="1"/>
  <c r="H75" i="9" s="1"/>
  <c r="G245" i="1"/>
  <c r="G75" i="9" s="1"/>
  <c r="F245" i="1"/>
  <c r="F75" i="9" s="1"/>
  <c r="E245" i="1"/>
  <c r="E75" i="9" s="1"/>
  <c r="D245" i="1"/>
  <c r="D75" i="9" s="1"/>
  <c r="C245" i="1"/>
  <c r="C75" i="9" s="1"/>
  <c r="BS244" i="1"/>
  <c r="BS74" i="9" s="1"/>
  <c r="BN244" i="1"/>
  <c r="BN74" i="9" s="1"/>
  <c r="BS243" i="1"/>
  <c r="BS73" i="9" s="1"/>
  <c r="BN243" i="1"/>
  <c r="BN73" i="9" s="1"/>
  <c r="BL241" i="1"/>
  <c r="BK241" i="1"/>
  <c r="BI241" i="1"/>
  <c r="BI240" i="1" s="1"/>
  <c r="BI72" i="9" s="1"/>
  <c r="BH241" i="1"/>
  <c r="BF241" i="1"/>
  <c r="BE241" i="1"/>
  <c r="BD241" i="1"/>
  <c r="BD240" i="1" s="1"/>
  <c r="BC241" i="1"/>
  <c r="BB241" i="1"/>
  <c r="BA241" i="1"/>
  <c r="AZ241" i="1"/>
  <c r="AZ240" i="1" s="1"/>
  <c r="AY241" i="1"/>
  <c r="AX241" i="1"/>
  <c r="AW241" i="1"/>
  <c r="AW240" i="1" s="1"/>
  <c r="AW72" i="9" s="1"/>
  <c r="AV241" i="1"/>
  <c r="AV240" i="1" s="1"/>
  <c r="AV72" i="9" s="1"/>
  <c r="AU241" i="1"/>
  <c r="AT241" i="1"/>
  <c r="AT240" i="1" s="1"/>
  <c r="AT72" i="9" s="1"/>
  <c r="AS241" i="1"/>
  <c r="AR241" i="1"/>
  <c r="AQ241" i="1"/>
  <c r="AO241" i="1"/>
  <c r="AN241" i="1"/>
  <c r="AL241" i="1"/>
  <c r="AL240" i="1" s="1"/>
  <c r="AL72" i="9" s="1"/>
  <c r="AJ241" i="1"/>
  <c r="AJ240" i="1" s="1"/>
  <c r="AJ72" i="9" s="1"/>
  <c r="AI241" i="1"/>
  <c r="AH241" i="1"/>
  <c r="AH240" i="1" s="1"/>
  <c r="AH72" i="9" s="1"/>
  <c r="AG241" i="1"/>
  <c r="AF241" i="1"/>
  <c r="AF240" i="1" s="1"/>
  <c r="AF72" i="9" s="1"/>
  <c r="AE241" i="1"/>
  <c r="AD241" i="1"/>
  <c r="AD240" i="1" s="1"/>
  <c r="AD72" i="9" s="1"/>
  <c r="AC241" i="1"/>
  <c r="AB241" i="1"/>
  <c r="AA241" i="1"/>
  <c r="Z241" i="1"/>
  <c r="Z240" i="1" s="1"/>
  <c r="Z72" i="9" s="1"/>
  <c r="Y241" i="1"/>
  <c r="X241" i="1"/>
  <c r="W241" i="1"/>
  <c r="W240" i="1" s="1"/>
  <c r="W72" i="9" s="1"/>
  <c r="U241" i="1"/>
  <c r="T241" i="1"/>
  <c r="S241" i="1"/>
  <c r="R241" i="1"/>
  <c r="R240" i="1" s="1"/>
  <c r="R72" i="9" s="1"/>
  <c r="Q241" i="1"/>
  <c r="Q240" i="1" s="1"/>
  <c r="Q72" i="9" s="1"/>
  <c r="P241" i="1"/>
  <c r="O241" i="1"/>
  <c r="N241" i="1"/>
  <c r="M241" i="1"/>
  <c r="L241" i="1"/>
  <c r="K241" i="1"/>
  <c r="J241" i="1"/>
  <c r="I241" i="1"/>
  <c r="H241" i="1"/>
  <c r="H240" i="1" s="1"/>
  <c r="H72" i="9" s="1"/>
  <c r="G241" i="1"/>
  <c r="F241" i="1"/>
  <c r="E241" i="1"/>
  <c r="D241" i="1"/>
  <c r="C241" i="1"/>
  <c r="BL240" i="1"/>
  <c r="BK240" i="1"/>
  <c r="BF240" i="1"/>
  <c r="BE240" i="1"/>
  <c r="BB240" i="1"/>
  <c r="BA240" i="1"/>
  <c r="BA72" i="9" s="1"/>
  <c r="AY240" i="1"/>
  <c r="AY72" i="9" s="1"/>
  <c r="AU240" i="1"/>
  <c r="AU72" i="9" s="1"/>
  <c r="AS240" i="1"/>
  <c r="AS72" i="9" s="1"/>
  <c r="AR240" i="1"/>
  <c r="AR72" i="9" s="1"/>
  <c r="AQ240" i="1"/>
  <c r="AQ72" i="9" s="1"/>
  <c r="AO240" i="1"/>
  <c r="AO72" i="9" s="1"/>
  <c r="AG240" i="1"/>
  <c r="AG72" i="9" s="1"/>
  <c r="AE240" i="1"/>
  <c r="AE72" i="9" s="1"/>
  <c r="AC240" i="1"/>
  <c r="AC72" i="9" s="1"/>
  <c r="AB240" i="1"/>
  <c r="AB72" i="9" s="1"/>
  <c r="AA240" i="1"/>
  <c r="AA72" i="9" s="1"/>
  <c r="X240" i="1"/>
  <c r="X72" i="9" s="1"/>
  <c r="T240" i="1"/>
  <c r="T72" i="9" s="1"/>
  <c r="S240" i="1"/>
  <c r="S72" i="9" s="1"/>
  <c r="O240" i="1"/>
  <c r="O72" i="9" s="1"/>
  <c r="N240" i="1"/>
  <c r="N72" i="9" s="1"/>
  <c r="M240" i="1"/>
  <c r="M72" i="9" s="1"/>
  <c r="L240" i="1"/>
  <c r="L72" i="9" s="1"/>
  <c r="J240" i="1"/>
  <c r="J72" i="9" s="1"/>
  <c r="I240" i="1"/>
  <c r="I72" i="9" s="1"/>
  <c r="G240" i="1"/>
  <c r="G72" i="9" s="1"/>
  <c r="C240" i="1"/>
  <c r="C72" i="9" s="1"/>
  <c r="BS237" i="1"/>
  <c r="BN237" i="1"/>
  <c r="BS236" i="1"/>
  <c r="BS70" i="9" s="1"/>
  <c r="BL236" i="1"/>
  <c r="BL70" i="9" s="1"/>
  <c r="BJ236" i="1"/>
  <c r="BJ70" i="9" s="1"/>
  <c r="BI236" i="1"/>
  <c r="BI70" i="9" s="1"/>
  <c r="BG236" i="1"/>
  <c r="BG70" i="9" s="1"/>
  <c r="BF236" i="1"/>
  <c r="BF70" i="9" s="1"/>
  <c r="BE236" i="1"/>
  <c r="BE70" i="9" s="1"/>
  <c r="BD236" i="1"/>
  <c r="BD70" i="9" s="1"/>
  <c r="BB236" i="1"/>
  <c r="BB70" i="9" s="1"/>
  <c r="BA236" i="1"/>
  <c r="BA70" i="9" s="1"/>
  <c r="AZ236" i="1"/>
  <c r="AZ70" i="9" s="1"/>
  <c r="AY236" i="1"/>
  <c r="AY70" i="9" s="1"/>
  <c r="AW236" i="1"/>
  <c r="AW70" i="9" s="1"/>
  <c r="AV236" i="1"/>
  <c r="AV70" i="9" s="1"/>
  <c r="AU236" i="1"/>
  <c r="AU70" i="9" s="1"/>
  <c r="AT236" i="1"/>
  <c r="AT70" i="9" s="1"/>
  <c r="AR236" i="1"/>
  <c r="AR70" i="9" s="1"/>
  <c r="AQ236" i="1"/>
  <c r="AQ70" i="9" s="1"/>
  <c r="AP236" i="1"/>
  <c r="AP70" i="9" s="1"/>
  <c r="AO236" i="1"/>
  <c r="AO70" i="9" s="1"/>
  <c r="AM236" i="1"/>
  <c r="AM70" i="9" s="1"/>
  <c r="AL236" i="1"/>
  <c r="AL70" i="9" s="1"/>
  <c r="AK236" i="1"/>
  <c r="AK70" i="9" s="1"/>
  <c r="AJ236" i="1"/>
  <c r="AJ70" i="9" s="1"/>
  <c r="AH236" i="1"/>
  <c r="AH70" i="9" s="1"/>
  <c r="AG236" i="1"/>
  <c r="AG70" i="9" s="1"/>
  <c r="AF236" i="1"/>
  <c r="AF70" i="9" s="1"/>
  <c r="AE236" i="1"/>
  <c r="AE70" i="9" s="1"/>
  <c r="AC236" i="1"/>
  <c r="AC70" i="9" s="1"/>
  <c r="AB236" i="1"/>
  <c r="AB70" i="9" s="1"/>
  <c r="AA236" i="1"/>
  <c r="AA70" i="9" s="1"/>
  <c r="Z236" i="1"/>
  <c r="Z70" i="9" s="1"/>
  <c r="X236" i="1"/>
  <c r="X70" i="9" s="1"/>
  <c r="W236" i="1"/>
  <c r="W70" i="9" s="1"/>
  <c r="V236" i="1"/>
  <c r="V70" i="9" s="1"/>
  <c r="U236" i="1"/>
  <c r="U70" i="9" s="1"/>
  <c r="S236" i="1"/>
  <c r="S70" i="9" s="1"/>
  <c r="R236" i="1"/>
  <c r="R70" i="9" s="1"/>
  <c r="Q236" i="1"/>
  <c r="Q70" i="9" s="1"/>
  <c r="P236" i="1"/>
  <c r="P70" i="9" s="1"/>
  <c r="N236" i="1"/>
  <c r="N70" i="9" s="1"/>
  <c r="M236" i="1"/>
  <c r="M70" i="9" s="1"/>
  <c r="L236" i="1"/>
  <c r="L70" i="9" s="1"/>
  <c r="K236" i="1"/>
  <c r="K70" i="9" s="1"/>
  <c r="J236" i="1"/>
  <c r="J70" i="9" s="1"/>
  <c r="I236" i="1"/>
  <c r="I70" i="9" s="1"/>
  <c r="H236" i="1"/>
  <c r="H70" i="9" s="1"/>
  <c r="G236" i="1"/>
  <c r="G70" i="9" s="1"/>
  <c r="F236" i="1"/>
  <c r="F70" i="9" s="1"/>
  <c r="E236" i="1"/>
  <c r="E70" i="9" s="1"/>
  <c r="D236" i="1"/>
  <c r="D70" i="9" s="1"/>
  <c r="C236" i="1"/>
  <c r="C70" i="9" s="1"/>
  <c r="BL235" i="1"/>
  <c r="BK235" i="1"/>
  <c r="BJ235" i="1"/>
  <c r="BI235" i="1"/>
  <c r="BG235" i="1"/>
  <c r="BF235" i="1"/>
  <c r="BE235" i="1"/>
  <c r="BD235" i="1"/>
  <c r="BB235" i="1"/>
  <c r="BA235" i="1"/>
  <c r="AZ235" i="1"/>
  <c r="AY235" i="1"/>
  <c r="AW235" i="1"/>
  <c r="AV235" i="1"/>
  <c r="AU235" i="1"/>
  <c r="AT235" i="1"/>
  <c r="AR235" i="1"/>
  <c r="AQ235" i="1"/>
  <c r="AP235" i="1"/>
  <c r="AO235" i="1"/>
  <c r="AM235" i="1"/>
  <c r="AL235" i="1"/>
  <c r="AK235" i="1"/>
  <c r="AJ235" i="1"/>
  <c r="AH235" i="1"/>
  <c r="AG235" i="1"/>
  <c r="AF235" i="1"/>
  <c r="AE235" i="1"/>
  <c r="AC235" i="1"/>
  <c r="AB235" i="1"/>
  <c r="AA235" i="1"/>
  <c r="Z235" i="1"/>
  <c r="X235" i="1"/>
  <c r="W235" i="1"/>
  <c r="V235" i="1"/>
  <c r="U235" i="1"/>
  <c r="S235" i="1"/>
  <c r="R235" i="1"/>
  <c r="Q235" i="1"/>
  <c r="P235" i="1"/>
  <c r="N235" i="1"/>
  <c r="M235" i="1"/>
  <c r="L235" i="1"/>
  <c r="AR230" i="1"/>
  <c r="AQ230" i="1"/>
  <c r="AP230" i="1"/>
  <c r="AO230" i="1"/>
  <c r="AM230" i="1"/>
  <c r="AL230" i="1"/>
  <c r="AK230" i="1"/>
  <c r="AJ230" i="1"/>
  <c r="AH230" i="1"/>
  <c r="AG230" i="1"/>
  <c r="AF230" i="1"/>
  <c r="AD230" i="1"/>
  <c r="AC230" i="1"/>
  <c r="AB230" i="1"/>
  <c r="AA230" i="1"/>
  <c r="AA148" i="1" s="1"/>
  <c r="Z230" i="1"/>
  <c r="X230" i="1"/>
  <c r="W230" i="1"/>
  <c r="V230" i="1"/>
  <c r="T230" i="1"/>
  <c r="S230" i="1"/>
  <c r="R230" i="1"/>
  <c r="Q230" i="1"/>
  <c r="Q148" i="1" s="1"/>
  <c r="O230" i="1"/>
  <c r="N230" i="1"/>
  <c r="M230" i="1"/>
  <c r="M148" i="1" s="1"/>
  <c r="L230" i="1"/>
  <c r="J230" i="1"/>
  <c r="I230" i="1"/>
  <c r="H230" i="1"/>
  <c r="C230" i="1"/>
  <c r="C148" i="1" s="1"/>
  <c r="BL229" i="1"/>
  <c r="BL598" i="1" s="1"/>
  <c r="BK229" i="1"/>
  <c r="BK598" i="1" s="1"/>
  <c r="BJ229" i="1"/>
  <c r="BJ598" i="1" s="1"/>
  <c r="BI229" i="1"/>
  <c r="BI598" i="1" s="1"/>
  <c r="BH229" i="1"/>
  <c r="BH598" i="1" s="1"/>
  <c r="BG229" i="1"/>
  <c r="BG598" i="1" s="1"/>
  <c r="BF229" i="1"/>
  <c r="BF598" i="1" s="1"/>
  <c r="BE229" i="1"/>
  <c r="BE598" i="1" s="1"/>
  <c r="BD229" i="1"/>
  <c r="BD598" i="1" s="1"/>
  <c r="BC229" i="1"/>
  <c r="BC598" i="1" s="1"/>
  <c r="BB229" i="1"/>
  <c r="BB598" i="1" s="1"/>
  <c r="BA229" i="1"/>
  <c r="BA598" i="1" s="1"/>
  <c r="AZ229" i="1"/>
  <c r="AZ598" i="1" s="1"/>
  <c r="AY229" i="1"/>
  <c r="AY598" i="1" s="1"/>
  <c r="AX229" i="1"/>
  <c r="AX598" i="1" s="1"/>
  <c r="AW229" i="1"/>
  <c r="AW598" i="1" s="1"/>
  <c r="AV229" i="1"/>
  <c r="AV598" i="1" s="1"/>
  <c r="AU229" i="1"/>
  <c r="AU598" i="1" s="1"/>
  <c r="AT229" i="1"/>
  <c r="AT598" i="1" s="1"/>
  <c r="AS229" i="1"/>
  <c r="AS598" i="1" s="1"/>
  <c r="AR229" i="1"/>
  <c r="AR598" i="1" s="1"/>
  <c r="AQ229" i="1"/>
  <c r="AQ598" i="1" s="1"/>
  <c r="AP229" i="1"/>
  <c r="AP598" i="1" s="1"/>
  <c r="AO229" i="1"/>
  <c r="AO598" i="1" s="1"/>
  <c r="AM229" i="1"/>
  <c r="AM598" i="1" s="1"/>
  <c r="AL229" i="1"/>
  <c r="AL598" i="1" s="1"/>
  <c r="AK229" i="1"/>
  <c r="AK598" i="1" s="1"/>
  <c r="AJ229" i="1"/>
  <c r="AJ598" i="1" s="1"/>
  <c r="AH229" i="1"/>
  <c r="AH598" i="1" s="1"/>
  <c r="AG229" i="1"/>
  <c r="AG598" i="1" s="1"/>
  <c r="AF229" i="1"/>
  <c r="AF598" i="1" s="1"/>
  <c r="AD229" i="1"/>
  <c r="AD598" i="1" s="1"/>
  <c r="AC229" i="1"/>
  <c r="AC598" i="1" s="1"/>
  <c r="AB229" i="1"/>
  <c r="AB598" i="1" s="1"/>
  <c r="AA229" i="1"/>
  <c r="AA598" i="1" s="1"/>
  <c r="Z229" i="1"/>
  <c r="Z598" i="1" s="1"/>
  <c r="Y229" i="1"/>
  <c r="Y598" i="1" s="1"/>
  <c r="X229" i="1"/>
  <c r="X598" i="1" s="1"/>
  <c r="W229" i="1"/>
  <c r="W598" i="1" s="1"/>
  <c r="V229" i="1"/>
  <c r="V598" i="1" s="1"/>
  <c r="U229" i="1"/>
  <c r="U598" i="1" s="1"/>
  <c r="T229" i="1"/>
  <c r="T598" i="1" s="1"/>
  <c r="S229" i="1"/>
  <c r="S598" i="1" s="1"/>
  <c r="R229" i="1"/>
  <c r="R598" i="1" s="1"/>
  <c r="Q229" i="1"/>
  <c r="Q598" i="1" s="1"/>
  <c r="P229" i="1"/>
  <c r="P598" i="1" s="1"/>
  <c r="O229" i="1"/>
  <c r="O598" i="1" s="1"/>
  <c r="N229" i="1"/>
  <c r="N598" i="1" s="1"/>
  <c r="M229" i="1"/>
  <c r="M598" i="1" s="1"/>
  <c r="L229" i="1"/>
  <c r="L598" i="1" s="1"/>
  <c r="K229" i="1"/>
  <c r="K598" i="1" s="1"/>
  <c r="J229" i="1"/>
  <c r="J598" i="1" s="1"/>
  <c r="I229" i="1"/>
  <c r="I598" i="1" s="1"/>
  <c r="H229" i="1"/>
  <c r="H598" i="1" s="1"/>
  <c r="G229" i="1"/>
  <c r="G598" i="1" s="1"/>
  <c r="F229" i="1"/>
  <c r="F598" i="1" s="1"/>
  <c r="E229" i="1"/>
  <c r="E598" i="1" s="1"/>
  <c r="D229" i="1"/>
  <c r="D598" i="1" s="1"/>
  <c r="C229" i="1"/>
  <c r="C598" i="1" s="1"/>
  <c r="BL224" i="1"/>
  <c r="BL67" i="9" s="1"/>
  <c r="BK224" i="1"/>
  <c r="BK67" i="9" s="1"/>
  <c r="BJ224" i="1"/>
  <c r="BJ67" i="9" s="1"/>
  <c r="BI224" i="1"/>
  <c r="BI67" i="9" s="1"/>
  <c r="BH224" i="1"/>
  <c r="BH67" i="9" s="1"/>
  <c r="BG224" i="1"/>
  <c r="BG67" i="9" s="1"/>
  <c r="BF224" i="1"/>
  <c r="BF67" i="9" s="1"/>
  <c r="BE224" i="1"/>
  <c r="BE67" i="9" s="1"/>
  <c r="BD224" i="1"/>
  <c r="BD67" i="9" s="1"/>
  <c r="BB224" i="1"/>
  <c r="BB67" i="9" s="1"/>
  <c r="BA224" i="1"/>
  <c r="BA67" i="9" s="1"/>
  <c r="AZ224" i="1"/>
  <c r="AZ67" i="9" s="1"/>
  <c r="AY224" i="1"/>
  <c r="AY67" i="9" s="1"/>
  <c r="AW224" i="1"/>
  <c r="AW67" i="9" s="1"/>
  <c r="AV224" i="1"/>
  <c r="AV67" i="9" s="1"/>
  <c r="AU224" i="1"/>
  <c r="AU67" i="9" s="1"/>
  <c r="AT224" i="1"/>
  <c r="AT67" i="9" s="1"/>
  <c r="AS224" i="1"/>
  <c r="AS67" i="9" s="1"/>
  <c r="AR224" i="1"/>
  <c r="AR67" i="9" s="1"/>
  <c r="AQ224" i="1"/>
  <c r="AQ67" i="9" s="1"/>
  <c r="AP224" i="1"/>
  <c r="AP67" i="9" s="1"/>
  <c r="AO224" i="1"/>
  <c r="AO67" i="9" s="1"/>
  <c r="AN224" i="1"/>
  <c r="AN67" i="9" s="1"/>
  <c r="AM224" i="1"/>
  <c r="AM67" i="9" s="1"/>
  <c r="AL224" i="1"/>
  <c r="AL67" i="9" s="1"/>
  <c r="AK224" i="1"/>
  <c r="AK67" i="9" s="1"/>
  <c r="AJ224" i="1"/>
  <c r="AJ67" i="9" s="1"/>
  <c r="AI224" i="1"/>
  <c r="AI67" i="9" s="1"/>
  <c r="AH224" i="1"/>
  <c r="AH67" i="9" s="1"/>
  <c r="AG224" i="1"/>
  <c r="AG67" i="9" s="1"/>
  <c r="AF224" i="1"/>
  <c r="AF67" i="9" s="1"/>
  <c r="AE224" i="1"/>
  <c r="AE67" i="9" s="1"/>
  <c r="AD224" i="1"/>
  <c r="AD67" i="9" s="1"/>
  <c r="AC224" i="1"/>
  <c r="AC67" i="9" s="1"/>
  <c r="AB224" i="1"/>
  <c r="AB67" i="9" s="1"/>
  <c r="AA224" i="1"/>
  <c r="AA67" i="9" s="1"/>
  <c r="Z224" i="1"/>
  <c r="Z67" i="9" s="1"/>
  <c r="X224" i="1"/>
  <c r="X67" i="9" s="1"/>
  <c r="W224" i="1"/>
  <c r="W67" i="9" s="1"/>
  <c r="V224" i="1"/>
  <c r="V67" i="9" s="1"/>
  <c r="U224" i="1"/>
  <c r="U67" i="9" s="1"/>
  <c r="T224" i="1"/>
  <c r="T67" i="9" s="1"/>
  <c r="S224" i="1"/>
  <c r="S67" i="9" s="1"/>
  <c r="R224" i="1"/>
  <c r="R67" i="9" s="1"/>
  <c r="Q224" i="1"/>
  <c r="Q67" i="9" s="1"/>
  <c r="P224" i="1"/>
  <c r="P67" i="9" s="1"/>
  <c r="O224" i="1"/>
  <c r="O67" i="9" s="1"/>
  <c r="N224" i="1"/>
  <c r="N67" i="9" s="1"/>
  <c r="M224" i="1"/>
  <c r="M67" i="9" s="1"/>
  <c r="L224" i="1"/>
  <c r="L67" i="9" s="1"/>
  <c r="K224" i="1"/>
  <c r="K67" i="9" s="1"/>
  <c r="J224" i="1"/>
  <c r="J67" i="9" s="1"/>
  <c r="I224" i="1"/>
  <c r="I67" i="9" s="1"/>
  <c r="H224" i="1"/>
  <c r="H67" i="9" s="1"/>
  <c r="G224" i="1"/>
  <c r="G67" i="9" s="1"/>
  <c r="F224" i="1"/>
  <c r="F67" i="9" s="1"/>
  <c r="E224" i="1"/>
  <c r="E67" i="9" s="1"/>
  <c r="D224" i="1"/>
  <c r="D67" i="9" s="1"/>
  <c r="C224" i="1"/>
  <c r="C67" i="9" s="1"/>
  <c r="BL223" i="1"/>
  <c r="BL66" i="9" s="1"/>
  <c r="BK223" i="1"/>
  <c r="BK66" i="9" s="1"/>
  <c r="BJ223" i="1"/>
  <c r="BJ66" i="9" s="1"/>
  <c r="BI223" i="1"/>
  <c r="BI66" i="9" s="1"/>
  <c r="BG223" i="1"/>
  <c r="BG66" i="9" s="1"/>
  <c r="BF223" i="1"/>
  <c r="BF66" i="9" s="1"/>
  <c r="BE223" i="1"/>
  <c r="BE66" i="9" s="1"/>
  <c r="BD223" i="1"/>
  <c r="BD66" i="9" s="1"/>
  <c r="BB223" i="1"/>
  <c r="BB66" i="9" s="1"/>
  <c r="BA223" i="1"/>
  <c r="BA66" i="9" s="1"/>
  <c r="AZ223" i="1"/>
  <c r="AZ66" i="9" s="1"/>
  <c r="AY223" i="1"/>
  <c r="AY66" i="9" s="1"/>
  <c r="AW223" i="1"/>
  <c r="AW66" i="9" s="1"/>
  <c r="AV223" i="1"/>
  <c r="AV66" i="9" s="1"/>
  <c r="AU223" i="1"/>
  <c r="AU66" i="9" s="1"/>
  <c r="AT223" i="1"/>
  <c r="AT66" i="9" s="1"/>
  <c r="AS223" i="1"/>
  <c r="AS66" i="9" s="1"/>
  <c r="AR223" i="1"/>
  <c r="AR66" i="9" s="1"/>
  <c r="AQ223" i="1"/>
  <c r="AQ66" i="9" s="1"/>
  <c r="AP223" i="1"/>
  <c r="AP66" i="9" s="1"/>
  <c r="AO223" i="1"/>
  <c r="AO66" i="9" s="1"/>
  <c r="AM223" i="1"/>
  <c r="AM66" i="9" s="1"/>
  <c r="AL223" i="1"/>
  <c r="AL66" i="9" s="1"/>
  <c r="AK223" i="1"/>
  <c r="AK66" i="9" s="1"/>
  <c r="AJ223" i="1"/>
  <c r="AJ66" i="9" s="1"/>
  <c r="AH223" i="1"/>
  <c r="AH66" i="9" s="1"/>
  <c r="AG223" i="1"/>
  <c r="AG66" i="9" s="1"/>
  <c r="AF223" i="1"/>
  <c r="AF66" i="9" s="1"/>
  <c r="AE223" i="1"/>
  <c r="AE66" i="9" s="1"/>
  <c r="AD223" i="1"/>
  <c r="AD66" i="9" s="1"/>
  <c r="AC223" i="1"/>
  <c r="AC66" i="9" s="1"/>
  <c r="AB223" i="1"/>
  <c r="AB66" i="9" s="1"/>
  <c r="AA223" i="1"/>
  <c r="AA66" i="9" s="1"/>
  <c r="Z223" i="1"/>
  <c r="Z66" i="9" s="1"/>
  <c r="X223" i="1"/>
  <c r="X66" i="9" s="1"/>
  <c r="W223" i="1"/>
  <c r="W66" i="9" s="1"/>
  <c r="V223" i="1"/>
  <c r="V66" i="9" s="1"/>
  <c r="U223" i="1"/>
  <c r="U66" i="9" s="1"/>
  <c r="T223" i="1"/>
  <c r="T66" i="9" s="1"/>
  <c r="S223" i="1"/>
  <c r="S66" i="9" s="1"/>
  <c r="R223" i="1"/>
  <c r="R66" i="9" s="1"/>
  <c r="Q223" i="1"/>
  <c r="Q66" i="9" s="1"/>
  <c r="P223" i="1"/>
  <c r="P66" i="9" s="1"/>
  <c r="O223" i="1"/>
  <c r="O66" i="9" s="1"/>
  <c r="N223" i="1"/>
  <c r="N66" i="9" s="1"/>
  <c r="M223" i="1"/>
  <c r="M66" i="9" s="1"/>
  <c r="L223" i="1"/>
  <c r="L66" i="9" s="1"/>
  <c r="K223" i="1"/>
  <c r="K66" i="9" s="1"/>
  <c r="J223" i="1"/>
  <c r="J66" i="9" s="1"/>
  <c r="I223" i="1"/>
  <c r="I66" i="9" s="1"/>
  <c r="H223" i="1"/>
  <c r="H66" i="9" s="1"/>
  <c r="G223" i="1"/>
  <c r="G66" i="9" s="1"/>
  <c r="F223" i="1"/>
  <c r="F66" i="9" s="1"/>
  <c r="E223" i="1"/>
  <c r="E66" i="9" s="1"/>
  <c r="D223" i="1"/>
  <c r="D66" i="9" s="1"/>
  <c r="C223" i="1"/>
  <c r="C66" i="9" s="1"/>
  <c r="BL222" i="1"/>
  <c r="BL65" i="9" s="1"/>
  <c r="BK222" i="1"/>
  <c r="BK65" i="9" s="1"/>
  <c r="BJ222" i="1"/>
  <c r="BJ65" i="9" s="1"/>
  <c r="BI222" i="1"/>
  <c r="BI65" i="9" s="1"/>
  <c r="BG222" i="1"/>
  <c r="BG65" i="9" s="1"/>
  <c r="BF222" i="1"/>
  <c r="BF65" i="9" s="1"/>
  <c r="BE222" i="1"/>
  <c r="BE65" i="9" s="1"/>
  <c r="BD222" i="1"/>
  <c r="BD65" i="9" s="1"/>
  <c r="BB222" i="1"/>
  <c r="BB65" i="9" s="1"/>
  <c r="BA222" i="1"/>
  <c r="BA65" i="9" s="1"/>
  <c r="AZ222" i="1"/>
  <c r="AZ65" i="9" s="1"/>
  <c r="AY222" i="1"/>
  <c r="AY65" i="9" s="1"/>
  <c r="AW222" i="1"/>
  <c r="AW65" i="9" s="1"/>
  <c r="AV222" i="1"/>
  <c r="AV65" i="9" s="1"/>
  <c r="AU222" i="1"/>
  <c r="AU65" i="9" s="1"/>
  <c r="AT222" i="1"/>
  <c r="AT65" i="9" s="1"/>
  <c r="AS222" i="1"/>
  <c r="AS65" i="9" s="1"/>
  <c r="AR222" i="1"/>
  <c r="AR65" i="9" s="1"/>
  <c r="AQ222" i="1"/>
  <c r="AQ65" i="9" s="1"/>
  <c r="AP222" i="1"/>
  <c r="AP65" i="9" s="1"/>
  <c r="AO222" i="1"/>
  <c r="AO65" i="9" s="1"/>
  <c r="AM222" i="1"/>
  <c r="AM65" i="9" s="1"/>
  <c r="AL222" i="1"/>
  <c r="AL65" i="9" s="1"/>
  <c r="AK222" i="1"/>
  <c r="AK65" i="9" s="1"/>
  <c r="AJ222" i="1"/>
  <c r="AJ65" i="9" s="1"/>
  <c r="AH222" i="1"/>
  <c r="AH65" i="9" s="1"/>
  <c r="AG222" i="1"/>
  <c r="AG65" i="9" s="1"/>
  <c r="AF222" i="1"/>
  <c r="AF65" i="9" s="1"/>
  <c r="AE222" i="1"/>
  <c r="AE65" i="9" s="1"/>
  <c r="AD222" i="1"/>
  <c r="AD65" i="9" s="1"/>
  <c r="AC222" i="1"/>
  <c r="AC65" i="9" s="1"/>
  <c r="AB222" i="1"/>
  <c r="AB65" i="9" s="1"/>
  <c r="AA222" i="1"/>
  <c r="AA65" i="9" s="1"/>
  <c r="Z222" i="1"/>
  <c r="Z65" i="9" s="1"/>
  <c r="X222" i="1"/>
  <c r="X65" i="9" s="1"/>
  <c r="W222" i="1"/>
  <c r="W65" i="9" s="1"/>
  <c r="V222" i="1"/>
  <c r="V65" i="9" s="1"/>
  <c r="U222" i="1"/>
  <c r="U65" i="9" s="1"/>
  <c r="T222" i="1"/>
  <c r="T65" i="9" s="1"/>
  <c r="S222" i="1"/>
  <c r="S65" i="9" s="1"/>
  <c r="R222" i="1"/>
  <c r="R65" i="9" s="1"/>
  <c r="Q222" i="1"/>
  <c r="Q65" i="9" s="1"/>
  <c r="P222" i="1"/>
  <c r="P65" i="9" s="1"/>
  <c r="O222" i="1"/>
  <c r="O65" i="9" s="1"/>
  <c r="N222" i="1"/>
  <c r="N65" i="9" s="1"/>
  <c r="M222" i="1"/>
  <c r="M65" i="9" s="1"/>
  <c r="L222" i="1"/>
  <c r="L65" i="9" s="1"/>
  <c r="K222" i="1"/>
  <c r="K65" i="9" s="1"/>
  <c r="J222" i="1"/>
  <c r="J65" i="9" s="1"/>
  <c r="I222" i="1"/>
  <c r="I65" i="9" s="1"/>
  <c r="H222" i="1"/>
  <c r="H65" i="9" s="1"/>
  <c r="G222" i="1"/>
  <c r="G65" i="9" s="1"/>
  <c r="F222" i="1"/>
  <c r="F65" i="9" s="1"/>
  <c r="E222" i="1"/>
  <c r="E65" i="9" s="1"/>
  <c r="D222" i="1"/>
  <c r="D65" i="9" s="1"/>
  <c r="C222" i="1"/>
  <c r="C65" i="9" s="1"/>
  <c r="BL221" i="1"/>
  <c r="BL64" i="9" s="1"/>
  <c r="BK221" i="1"/>
  <c r="BK64" i="9" s="1"/>
  <c r="BJ221" i="1"/>
  <c r="BJ64" i="9" s="1"/>
  <c r="BI221" i="1"/>
  <c r="BI64" i="9" s="1"/>
  <c r="BG221" i="1"/>
  <c r="BG64" i="9" s="1"/>
  <c r="BF221" i="1"/>
  <c r="BF64" i="9" s="1"/>
  <c r="BE221" i="1"/>
  <c r="BE64" i="9" s="1"/>
  <c r="BD221" i="1"/>
  <c r="BD64" i="9" s="1"/>
  <c r="BB221" i="1"/>
  <c r="BB64" i="9" s="1"/>
  <c r="BA221" i="1"/>
  <c r="BA64" i="9" s="1"/>
  <c r="AZ221" i="1"/>
  <c r="AZ64" i="9" s="1"/>
  <c r="AY221" i="1"/>
  <c r="AY64" i="9" s="1"/>
  <c r="AW221" i="1"/>
  <c r="AW64" i="9" s="1"/>
  <c r="AV221" i="1"/>
  <c r="AV64" i="9" s="1"/>
  <c r="AU221" i="1"/>
  <c r="AU64" i="9" s="1"/>
  <c r="AT221" i="1"/>
  <c r="AT64" i="9" s="1"/>
  <c r="AS221" i="1"/>
  <c r="AS64" i="9" s="1"/>
  <c r="AR221" i="1"/>
  <c r="AR64" i="9" s="1"/>
  <c r="AQ221" i="1"/>
  <c r="AQ64" i="9" s="1"/>
  <c r="AP221" i="1"/>
  <c r="AP64" i="9" s="1"/>
  <c r="AO221" i="1"/>
  <c r="AO64" i="9" s="1"/>
  <c r="AM221" i="1"/>
  <c r="AM64" i="9" s="1"/>
  <c r="AL221" i="1"/>
  <c r="AL64" i="9" s="1"/>
  <c r="AK221" i="1"/>
  <c r="AK64" i="9" s="1"/>
  <c r="AJ221" i="1"/>
  <c r="AJ64" i="9" s="1"/>
  <c r="AH221" i="1"/>
  <c r="AH64" i="9" s="1"/>
  <c r="AG221" i="1"/>
  <c r="AG64" i="9" s="1"/>
  <c r="AF221" i="1"/>
  <c r="AF64" i="9" s="1"/>
  <c r="AE221" i="1"/>
  <c r="AE64" i="9" s="1"/>
  <c r="AD221" i="1"/>
  <c r="AD64" i="9" s="1"/>
  <c r="AC221" i="1"/>
  <c r="AC64" i="9" s="1"/>
  <c r="AB221" i="1"/>
  <c r="AB64" i="9" s="1"/>
  <c r="AA221" i="1"/>
  <c r="AA64" i="9" s="1"/>
  <c r="Z221" i="1"/>
  <c r="Z64" i="9" s="1"/>
  <c r="X221" i="1"/>
  <c r="X64" i="9" s="1"/>
  <c r="W221" i="1"/>
  <c r="W64" i="9" s="1"/>
  <c r="V221" i="1"/>
  <c r="V64" i="9" s="1"/>
  <c r="U221" i="1"/>
  <c r="U64" i="9" s="1"/>
  <c r="T221" i="1"/>
  <c r="T64" i="9" s="1"/>
  <c r="S221" i="1"/>
  <c r="S64" i="9" s="1"/>
  <c r="R221" i="1"/>
  <c r="R64" i="9" s="1"/>
  <c r="Q221" i="1"/>
  <c r="Q64" i="9" s="1"/>
  <c r="P221" i="1"/>
  <c r="P64" i="9" s="1"/>
  <c r="O221" i="1"/>
  <c r="O64" i="9" s="1"/>
  <c r="N221" i="1"/>
  <c r="N64" i="9" s="1"/>
  <c r="M221" i="1"/>
  <c r="M64" i="9" s="1"/>
  <c r="L221" i="1"/>
  <c r="L64" i="9" s="1"/>
  <c r="K221" i="1"/>
  <c r="K64" i="9" s="1"/>
  <c r="J221" i="1"/>
  <c r="J64" i="9" s="1"/>
  <c r="I221" i="1"/>
  <c r="I64" i="9" s="1"/>
  <c r="H221" i="1"/>
  <c r="H64" i="9" s="1"/>
  <c r="G221" i="1"/>
  <c r="G64" i="9" s="1"/>
  <c r="F221" i="1"/>
  <c r="F64" i="9" s="1"/>
  <c r="E221" i="1"/>
  <c r="E64" i="9" s="1"/>
  <c r="D221" i="1"/>
  <c r="D64" i="9" s="1"/>
  <c r="C221" i="1"/>
  <c r="C64" i="9" s="1"/>
  <c r="BL220" i="1"/>
  <c r="BL63" i="9" s="1"/>
  <c r="BK220" i="1"/>
  <c r="BK63" i="9" s="1"/>
  <c r="BJ220" i="1"/>
  <c r="BJ63" i="9" s="1"/>
  <c r="BI220" i="1"/>
  <c r="BI63" i="9" s="1"/>
  <c r="BG220" i="1"/>
  <c r="BG63" i="9" s="1"/>
  <c r="BF220" i="1"/>
  <c r="BF63" i="9" s="1"/>
  <c r="BE220" i="1"/>
  <c r="BE63" i="9" s="1"/>
  <c r="BD220" i="1"/>
  <c r="BD63" i="9" s="1"/>
  <c r="BB220" i="1"/>
  <c r="BB63" i="9" s="1"/>
  <c r="BA220" i="1"/>
  <c r="BA63" i="9" s="1"/>
  <c r="AZ220" i="1"/>
  <c r="AZ63" i="9" s="1"/>
  <c r="AY220" i="1"/>
  <c r="AY63" i="9" s="1"/>
  <c r="AW220" i="1"/>
  <c r="AW63" i="9" s="1"/>
  <c r="AV220" i="1"/>
  <c r="AV63" i="9" s="1"/>
  <c r="AU220" i="1"/>
  <c r="AU63" i="9" s="1"/>
  <c r="AT220" i="1"/>
  <c r="AT63" i="9" s="1"/>
  <c r="AS220" i="1"/>
  <c r="AS63" i="9" s="1"/>
  <c r="AR220" i="1"/>
  <c r="AR63" i="9" s="1"/>
  <c r="AQ220" i="1"/>
  <c r="AQ63" i="9" s="1"/>
  <c r="AP220" i="1"/>
  <c r="AP63" i="9" s="1"/>
  <c r="AO220" i="1"/>
  <c r="AO63" i="9" s="1"/>
  <c r="AM220" i="1"/>
  <c r="AM63" i="9" s="1"/>
  <c r="AL220" i="1"/>
  <c r="AL63" i="9" s="1"/>
  <c r="AK220" i="1"/>
  <c r="AK63" i="9" s="1"/>
  <c r="AJ220" i="1"/>
  <c r="AJ63" i="9" s="1"/>
  <c r="AH220" i="1"/>
  <c r="AH63" i="9" s="1"/>
  <c r="AG220" i="1"/>
  <c r="AG63" i="9" s="1"/>
  <c r="AF220" i="1"/>
  <c r="AF63" i="9" s="1"/>
  <c r="AE220" i="1"/>
  <c r="AE63" i="9" s="1"/>
  <c r="AD220" i="1"/>
  <c r="AD63" i="9" s="1"/>
  <c r="AC220" i="1"/>
  <c r="AC63" i="9" s="1"/>
  <c r="AB220" i="1"/>
  <c r="AB63" i="9" s="1"/>
  <c r="AA220" i="1"/>
  <c r="AA63" i="9" s="1"/>
  <c r="Z220" i="1"/>
  <c r="Z63" i="9" s="1"/>
  <c r="X220" i="1"/>
  <c r="X63" i="9" s="1"/>
  <c r="W220" i="1"/>
  <c r="W63" i="9" s="1"/>
  <c r="V220" i="1"/>
  <c r="V63" i="9" s="1"/>
  <c r="U220" i="1"/>
  <c r="U63" i="9" s="1"/>
  <c r="T220" i="1"/>
  <c r="T63" i="9" s="1"/>
  <c r="S220" i="1"/>
  <c r="S63" i="9" s="1"/>
  <c r="R220" i="1"/>
  <c r="R63" i="9" s="1"/>
  <c r="Q220" i="1"/>
  <c r="Q63" i="9" s="1"/>
  <c r="P220" i="1"/>
  <c r="P63" i="9" s="1"/>
  <c r="O220" i="1"/>
  <c r="O63" i="9" s="1"/>
  <c r="N220" i="1"/>
  <c r="N63" i="9" s="1"/>
  <c r="M220" i="1"/>
  <c r="M63" i="9" s="1"/>
  <c r="L220" i="1"/>
  <c r="L63" i="9" s="1"/>
  <c r="K220" i="1"/>
  <c r="K63" i="9" s="1"/>
  <c r="J220" i="1"/>
  <c r="J63" i="9" s="1"/>
  <c r="I220" i="1"/>
  <c r="I63" i="9" s="1"/>
  <c r="H220" i="1"/>
  <c r="H63" i="9" s="1"/>
  <c r="G220" i="1"/>
  <c r="G63" i="9" s="1"/>
  <c r="F220" i="1"/>
  <c r="F63" i="9" s="1"/>
  <c r="E220" i="1"/>
  <c r="E63" i="9" s="1"/>
  <c r="D220" i="1"/>
  <c r="D63" i="9" s="1"/>
  <c r="C220" i="1"/>
  <c r="C63" i="9" s="1"/>
  <c r="BL217" i="1"/>
  <c r="BL62" i="9" s="1"/>
  <c r="BK217" i="1"/>
  <c r="BK62" i="9" s="1"/>
  <c r="BJ217" i="1"/>
  <c r="BJ62" i="9" s="1"/>
  <c r="BI217" i="1"/>
  <c r="BI62" i="9" s="1"/>
  <c r="BG217" i="1"/>
  <c r="BG62" i="9" s="1"/>
  <c r="BF217" i="1"/>
  <c r="BF62" i="9" s="1"/>
  <c r="BE217" i="1"/>
  <c r="BE62" i="9" s="1"/>
  <c r="BD217" i="1"/>
  <c r="BD62" i="9" s="1"/>
  <c r="BB217" i="1"/>
  <c r="BB62" i="9" s="1"/>
  <c r="BA217" i="1"/>
  <c r="BA62" i="9" s="1"/>
  <c r="AZ217" i="1"/>
  <c r="AZ62" i="9" s="1"/>
  <c r="AY217" i="1"/>
  <c r="AY62" i="9" s="1"/>
  <c r="AW217" i="1"/>
  <c r="AW62" i="9" s="1"/>
  <c r="AV217" i="1"/>
  <c r="AV62" i="9" s="1"/>
  <c r="AU217" i="1"/>
  <c r="AU62" i="9" s="1"/>
  <c r="AT217" i="1"/>
  <c r="AT62" i="9" s="1"/>
  <c r="AS217" i="1"/>
  <c r="AS62" i="9" s="1"/>
  <c r="AR217" i="1"/>
  <c r="AR62" i="9" s="1"/>
  <c r="AQ217" i="1"/>
  <c r="AQ62" i="9" s="1"/>
  <c r="AP217" i="1"/>
  <c r="AP62" i="9" s="1"/>
  <c r="AO217" i="1"/>
  <c r="AO62" i="9" s="1"/>
  <c r="AM217" i="1"/>
  <c r="AM62" i="9" s="1"/>
  <c r="AL217" i="1"/>
  <c r="AL62" i="9" s="1"/>
  <c r="AK217" i="1"/>
  <c r="AK62" i="9" s="1"/>
  <c r="AJ217" i="1"/>
  <c r="AJ62" i="9" s="1"/>
  <c r="AH217" i="1"/>
  <c r="AH62" i="9" s="1"/>
  <c r="AG217" i="1"/>
  <c r="AG62" i="9" s="1"/>
  <c r="AF217" i="1"/>
  <c r="AF62" i="9" s="1"/>
  <c r="AE217" i="1"/>
  <c r="AE62" i="9" s="1"/>
  <c r="AD217" i="1"/>
  <c r="AD62" i="9" s="1"/>
  <c r="AC217" i="1"/>
  <c r="AC62" i="9" s="1"/>
  <c r="AB217" i="1"/>
  <c r="AB62" i="9" s="1"/>
  <c r="AA217" i="1"/>
  <c r="AA62" i="9" s="1"/>
  <c r="Z217" i="1"/>
  <c r="Z62" i="9" s="1"/>
  <c r="X217" i="1"/>
  <c r="X62" i="9" s="1"/>
  <c r="W217" i="1"/>
  <c r="W62" i="9" s="1"/>
  <c r="V217" i="1"/>
  <c r="V62" i="9" s="1"/>
  <c r="U217" i="1"/>
  <c r="U62" i="9" s="1"/>
  <c r="T217" i="1"/>
  <c r="T62" i="9" s="1"/>
  <c r="S217" i="1"/>
  <c r="S62" i="9" s="1"/>
  <c r="R217" i="1"/>
  <c r="R62" i="9" s="1"/>
  <c r="Q217" i="1"/>
  <c r="Q62" i="9" s="1"/>
  <c r="P217" i="1"/>
  <c r="P62" i="9" s="1"/>
  <c r="O217" i="1"/>
  <c r="O62" i="9" s="1"/>
  <c r="N217" i="1"/>
  <c r="N62" i="9" s="1"/>
  <c r="M217" i="1"/>
  <c r="M62" i="9" s="1"/>
  <c r="L217" i="1"/>
  <c r="L62" i="9" s="1"/>
  <c r="K217" i="1"/>
  <c r="K62" i="9" s="1"/>
  <c r="J217" i="1"/>
  <c r="J62" i="9" s="1"/>
  <c r="I217" i="1"/>
  <c r="I62" i="9" s="1"/>
  <c r="H217" i="1"/>
  <c r="H62" i="9" s="1"/>
  <c r="G217" i="1"/>
  <c r="G62" i="9" s="1"/>
  <c r="F217" i="1"/>
  <c r="F62" i="9" s="1"/>
  <c r="E217" i="1"/>
  <c r="E62" i="9" s="1"/>
  <c r="D217" i="1"/>
  <c r="D62" i="9" s="1"/>
  <c r="C217" i="1"/>
  <c r="C62" i="9" s="1"/>
  <c r="A215" i="1"/>
  <c r="A727" i="1" s="1"/>
  <c r="BL214" i="1"/>
  <c r="BL218" i="1" s="1"/>
  <c r="BL225" i="1" s="1"/>
  <c r="BK214" i="1"/>
  <c r="BK139" i="1" s="1"/>
  <c r="BJ214" i="1"/>
  <c r="BJ218" i="1" s="1"/>
  <c r="BI214" i="1"/>
  <c r="BI218" i="1" s="1"/>
  <c r="BG214" i="1"/>
  <c r="BF214" i="1"/>
  <c r="BE214" i="1"/>
  <c r="BD214" i="1"/>
  <c r="BB214" i="1"/>
  <c r="BB138" i="1" s="1"/>
  <c r="BB666" i="1" s="1"/>
  <c r="BA214" i="1"/>
  <c r="AZ214" i="1"/>
  <c r="AY214" i="1"/>
  <c r="AY141" i="1" s="1"/>
  <c r="AY93" i="9" s="1"/>
  <c r="AW214" i="1"/>
  <c r="AW218" i="1" s="1"/>
  <c r="AV214" i="1"/>
  <c r="AV218" i="1" s="1"/>
  <c r="AV225" i="1" s="1"/>
  <c r="AU214" i="1"/>
  <c r="AU218" i="1" s="1"/>
  <c r="AU225" i="1" s="1"/>
  <c r="AT214" i="1"/>
  <c r="AT218" i="1" s="1"/>
  <c r="AT225" i="1" s="1"/>
  <c r="AS214" i="1"/>
  <c r="AS139" i="1" s="1"/>
  <c r="AR214" i="1"/>
  <c r="AQ214" i="1"/>
  <c r="AP214" i="1"/>
  <c r="AP218" i="1" s="1"/>
  <c r="AO214" i="1"/>
  <c r="AM214" i="1"/>
  <c r="AM148" i="1" s="1"/>
  <c r="AL214" i="1"/>
  <c r="AK214" i="1"/>
  <c r="AK218" i="1" s="1"/>
  <c r="AK225" i="1" s="1"/>
  <c r="AJ214" i="1"/>
  <c r="AJ138" i="1" s="1"/>
  <c r="AJ666" i="1" s="1"/>
  <c r="AH214" i="1"/>
  <c r="AG214" i="1"/>
  <c r="AG147" i="1" s="1"/>
  <c r="AF214" i="1"/>
  <c r="AE214" i="1"/>
  <c r="AE218" i="1" s="1"/>
  <c r="AD214" i="1"/>
  <c r="AD218" i="1" s="1"/>
  <c r="AD225" i="1" s="1"/>
  <c r="AC214" i="1"/>
  <c r="AC218" i="1" s="1"/>
  <c r="AC225" i="1" s="1"/>
  <c r="AB214" i="1"/>
  <c r="AB218" i="1" s="1"/>
  <c r="AB225" i="1" s="1"/>
  <c r="AA214" i="1"/>
  <c r="AA139" i="1" s="1"/>
  <c r="Z214" i="1"/>
  <c r="X214" i="1"/>
  <c r="X141" i="1" s="1"/>
  <c r="X93" i="9" s="1"/>
  <c r="W214" i="1"/>
  <c r="W218" i="1" s="1"/>
  <c r="V214" i="1"/>
  <c r="U214" i="1"/>
  <c r="U138" i="1" s="1"/>
  <c r="U666" i="1" s="1"/>
  <c r="T214" i="1"/>
  <c r="S214" i="1"/>
  <c r="S218" i="1" s="1"/>
  <c r="S225" i="1" s="1"/>
  <c r="R214" i="1"/>
  <c r="R147" i="1" s="1"/>
  <c r="Q214" i="1"/>
  <c r="P214" i="1"/>
  <c r="P142" i="1" s="1"/>
  <c r="P94" i="9" s="1"/>
  <c r="O214" i="1"/>
  <c r="O138" i="1" s="1"/>
  <c r="O666" i="1" s="1"/>
  <c r="N214" i="1"/>
  <c r="N218" i="1" s="1"/>
  <c r="M214" i="1"/>
  <c r="M218" i="1" s="1"/>
  <c r="M225" i="1" s="1"/>
  <c r="L214" i="1"/>
  <c r="L218" i="1" s="1"/>
  <c r="L225" i="1" s="1"/>
  <c r="K214" i="1"/>
  <c r="K218" i="1" s="1"/>
  <c r="K225" i="1" s="1"/>
  <c r="J214" i="1"/>
  <c r="J61" i="9" s="1"/>
  <c r="I214" i="1"/>
  <c r="I147" i="1" s="1"/>
  <c r="H214" i="1"/>
  <c r="G214" i="1"/>
  <c r="G218" i="1" s="1"/>
  <c r="F214" i="1"/>
  <c r="E214" i="1"/>
  <c r="E147" i="1" s="1"/>
  <c r="D214" i="1"/>
  <c r="C214" i="1"/>
  <c r="C138" i="1" s="1"/>
  <c r="C666" i="1" s="1"/>
  <c r="BL211" i="1"/>
  <c r="BK211" i="1"/>
  <c r="BK210" i="1" s="1"/>
  <c r="BI211" i="1"/>
  <c r="BH211" i="1"/>
  <c r="BH210" i="1" s="1"/>
  <c r="BF211" i="1"/>
  <c r="BE211" i="1"/>
  <c r="BE210" i="1" s="1"/>
  <c r="BD211" i="1"/>
  <c r="BD210" i="1" s="1"/>
  <c r="BC211" i="1"/>
  <c r="BB211" i="1"/>
  <c r="BB210" i="1" s="1"/>
  <c r="BA211" i="1"/>
  <c r="AZ211" i="1"/>
  <c r="AZ210" i="1" s="1"/>
  <c r="AY211" i="1"/>
  <c r="AY210" i="1" s="1"/>
  <c r="AX211" i="1"/>
  <c r="AX210" i="1" s="1"/>
  <c r="AW211" i="1"/>
  <c r="AW210" i="1" s="1"/>
  <c r="AV211" i="1"/>
  <c r="AV210" i="1" s="1"/>
  <c r="AU211" i="1"/>
  <c r="AT211" i="1"/>
  <c r="AT210" i="1" s="1"/>
  <c r="AR211" i="1"/>
  <c r="AR210" i="1" s="1"/>
  <c r="AQ211" i="1"/>
  <c r="AO211" i="1"/>
  <c r="AN211" i="1"/>
  <c r="AL211" i="1"/>
  <c r="AL210" i="1" s="1"/>
  <c r="AK211" i="1"/>
  <c r="AK210" i="1" s="1"/>
  <c r="AJ211" i="1"/>
  <c r="AH211" i="1"/>
  <c r="AH210" i="1" s="1"/>
  <c r="AG211" i="1"/>
  <c r="AG210" i="1" s="1"/>
  <c r="AF211" i="1"/>
  <c r="AF210" i="1" s="1"/>
  <c r="AE211" i="1"/>
  <c r="AD211" i="1"/>
  <c r="AD210" i="1" s="1"/>
  <c r="AC211" i="1"/>
  <c r="AB211" i="1"/>
  <c r="AB210" i="1" s="1"/>
  <c r="AA211" i="1"/>
  <c r="AA210" i="1" s="1"/>
  <c r="Z211" i="1"/>
  <c r="Z210" i="1" s="1"/>
  <c r="X211" i="1"/>
  <c r="X210" i="1" s="1"/>
  <c r="W211" i="1"/>
  <c r="V211" i="1"/>
  <c r="V210" i="1" s="1"/>
  <c r="U211" i="1"/>
  <c r="U210" i="1" s="1"/>
  <c r="T211" i="1"/>
  <c r="T210" i="1" s="1"/>
  <c r="R211" i="1"/>
  <c r="Q211" i="1"/>
  <c r="Q210" i="1" s="1"/>
  <c r="P211" i="1"/>
  <c r="O211" i="1"/>
  <c r="O210" i="1" s="1"/>
  <c r="N211" i="1"/>
  <c r="N210" i="1" s="1"/>
  <c r="M211" i="1"/>
  <c r="L211" i="1"/>
  <c r="K211" i="1"/>
  <c r="K210" i="1" s="1"/>
  <c r="J211" i="1"/>
  <c r="I211" i="1"/>
  <c r="I210" i="1" s="1"/>
  <c r="H211" i="1"/>
  <c r="H210" i="1" s="1"/>
  <c r="G211" i="1"/>
  <c r="F211" i="1"/>
  <c r="F210" i="1" s="1"/>
  <c r="E211" i="1"/>
  <c r="E210" i="1" s="1"/>
  <c r="D211" i="1"/>
  <c r="D210" i="1" s="1"/>
  <c r="BL210" i="1"/>
  <c r="BI210" i="1"/>
  <c r="BF210" i="1"/>
  <c r="BA210" i="1"/>
  <c r="AU210" i="1"/>
  <c r="AQ210" i="1"/>
  <c r="AO210" i="1"/>
  <c r="AJ210" i="1"/>
  <c r="AE210" i="1"/>
  <c r="AC210" i="1"/>
  <c r="W210" i="1"/>
  <c r="R210" i="1"/>
  <c r="P210" i="1"/>
  <c r="M210" i="1"/>
  <c r="L210" i="1"/>
  <c r="G210" i="1"/>
  <c r="BH209" i="1"/>
  <c r="BH588" i="1" s="1"/>
  <c r="BC209" i="1"/>
  <c r="BC588" i="1" s="1"/>
  <c r="AX209" i="1"/>
  <c r="AX588" i="1" s="1"/>
  <c r="AS209" i="1"/>
  <c r="AS588" i="1" s="1"/>
  <c r="AN209" i="1"/>
  <c r="AN588" i="1" s="1"/>
  <c r="AI209" i="1"/>
  <c r="AI588" i="1" s="1"/>
  <c r="AD209" i="1"/>
  <c r="AD588" i="1" s="1"/>
  <c r="Y209" i="1"/>
  <c r="Y588" i="1" s="1"/>
  <c r="T209" i="1"/>
  <c r="T588" i="1" s="1"/>
  <c r="O209" i="1"/>
  <c r="O588" i="1" s="1"/>
  <c r="J209" i="1"/>
  <c r="J588" i="1" s="1"/>
  <c r="BH208" i="1"/>
  <c r="BH582" i="1" s="1"/>
  <c r="BC208" i="1"/>
  <c r="BC582" i="1" s="1"/>
  <c r="AX208" i="1"/>
  <c r="AX582" i="1" s="1"/>
  <c r="AS208" i="1"/>
  <c r="AS582" i="1" s="1"/>
  <c r="AN208" i="1"/>
  <c r="AN582" i="1" s="1"/>
  <c r="AI208" i="1"/>
  <c r="AI582" i="1" s="1"/>
  <c r="AD208" i="1"/>
  <c r="AD582" i="1" s="1"/>
  <c r="Y208" i="1"/>
  <c r="Y582" i="1" s="1"/>
  <c r="T208" i="1"/>
  <c r="T582" i="1" s="1"/>
  <c r="O208" i="1"/>
  <c r="O582" i="1" s="1"/>
  <c r="J208" i="1"/>
  <c r="J582" i="1" s="1"/>
  <c r="BL206" i="1"/>
  <c r="BK206" i="1"/>
  <c r="BJ206" i="1"/>
  <c r="BI206" i="1"/>
  <c r="BH206" i="1"/>
  <c r="BG206" i="1"/>
  <c r="BF206" i="1"/>
  <c r="BE206" i="1"/>
  <c r="BD206" i="1"/>
  <c r="BC206" i="1"/>
  <c r="BB206" i="1"/>
  <c r="BA206" i="1"/>
  <c r="AZ206" i="1"/>
  <c r="AY206" i="1"/>
  <c r="AX206" i="1"/>
  <c r="AW206" i="1"/>
  <c r="AV206" i="1"/>
  <c r="AU206" i="1"/>
  <c r="AT206" i="1"/>
  <c r="AR206" i="1"/>
  <c r="AQ206" i="1"/>
  <c r="AP206" i="1"/>
  <c r="AO206" i="1"/>
  <c r="AM206" i="1"/>
  <c r="AL206" i="1"/>
  <c r="AK206" i="1"/>
  <c r="AJ206" i="1"/>
  <c r="AH206" i="1"/>
  <c r="AG206" i="1"/>
  <c r="AF206" i="1"/>
  <c r="AE206" i="1"/>
  <c r="AD206" i="1"/>
  <c r="AC206" i="1"/>
  <c r="AB206" i="1"/>
  <c r="AA206" i="1"/>
  <c r="Z206" i="1"/>
  <c r="Y206" i="1"/>
  <c r="X206" i="1"/>
  <c r="W206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H206" i="1"/>
  <c r="G206" i="1"/>
  <c r="F206" i="1"/>
  <c r="E206" i="1"/>
  <c r="D206" i="1"/>
  <c r="C206" i="1"/>
  <c r="AS204" i="1"/>
  <c r="AN204" i="1"/>
  <c r="AI204" i="1"/>
  <c r="AS203" i="1"/>
  <c r="AN203" i="1"/>
  <c r="AI203" i="1"/>
  <c r="AS202" i="1"/>
  <c r="AS206" i="1" s="1"/>
  <c r="AN202" i="1"/>
  <c r="AI202" i="1"/>
  <c r="AS201" i="1"/>
  <c r="AN201" i="1"/>
  <c r="AN206" i="1" s="1"/>
  <c r="AI201" i="1"/>
  <c r="AI206" i="1" s="1"/>
  <c r="AC199" i="1"/>
  <c r="AB199" i="1"/>
  <c r="AA199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Z193" i="1"/>
  <c r="Z199" i="1" s="1"/>
  <c r="V191" i="1"/>
  <c r="V232" i="1" s="1"/>
  <c r="U191" i="1"/>
  <c r="U232" i="1" s="1"/>
  <c r="P191" i="1"/>
  <c r="P232" i="1" s="1"/>
  <c r="O191" i="1"/>
  <c r="O232" i="1" s="1"/>
  <c r="J191" i="1"/>
  <c r="J232" i="1" s="1"/>
  <c r="I191" i="1"/>
  <c r="I232" i="1" s="1"/>
  <c r="D191" i="1"/>
  <c r="D232" i="1" s="1"/>
  <c r="C191" i="1"/>
  <c r="C232" i="1" s="1"/>
  <c r="BS190" i="1"/>
  <c r="BN190" i="1"/>
  <c r="AE190" i="1"/>
  <c r="BS189" i="1"/>
  <c r="BN189" i="1"/>
  <c r="BS188" i="1"/>
  <c r="BN188" i="1"/>
  <c r="BS187" i="1"/>
  <c r="BN187" i="1"/>
  <c r="AE187" i="1"/>
  <c r="BS186" i="1"/>
  <c r="BN186" i="1"/>
  <c r="AN186" i="1"/>
  <c r="BS185" i="1"/>
  <c r="BN185" i="1"/>
  <c r="BH185" i="1"/>
  <c r="BC185" i="1"/>
  <c r="AX185" i="1"/>
  <c r="AS185" i="1"/>
  <c r="AN185" i="1"/>
  <c r="AI185" i="1"/>
  <c r="AE185" i="1"/>
  <c r="Y184" i="1"/>
  <c r="Y191" i="1" s="1"/>
  <c r="Y232" i="1" s="1"/>
  <c r="X184" i="1"/>
  <c r="X191" i="1" s="1"/>
  <c r="X232" i="1" s="1"/>
  <c r="W184" i="1"/>
  <c r="W191" i="1" s="1"/>
  <c r="W232" i="1" s="1"/>
  <c r="V184" i="1"/>
  <c r="U184" i="1"/>
  <c r="T184" i="1"/>
  <c r="T191" i="1" s="1"/>
  <c r="T232" i="1" s="1"/>
  <c r="S184" i="1"/>
  <c r="S191" i="1" s="1"/>
  <c r="S232" i="1" s="1"/>
  <c r="R184" i="1"/>
  <c r="R191" i="1" s="1"/>
  <c r="R232" i="1" s="1"/>
  <c r="Q184" i="1"/>
  <c r="Q191" i="1" s="1"/>
  <c r="Q232" i="1" s="1"/>
  <c r="P184" i="1"/>
  <c r="O184" i="1"/>
  <c r="N184" i="1"/>
  <c r="N191" i="1" s="1"/>
  <c r="N232" i="1" s="1"/>
  <c r="M184" i="1"/>
  <c r="M191" i="1" s="1"/>
  <c r="M232" i="1" s="1"/>
  <c r="L184" i="1"/>
  <c r="L191" i="1" s="1"/>
  <c r="L232" i="1" s="1"/>
  <c r="J184" i="1"/>
  <c r="I184" i="1"/>
  <c r="H184" i="1"/>
  <c r="H191" i="1" s="1"/>
  <c r="H232" i="1" s="1"/>
  <c r="G184" i="1"/>
  <c r="G191" i="1" s="1"/>
  <c r="G232" i="1" s="1"/>
  <c r="D184" i="1"/>
  <c r="C184" i="1"/>
  <c r="AN183" i="1"/>
  <c r="AN229" i="1" s="1"/>
  <c r="AI183" i="1"/>
  <c r="AI229" i="1" s="1"/>
  <c r="AE183" i="1"/>
  <c r="AE229" i="1" s="1"/>
  <c r="BJ182" i="1"/>
  <c r="BJ230" i="1" s="1"/>
  <c r="AN182" i="1"/>
  <c r="AI182" i="1"/>
  <c r="AE182" i="1"/>
  <c r="AE230" i="1" s="1"/>
  <c r="K182" i="1"/>
  <c r="K184" i="1" s="1"/>
  <c r="K191" i="1" s="1"/>
  <c r="K232" i="1" s="1"/>
  <c r="G182" i="1"/>
  <c r="G230" i="1" s="1"/>
  <c r="F182" i="1"/>
  <c r="F184" i="1" s="1"/>
  <c r="F191" i="1" s="1"/>
  <c r="F232" i="1" s="1"/>
  <c r="E182" i="1"/>
  <c r="E184" i="1" s="1"/>
  <c r="E191" i="1" s="1"/>
  <c r="E232" i="1" s="1"/>
  <c r="AN181" i="1"/>
  <c r="AI181" i="1"/>
  <c r="AE181" i="1"/>
  <c r="Z180" i="1"/>
  <c r="Z184" i="1" s="1"/>
  <c r="Z191" i="1" s="1"/>
  <c r="BV177" i="1"/>
  <c r="BU177" i="1"/>
  <c r="BT177" i="1"/>
  <c r="BS177" i="1"/>
  <c r="BR177" i="1"/>
  <c r="BQ177" i="1"/>
  <c r="BP177" i="1"/>
  <c r="BO177" i="1"/>
  <c r="BN177" i="1"/>
  <c r="BM177" i="1"/>
  <c r="C177" i="1"/>
  <c r="C173" i="1"/>
  <c r="BH172" i="1"/>
  <c r="BH240" i="1" s="1"/>
  <c r="BC172" i="1"/>
  <c r="AX172" i="1"/>
  <c r="AN172" i="1"/>
  <c r="AI172" i="1"/>
  <c r="AI240" i="1" s="1"/>
  <c r="Y172" i="1"/>
  <c r="Y240" i="1" s="1"/>
  <c r="U172" i="1"/>
  <c r="U230" i="1" s="1"/>
  <c r="U148" i="1" s="1"/>
  <c r="P172" i="1"/>
  <c r="P240" i="1" s="1"/>
  <c r="K172" i="1"/>
  <c r="K240" i="1" s="1"/>
  <c r="F172" i="1"/>
  <c r="F240" i="1" s="1"/>
  <c r="E172" i="1"/>
  <c r="E240" i="1" s="1"/>
  <c r="D172" i="1"/>
  <c r="D240" i="1" s="1"/>
  <c r="BL168" i="1"/>
  <c r="BL182" i="1" s="1"/>
  <c r="BL230" i="1" s="1"/>
  <c r="BK168" i="1"/>
  <c r="BK182" i="1" s="1"/>
  <c r="BK230" i="1" s="1"/>
  <c r="BJ168" i="1"/>
  <c r="BI168" i="1"/>
  <c r="BI182" i="1" s="1"/>
  <c r="BI230" i="1" s="1"/>
  <c r="BI148" i="1" s="1"/>
  <c r="BG168" i="1"/>
  <c r="BG182" i="1" s="1"/>
  <c r="BG230" i="1" s="1"/>
  <c r="BF168" i="1"/>
  <c r="BF182" i="1" s="1"/>
  <c r="BF230" i="1" s="1"/>
  <c r="BF148" i="1" s="1"/>
  <c r="BE168" i="1"/>
  <c r="BE182" i="1" s="1"/>
  <c r="BE230" i="1" s="1"/>
  <c r="BE148" i="1" s="1"/>
  <c r="BD168" i="1"/>
  <c r="BD182" i="1" s="1"/>
  <c r="BD230" i="1" s="1"/>
  <c r="BD148" i="1" s="1"/>
  <c r="BB168" i="1"/>
  <c r="BB182" i="1" s="1"/>
  <c r="BB230" i="1" s="1"/>
  <c r="BA168" i="1"/>
  <c r="BA182" i="1" s="1"/>
  <c r="BA230" i="1" s="1"/>
  <c r="BA148" i="1" s="1"/>
  <c r="AZ168" i="1"/>
  <c r="AZ182" i="1" s="1"/>
  <c r="AZ230" i="1" s="1"/>
  <c r="AZ148" i="1" s="1"/>
  <c r="AY168" i="1"/>
  <c r="AY182" i="1" s="1"/>
  <c r="AY230" i="1" s="1"/>
  <c r="AY148" i="1" s="1"/>
  <c r="AW168" i="1"/>
  <c r="AW182" i="1" s="1"/>
  <c r="AW230" i="1" s="1"/>
  <c r="AV168" i="1"/>
  <c r="AV182" i="1" s="1"/>
  <c r="AV230" i="1" s="1"/>
  <c r="AU168" i="1"/>
  <c r="AU182" i="1" s="1"/>
  <c r="AU230" i="1" s="1"/>
  <c r="AT168" i="1"/>
  <c r="AT230" i="1" s="1"/>
  <c r="AS168" i="1"/>
  <c r="AS230" i="1" s="1"/>
  <c r="AN168" i="1"/>
  <c r="AI168" i="1"/>
  <c r="Y168" i="1"/>
  <c r="BK167" i="1"/>
  <c r="BK236" i="1" s="1"/>
  <c r="BH167" i="1"/>
  <c r="BC167" i="1"/>
  <c r="AX167" i="1"/>
  <c r="AS167" i="1"/>
  <c r="AN167" i="1"/>
  <c r="AI167" i="1"/>
  <c r="AD167" i="1"/>
  <c r="Y167" i="1"/>
  <c r="T167" i="1"/>
  <c r="O167" i="1"/>
  <c r="BH166" i="1"/>
  <c r="BC166" i="1"/>
  <c r="AX166" i="1"/>
  <c r="AS166" i="1"/>
  <c r="AS236" i="1" s="1"/>
  <c r="AS70" i="9" s="1"/>
  <c r="AN166" i="1"/>
  <c r="AI166" i="1"/>
  <c r="AD166" i="1"/>
  <c r="Y166" i="1"/>
  <c r="T166" i="1"/>
  <c r="T236" i="1" s="1"/>
  <c r="T70" i="9" s="1"/>
  <c r="O166" i="1"/>
  <c r="O236" i="1" s="1"/>
  <c r="O70" i="9" s="1"/>
  <c r="BH165" i="1"/>
  <c r="BH235" i="1" s="1"/>
  <c r="BC165" i="1"/>
  <c r="BC168" i="1" s="1"/>
  <c r="BC182" i="1" s="1"/>
  <c r="BC230" i="1" s="1"/>
  <c r="AX165" i="1"/>
  <c r="AX168" i="1" s="1"/>
  <c r="AX182" i="1" s="1"/>
  <c r="AX230" i="1" s="1"/>
  <c r="AS165" i="1"/>
  <c r="AS235" i="1" s="1"/>
  <c r="AN165" i="1"/>
  <c r="AN235" i="1" s="1"/>
  <c r="AI165" i="1"/>
  <c r="AI235" i="1" s="1"/>
  <c r="AD165" i="1"/>
  <c r="AD235" i="1" s="1"/>
  <c r="Y165" i="1"/>
  <c r="Y235" i="1" s="1"/>
  <c r="T165" i="1"/>
  <c r="T235" i="1" s="1"/>
  <c r="O165" i="1"/>
  <c r="O235" i="1" s="1"/>
  <c r="BK164" i="1"/>
  <c r="BK169" i="1" s="1"/>
  <c r="BK173" i="1" s="1"/>
  <c r="AY164" i="1"/>
  <c r="AS164" i="1"/>
  <c r="AS169" i="1" s="1"/>
  <c r="AS173" i="1" s="1"/>
  <c r="AM164" i="1"/>
  <c r="AM169" i="1" s="1"/>
  <c r="AM173" i="1" s="1"/>
  <c r="AA164" i="1"/>
  <c r="AA169" i="1" s="1"/>
  <c r="AA173" i="1" s="1"/>
  <c r="U164" i="1"/>
  <c r="U169" i="1" s="1"/>
  <c r="U173" i="1" s="1"/>
  <c r="O164" i="1"/>
  <c r="O169" i="1" s="1"/>
  <c r="O173" i="1" s="1"/>
  <c r="I164" i="1"/>
  <c r="I169" i="1" s="1"/>
  <c r="I173" i="1" s="1"/>
  <c r="BL163" i="1"/>
  <c r="BL164" i="1" s="1"/>
  <c r="BK163" i="1"/>
  <c r="BJ163" i="1"/>
  <c r="BJ164" i="1" s="1"/>
  <c r="BI163" i="1"/>
  <c r="BI164" i="1" s="1"/>
  <c r="BG163" i="1"/>
  <c r="BG164" i="1" s="1"/>
  <c r="BF163" i="1"/>
  <c r="BF164" i="1" s="1"/>
  <c r="BE163" i="1"/>
  <c r="BE164" i="1" s="1"/>
  <c r="BE169" i="1" s="1"/>
  <c r="BE173" i="1" s="1"/>
  <c r="BD163" i="1"/>
  <c r="BD164" i="1" s="1"/>
  <c r="BB163" i="1"/>
  <c r="BB164" i="1" s="1"/>
  <c r="BB169" i="1" s="1"/>
  <c r="BB173" i="1" s="1"/>
  <c r="BA163" i="1"/>
  <c r="BA164" i="1" s="1"/>
  <c r="AZ163" i="1"/>
  <c r="AZ164" i="1" s="1"/>
  <c r="AY163" i="1"/>
  <c r="AW163" i="1"/>
  <c r="AW164" i="1" s="1"/>
  <c r="AW169" i="1" s="1"/>
  <c r="AW173" i="1" s="1"/>
  <c r="AV163" i="1"/>
  <c r="AV164" i="1" s="1"/>
  <c r="AV169" i="1" s="1"/>
  <c r="AV173" i="1" s="1"/>
  <c r="AU163" i="1"/>
  <c r="AU164" i="1" s="1"/>
  <c r="AU169" i="1" s="1"/>
  <c r="AU173" i="1" s="1"/>
  <c r="AT163" i="1"/>
  <c r="AT164" i="1" s="1"/>
  <c r="AT169" i="1" s="1"/>
  <c r="AT173" i="1" s="1"/>
  <c r="AS163" i="1"/>
  <c r="AR163" i="1"/>
  <c r="AR164" i="1" s="1"/>
  <c r="AR169" i="1" s="1"/>
  <c r="AR173" i="1" s="1"/>
  <c r="AQ163" i="1"/>
  <c r="AQ164" i="1" s="1"/>
  <c r="AQ169" i="1" s="1"/>
  <c r="AQ173" i="1" s="1"/>
  <c r="AP163" i="1"/>
  <c r="AP164" i="1" s="1"/>
  <c r="AP169" i="1" s="1"/>
  <c r="AP173" i="1" s="1"/>
  <c r="AO163" i="1"/>
  <c r="AO164" i="1" s="1"/>
  <c r="AO169" i="1" s="1"/>
  <c r="AO173" i="1" s="1"/>
  <c r="AM163" i="1"/>
  <c r="AL163" i="1"/>
  <c r="AL164" i="1" s="1"/>
  <c r="AL169" i="1" s="1"/>
  <c r="AL173" i="1" s="1"/>
  <c r="AK163" i="1"/>
  <c r="AK164" i="1" s="1"/>
  <c r="AK169" i="1" s="1"/>
  <c r="AK173" i="1" s="1"/>
  <c r="AJ163" i="1"/>
  <c r="AJ164" i="1" s="1"/>
  <c r="AJ169" i="1" s="1"/>
  <c r="AJ173" i="1" s="1"/>
  <c r="AH163" i="1"/>
  <c r="AH164" i="1" s="1"/>
  <c r="AH169" i="1" s="1"/>
  <c r="AH173" i="1" s="1"/>
  <c r="AG163" i="1"/>
  <c r="AG164" i="1" s="1"/>
  <c r="AG169" i="1" s="1"/>
  <c r="AG173" i="1" s="1"/>
  <c r="AF163" i="1"/>
  <c r="AF164" i="1" s="1"/>
  <c r="AF169" i="1" s="1"/>
  <c r="AF173" i="1" s="1"/>
  <c r="AE163" i="1"/>
  <c r="AE164" i="1" s="1"/>
  <c r="AE169" i="1" s="1"/>
  <c r="AE173" i="1" s="1"/>
  <c r="AD163" i="1"/>
  <c r="AD164" i="1" s="1"/>
  <c r="AD169" i="1" s="1"/>
  <c r="AD173" i="1" s="1"/>
  <c r="AC163" i="1"/>
  <c r="AC164" i="1" s="1"/>
  <c r="AC169" i="1" s="1"/>
  <c r="AC173" i="1" s="1"/>
  <c r="AB163" i="1"/>
  <c r="AB164" i="1" s="1"/>
  <c r="AB169" i="1" s="1"/>
  <c r="AB173" i="1" s="1"/>
  <c r="AA163" i="1"/>
  <c r="Z163" i="1"/>
  <c r="Z164" i="1" s="1"/>
  <c r="Z169" i="1" s="1"/>
  <c r="Z173" i="1" s="1"/>
  <c r="X163" i="1"/>
  <c r="X164" i="1" s="1"/>
  <c r="X169" i="1" s="1"/>
  <c r="X173" i="1" s="1"/>
  <c r="W163" i="1"/>
  <c r="W164" i="1" s="1"/>
  <c r="W169" i="1" s="1"/>
  <c r="W173" i="1" s="1"/>
  <c r="V163" i="1"/>
  <c r="V164" i="1" s="1"/>
  <c r="V169" i="1" s="1"/>
  <c r="V173" i="1" s="1"/>
  <c r="U163" i="1"/>
  <c r="T163" i="1"/>
  <c r="T164" i="1" s="1"/>
  <c r="T169" i="1" s="1"/>
  <c r="T173" i="1" s="1"/>
  <c r="S163" i="1"/>
  <c r="S164" i="1" s="1"/>
  <c r="S169" i="1" s="1"/>
  <c r="S173" i="1" s="1"/>
  <c r="R163" i="1"/>
  <c r="R164" i="1" s="1"/>
  <c r="R169" i="1" s="1"/>
  <c r="R173" i="1" s="1"/>
  <c r="Q163" i="1"/>
  <c r="Q164" i="1" s="1"/>
  <c r="Q169" i="1" s="1"/>
  <c r="Q173" i="1" s="1"/>
  <c r="P163" i="1"/>
  <c r="P164" i="1" s="1"/>
  <c r="P169" i="1" s="1"/>
  <c r="O163" i="1"/>
  <c r="N163" i="1"/>
  <c r="N164" i="1" s="1"/>
  <c r="N169" i="1" s="1"/>
  <c r="N173" i="1" s="1"/>
  <c r="M163" i="1"/>
  <c r="M164" i="1" s="1"/>
  <c r="M169" i="1" s="1"/>
  <c r="M173" i="1" s="1"/>
  <c r="L163" i="1"/>
  <c r="L164" i="1" s="1"/>
  <c r="L169" i="1" s="1"/>
  <c r="L173" i="1" s="1"/>
  <c r="K163" i="1"/>
  <c r="K164" i="1" s="1"/>
  <c r="K169" i="1" s="1"/>
  <c r="J163" i="1"/>
  <c r="J164" i="1" s="1"/>
  <c r="J169" i="1" s="1"/>
  <c r="J173" i="1" s="1"/>
  <c r="I163" i="1"/>
  <c r="H163" i="1"/>
  <c r="H164" i="1" s="1"/>
  <c r="H169" i="1" s="1"/>
  <c r="H173" i="1" s="1"/>
  <c r="G163" i="1"/>
  <c r="G164" i="1" s="1"/>
  <c r="G169" i="1" s="1"/>
  <c r="G173" i="1" s="1"/>
  <c r="F163" i="1"/>
  <c r="F164" i="1" s="1"/>
  <c r="F169" i="1" s="1"/>
  <c r="F173" i="1" s="1"/>
  <c r="E163" i="1"/>
  <c r="E164" i="1" s="1"/>
  <c r="E169" i="1" s="1"/>
  <c r="D163" i="1"/>
  <c r="D164" i="1" s="1"/>
  <c r="D169" i="1" s="1"/>
  <c r="D173" i="1" s="1"/>
  <c r="C163" i="1"/>
  <c r="BC160" i="1"/>
  <c r="BC224" i="1" s="1"/>
  <c r="AX160" i="1"/>
  <c r="AX224" i="1" s="1"/>
  <c r="Y160" i="1"/>
  <c r="Y224" i="1" s="1"/>
  <c r="BH159" i="1"/>
  <c r="BH223" i="1" s="1"/>
  <c r="BC159" i="1"/>
  <c r="BC223" i="1" s="1"/>
  <c r="AX159" i="1"/>
  <c r="AX223" i="1" s="1"/>
  <c r="AN159" i="1"/>
  <c r="AN223" i="1" s="1"/>
  <c r="AI159" i="1"/>
  <c r="AI223" i="1" s="1"/>
  <c r="Y159" i="1"/>
  <c r="Y223" i="1" s="1"/>
  <c r="BH158" i="1"/>
  <c r="BH222" i="1" s="1"/>
  <c r="BC158" i="1"/>
  <c r="BC222" i="1" s="1"/>
  <c r="AX158" i="1"/>
  <c r="AX222" i="1" s="1"/>
  <c r="AN158" i="1"/>
  <c r="AN222" i="1" s="1"/>
  <c r="AI158" i="1"/>
  <c r="AI222" i="1" s="1"/>
  <c r="Y158" i="1"/>
  <c r="Y222" i="1" s="1"/>
  <c r="BH157" i="1"/>
  <c r="BH220" i="1" s="1"/>
  <c r="BC157" i="1"/>
  <c r="BC220" i="1" s="1"/>
  <c r="AX157" i="1"/>
  <c r="AX220" i="1" s="1"/>
  <c r="AN157" i="1"/>
  <c r="AN220" i="1" s="1"/>
  <c r="AI157" i="1"/>
  <c r="AI220" i="1" s="1"/>
  <c r="Y157" i="1"/>
  <c r="Y220" i="1" s="1"/>
  <c r="BH156" i="1"/>
  <c r="BH221" i="1" s="1"/>
  <c r="BC156" i="1"/>
  <c r="BC221" i="1" s="1"/>
  <c r="AX156" i="1"/>
  <c r="AX221" i="1" s="1"/>
  <c r="AN156" i="1"/>
  <c r="AN221" i="1" s="1"/>
  <c r="AI156" i="1"/>
  <c r="AI221" i="1" s="1"/>
  <c r="Y156" i="1"/>
  <c r="Y221" i="1" s="1"/>
  <c r="BH155" i="1"/>
  <c r="BH217" i="1" s="1"/>
  <c r="BC155" i="1"/>
  <c r="BC217" i="1" s="1"/>
  <c r="AX155" i="1"/>
  <c r="AX217" i="1" s="1"/>
  <c r="AN155" i="1"/>
  <c r="AN217" i="1" s="1"/>
  <c r="AI155" i="1"/>
  <c r="AI217" i="1" s="1"/>
  <c r="Y155" i="1"/>
  <c r="Y217" i="1" s="1"/>
  <c r="BH154" i="1"/>
  <c r="BC154" i="1"/>
  <c r="BC214" i="1" s="1"/>
  <c r="AX154" i="1"/>
  <c r="AX214" i="1" s="1"/>
  <c r="AN154" i="1"/>
  <c r="AN214" i="1" s="1"/>
  <c r="AI154" i="1"/>
  <c r="Y154" i="1"/>
  <c r="AQ148" i="1"/>
  <c r="AO148" i="1"/>
  <c r="AK148" i="1"/>
  <c r="AJ148" i="1"/>
  <c r="AH148" i="1"/>
  <c r="AG148" i="1"/>
  <c r="X148" i="1"/>
  <c r="W148" i="1"/>
  <c r="V148" i="1"/>
  <c r="O148" i="1"/>
  <c r="BI147" i="1"/>
  <c r="BG147" i="1"/>
  <c r="BF147" i="1"/>
  <c r="BE147" i="1"/>
  <c r="AZ147" i="1"/>
  <c r="AQ147" i="1"/>
  <c r="AP147" i="1"/>
  <c r="AO147" i="1"/>
  <c r="AM147" i="1"/>
  <c r="AK147" i="1"/>
  <c r="AJ147" i="1"/>
  <c r="AH147" i="1"/>
  <c r="W147" i="1"/>
  <c r="V147" i="1"/>
  <c r="S147" i="1"/>
  <c r="Q147" i="1"/>
  <c r="O147" i="1"/>
  <c r="M147" i="1"/>
  <c r="L147" i="1"/>
  <c r="F147" i="1"/>
  <c r="D147" i="1"/>
  <c r="C147" i="1"/>
  <c r="BI142" i="1"/>
  <c r="BI94" i="9" s="1"/>
  <c r="BF142" i="1"/>
  <c r="BF94" i="9" s="1"/>
  <c r="BE142" i="1"/>
  <c r="BE94" i="9" s="1"/>
  <c r="BB142" i="1"/>
  <c r="BB94" i="9" s="1"/>
  <c r="BA142" i="1"/>
  <c r="BA94" i="9" s="1"/>
  <c r="AZ142" i="1"/>
  <c r="AZ94" i="9" s="1"/>
  <c r="AQ142" i="1"/>
  <c r="AQ94" i="9" s="1"/>
  <c r="AM142" i="1"/>
  <c r="AM94" i="9" s="1"/>
  <c r="AK142" i="1"/>
  <c r="AK94" i="9" s="1"/>
  <c r="AJ142" i="1"/>
  <c r="AJ94" i="9" s="1"/>
  <c r="AH142" i="1"/>
  <c r="AH94" i="9" s="1"/>
  <c r="AG142" i="1"/>
  <c r="AG94" i="9" s="1"/>
  <c r="AE142" i="1"/>
  <c r="AE94" i="9" s="1"/>
  <c r="AD142" i="1"/>
  <c r="AD94" i="9" s="1"/>
  <c r="V142" i="1"/>
  <c r="V94" i="9" s="1"/>
  <c r="U142" i="1"/>
  <c r="U94" i="9" s="1"/>
  <c r="R142" i="1"/>
  <c r="R94" i="9" s="1"/>
  <c r="Q142" i="1"/>
  <c r="Q94" i="9" s="1"/>
  <c r="O142" i="1"/>
  <c r="O94" i="9" s="1"/>
  <c r="M142" i="1"/>
  <c r="M94" i="9" s="1"/>
  <c r="L142" i="1"/>
  <c r="L94" i="9" s="1"/>
  <c r="K142" i="1"/>
  <c r="K94" i="9" s="1"/>
  <c r="G142" i="1"/>
  <c r="G94" i="9" s="1"/>
  <c r="F142" i="1"/>
  <c r="F94" i="9" s="1"/>
  <c r="E142" i="1"/>
  <c r="E94" i="9" s="1"/>
  <c r="D142" i="1"/>
  <c r="D94" i="9" s="1"/>
  <c r="C142" i="1"/>
  <c r="C94" i="9" s="1"/>
  <c r="BI141" i="1"/>
  <c r="BI93" i="9" s="1"/>
  <c r="BF141" i="1"/>
  <c r="BF93" i="9" s="1"/>
  <c r="BE141" i="1"/>
  <c r="BE93" i="9" s="1"/>
  <c r="BB141" i="1"/>
  <c r="BB93" i="9" s="1"/>
  <c r="BA141" i="1"/>
  <c r="BA93" i="9" s="1"/>
  <c r="AZ141" i="1"/>
  <c r="AZ93" i="9" s="1"/>
  <c r="AQ141" i="1"/>
  <c r="AQ93" i="9" s="1"/>
  <c r="AP141" i="1"/>
  <c r="AP93" i="9" s="1"/>
  <c r="AM141" i="1"/>
  <c r="AM93" i="9" s="1"/>
  <c r="AJ141" i="1"/>
  <c r="AJ93" i="9" s="1"/>
  <c r="AE141" i="1"/>
  <c r="AE93" i="9" s="1"/>
  <c r="AD141" i="1"/>
  <c r="AD93" i="9" s="1"/>
  <c r="W141" i="1"/>
  <c r="W93" i="9" s="1"/>
  <c r="U141" i="1"/>
  <c r="U93" i="9" s="1"/>
  <c r="S141" i="1"/>
  <c r="S93" i="9" s="1"/>
  <c r="O141" i="1"/>
  <c r="O93" i="9" s="1"/>
  <c r="M141" i="1"/>
  <c r="M93" i="9" s="1"/>
  <c r="L141" i="1"/>
  <c r="L93" i="9" s="1"/>
  <c r="K141" i="1"/>
  <c r="K93" i="9" s="1"/>
  <c r="J141" i="1"/>
  <c r="J93" i="9" s="1"/>
  <c r="I141" i="1"/>
  <c r="I93" i="9" s="1"/>
  <c r="G141" i="1"/>
  <c r="G93" i="9" s="1"/>
  <c r="D141" i="1"/>
  <c r="D93" i="9" s="1"/>
  <c r="BG140" i="1"/>
  <c r="BF140" i="1"/>
  <c r="BE140" i="1"/>
  <c r="BB140" i="1"/>
  <c r="AZ140" i="1"/>
  <c r="AY140" i="1"/>
  <c r="AP140" i="1"/>
  <c r="AO140" i="1"/>
  <c r="AK140" i="1"/>
  <c r="AH140" i="1"/>
  <c r="AE140" i="1"/>
  <c r="AD140" i="1"/>
  <c r="AC140" i="1"/>
  <c r="V140" i="1"/>
  <c r="S140" i="1"/>
  <c r="R140" i="1"/>
  <c r="P140" i="1"/>
  <c r="O140" i="1"/>
  <c r="M140" i="1"/>
  <c r="I140" i="1"/>
  <c r="G140" i="1"/>
  <c r="F140" i="1"/>
  <c r="E140" i="1"/>
  <c r="D140" i="1"/>
  <c r="BI139" i="1"/>
  <c r="BF139" i="1"/>
  <c r="BE139" i="1"/>
  <c r="AY139" i="1"/>
  <c r="AW139" i="1"/>
  <c r="AV139" i="1"/>
  <c r="AQ139" i="1"/>
  <c r="AM139" i="1"/>
  <c r="AE139" i="1"/>
  <c r="AD139" i="1"/>
  <c r="AC139" i="1"/>
  <c r="AB139" i="1"/>
  <c r="X139" i="1"/>
  <c r="W139" i="1"/>
  <c r="U139" i="1"/>
  <c r="O139" i="1"/>
  <c r="I139" i="1"/>
  <c r="G139" i="1"/>
  <c r="E139" i="1"/>
  <c r="D139" i="1"/>
  <c r="BI138" i="1"/>
  <c r="BI666" i="1" s="1"/>
  <c r="BG138" i="1"/>
  <c r="BG666" i="1" s="1"/>
  <c r="BF138" i="1"/>
  <c r="BF666" i="1" s="1"/>
  <c r="BE138" i="1"/>
  <c r="BE666" i="1" s="1"/>
  <c r="BA138" i="1"/>
  <c r="BA666" i="1" s="1"/>
  <c r="AZ138" i="1"/>
  <c r="AZ666" i="1" s="1"/>
  <c r="AY138" i="1"/>
  <c r="AY666" i="1" s="1"/>
  <c r="AW138" i="1"/>
  <c r="AW666" i="1" s="1"/>
  <c r="AV138" i="1"/>
  <c r="AV666" i="1" s="1"/>
  <c r="AO138" i="1"/>
  <c r="AO666" i="1" s="1"/>
  <c r="AM138" i="1"/>
  <c r="AM666" i="1" s="1"/>
  <c r="AK138" i="1"/>
  <c r="AK666" i="1" s="1"/>
  <c r="AH138" i="1"/>
  <c r="AH666" i="1" s="1"/>
  <c r="AE138" i="1"/>
  <c r="AE666" i="1" s="1"/>
  <c r="AD138" i="1"/>
  <c r="AD666" i="1" s="1"/>
  <c r="AC138" i="1"/>
  <c r="AC666" i="1" s="1"/>
  <c r="AB138" i="1"/>
  <c r="AB666" i="1" s="1"/>
  <c r="AA138" i="1"/>
  <c r="AA666" i="1" s="1"/>
  <c r="V138" i="1"/>
  <c r="V666" i="1" s="1"/>
  <c r="Q138" i="1"/>
  <c r="Q666" i="1" s="1"/>
  <c r="M138" i="1"/>
  <c r="M666" i="1" s="1"/>
  <c r="G138" i="1"/>
  <c r="G666" i="1" s="1"/>
  <c r="F138" i="1"/>
  <c r="F666" i="1" s="1"/>
  <c r="E138" i="1"/>
  <c r="E666" i="1" s="1"/>
  <c r="D138" i="1"/>
  <c r="D666" i="1" s="1"/>
  <c r="BI134" i="1"/>
  <c r="BI135" i="1" s="1"/>
  <c r="BE134" i="1"/>
  <c r="BE135" i="1" s="1"/>
  <c r="BD134" i="1"/>
  <c r="BD135" i="1" s="1"/>
  <c r="AY134" i="1"/>
  <c r="AY135" i="1" s="1"/>
  <c r="AW134" i="1"/>
  <c r="AW135" i="1" s="1"/>
  <c r="AV134" i="1"/>
  <c r="AV135" i="1" s="1"/>
  <c r="AP134" i="1"/>
  <c r="AP135" i="1" s="1"/>
  <c r="AL134" i="1"/>
  <c r="AL135" i="1" s="1"/>
  <c r="AF134" i="1"/>
  <c r="AF135" i="1" s="1"/>
  <c r="AE134" i="1"/>
  <c r="AE135" i="1" s="1"/>
  <c r="AD134" i="1"/>
  <c r="AD135" i="1" s="1"/>
  <c r="W134" i="1"/>
  <c r="W135" i="1" s="1"/>
  <c r="T134" i="1"/>
  <c r="T135" i="1" s="1"/>
  <c r="O134" i="1"/>
  <c r="O135" i="1" s="1"/>
  <c r="N134" i="1"/>
  <c r="N135" i="1" s="1"/>
  <c r="M134" i="1"/>
  <c r="M135" i="1" s="1"/>
  <c r="G134" i="1"/>
  <c r="G135" i="1" s="1"/>
  <c r="D134" i="1"/>
  <c r="D135" i="1" s="1"/>
  <c r="BL131" i="1"/>
  <c r="BK131" i="1"/>
  <c r="BK130" i="1" s="1"/>
  <c r="BJ131" i="1"/>
  <c r="BJ130" i="1" s="1"/>
  <c r="BI131" i="1"/>
  <c r="BI130" i="1" s="1"/>
  <c r="BG131" i="1"/>
  <c r="BG130" i="1" s="1"/>
  <c r="BF131" i="1"/>
  <c r="BE131" i="1"/>
  <c r="BD131" i="1"/>
  <c r="BB131" i="1"/>
  <c r="BA131" i="1"/>
  <c r="AZ131" i="1"/>
  <c r="AY131" i="1"/>
  <c r="AW131" i="1"/>
  <c r="AV131" i="1"/>
  <c r="AU131" i="1"/>
  <c r="AU130" i="1" s="1"/>
  <c r="AT131" i="1"/>
  <c r="AT130" i="1" s="1"/>
  <c r="AR131" i="1"/>
  <c r="AR130" i="1" s="1"/>
  <c r="AQ131" i="1"/>
  <c r="AQ130" i="1" s="1"/>
  <c r="AP131" i="1"/>
  <c r="AP130" i="1" s="1"/>
  <c r="AO131" i="1"/>
  <c r="AN131" i="1"/>
  <c r="AM131" i="1"/>
  <c r="AL131" i="1"/>
  <c r="AK131" i="1"/>
  <c r="AJ131" i="1"/>
  <c r="AI131" i="1"/>
  <c r="AH131" i="1"/>
  <c r="AG131" i="1"/>
  <c r="AF131" i="1"/>
  <c r="AD131" i="1"/>
  <c r="Z131" i="1"/>
  <c r="Z130" i="1" s="1"/>
  <c r="U131" i="1"/>
  <c r="U130" i="1" s="1"/>
  <c r="P131" i="1"/>
  <c r="BB130" i="1"/>
  <c r="AZ130" i="1"/>
  <c r="AX130" i="1"/>
  <c r="AS130" i="1"/>
  <c r="AL130" i="1"/>
  <c r="AJ130" i="1"/>
  <c r="AB130" i="1"/>
  <c r="Y130" i="1"/>
  <c r="X130" i="1"/>
  <c r="W130" i="1"/>
  <c r="V130" i="1"/>
  <c r="T130" i="1"/>
  <c r="S130" i="1"/>
  <c r="R130" i="1"/>
  <c r="Q130" i="1"/>
  <c r="AD128" i="1"/>
  <c r="AY126" i="1"/>
  <c r="AM125" i="1"/>
  <c r="AN125" i="1" s="1"/>
  <c r="AI125" i="1"/>
  <c r="AD125" i="1"/>
  <c r="AQ124" i="1"/>
  <c r="AN124" i="1"/>
  <c r="AJ124" i="1"/>
  <c r="AI124" i="1"/>
  <c r="AE124" i="1"/>
  <c r="AD124" i="1" s="1"/>
  <c r="Z124" i="1"/>
  <c r="U124" i="1"/>
  <c r="P124" i="1"/>
  <c r="AN123" i="1"/>
  <c r="BL122" i="1"/>
  <c r="BK122" i="1"/>
  <c r="BJ122" i="1"/>
  <c r="BI122" i="1"/>
  <c r="BG122" i="1"/>
  <c r="BF122" i="1"/>
  <c r="BE122" i="1"/>
  <c r="BD122" i="1"/>
  <c r="BB122" i="1"/>
  <c r="BA122" i="1"/>
  <c r="AZ122" i="1"/>
  <c r="AY122" i="1"/>
  <c r="AW122" i="1"/>
  <c r="AV122" i="1"/>
  <c r="AV130" i="1" s="1"/>
  <c r="AU122" i="1"/>
  <c r="AT122" i="1"/>
  <c r="AR122" i="1"/>
  <c r="AQ122" i="1"/>
  <c r="AP122" i="1"/>
  <c r="AO122" i="1"/>
  <c r="AN122" i="1"/>
  <c r="AM122" i="1"/>
  <c r="AL122" i="1"/>
  <c r="AK122" i="1"/>
  <c r="AJ122" i="1"/>
  <c r="AI122" i="1"/>
  <c r="AI130" i="1" s="1"/>
  <c r="AH122" i="1"/>
  <c r="AH130" i="1" s="1"/>
  <c r="AG122" i="1"/>
  <c r="AF122" i="1"/>
  <c r="AF130" i="1" s="1"/>
  <c r="AE122" i="1"/>
  <c r="AE130" i="1" s="1"/>
  <c r="AC122" i="1"/>
  <c r="AC130" i="1" s="1"/>
  <c r="AB122" i="1"/>
  <c r="AA122" i="1"/>
  <c r="AA130" i="1" s="1"/>
  <c r="Z122" i="1"/>
  <c r="U122" i="1"/>
  <c r="P122" i="1"/>
  <c r="BL120" i="1"/>
  <c r="BL119" i="1" s="1"/>
  <c r="BK120" i="1"/>
  <c r="BJ120" i="1"/>
  <c r="BJ119" i="1" s="1"/>
  <c r="BI120" i="1"/>
  <c r="BG120" i="1"/>
  <c r="BG119" i="1" s="1"/>
  <c r="BF120" i="1"/>
  <c r="BF119" i="1" s="1"/>
  <c r="BE120" i="1"/>
  <c r="BE119" i="1" s="1"/>
  <c r="BD120" i="1"/>
  <c r="BB120" i="1"/>
  <c r="BB119" i="1" s="1"/>
  <c r="BA120" i="1"/>
  <c r="AZ120" i="1"/>
  <c r="AY120" i="1"/>
  <c r="AW120" i="1"/>
  <c r="AV120" i="1"/>
  <c r="AU120" i="1"/>
  <c r="AT120" i="1"/>
  <c r="AT119" i="1" s="1"/>
  <c r="AR120" i="1"/>
  <c r="AR119" i="1" s="1"/>
  <c r="AQ120" i="1"/>
  <c r="AQ119" i="1" s="1"/>
  <c r="AP120" i="1"/>
  <c r="AP119" i="1" s="1"/>
  <c r="AO120" i="1"/>
  <c r="AO119" i="1" s="1"/>
  <c r="AM120" i="1"/>
  <c r="AL120" i="1"/>
  <c r="AL119" i="1" s="1"/>
  <c r="AK120" i="1"/>
  <c r="AK119" i="1" s="1"/>
  <c r="AJ120" i="1"/>
  <c r="AJ119" i="1" s="1"/>
  <c r="AH120" i="1"/>
  <c r="AG120" i="1"/>
  <c r="AF120" i="1"/>
  <c r="AE120" i="1"/>
  <c r="AD120" i="1"/>
  <c r="AC120" i="1"/>
  <c r="AC119" i="1" s="1"/>
  <c r="AB120" i="1"/>
  <c r="AB119" i="1" s="1"/>
  <c r="AA120" i="1"/>
  <c r="Z120" i="1"/>
  <c r="Z119" i="1" s="1"/>
  <c r="U120" i="1"/>
  <c r="P120" i="1"/>
  <c r="BK119" i="1"/>
  <c r="BI119" i="1"/>
  <c r="BD119" i="1"/>
  <c r="BA119" i="1"/>
  <c r="AA119" i="1"/>
  <c r="Y119" i="1"/>
  <c r="X119" i="1"/>
  <c r="W119" i="1"/>
  <c r="V119" i="1"/>
  <c r="U119" i="1"/>
  <c r="AL117" i="1"/>
  <c r="AI117" i="1"/>
  <c r="AD117" i="1"/>
  <c r="AN115" i="1"/>
  <c r="AI115" i="1"/>
  <c r="AD115" i="1"/>
  <c r="BL114" i="1"/>
  <c r="BK114" i="1"/>
  <c r="BJ114" i="1"/>
  <c r="BI114" i="1"/>
  <c r="BG114" i="1"/>
  <c r="BF114" i="1"/>
  <c r="BE114" i="1"/>
  <c r="BD114" i="1"/>
  <c r="BB114" i="1"/>
  <c r="BA114" i="1"/>
  <c r="AZ114" i="1"/>
  <c r="AY114" i="1"/>
  <c r="AW114" i="1"/>
  <c r="AV114" i="1"/>
  <c r="AV119" i="1" s="1"/>
  <c r="AU114" i="1"/>
  <c r="AT114" i="1"/>
  <c r="AR114" i="1"/>
  <c r="AQ114" i="1"/>
  <c r="AP114" i="1"/>
  <c r="AO114" i="1"/>
  <c r="AM114" i="1"/>
  <c r="AL114" i="1"/>
  <c r="AK114" i="1"/>
  <c r="AJ114" i="1"/>
  <c r="AI114" i="1"/>
  <c r="AH114" i="1"/>
  <c r="AG114" i="1"/>
  <c r="AG119" i="1" s="1"/>
  <c r="AF114" i="1"/>
  <c r="AE114" i="1"/>
  <c r="AC114" i="1"/>
  <c r="AB114" i="1"/>
  <c r="AA114" i="1"/>
  <c r="Z114" i="1"/>
  <c r="U114" i="1"/>
  <c r="P114" i="1"/>
  <c r="BL112" i="1"/>
  <c r="BL111" i="1" s="1"/>
  <c r="BK112" i="1"/>
  <c r="BJ112" i="1"/>
  <c r="BI112" i="1"/>
  <c r="BI111" i="1" s="1"/>
  <c r="BG112" i="1"/>
  <c r="BG111" i="1" s="1"/>
  <c r="BF112" i="1"/>
  <c r="BF111" i="1" s="1"/>
  <c r="BE112" i="1"/>
  <c r="BE111" i="1" s="1"/>
  <c r="BD112" i="1"/>
  <c r="BD111" i="1" s="1"/>
  <c r="BB112" i="1"/>
  <c r="BB111" i="1" s="1"/>
  <c r="BA112" i="1"/>
  <c r="AZ112" i="1"/>
  <c r="AY112" i="1"/>
  <c r="AW112" i="1"/>
  <c r="AV112" i="1"/>
  <c r="AV111" i="1" s="1"/>
  <c r="AU112" i="1"/>
  <c r="AT112" i="1"/>
  <c r="AT111" i="1" s="1"/>
  <c r="AR112" i="1"/>
  <c r="AR111" i="1" s="1"/>
  <c r="AQ112" i="1"/>
  <c r="AP112" i="1"/>
  <c r="AP111" i="1" s="1"/>
  <c r="AO112" i="1"/>
  <c r="AO111" i="1" s="1"/>
  <c r="AN112" i="1"/>
  <c r="AM112" i="1"/>
  <c r="AM111" i="1" s="1"/>
  <c r="AL112" i="1"/>
  <c r="AL111" i="1" s="1"/>
  <c r="AK112" i="1"/>
  <c r="AK111" i="1" s="1"/>
  <c r="AJ112" i="1"/>
  <c r="AJ111" i="1" s="1"/>
  <c r="AI112" i="1"/>
  <c r="AH112" i="1"/>
  <c r="AG112" i="1"/>
  <c r="AF112" i="1"/>
  <c r="AD112" i="1"/>
  <c r="AD111" i="1" s="1"/>
  <c r="Z112" i="1"/>
  <c r="U112" i="1"/>
  <c r="U111" i="1" s="1"/>
  <c r="P112" i="1"/>
  <c r="P111" i="1" s="1"/>
  <c r="BJ111" i="1"/>
  <c r="AW111" i="1"/>
  <c r="AU111" i="1"/>
  <c r="AB111" i="1"/>
  <c r="AN110" i="1"/>
  <c r="AI110" i="1"/>
  <c r="AD110" i="1"/>
  <c r="AN109" i="1"/>
  <c r="AI109" i="1"/>
  <c r="AD109" i="1"/>
  <c r="AN108" i="1"/>
  <c r="AI108" i="1"/>
  <c r="AD108" i="1"/>
  <c r="AN106" i="1"/>
  <c r="AI106" i="1"/>
  <c r="AD106" i="1"/>
  <c r="BL105" i="1"/>
  <c r="BK105" i="1"/>
  <c r="BJ105" i="1"/>
  <c r="BI105" i="1"/>
  <c r="BG105" i="1"/>
  <c r="BF105" i="1"/>
  <c r="BE105" i="1"/>
  <c r="BD105" i="1"/>
  <c r="BB105" i="1"/>
  <c r="BA105" i="1"/>
  <c r="AZ105" i="1"/>
  <c r="AZ111" i="1" s="1"/>
  <c r="AY105" i="1"/>
  <c r="AW105" i="1"/>
  <c r="AV105" i="1"/>
  <c r="AU105" i="1"/>
  <c r="AT105" i="1"/>
  <c r="AR105" i="1"/>
  <c r="AQ105" i="1"/>
  <c r="AP105" i="1"/>
  <c r="AO105" i="1"/>
  <c r="AN105" i="1"/>
  <c r="AM105" i="1"/>
  <c r="AL105" i="1"/>
  <c r="AK105" i="1"/>
  <c r="AJ105" i="1"/>
  <c r="AI105" i="1"/>
  <c r="AH105" i="1"/>
  <c r="AH111" i="1" s="1"/>
  <c r="AG105" i="1"/>
  <c r="AF105" i="1"/>
  <c r="AF111" i="1" s="1"/>
  <c r="AE105" i="1"/>
  <c r="AE111" i="1" s="1"/>
  <c r="AD105" i="1"/>
  <c r="AC105" i="1"/>
  <c r="AC111" i="1" s="1"/>
  <c r="AB105" i="1"/>
  <c r="AA105" i="1"/>
  <c r="AA111" i="1" s="1"/>
  <c r="Z105" i="1"/>
  <c r="Z111" i="1" s="1"/>
  <c r="U105" i="1"/>
  <c r="P105" i="1"/>
  <c r="BL103" i="1"/>
  <c r="BL102" i="1" s="1"/>
  <c r="BK103" i="1"/>
  <c r="BJ103" i="1"/>
  <c r="BJ102" i="1" s="1"/>
  <c r="BI103" i="1"/>
  <c r="BG103" i="1"/>
  <c r="BG102" i="1" s="1"/>
  <c r="BF103" i="1"/>
  <c r="BE103" i="1"/>
  <c r="BE102" i="1" s="1"/>
  <c r="BD103" i="1"/>
  <c r="BB103" i="1"/>
  <c r="BA103" i="1"/>
  <c r="AZ103" i="1"/>
  <c r="AY103" i="1"/>
  <c r="AW103" i="1"/>
  <c r="AV103" i="1"/>
  <c r="AV102" i="1" s="1"/>
  <c r="AU103" i="1"/>
  <c r="AT103" i="1"/>
  <c r="AR103" i="1"/>
  <c r="AR102" i="1" s="1"/>
  <c r="AQ103" i="1"/>
  <c r="AP103" i="1"/>
  <c r="AP102" i="1" s="1"/>
  <c r="AO103" i="1"/>
  <c r="AO102" i="1" s="1"/>
  <c r="AN103" i="1"/>
  <c r="AM103" i="1"/>
  <c r="AL103" i="1"/>
  <c r="AL102" i="1" s="1"/>
  <c r="AK103" i="1"/>
  <c r="AJ103" i="1"/>
  <c r="AH103" i="1"/>
  <c r="AG103" i="1"/>
  <c r="AF103" i="1"/>
  <c r="AE103" i="1"/>
  <c r="AD103" i="1"/>
  <c r="AC103" i="1"/>
  <c r="AC102" i="1" s="1"/>
  <c r="AB103" i="1"/>
  <c r="AB102" i="1" s="1"/>
  <c r="AA103" i="1"/>
  <c r="Z103" i="1"/>
  <c r="Z102" i="1" s="1"/>
  <c r="U103" i="1"/>
  <c r="P103" i="1"/>
  <c r="P102" i="1" s="1"/>
  <c r="BK102" i="1"/>
  <c r="AN101" i="1"/>
  <c r="AI101" i="1"/>
  <c r="AD101" i="1"/>
  <c r="P101" i="1"/>
  <c r="AN100" i="1"/>
  <c r="AI100" i="1"/>
  <c r="AD100" i="1"/>
  <c r="AN99" i="1"/>
  <c r="AI99" i="1"/>
  <c r="AD99" i="1"/>
  <c r="AN98" i="1"/>
  <c r="AI98" i="1"/>
  <c r="AD98" i="1"/>
  <c r="P98" i="1"/>
  <c r="AN97" i="1"/>
  <c r="BL96" i="1"/>
  <c r="BK96" i="1"/>
  <c r="BJ96" i="1"/>
  <c r="BI96" i="1"/>
  <c r="BG96" i="1"/>
  <c r="BF96" i="1"/>
  <c r="BE96" i="1"/>
  <c r="BD96" i="1"/>
  <c r="BD102" i="1" s="1"/>
  <c r="BB96" i="1"/>
  <c r="BA96" i="1"/>
  <c r="BA102" i="1" s="1"/>
  <c r="AZ96" i="1"/>
  <c r="AY96" i="1"/>
  <c r="AY102" i="1" s="1"/>
  <c r="AW96" i="1"/>
  <c r="AV96" i="1"/>
  <c r="AU96" i="1"/>
  <c r="AT96" i="1"/>
  <c r="AR96" i="1"/>
  <c r="AQ96" i="1"/>
  <c r="AP96" i="1"/>
  <c r="AO96" i="1"/>
  <c r="AM96" i="1"/>
  <c r="AL96" i="1"/>
  <c r="AK96" i="1"/>
  <c r="AK102" i="1" s="1"/>
  <c r="AJ96" i="1"/>
  <c r="AI96" i="1"/>
  <c r="AH96" i="1"/>
  <c r="AG96" i="1"/>
  <c r="AG102" i="1" s="1"/>
  <c r="AF96" i="1"/>
  <c r="AE96" i="1"/>
  <c r="AC96" i="1"/>
  <c r="AB96" i="1"/>
  <c r="AA96" i="1"/>
  <c r="Z96" i="1"/>
  <c r="U96" i="1"/>
  <c r="P96" i="1"/>
  <c r="BI93" i="1"/>
  <c r="BD93" i="1"/>
  <c r="AY93" i="1"/>
  <c r="AT93" i="1"/>
  <c r="AO93" i="1"/>
  <c r="AJ93" i="1"/>
  <c r="AE93" i="1"/>
  <c r="Z93" i="1"/>
  <c r="U93" i="1"/>
  <c r="P93" i="1"/>
  <c r="K93" i="1"/>
  <c r="F93" i="1"/>
  <c r="E93" i="1"/>
  <c r="D93" i="1"/>
  <c r="C93" i="1"/>
  <c r="BI92" i="1"/>
  <c r="BD92" i="1"/>
  <c r="AY92" i="1"/>
  <c r="AT92" i="1"/>
  <c r="AO92" i="1"/>
  <c r="AJ92" i="1"/>
  <c r="AE92" i="1"/>
  <c r="Z92" i="1"/>
  <c r="U92" i="1"/>
  <c r="P92" i="1"/>
  <c r="K92" i="1"/>
  <c r="F92" i="1"/>
  <c r="E92" i="1"/>
  <c r="AT88" i="1"/>
  <c r="AO88" i="1"/>
  <c r="AJ88" i="1"/>
  <c r="AJ87" i="1" s="1"/>
  <c r="AE88" i="1"/>
  <c r="Z88" i="1"/>
  <c r="U88" i="1"/>
  <c r="U87" i="1" s="1"/>
  <c r="P88" i="1"/>
  <c r="P87" i="1" s="1"/>
  <c r="K88" i="1"/>
  <c r="AT87" i="1"/>
  <c r="AS87" i="1"/>
  <c r="AR87" i="1"/>
  <c r="AQ87" i="1"/>
  <c r="AP87" i="1"/>
  <c r="AN87" i="1"/>
  <c r="AM87" i="1"/>
  <c r="AL87" i="1"/>
  <c r="AK87" i="1"/>
  <c r="AI87" i="1"/>
  <c r="AH87" i="1"/>
  <c r="AG87" i="1"/>
  <c r="AF87" i="1"/>
  <c r="AD87" i="1"/>
  <c r="AC87" i="1"/>
  <c r="AB87" i="1"/>
  <c r="AA87" i="1"/>
  <c r="Z87" i="1"/>
  <c r="Y87" i="1"/>
  <c r="X87" i="1"/>
  <c r="W87" i="1"/>
  <c r="V87" i="1"/>
  <c r="T87" i="1"/>
  <c r="O87" i="1"/>
  <c r="AT86" i="1"/>
  <c r="AO86" i="1"/>
  <c r="AO87" i="1" s="1"/>
  <c r="AJ86" i="1"/>
  <c r="AE86" i="1"/>
  <c r="AE87" i="1" s="1"/>
  <c r="Z86" i="1"/>
  <c r="U86" i="1"/>
  <c r="P86" i="1"/>
  <c r="BL83" i="1"/>
  <c r="BK83" i="1"/>
  <c r="BJ83" i="1"/>
  <c r="BI83" i="1"/>
  <c r="BG83" i="1"/>
  <c r="BF83" i="1"/>
  <c r="BE83" i="1"/>
  <c r="BD83" i="1"/>
  <c r="BB83" i="1"/>
  <c r="BA83" i="1"/>
  <c r="AZ83" i="1"/>
  <c r="AY83" i="1"/>
  <c r="AX83" i="1"/>
  <c r="AW83" i="1"/>
  <c r="AV83" i="1"/>
  <c r="AU83" i="1"/>
  <c r="AT83" i="1"/>
  <c r="AR83" i="1"/>
  <c r="AQ83" i="1"/>
  <c r="AP83" i="1"/>
  <c r="AO83" i="1"/>
  <c r="AM83" i="1"/>
  <c r="AL83" i="1"/>
  <c r="AK83" i="1"/>
  <c r="AJ83" i="1"/>
  <c r="AH83" i="1"/>
  <c r="AG83" i="1"/>
  <c r="AF83" i="1"/>
  <c r="AE83" i="1"/>
  <c r="AC83" i="1"/>
  <c r="AB83" i="1"/>
  <c r="AA83" i="1"/>
  <c r="Z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C83" i="1"/>
  <c r="BH82" i="1"/>
  <c r="BC82" i="1"/>
  <c r="AX82" i="1"/>
  <c r="AS82" i="1"/>
  <c r="AN82" i="1"/>
  <c r="AI82" i="1"/>
  <c r="AD82" i="1"/>
  <c r="Y82" i="1"/>
  <c r="BH81" i="1"/>
  <c r="BH83" i="1" s="1"/>
  <c r="BC81" i="1"/>
  <c r="BC83" i="1" s="1"/>
  <c r="AX81" i="1"/>
  <c r="AS81" i="1"/>
  <c r="AS83" i="1" s="1"/>
  <c r="AN81" i="1"/>
  <c r="AN83" i="1" s="1"/>
  <c r="AI81" i="1"/>
  <c r="AI83" i="1" s="1"/>
  <c r="AD81" i="1"/>
  <c r="AD83" i="1" s="1"/>
  <c r="Y81" i="1"/>
  <c r="Y83" i="1" s="1"/>
  <c r="AP77" i="1"/>
  <c r="X77" i="1"/>
  <c r="R77" i="1"/>
  <c r="L77" i="1"/>
  <c r="AT76" i="1"/>
  <c r="AH76" i="1"/>
  <c r="AB76" i="1"/>
  <c r="V76" i="1"/>
  <c r="P76" i="1"/>
  <c r="AP74" i="1"/>
  <c r="AJ74" i="1"/>
  <c r="X74" i="1"/>
  <c r="R74" i="1"/>
  <c r="L74" i="1"/>
  <c r="AT73" i="1"/>
  <c r="AH73" i="1"/>
  <c r="AB73" i="1"/>
  <c r="V73" i="1"/>
  <c r="P73" i="1"/>
  <c r="AP71" i="1"/>
  <c r="AJ71" i="1"/>
  <c r="X71" i="1"/>
  <c r="R71" i="1"/>
  <c r="L71" i="1"/>
  <c r="AS68" i="1"/>
  <c r="AR68" i="1"/>
  <c r="AR77" i="1" s="1"/>
  <c r="AQ68" i="1"/>
  <c r="AP68" i="1"/>
  <c r="AN68" i="1"/>
  <c r="AM68" i="1"/>
  <c r="AL68" i="1"/>
  <c r="AK68" i="1"/>
  <c r="AK77" i="1" s="1"/>
  <c r="AI68" i="1"/>
  <c r="AH68" i="1"/>
  <c r="AH77" i="1" s="1"/>
  <c r="AG68" i="1"/>
  <c r="AF68" i="1"/>
  <c r="AD68" i="1"/>
  <c r="AC68" i="1"/>
  <c r="AB68" i="1"/>
  <c r="AB77" i="1" s="1"/>
  <c r="AA68" i="1"/>
  <c r="Y68" i="1"/>
  <c r="X68" i="1"/>
  <c r="W68" i="1"/>
  <c r="V68" i="1"/>
  <c r="V77" i="1" s="1"/>
  <c r="T68" i="1"/>
  <c r="S68" i="1"/>
  <c r="R68" i="1"/>
  <c r="Q68" i="1"/>
  <c r="O68" i="1"/>
  <c r="N68" i="1"/>
  <c r="N77" i="1" s="1"/>
  <c r="M68" i="1"/>
  <c r="L68" i="1"/>
  <c r="J68" i="1"/>
  <c r="I68" i="1"/>
  <c r="H68" i="1"/>
  <c r="G68" i="1"/>
  <c r="G77" i="1" s="1"/>
  <c r="AT67" i="1"/>
  <c r="AO67" i="1"/>
  <c r="AO76" i="1" s="1"/>
  <c r="AJ67" i="1"/>
  <c r="AJ76" i="1" s="1"/>
  <c r="AE67" i="1"/>
  <c r="Z67" i="1"/>
  <c r="U67" i="1"/>
  <c r="U76" i="1" s="1"/>
  <c r="P67" i="1"/>
  <c r="K67" i="1"/>
  <c r="K76" i="1" s="1"/>
  <c r="AT66" i="1"/>
  <c r="AT75" i="1" s="1"/>
  <c r="AO66" i="1"/>
  <c r="AJ66" i="1"/>
  <c r="AJ75" i="1" s="1"/>
  <c r="AE66" i="1"/>
  <c r="AE75" i="1" s="1"/>
  <c r="Z66" i="1"/>
  <c r="U66" i="1"/>
  <c r="U75" i="1" s="1"/>
  <c r="P66" i="1"/>
  <c r="P75" i="1" s="1"/>
  <c r="K66" i="1"/>
  <c r="AT65" i="1"/>
  <c r="AT74" i="1" s="1"/>
  <c r="AO65" i="1"/>
  <c r="AO74" i="1" s="1"/>
  <c r="AJ65" i="1"/>
  <c r="AE65" i="1"/>
  <c r="Z65" i="1"/>
  <c r="U65" i="1"/>
  <c r="P65" i="1"/>
  <c r="P74" i="1" s="1"/>
  <c r="K65" i="1"/>
  <c r="K74" i="1" s="1"/>
  <c r="AT64" i="1"/>
  <c r="AO64" i="1"/>
  <c r="AO73" i="1" s="1"/>
  <c r="AJ64" i="1"/>
  <c r="AJ73" i="1" s="1"/>
  <c r="AE64" i="1"/>
  <c r="Z64" i="1"/>
  <c r="U64" i="1"/>
  <c r="U73" i="1" s="1"/>
  <c r="P64" i="1"/>
  <c r="K64" i="1"/>
  <c r="K73" i="1" s="1"/>
  <c r="AT63" i="1"/>
  <c r="AT68" i="1" s="1"/>
  <c r="AT77" i="1" s="1"/>
  <c r="AO63" i="1"/>
  <c r="AJ63" i="1"/>
  <c r="AJ72" i="1" s="1"/>
  <c r="AE63" i="1"/>
  <c r="AE72" i="1" s="1"/>
  <c r="Z63" i="1"/>
  <c r="U63" i="1"/>
  <c r="U72" i="1" s="1"/>
  <c r="P63" i="1"/>
  <c r="P68" i="1" s="1"/>
  <c r="P77" i="1" s="1"/>
  <c r="K63" i="1"/>
  <c r="AT62" i="1"/>
  <c r="AT71" i="1" s="1"/>
  <c r="AO62" i="1"/>
  <c r="AO71" i="1" s="1"/>
  <c r="AJ62" i="1"/>
  <c r="AJ68" i="1" s="1"/>
  <c r="AJ77" i="1" s="1"/>
  <c r="AE62" i="1"/>
  <c r="Z62" i="1"/>
  <c r="Z68" i="1" s="1"/>
  <c r="U62" i="1"/>
  <c r="U68" i="1" s="1"/>
  <c r="U77" i="1" s="1"/>
  <c r="P62" i="1"/>
  <c r="P71" i="1" s="1"/>
  <c r="K62" i="1"/>
  <c r="K71" i="1" s="1"/>
  <c r="BI54" i="1"/>
  <c r="BI58" i="9" s="1"/>
  <c r="BD54" i="1"/>
  <c r="BD58" i="9" s="1"/>
  <c r="AY54" i="1"/>
  <c r="AY58" i="9" s="1"/>
  <c r="AS54" i="1"/>
  <c r="AS58" i="9" s="1"/>
  <c r="AR54" i="1"/>
  <c r="AR58" i="9" s="1"/>
  <c r="AQ54" i="1"/>
  <c r="AQ58" i="9" s="1"/>
  <c r="AP54" i="1"/>
  <c r="AP58" i="9" s="1"/>
  <c r="AO54" i="1"/>
  <c r="AO58" i="9" s="1"/>
  <c r="AN54" i="1"/>
  <c r="AN58" i="9" s="1"/>
  <c r="AM54" i="1"/>
  <c r="AM58" i="9" s="1"/>
  <c r="AL54" i="1"/>
  <c r="AL58" i="9" s="1"/>
  <c r="AK54" i="1"/>
  <c r="AK58" i="9" s="1"/>
  <c r="AI54" i="1"/>
  <c r="AI58" i="9" s="1"/>
  <c r="AH54" i="1"/>
  <c r="AH58" i="9" s="1"/>
  <c r="AG54" i="1"/>
  <c r="AG58" i="9" s="1"/>
  <c r="AF54" i="1"/>
  <c r="AF58" i="9" s="1"/>
  <c r="AD54" i="1"/>
  <c r="AD58" i="9" s="1"/>
  <c r="AC54" i="1"/>
  <c r="AC58" i="9" s="1"/>
  <c r="AB54" i="1"/>
  <c r="AB58" i="9" s="1"/>
  <c r="AA54" i="1"/>
  <c r="AA58" i="9" s="1"/>
  <c r="Y54" i="1"/>
  <c r="Y58" i="9" s="1"/>
  <c r="X54" i="1"/>
  <c r="X58" i="9" s="1"/>
  <c r="W54" i="1"/>
  <c r="W58" i="9" s="1"/>
  <c r="V54" i="1"/>
  <c r="V58" i="9" s="1"/>
  <c r="T54" i="1"/>
  <c r="T58" i="9" s="1"/>
  <c r="S54" i="1"/>
  <c r="S58" i="9" s="1"/>
  <c r="R54" i="1"/>
  <c r="R58" i="9" s="1"/>
  <c r="Q54" i="1"/>
  <c r="Q58" i="9" s="1"/>
  <c r="O54" i="1"/>
  <c r="O58" i="9" s="1"/>
  <c r="N54" i="1"/>
  <c r="N58" i="9" s="1"/>
  <c r="M54" i="1"/>
  <c r="M58" i="9" s="1"/>
  <c r="L54" i="1"/>
  <c r="L58" i="9" s="1"/>
  <c r="K54" i="1"/>
  <c r="K58" i="9" s="1"/>
  <c r="J54" i="1"/>
  <c r="J58" i="9" s="1"/>
  <c r="AT53" i="1"/>
  <c r="AT57" i="9" s="1"/>
  <c r="AO53" i="1"/>
  <c r="AO57" i="9" s="1"/>
  <c r="AJ53" i="1"/>
  <c r="AJ57" i="9" s="1"/>
  <c r="AE53" i="1"/>
  <c r="AE57" i="9" s="1"/>
  <c r="Z53" i="1"/>
  <c r="Z57" i="9" s="1"/>
  <c r="U53" i="1"/>
  <c r="U57" i="9" s="1"/>
  <c r="P53" i="1"/>
  <c r="P57" i="9" s="1"/>
  <c r="AT52" i="1"/>
  <c r="AT56" i="9" s="1"/>
  <c r="AO52" i="1"/>
  <c r="AO56" i="9" s="1"/>
  <c r="AJ52" i="1"/>
  <c r="AJ56" i="9" s="1"/>
  <c r="AE52" i="1"/>
  <c r="AE56" i="9" s="1"/>
  <c r="Z52" i="1"/>
  <c r="Z56" i="9" s="1"/>
  <c r="U52" i="1"/>
  <c r="U56" i="9" s="1"/>
  <c r="P52" i="1"/>
  <c r="P56" i="9" s="1"/>
  <c r="AT51" i="1"/>
  <c r="AT55" i="9" s="1"/>
  <c r="AO51" i="1"/>
  <c r="AO55" i="9" s="1"/>
  <c r="AJ51" i="1"/>
  <c r="AJ55" i="9" s="1"/>
  <c r="AE51" i="1"/>
  <c r="AE55" i="9" s="1"/>
  <c r="Z51" i="1"/>
  <c r="Z55" i="9" s="1"/>
  <c r="U51" i="1"/>
  <c r="U55" i="9" s="1"/>
  <c r="P51" i="1"/>
  <c r="P55" i="9" s="1"/>
  <c r="AO49" i="1"/>
  <c r="AO53" i="9" s="1"/>
  <c r="AJ49" i="1"/>
  <c r="AJ53" i="9" s="1"/>
  <c r="AE49" i="1"/>
  <c r="AE53" i="9" s="1"/>
  <c r="Z49" i="1"/>
  <c r="Z53" i="9" s="1"/>
  <c r="T49" i="1"/>
  <c r="T53" i="9" s="1"/>
  <c r="O49" i="1"/>
  <c r="O53" i="9" s="1"/>
  <c r="J49" i="1"/>
  <c r="J53" i="9" s="1"/>
  <c r="AT48" i="1"/>
  <c r="AN48" i="1"/>
  <c r="AJ48" i="1"/>
  <c r="Y48" i="1"/>
  <c r="AO47" i="1"/>
  <c r="AO52" i="9" s="1"/>
  <c r="AJ47" i="1"/>
  <c r="AJ52" i="9" s="1"/>
  <c r="AE47" i="1"/>
  <c r="AE52" i="9" s="1"/>
  <c r="Z47" i="1"/>
  <c r="Z52" i="9" s="1"/>
  <c r="T47" i="1"/>
  <c r="T52" i="9" s="1"/>
  <c r="O47" i="1"/>
  <c r="O52" i="9" s="1"/>
  <c r="J47" i="1"/>
  <c r="J52" i="9" s="1"/>
  <c r="AT46" i="1"/>
  <c r="AT50" i="9" s="1"/>
  <c r="AO46" i="1"/>
  <c r="AO50" i="9" s="1"/>
  <c r="AJ46" i="1"/>
  <c r="AJ50" i="9" s="1"/>
  <c r="AE46" i="1"/>
  <c r="AE50" i="9" s="1"/>
  <c r="Z46" i="1"/>
  <c r="Z50" i="9" s="1"/>
  <c r="T46" i="1"/>
  <c r="T50" i="9" s="1"/>
  <c r="O46" i="1"/>
  <c r="O50" i="9" s="1"/>
  <c r="J46" i="1"/>
  <c r="J50" i="9" s="1"/>
  <c r="AV39" i="1"/>
  <c r="AV44" i="9" s="1"/>
  <c r="AI39" i="1"/>
  <c r="AI44" i="9" s="1"/>
  <c r="AC39" i="1"/>
  <c r="BH38" i="1"/>
  <c r="BH43" i="9" s="1"/>
  <c r="BC38" i="1"/>
  <c r="BC43" i="9" s="1"/>
  <c r="BB38" i="1"/>
  <c r="BB43" i="9" s="1"/>
  <c r="AW38" i="1"/>
  <c r="AW43" i="9" s="1"/>
  <c r="AV38" i="1"/>
  <c r="AV43" i="9" s="1"/>
  <c r="AQ38" i="1"/>
  <c r="AQ43" i="9" s="1"/>
  <c r="AF38" i="1"/>
  <c r="AF43" i="9" s="1"/>
  <c r="BC37" i="1"/>
  <c r="AX37" i="1"/>
  <c r="AW37" i="1"/>
  <c r="AR37" i="1"/>
  <c r="AQ37" i="1"/>
  <c r="AL37" i="1"/>
  <c r="AF37" i="1"/>
  <c r="AF42" i="9" s="1"/>
  <c r="BJ35" i="1"/>
  <c r="AX35" i="1"/>
  <c r="AW35" i="1"/>
  <c r="AW40" i="9" s="1"/>
  <c r="AV35" i="1"/>
  <c r="AV40" i="9" s="1"/>
  <c r="AS35" i="1"/>
  <c r="AS40" i="9" s="1"/>
  <c r="AR35" i="1"/>
  <c r="AQ35" i="1"/>
  <c r="AQ40" i="9" s="1"/>
  <c r="AN35" i="1"/>
  <c r="AN40" i="9" s="1"/>
  <c r="AM35" i="1"/>
  <c r="AL35" i="1"/>
  <c r="AI35" i="1"/>
  <c r="AI40" i="9" s="1"/>
  <c r="AH35" i="1"/>
  <c r="AH40" i="9" s="1"/>
  <c r="AG35" i="1"/>
  <c r="AF35" i="1"/>
  <c r="AD35" i="1"/>
  <c r="AC35" i="1"/>
  <c r="AB35" i="1"/>
  <c r="AB39" i="1" s="1"/>
  <c r="AA35" i="1"/>
  <c r="BM34" i="1"/>
  <c r="BM39" i="9" s="1"/>
  <c r="BL34" i="1"/>
  <c r="BK34" i="1"/>
  <c r="BK39" i="9" s="1"/>
  <c r="BH34" i="1"/>
  <c r="BH39" i="9" s="1"/>
  <c r="BG34" i="1"/>
  <c r="BF34" i="1"/>
  <c r="BC34" i="1"/>
  <c r="BC39" i="9" s="1"/>
  <c r="BB34" i="1"/>
  <c r="BB39" i="9" s="1"/>
  <c r="BA34" i="1"/>
  <c r="AZ34" i="1"/>
  <c r="AX34" i="1"/>
  <c r="AX39" i="9" s="1"/>
  <c r="AW34" i="1"/>
  <c r="AW39" i="9" s="1"/>
  <c r="AV34" i="1"/>
  <c r="AV39" i="9" s="1"/>
  <c r="AU34" i="1"/>
  <c r="AS34" i="1"/>
  <c r="AS39" i="9" s="1"/>
  <c r="AR34" i="1"/>
  <c r="AR39" i="9" s="1"/>
  <c r="AQ34" i="1"/>
  <c r="AQ39" i="9" s="1"/>
  <c r="AN34" i="1"/>
  <c r="AM34" i="1"/>
  <c r="AM39" i="9" s="1"/>
  <c r="AL34" i="1"/>
  <c r="AL39" i="9" s="1"/>
  <c r="AI34" i="1"/>
  <c r="AH34" i="1"/>
  <c r="AG34" i="1"/>
  <c r="AG39" i="9" s="1"/>
  <c r="BM33" i="1"/>
  <c r="BL33" i="1"/>
  <c r="BK33" i="1"/>
  <c r="BK38" i="9" s="1"/>
  <c r="BH33" i="1"/>
  <c r="BH38" i="9" s="1"/>
  <c r="BG33" i="1"/>
  <c r="BF33" i="1"/>
  <c r="BC33" i="1"/>
  <c r="BC38" i="9" s="1"/>
  <c r="BB33" i="1"/>
  <c r="BB38" i="9" s="1"/>
  <c r="BA33" i="1"/>
  <c r="AZ33" i="1"/>
  <c r="AX33" i="1"/>
  <c r="AX38" i="9" s="1"/>
  <c r="AW33" i="1"/>
  <c r="AW38" i="9" s="1"/>
  <c r="AV33" i="1"/>
  <c r="AV38" i="9" s="1"/>
  <c r="AU33" i="1"/>
  <c r="AS33" i="1"/>
  <c r="AS38" i="9" s="1"/>
  <c r="AR33" i="1"/>
  <c r="AR38" i="9" s="1"/>
  <c r="AQ33" i="1"/>
  <c r="AQ38" i="9" s="1"/>
  <c r="AN33" i="1"/>
  <c r="AM33" i="1"/>
  <c r="AM38" i="9" s="1"/>
  <c r="AL33" i="1"/>
  <c r="AL38" i="9" s="1"/>
  <c r="AI33" i="1"/>
  <c r="AH33" i="1"/>
  <c r="AG33" i="1"/>
  <c r="AG38" i="9" s="1"/>
  <c r="BL31" i="1"/>
  <c r="BL36" i="9" s="1"/>
  <c r="BG31" i="1"/>
  <c r="BG36" i="9" s="1"/>
  <c r="BF31" i="1"/>
  <c r="BF36" i="9" s="1"/>
  <c r="BA31" i="1"/>
  <c r="BA36" i="9" s="1"/>
  <c r="AZ31" i="1"/>
  <c r="AZ36" i="9" s="1"/>
  <c r="AX31" i="1"/>
  <c r="AX36" i="9" s="1"/>
  <c r="AW31" i="1"/>
  <c r="AW36" i="9" s="1"/>
  <c r="AV31" i="1"/>
  <c r="AV36" i="9" s="1"/>
  <c r="AU31" i="1"/>
  <c r="AU36" i="9" s="1"/>
  <c r="AS31" i="1"/>
  <c r="AS36" i="9" s="1"/>
  <c r="AR31" i="1"/>
  <c r="AR36" i="9" s="1"/>
  <c r="AQ31" i="1"/>
  <c r="AQ36" i="9" s="1"/>
  <c r="AP31" i="1"/>
  <c r="AP36" i="9" s="1"/>
  <c r="AO31" i="1"/>
  <c r="AO36" i="9" s="1"/>
  <c r="AN31" i="1"/>
  <c r="AN36" i="9" s="1"/>
  <c r="AM31" i="1"/>
  <c r="AM36" i="9" s="1"/>
  <c r="AL31" i="1"/>
  <c r="AL36" i="9" s="1"/>
  <c r="AK31" i="1"/>
  <c r="AK36" i="9" s="1"/>
  <c r="AI31" i="1"/>
  <c r="AI36" i="9" s="1"/>
  <c r="AH31" i="1"/>
  <c r="AH36" i="9" s="1"/>
  <c r="AG31" i="1"/>
  <c r="AG36" i="9" s="1"/>
  <c r="AF31" i="1"/>
  <c r="AF36" i="9" s="1"/>
  <c r="BL30" i="1"/>
  <c r="BL35" i="9" s="1"/>
  <c r="BK30" i="1"/>
  <c r="BK35" i="9" s="1"/>
  <c r="BJ30" i="1"/>
  <c r="BJ35" i="9" s="1"/>
  <c r="BH30" i="1"/>
  <c r="BH35" i="9" s="1"/>
  <c r="BG30" i="1"/>
  <c r="BG35" i="9" s="1"/>
  <c r="BF30" i="1"/>
  <c r="BF35" i="9" s="1"/>
  <c r="BE30" i="1"/>
  <c r="BE35" i="9" s="1"/>
  <c r="BC30" i="1"/>
  <c r="BC35" i="9" s="1"/>
  <c r="BB30" i="1"/>
  <c r="BB35" i="9" s="1"/>
  <c r="BA30" i="1"/>
  <c r="BA35" i="9" s="1"/>
  <c r="AZ30" i="1"/>
  <c r="AZ35" i="9" s="1"/>
  <c r="AX30" i="1"/>
  <c r="AX35" i="9" s="1"/>
  <c r="AW30" i="1"/>
  <c r="AW35" i="9" s="1"/>
  <c r="AV30" i="1"/>
  <c r="AV35" i="9" s="1"/>
  <c r="AU30" i="1"/>
  <c r="AU35" i="9" s="1"/>
  <c r="AS30" i="1"/>
  <c r="AS35" i="9" s="1"/>
  <c r="AR30" i="1"/>
  <c r="AR35" i="9" s="1"/>
  <c r="AQ30" i="1"/>
  <c r="AQ35" i="9" s="1"/>
  <c r="AP30" i="1"/>
  <c r="AP35" i="9" s="1"/>
  <c r="AO30" i="1"/>
  <c r="AO35" i="9" s="1"/>
  <c r="AN30" i="1"/>
  <c r="AN35" i="9" s="1"/>
  <c r="AM30" i="1"/>
  <c r="AM35" i="9" s="1"/>
  <c r="AL30" i="1"/>
  <c r="AL35" i="9" s="1"/>
  <c r="AK30" i="1"/>
  <c r="AK35" i="9" s="1"/>
  <c r="BL29" i="1"/>
  <c r="BL34" i="9" s="1"/>
  <c r="BK29" i="1"/>
  <c r="BK34" i="9" s="1"/>
  <c r="BJ29" i="1"/>
  <c r="BJ34" i="9" s="1"/>
  <c r="BH29" i="1"/>
  <c r="BH34" i="9" s="1"/>
  <c r="BG29" i="1"/>
  <c r="BG34" i="9" s="1"/>
  <c r="BF29" i="1"/>
  <c r="BF34" i="9" s="1"/>
  <c r="BE29" i="1"/>
  <c r="BE34" i="9" s="1"/>
  <c r="BC29" i="1"/>
  <c r="BC34" i="9" s="1"/>
  <c r="BB29" i="1"/>
  <c r="BB34" i="9" s="1"/>
  <c r="BA29" i="1"/>
  <c r="BA34" i="9" s="1"/>
  <c r="AZ29" i="1"/>
  <c r="AZ34" i="9" s="1"/>
  <c r="AX29" i="1"/>
  <c r="AX34" i="9" s="1"/>
  <c r="AW29" i="1"/>
  <c r="AW34" i="9" s="1"/>
  <c r="AV29" i="1"/>
  <c r="AV34" i="9" s="1"/>
  <c r="AU29" i="1"/>
  <c r="AU34" i="9" s="1"/>
  <c r="AS29" i="1"/>
  <c r="AS34" i="9" s="1"/>
  <c r="AR29" i="1"/>
  <c r="AR34" i="9" s="1"/>
  <c r="AQ29" i="1"/>
  <c r="AQ34" i="9" s="1"/>
  <c r="AP29" i="1"/>
  <c r="AP34" i="9" s="1"/>
  <c r="AO29" i="1"/>
  <c r="AO34" i="9" s="1"/>
  <c r="AN29" i="1"/>
  <c r="AN34" i="9" s="1"/>
  <c r="AM29" i="1"/>
  <c r="AM34" i="9" s="1"/>
  <c r="AL29" i="1"/>
  <c r="AL34" i="9" s="1"/>
  <c r="AK29" i="1"/>
  <c r="AK34" i="9" s="1"/>
  <c r="BP27" i="1"/>
  <c r="BO27" i="1"/>
  <c r="BL27" i="1"/>
  <c r="BL32" i="9" s="1"/>
  <c r="BK27" i="1"/>
  <c r="BK32" i="9" s="1"/>
  <c r="BJ27" i="1"/>
  <c r="BK35" i="1" s="1"/>
  <c r="BK40" i="9" s="1"/>
  <c r="BI27" i="1"/>
  <c r="BH27" i="1"/>
  <c r="BH32" i="9" s="1"/>
  <c r="BG27" i="1"/>
  <c r="BG32" i="9" s="1"/>
  <c r="BF27" i="1"/>
  <c r="BF32" i="9" s="1"/>
  <c r="BE27" i="1"/>
  <c r="BE32" i="9" s="1"/>
  <c r="BD27" i="1"/>
  <c r="BE35" i="1" s="1"/>
  <c r="BC27" i="1"/>
  <c r="BB27" i="1"/>
  <c r="BB32" i="9" s="1"/>
  <c r="BA27" i="1"/>
  <c r="BA32" i="9" s="1"/>
  <c r="AY27" i="1"/>
  <c r="AY32" i="9" s="1"/>
  <c r="AT27" i="1"/>
  <c r="AT32" i="9" s="1"/>
  <c r="AO27" i="1"/>
  <c r="AJ27" i="1"/>
  <c r="AE27" i="1"/>
  <c r="AE31" i="1" s="1"/>
  <c r="Y27" i="1"/>
  <c r="Y35" i="1" s="1"/>
  <c r="Y39" i="1" s="1"/>
  <c r="BQ26" i="1"/>
  <c r="BQ31" i="9" s="1"/>
  <c r="BP26" i="1"/>
  <c r="BP31" i="9" s="1"/>
  <c r="BO26" i="1"/>
  <c r="BO31" i="9" s="1"/>
  <c r="BM26" i="1"/>
  <c r="BI26" i="1"/>
  <c r="BI31" i="9" s="1"/>
  <c r="BD26" i="1"/>
  <c r="BD31" i="9" s="1"/>
  <c r="AY26" i="1"/>
  <c r="AY31" i="9" s="1"/>
  <c r="AT26" i="1"/>
  <c r="AT31" i="9" s="1"/>
  <c r="AO26" i="1"/>
  <c r="AJ26" i="1"/>
  <c r="BR25" i="1"/>
  <c r="BQ25" i="1"/>
  <c r="BP25" i="1"/>
  <c r="BP30" i="9" s="1"/>
  <c r="BO25" i="1"/>
  <c r="BO30" i="9" s="1"/>
  <c r="BM25" i="1"/>
  <c r="BM30" i="9" s="1"/>
  <c r="BI25" i="1"/>
  <c r="BD25" i="1"/>
  <c r="AY25" i="1"/>
  <c r="AY30" i="9" s="1"/>
  <c r="AT25" i="1"/>
  <c r="AT30" i="9" s="1"/>
  <c r="AO25" i="1"/>
  <c r="AO30" i="9" s="1"/>
  <c r="AJ25" i="1"/>
  <c r="AJ30" i="9" s="1"/>
  <c r="BJ22" i="1"/>
  <c r="BJ28" i="9" s="1"/>
  <c r="AW22" i="1"/>
  <c r="AW28" i="9" s="1"/>
  <c r="AV22" i="1"/>
  <c r="AV28" i="9" s="1"/>
  <c r="AU22" i="1"/>
  <c r="AU28" i="9" s="1"/>
  <c r="AT22" i="1"/>
  <c r="AT28" i="9" s="1"/>
  <c r="AR22" i="1"/>
  <c r="AQ22" i="1"/>
  <c r="AP22" i="1"/>
  <c r="AP28" i="9" s="1"/>
  <c r="AO22" i="1"/>
  <c r="AO28" i="9" s="1"/>
  <c r="AM22" i="1"/>
  <c r="AM28" i="9" s="1"/>
  <c r="AL22" i="1"/>
  <c r="AK22" i="1"/>
  <c r="AJ22" i="1"/>
  <c r="AJ28" i="9" s="1"/>
  <c r="AH22" i="1"/>
  <c r="AH28" i="9" s="1"/>
  <c r="AG22" i="1"/>
  <c r="AG28" i="9" s="1"/>
  <c r="AF22" i="1"/>
  <c r="AE22" i="1"/>
  <c r="AC22" i="1"/>
  <c r="AC28" i="9" s="1"/>
  <c r="AB22" i="1"/>
  <c r="AB28" i="9" s="1"/>
  <c r="AA22" i="1"/>
  <c r="AA28" i="9" s="1"/>
  <c r="Z22" i="1"/>
  <c r="Z13" i="1" s="1"/>
  <c r="Z20" i="9" s="1"/>
  <c r="Y22" i="1"/>
  <c r="X22" i="1"/>
  <c r="X28" i="9" s="1"/>
  <c r="W22" i="1"/>
  <c r="W28" i="9" s="1"/>
  <c r="V22" i="1"/>
  <c r="V28" i="9" s="1"/>
  <c r="U22" i="1"/>
  <c r="U28" i="9" s="1"/>
  <c r="S22" i="1"/>
  <c r="R22" i="1"/>
  <c r="R28" i="9" s="1"/>
  <c r="Q22" i="1"/>
  <c r="Q28" i="9" s="1"/>
  <c r="P22" i="1"/>
  <c r="P28" i="9" s="1"/>
  <c r="N22" i="1"/>
  <c r="M22" i="1"/>
  <c r="L22" i="1"/>
  <c r="L28" i="9" s="1"/>
  <c r="K22" i="1"/>
  <c r="K28" i="9" s="1"/>
  <c r="I22" i="1"/>
  <c r="I28" i="9" s="1"/>
  <c r="H22" i="1"/>
  <c r="G22" i="1"/>
  <c r="F22" i="1"/>
  <c r="F28" i="9" s="1"/>
  <c r="E22" i="1"/>
  <c r="E28" i="9" s="1"/>
  <c r="D22" i="1"/>
  <c r="D28" i="9" s="1"/>
  <c r="C22" i="1"/>
  <c r="C28" i="9" s="1"/>
  <c r="BQ21" i="1"/>
  <c r="BQ27" i="9" s="1"/>
  <c r="BP21" i="1"/>
  <c r="BP27" i="9" s="1"/>
  <c r="BO21" i="1"/>
  <c r="BH21" i="1"/>
  <c r="BH27" i="9" s="1"/>
  <c r="BC21" i="1"/>
  <c r="BC27" i="9" s="1"/>
  <c r="AX21" i="1"/>
  <c r="AS21" i="1"/>
  <c r="AN21" i="1"/>
  <c r="AN27" i="9" s="1"/>
  <c r="AI21" i="1"/>
  <c r="AI27" i="9" s="1"/>
  <c r="AD21" i="1"/>
  <c r="AD27" i="9" s="1"/>
  <c r="T21" i="1"/>
  <c r="T27" i="9" s="1"/>
  <c r="O21" i="1"/>
  <c r="J21" i="1"/>
  <c r="J27" i="9" s="1"/>
  <c r="AD20" i="1"/>
  <c r="AD26" i="9" s="1"/>
  <c r="T20" i="1"/>
  <c r="T26" i="9" s="1"/>
  <c r="O20" i="1"/>
  <c r="O26" i="9" s="1"/>
  <c r="J20" i="1"/>
  <c r="J26" i="9" s="1"/>
  <c r="BH19" i="1"/>
  <c r="BC19" i="1"/>
  <c r="BC22" i="1" s="1"/>
  <c r="AX19" i="1"/>
  <c r="AS19" i="1"/>
  <c r="AS25" i="9" s="1"/>
  <c r="AN19" i="1"/>
  <c r="AN25" i="9" s="1"/>
  <c r="AI19" i="1"/>
  <c r="AI25" i="9" s="1"/>
  <c r="AD19" i="1"/>
  <c r="T19" i="1"/>
  <c r="O19" i="1"/>
  <c r="O25" i="9" s="1"/>
  <c r="BL18" i="1"/>
  <c r="BK18" i="1"/>
  <c r="BJ18" i="1"/>
  <c r="BH18" i="1"/>
  <c r="BG18" i="1"/>
  <c r="BF18" i="1"/>
  <c r="BE18" i="1"/>
  <c r="BC18" i="1"/>
  <c r="BB18" i="1"/>
  <c r="BA18" i="1"/>
  <c r="AZ18" i="1"/>
  <c r="AY18" i="1"/>
  <c r="AS18" i="1"/>
  <c r="AN18" i="1"/>
  <c r="AI18" i="1"/>
  <c r="AD18" i="1"/>
  <c r="T18" i="1"/>
  <c r="O18" i="1"/>
  <c r="O22" i="1" s="1"/>
  <c r="J18" i="1"/>
  <c r="BI17" i="1"/>
  <c r="BI23" i="9" s="1"/>
  <c r="BD17" i="1"/>
  <c r="BD23" i="9" s="1"/>
  <c r="AY17" i="1"/>
  <c r="AY23" i="9" s="1"/>
  <c r="AT17" i="1"/>
  <c r="AT23" i="9" s="1"/>
  <c r="AO17" i="1"/>
  <c r="AJ17" i="1"/>
  <c r="BI16" i="1"/>
  <c r="BD16" i="1"/>
  <c r="BD22" i="9" s="1"/>
  <c r="AY16" i="1"/>
  <c r="AY22" i="9" s="1"/>
  <c r="AT16" i="1"/>
  <c r="AT22" i="9" s="1"/>
  <c r="AO16" i="1"/>
  <c r="AO22" i="9" s="1"/>
  <c r="AJ16" i="1"/>
  <c r="AJ22" i="9" s="1"/>
  <c r="AW13" i="1"/>
  <c r="AW20" i="9" s="1"/>
  <c r="AU13" i="1"/>
  <c r="AU20" i="9" s="1"/>
  <c r="AT13" i="1"/>
  <c r="AT20" i="9" s="1"/>
  <c r="AR13" i="1"/>
  <c r="AR20" i="9" s="1"/>
  <c r="AQ13" i="1"/>
  <c r="AQ20" i="9" s="1"/>
  <c r="AO13" i="1"/>
  <c r="AO20" i="9" s="1"/>
  <c r="AM13" i="1"/>
  <c r="AM20" i="9" s="1"/>
  <c r="AL13" i="1"/>
  <c r="AL20" i="9" s="1"/>
  <c r="AH13" i="1"/>
  <c r="AH20" i="9" s="1"/>
  <c r="AG13" i="1"/>
  <c r="AG20" i="9" s="1"/>
  <c r="AF13" i="1"/>
  <c r="AF20" i="9" s="1"/>
  <c r="AC13" i="1"/>
  <c r="AC20" i="9" s="1"/>
  <c r="AB13" i="1"/>
  <c r="AB20" i="9" s="1"/>
  <c r="AA13" i="1"/>
  <c r="AA20" i="9" s="1"/>
  <c r="W13" i="1"/>
  <c r="W20" i="9" s="1"/>
  <c r="V13" i="1"/>
  <c r="V20" i="9" s="1"/>
  <c r="U13" i="1"/>
  <c r="U20" i="9" s="1"/>
  <c r="S13" i="1"/>
  <c r="S20" i="9" s="1"/>
  <c r="Q13" i="1"/>
  <c r="Q20" i="9" s="1"/>
  <c r="P13" i="1"/>
  <c r="P20" i="9" s="1"/>
  <c r="N13" i="1"/>
  <c r="N20" i="9" s="1"/>
  <c r="K13" i="1"/>
  <c r="K20" i="9" s="1"/>
  <c r="F13" i="1"/>
  <c r="F20" i="9" s="1"/>
  <c r="E13" i="1"/>
  <c r="E20" i="9" s="1"/>
  <c r="D13" i="1"/>
  <c r="D20" i="9" s="1"/>
  <c r="BL12" i="1"/>
  <c r="BL19" i="9" s="1"/>
  <c r="BK12" i="1"/>
  <c r="BK19" i="9" s="1"/>
  <c r="BJ12" i="1"/>
  <c r="BJ19" i="9" s="1"/>
  <c r="BI12" i="1"/>
  <c r="BI19" i="9" s="1"/>
  <c r="BH12" i="1"/>
  <c r="BH19" i="9" s="1"/>
  <c r="BG12" i="1"/>
  <c r="BG19" i="9" s="1"/>
  <c r="BF12" i="1"/>
  <c r="BF19" i="9" s="1"/>
  <c r="BE12" i="1"/>
  <c r="BE19" i="9" s="1"/>
  <c r="BD12" i="1"/>
  <c r="BD19" i="9" s="1"/>
  <c r="BC12" i="1"/>
  <c r="BC19" i="9" s="1"/>
  <c r="BB12" i="1"/>
  <c r="BB19" i="9" s="1"/>
  <c r="BA12" i="1"/>
  <c r="BA19" i="9" s="1"/>
  <c r="AZ12" i="1"/>
  <c r="AZ19" i="9" s="1"/>
  <c r="AY12" i="1"/>
  <c r="AY19" i="9" s="1"/>
  <c r="AW12" i="1"/>
  <c r="AW19" i="9" s="1"/>
  <c r="AV12" i="1"/>
  <c r="AV19" i="9" s="1"/>
  <c r="AU12" i="1"/>
  <c r="AU19" i="9" s="1"/>
  <c r="AT12" i="1"/>
  <c r="AT19" i="9" s="1"/>
  <c r="AR12" i="1"/>
  <c r="AR19" i="9" s="1"/>
  <c r="AQ12" i="1"/>
  <c r="AQ19" i="9" s="1"/>
  <c r="AP12" i="1"/>
  <c r="AP19" i="9" s="1"/>
  <c r="AO12" i="1"/>
  <c r="AO19" i="9" s="1"/>
  <c r="AN12" i="1"/>
  <c r="AN19" i="9" s="1"/>
  <c r="AM12" i="1"/>
  <c r="AM19" i="9" s="1"/>
  <c r="AL12" i="1"/>
  <c r="AL19" i="9" s="1"/>
  <c r="AK12" i="1"/>
  <c r="AK19" i="9" s="1"/>
  <c r="AJ12" i="1"/>
  <c r="AJ19" i="9" s="1"/>
  <c r="AI12" i="1"/>
  <c r="AI19" i="9" s="1"/>
  <c r="AH12" i="1"/>
  <c r="AH19" i="9" s="1"/>
  <c r="AG12" i="1"/>
  <c r="AG19" i="9" s="1"/>
  <c r="AF12" i="1"/>
  <c r="AF19" i="9" s="1"/>
  <c r="AE12" i="1"/>
  <c r="AE19" i="9" s="1"/>
  <c r="AD12" i="1"/>
  <c r="AD19" i="9" s="1"/>
  <c r="AC12" i="1"/>
  <c r="AC19" i="9" s="1"/>
  <c r="AB12" i="1"/>
  <c r="AB19" i="9" s="1"/>
  <c r="AA12" i="1"/>
  <c r="AA19" i="9" s="1"/>
  <c r="Z12" i="1"/>
  <c r="Z19" i="9" s="1"/>
  <c r="Y12" i="1"/>
  <c r="Y19" i="9" s="1"/>
  <c r="X12" i="1"/>
  <c r="X19" i="9" s="1"/>
  <c r="W12" i="1"/>
  <c r="W19" i="9" s="1"/>
  <c r="V12" i="1"/>
  <c r="V19" i="9" s="1"/>
  <c r="U12" i="1"/>
  <c r="U19" i="9" s="1"/>
  <c r="S12" i="1"/>
  <c r="S19" i="9" s="1"/>
  <c r="R12" i="1"/>
  <c r="R19" i="9" s="1"/>
  <c r="Q12" i="1"/>
  <c r="Q19" i="9" s="1"/>
  <c r="P12" i="1"/>
  <c r="P19" i="9" s="1"/>
  <c r="N12" i="1"/>
  <c r="N19" i="9" s="1"/>
  <c r="M12" i="1"/>
  <c r="M19" i="9" s="1"/>
  <c r="L12" i="1"/>
  <c r="L19" i="9" s="1"/>
  <c r="K12" i="1"/>
  <c r="K19" i="9" s="1"/>
  <c r="F12" i="1"/>
  <c r="F19" i="9" s="1"/>
  <c r="E12" i="1"/>
  <c r="E19" i="9" s="1"/>
  <c r="D12" i="1"/>
  <c r="D19" i="9" s="1"/>
  <c r="U11" i="1"/>
  <c r="U18" i="9" s="1"/>
  <c r="T11" i="1"/>
  <c r="T18" i="9" s="1"/>
  <c r="S11" i="1"/>
  <c r="S18" i="9" s="1"/>
  <c r="R11" i="1"/>
  <c r="R18" i="9" s="1"/>
  <c r="Q11" i="1"/>
  <c r="Q18" i="9" s="1"/>
  <c r="P11" i="1"/>
  <c r="P18" i="9" s="1"/>
  <c r="O11" i="1"/>
  <c r="O18" i="9" s="1"/>
  <c r="N11" i="1"/>
  <c r="N18" i="9" s="1"/>
  <c r="M11" i="1"/>
  <c r="M18" i="9" s="1"/>
  <c r="L11" i="1"/>
  <c r="L18" i="9" s="1"/>
  <c r="K11" i="1"/>
  <c r="K18" i="9" s="1"/>
  <c r="F11" i="1"/>
  <c r="F18" i="9" s="1"/>
  <c r="E11" i="1"/>
  <c r="E18" i="9" s="1"/>
  <c r="D11" i="1"/>
  <c r="D18" i="9" s="1"/>
  <c r="BI10" i="1"/>
  <c r="BI17" i="9" s="1"/>
  <c r="BG10" i="1"/>
  <c r="BG17" i="9" s="1"/>
  <c r="BF10" i="1"/>
  <c r="BF17" i="9" s="1"/>
  <c r="BE10" i="1"/>
  <c r="BE17" i="9" s="1"/>
  <c r="BD10" i="1"/>
  <c r="BD17" i="9" s="1"/>
  <c r="BB10" i="1"/>
  <c r="BB17" i="9" s="1"/>
  <c r="BA10" i="1"/>
  <c r="BA17" i="9" s="1"/>
  <c r="AZ10" i="1"/>
  <c r="AZ17" i="9" s="1"/>
  <c r="AY10" i="1"/>
  <c r="AY17" i="9" s="1"/>
  <c r="AX10" i="1"/>
  <c r="AX17" i="9" s="1"/>
  <c r="AW10" i="1"/>
  <c r="AW17" i="9" s="1"/>
  <c r="AV10" i="1"/>
  <c r="AV17" i="9" s="1"/>
  <c r="AU10" i="1"/>
  <c r="AU17" i="9" s="1"/>
  <c r="AT10" i="1"/>
  <c r="AT17" i="9" s="1"/>
  <c r="AS10" i="1"/>
  <c r="AS17" i="9" s="1"/>
  <c r="AR10" i="1"/>
  <c r="AR17" i="9" s="1"/>
  <c r="AQ10" i="1"/>
  <c r="AQ17" i="9" s="1"/>
  <c r="AP10" i="1"/>
  <c r="AP17" i="9" s="1"/>
  <c r="AO10" i="1"/>
  <c r="AO17" i="9" s="1"/>
  <c r="AN10" i="1"/>
  <c r="AN17" i="9" s="1"/>
  <c r="AM10" i="1"/>
  <c r="AM17" i="9" s="1"/>
  <c r="AL10" i="1"/>
  <c r="AL17" i="9" s="1"/>
  <c r="AK10" i="1"/>
  <c r="AK17" i="9" s="1"/>
  <c r="AJ10" i="1"/>
  <c r="AJ17" i="9" s="1"/>
  <c r="AH10" i="1"/>
  <c r="AH17" i="9" s="1"/>
  <c r="AG10" i="1"/>
  <c r="AG17" i="9" s="1"/>
  <c r="AF10" i="1"/>
  <c r="AF17" i="9" s="1"/>
  <c r="AE10" i="1"/>
  <c r="AE17" i="9" s="1"/>
  <c r="AC10" i="1"/>
  <c r="AC17" i="9" s="1"/>
  <c r="AB10" i="1"/>
  <c r="AB17" i="9" s="1"/>
  <c r="AA10" i="1"/>
  <c r="AA17" i="9" s="1"/>
  <c r="Z10" i="1"/>
  <c r="Z17" i="9" s="1"/>
  <c r="X10" i="1"/>
  <c r="X17" i="9" s="1"/>
  <c r="W10" i="1"/>
  <c r="W17" i="9" s="1"/>
  <c r="V10" i="1"/>
  <c r="V17" i="9" s="1"/>
  <c r="U10" i="1"/>
  <c r="U17" i="9" s="1"/>
  <c r="T10" i="1"/>
  <c r="T17" i="9" s="1"/>
  <c r="S10" i="1"/>
  <c r="S17" i="9" s="1"/>
  <c r="R10" i="1"/>
  <c r="R17" i="9" s="1"/>
  <c r="BJ9" i="1"/>
  <c r="BJ16" i="9" s="1"/>
  <c r="BH9" i="1"/>
  <c r="BH16" i="9" s="1"/>
  <c r="BG9" i="1"/>
  <c r="BG16" i="9" s="1"/>
  <c r="BC9" i="1"/>
  <c r="BC16" i="9" s="1"/>
  <c r="BB9" i="1"/>
  <c r="BB16" i="9" s="1"/>
  <c r="BA9" i="1"/>
  <c r="BA16" i="9" s="1"/>
  <c r="AY9" i="1"/>
  <c r="AY16" i="9" s="1"/>
  <c r="AX9" i="1"/>
  <c r="AX16" i="9" s="1"/>
  <c r="AW9" i="1"/>
  <c r="AW16" i="9" s="1"/>
  <c r="AV9" i="1"/>
  <c r="AV16" i="9" s="1"/>
  <c r="AU9" i="1"/>
  <c r="AU16" i="9" s="1"/>
  <c r="AT9" i="1"/>
  <c r="AT16" i="9" s="1"/>
  <c r="AS9" i="1"/>
  <c r="AS16" i="9" s="1"/>
  <c r="AR9" i="1"/>
  <c r="AR16" i="9" s="1"/>
  <c r="AQ9" i="1"/>
  <c r="AQ16" i="9" s="1"/>
  <c r="AP9" i="1"/>
  <c r="AP16" i="9" s="1"/>
  <c r="AO9" i="1"/>
  <c r="AO16" i="9" s="1"/>
  <c r="AN9" i="1"/>
  <c r="AN16" i="9" s="1"/>
  <c r="AM9" i="1"/>
  <c r="AM16" i="9" s="1"/>
  <c r="AL9" i="1"/>
  <c r="AL16" i="9" s="1"/>
  <c r="AK9" i="1"/>
  <c r="AK16" i="9" s="1"/>
  <c r="AJ9" i="1"/>
  <c r="AJ16" i="9" s="1"/>
  <c r="AI9" i="1"/>
  <c r="AI16" i="9" s="1"/>
  <c r="AH9" i="1"/>
  <c r="AH16" i="9" s="1"/>
  <c r="AG9" i="1"/>
  <c r="AG16" i="9" s="1"/>
  <c r="AF9" i="1"/>
  <c r="AF16" i="9" s="1"/>
  <c r="AE9" i="1"/>
  <c r="AE16" i="9" s="1"/>
  <c r="AD9" i="1"/>
  <c r="AD16" i="9" s="1"/>
  <c r="AC9" i="1"/>
  <c r="AC16" i="9" s="1"/>
  <c r="AB9" i="1"/>
  <c r="AB16" i="9" s="1"/>
  <c r="AA9" i="1"/>
  <c r="AA16" i="9" s="1"/>
  <c r="Z9" i="1"/>
  <c r="Z16" i="9" s="1"/>
  <c r="X9" i="1"/>
  <c r="X16" i="9" s="1"/>
  <c r="W9" i="1"/>
  <c r="W16" i="9" s="1"/>
  <c r="V9" i="1"/>
  <c r="V16" i="9" s="1"/>
  <c r="U9" i="1"/>
  <c r="U16" i="9" s="1"/>
  <c r="S9" i="1"/>
  <c r="S16" i="9" s="1"/>
  <c r="R9" i="1"/>
  <c r="R16" i="9" s="1"/>
  <c r="Q9" i="1"/>
  <c r="Q16" i="9" s="1"/>
  <c r="P9" i="1"/>
  <c r="P16" i="9" s="1"/>
  <c r="O9" i="1"/>
  <c r="O16" i="9" s="1"/>
  <c r="N9" i="1"/>
  <c r="N16" i="9" s="1"/>
  <c r="M9" i="1"/>
  <c r="M16" i="9" s="1"/>
  <c r="L9" i="1"/>
  <c r="L16" i="9" s="1"/>
  <c r="K9" i="1"/>
  <c r="K16" i="9" s="1"/>
  <c r="F9" i="1"/>
  <c r="F16" i="9" s="1"/>
  <c r="E9" i="1"/>
  <c r="E16" i="9" s="1"/>
  <c r="D9" i="1"/>
  <c r="D16" i="9" s="1"/>
  <c r="BL8" i="1"/>
  <c r="BL15" i="9" s="1"/>
  <c r="BK8" i="1"/>
  <c r="BK15" i="9" s="1"/>
  <c r="BJ8" i="1"/>
  <c r="BJ15" i="9" s="1"/>
  <c r="BI8" i="1"/>
  <c r="BI15" i="9" s="1"/>
  <c r="BH8" i="1"/>
  <c r="BH15" i="9" s="1"/>
  <c r="BG8" i="1"/>
  <c r="BG15" i="9" s="1"/>
  <c r="BF8" i="1"/>
  <c r="BF15" i="9" s="1"/>
  <c r="BE8" i="1"/>
  <c r="BE15" i="9" s="1"/>
  <c r="BD8" i="1"/>
  <c r="BD15" i="9" s="1"/>
  <c r="BC8" i="1"/>
  <c r="BC15" i="9" s="1"/>
  <c r="BB8" i="1"/>
  <c r="BB15" i="9" s="1"/>
  <c r="BA8" i="1"/>
  <c r="BA15" i="9" s="1"/>
  <c r="AZ8" i="1"/>
  <c r="AZ15" i="9" s="1"/>
  <c r="AY8" i="1"/>
  <c r="AY15" i="9" s="1"/>
  <c r="AX8" i="1"/>
  <c r="AX15" i="9" s="1"/>
  <c r="AW8" i="1"/>
  <c r="AW15" i="9" s="1"/>
  <c r="AV8" i="1"/>
  <c r="AV15" i="9" s="1"/>
  <c r="AU8" i="1"/>
  <c r="AU15" i="9" s="1"/>
  <c r="AS8" i="1"/>
  <c r="AS15" i="9" s="1"/>
  <c r="AR8" i="1"/>
  <c r="AR15" i="9" s="1"/>
  <c r="AQ8" i="1"/>
  <c r="AQ15" i="9" s="1"/>
  <c r="AP8" i="1"/>
  <c r="AP15" i="9" s="1"/>
  <c r="AN8" i="1"/>
  <c r="AN15" i="9" s="1"/>
  <c r="AM8" i="1"/>
  <c r="AM15" i="9" s="1"/>
  <c r="AL8" i="1"/>
  <c r="AL15" i="9" s="1"/>
  <c r="AK8" i="1"/>
  <c r="AK15" i="9" s="1"/>
  <c r="BL7" i="1"/>
  <c r="BL14" i="9" s="1"/>
  <c r="BK7" i="1"/>
  <c r="BK14" i="9" s="1"/>
  <c r="BJ7" i="1"/>
  <c r="BJ14" i="9" s="1"/>
  <c r="BH7" i="1"/>
  <c r="BH14" i="9" s="1"/>
  <c r="BG7" i="1"/>
  <c r="BG14" i="9" s="1"/>
  <c r="BF7" i="1"/>
  <c r="BF14" i="9" s="1"/>
  <c r="BE7" i="1"/>
  <c r="BE14" i="9" s="1"/>
  <c r="BD7" i="1"/>
  <c r="BD14" i="9" s="1"/>
  <c r="BC7" i="1"/>
  <c r="BC14" i="9" s="1"/>
  <c r="BB7" i="1"/>
  <c r="BB14" i="9" s="1"/>
  <c r="BA7" i="1"/>
  <c r="BA14" i="9" s="1"/>
  <c r="AZ7" i="1"/>
  <c r="AZ14" i="9" s="1"/>
  <c r="AY7" i="1"/>
  <c r="AY14" i="9" s="1"/>
  <c r="AX7" i="1"/>
  <c r="AX14" i="9" s="1"/>
  <c r="AW7" i="1"/>
  <c r="AW14" i="9" s="1"/>
  <c r="AV7" i="1"/>
  <c r="AV14" i="9" s="1"/>
  <c r="AU7" i="1"/>
  <c r="AU14" i="9" s="1"/>
  <c r="AT7" i="1"/>
  <c r="AT14" i="9" s="1"/>
  <c r="AS7" i="1"/>
  <c r="AS14" i="9" s="1"/>
  <c r="AR7" i="1"/>
  <c r="AR14" i="9" s="1"/>
  <c r="AQ7" i="1"/>
  <c r="AQ14" i="9" s="1"/>
  <c r="AP7" i="1"/>
  <c r="AP14" i="9" s="1"/>
  <c r="AO7" i="1"/>
  <c r="AO14" i="9" s="1"/>
  <c r="AN7" i="1"/>
  <c r="AN14" i="9" s="1"/>
  <c r="AM7" i="1"/>
  <c r="AM14" i="9" s="1"/>
  <c r="AL7" i="1"/>
  <c r="AL14" i="9" s="1"/>
  <c r="AK7" i="1"/>
  <c r="AK14" i="9" s="1"/>
  <c r="D5" i="1"/>
  <c r="D2" i="9" s="1"/>
  <c r="A5" i="1"/>
  <c r="D4" i="1"/>
  <c r="D3" i="1" s="1"/>
  <c r="A4" i="1"/>
  <c r="C2" i="1"/>
  <c r="C3" i="1" s="1"/>
  <c r="C736" i="1" s="1"/>
  <c r="C750" i="1"/>
  <c r="C757" i="1"/>
  <c r="C743" i="1"/>
  <c r="AE267" i="1" l="1"/>
  <c r="AU267" i="1"/>
  <c r="BK267" i="1"/>
  <c r="O267" i="1"/>
  <c r="AF267" i="1"/>
  <c r="AV267" i="1"/>
  <c r="BL267" i="1"/>
  <c r="P267" i="1"/>
  <c r="AI267" i="1"/>
  <c r="AY267" i="1"/>
  <c r="S267" i="1"/>
  <c r="V267" i="1"/>
  <c r="AK410" i="1"/>
  <c r="BA410" i="1"/>
  <c r="I410" i="1"/>
  <c r="Y410" i="1"/>
  <c r="AO410" i="1"/>
  <c r="BE410" i="1"/>
  <c r="BF410" i="1"/>
  <c r="BG410" i="1"/>
  <c r="T267" i="1"/>
  <c r="K132" i="9"/>
  <c r="D132" i="9"/>
  <c r="D137" i="9"/>
  <c r="M60" i="11"/>
  <c r="Q19" i="11"/>
  <c r="Q20" i="11" s="1"/>
  <c r="L365" i="1"/>
  <c r="AE372" i="1"/>
  <c r="V378" i="1"/>
  <c r="V110" i="9" s="1"/>
  <c r="G495" i="1"/>
  <c r="O545" i="1"/>
  <c r="AF521" i="1"/>
  <c r="AF364" i="1" s="1"/>
  <c r="S102" i="9"/>
  <c r="AM102" i="9"/>
  <c r="BG102" i="9"/>
  <c r="P545" i="1"/>
  <c r="AJ545" i="1"/>
  <c r="BD545" i="1"/>
  <c r="G561" i="1"/>
  <c r="AA561" i="1"/>
  <c r="AU561" i="1"/>
  <c r="AN240" i="1"/>
  <c r="AN72" i="9" s="1"/>
  <c r="O370" i="1"/>
  <c r="AU370" i="1"/>
  <c r="AV372" i="1"/>
  <c r="AM378" i="1"/>
  <c r="AM110" i="9" s="1"/>
  <c r="T545" i="1"/>
  <c r="AG521" i="1"/>
  <c r="Q545" i="1"/>
  <c r="AK545" i="1"/>
  <c r="BE545" i="1"/>
  <c r="H561" i="1"/>
  <c r="AB561" i="1"/>
  <c r="AV561" i="1"/>
  <c r="AX240" i="1"/>
  <c r="N365" i="1"/>
  <c r="AX521" i="1"/>
  <c r="AD102" i="9"/>
  <c r="BC561" i="1"/>
  <c r="N521" i="1"/>
  <c r="BN506" i="1"/>
  <c r="C102" i="9"/>
  <c r="V102" i="9"/>
  <c r="AP102" i="9"/>
  <c r="BJ102" i="9"/>
  <c r="R545" i="1"/>
  <c r="AL545" i="1"/>
  <c r="BF545" i="1"/>
  <c r="I561" i="1"/>
  <c r="AC561" i="1"/>
  <c r="AW561" i="1"/>
  <c r="BC240" i="1"/>
  <c r="AW370" i="1"/>
  <c r="AY675" i="1" s="1"/>
  <c r="Y378" i="1"/>
  <c r="Y110" i="9" s="1"/>
  <c r="BD521" i="1"/>
  <c r="BK102" i="9"/>
  <c r="S545" i="1"/>
  <c r="AM545" i="1"/>
  <c r="BG545" i="1"/>
  <c r="K561" i="1"/>
  <c r="AE561" i="1"/>
  <c r="AY561" i="1"/>
  <c r="AF365" i="1"/>
  <c r="AY372" i="1"/>
  <c r="AP378" i="1"/>
  <c r="AP110" i="9" s="1"/>
  <c r="BE521" i="1"/>
  <c r="BE364" i="1" s="1"/>
  <c r="E102" i="9"/>
  <c r="X102" i="9"/>
  <c r="AR102" i="9"/>
  <c r="BL102" i="9"/>
  <c r="U545" i="1"/>
  <c r="AO545" i="1"/>
  <c r="BI545" i="1"/>
  <c r="BN535" i="1"/>
  <c r="L561" i="1"/>
  <c r="AF561" i="1"/>
  <c r="AZ561" i="1"/>
  <c r="BG378" i="1"/>
  <c r="BG110" i="9" s="1"/>
  <c r="AL521" i="1"/>
  <c r="BN510" i="1"/>
  <c r="AT102" i="9"/>
  <c r="C545" i="1"/>
  <c r="V545" i="1"/>
  <c r="AP545" i="1"/>
  <c r="BJ545" i="1"/>
  <c r="BN537" i="1"/>
  <c r="BN112" i="9" s="1"/>
  <c r="M561" i="1"/>
  <c r="AG561" i="1"/>
  <c r="BA561" i="1"/>
  <c r="BN557" i="1"/>
  <c r="BN377" i="1" s="1"/>
  <c r="BN111" i="9" s="1"/>
  <c r="AS545" i="1"/>
  <c r="AM521" i="1"/>
  <c r="G102" i="9"/>
  <c r="G103" i="9" s="1"/>
  <c r="AA102" i="9"/>
  <c r="AA103" i="9" s="1"/>
  <c r="AU102" i="9"/>
  <c r="BN525" i="1"/>
  <c r="D545" i="1"/>
  <c r="W545" i="1"/>
  <c r="AQ545" i="1"/>
  <c r="BK545" i="1"/>
  <c r="BN542" i="1"/>
  <c r="N561" i="1"/>
  <c r="AH561" i="1"/>
  <c r="BB561" i="1"/>
  <c r="AH365" i="1"/>
  <c r="AX545" i="1"/>
  <c r="U521" i="1"/>
  <c r="BI521" i="1"/>
  <c r="E545" i="1"/>
  <c r="X545" i="1"/>
  <c r="AR545" i="1"/>
  <c r="BL545" i="1"/>
  <c r="P561" i="1"/>
  <c r="AJ561" i="1"/>
  <c r="BD561" i="1"/>
  <c r="AZ365" i="1"/>
  <c r="BJ378" i="1"/>
  <c r="BJ110" i="9" s="1"/>
  <c r="C521" i="1"/>
  <c r="BJ521" i="1"/>
  <c r="BJ364" i="1" s="1"/>
  <c r="I102" i="9"/>
  <c r="AC102" i="9"/>
  <c r="AW102" i="9"/>
  <c r="F545" i="1"/>
  <c r="Z545" i="1"/>
  <c r="AT545" i="1"/>
  <c r="Q561" i="1"/>
  <c r="AK561" i="1"/>
  <c r="BE561" i="1"/>
  <c r="BN553" i="1"/>
  <c r="G370" i="1"/>
  <c r="H372" i="1"/>
  <c r="BK521" i="1"/>
  <c r="BN518" i="1"/>
  <c r="K102" i="9"/>
  <c r="AE102" i="9"/>
  <c r="G545" i="1"/>
  <c r="AA545" i="1"/>
  <c r="AU545" i="1"/>
  <c r="BN536" i="1"/>
  <c r="BN539" i="1"/>
  <c r="R561" i="1"/>
  <c r="AL561" i="1"/>
  <c r="BF561" i="1"/>
  <c r="BN550" i="1"/>
  <c r="BN556" i="1"/>
  <c r="BN558" i="1"/>
  <c r="BN560" i="1"/>
  <c r="I370" i="1"/>
  <c r="I668" i="1" s="1"/>
  <c r="AV495" i="1"/>
  <c r="Z521" i="1"/>
  <c r="BN515" i="1"/>
  <c r="M102" i="9"/>
  <c r="I545" i="1"/>
  <c r="AC545" i="1"/>
  <c r="AW545" i="1"/>
  <c r="U561" i="1"/>
  <c r="AO561" i="1"/>
  <c r="BI561" i="1"/>
  <c r="I365" i="1"/>
  <c r="AA370" i="1"/>
  <c r="AB372" i="1"/>
  <c r="C378" i="1"/>
  <c r="C110" i="9" s="1"/>
  <c r="S378" i="1"/>
  <c r="S110" i="9" s="1"/>
  <c r="H521" i="1"/>
  <c r="BD102" i="9"/>
  <c r="L545" i="1"/>
  <c r="AF545" i="1"/>
  <c r="AZ545" i="1"/>
  <c r="D561" i="1"/>
  <c r="W561" i="1"/>
  <c r="AQ561" i="1"/>
  <c r="BK561" i="1"/>
  <c r="N590" i="1"/>
  <c r="K545" i="1"/>
  <c r="I521" i="1"/>
  <c r="Q102" i="9"/>
  <c r="AK102" i="9"/>
  <c r="BE102" i="9"/>
  <c r="BN526" i="1"/>
  <c r="M545" i="1"/>
  <c r="AG545" i="1"/>
  <c r="BA545" i="1"/>
  <c r="BN532" i="1"/>
  <c r="BN538" i="1"/>
  <c r="E561" i="1"/>
  <c r="X561" i="1"/>
  <c r="AR561" i="1"/>
  <c r="BL561" i="1"/>
  <c r="BD590" i="1"/>
  <c r="AR364" i="1"/>
  <c r="AC370" i="1"/>
  <c r="AY521" i="1"/>
  <c r="BN512" i="1"/>
  <c r="BF102" i="9"/>
  <c r="N545" i="1"/>
  <c r="P673" i="1" s="1"/>
  <c r="AH545" i="1"/>
  <c r="BB545" i="1"/>
  <c r="F561" i="1"/>
  <c r="Z561" i="1"/>
  <c r="AT561" i="1"/>
  <c r="BN563" i="1"/>
  <c r="AL281" i="1"/>
  <c r="AD307" i="1"/>
  <c r="T351" i="1"/>
  <c r="T346" i="1" s="1"/>
  <c r="AN351" i="1"/>
  <c r="V351" i="1"/>
  <c r="BJ351" i="1"/>
  <c r="BJ346" i="1" s="1"/>
  <c r="BC281" i="1"/>
  <c r="AX281" i="1"/>
  <c r="M275" i="1"/>
  <c r="BC296" i="1"/>
  <c r="BC308" i="1" s="1"/>
  <c r="X346" i="1"/>
  <c r="BL346" i="1"/>
  <c r="P275" i="1"/>
  <c r="AE341" i="1"/>
  <c r="H351" i="1"/>
  <c r="H346" i="1" s="1"/>
  <c r="AB351" i="1"/>
  <c r="AB346" i="1" s="1"/>
  <c r="AV351" i="1"/>
  <c r="J273" i="1"/>
  <c r="J275" i="1" s="1"/>
  <c r="AA280" i="1"/>
  <c r="AD346" i="1"/>
  <c r="V311" i="1"/>
  <c r="V327" i="1" s="1"/>
  <c r="T273" i="1"/>
  <c r="AF351" i="1"/>
  <c r="AZ351" i="1"/>
  <c r="BD356" i="1"/>
  <c r="W280" i="1"/>
  <c r="BH288" i="1"/>
  <c r="N346" i="1"/>
  <c r="AH346" i="1"/>
  <c r="BB346" i="1"/>
  <c r="AO341" i="1"/>
  <c r="AX308" i="1"/>
  <c r="I351" i="1"/>
  <c r="I346" i="1" s="1"/>
  <c r="AC351" i="1"/>
  <c r="AC346" i="1" s="1"/>
  <c r="AW351" i="1"/>
  <c r="AW346" i="1" s="1"/>
  <c r="BC275" i="1"/>
  <c r="J351" i="1"/>
  <c r="J346" i="1" s="1"/>
  <c r="AX351" i="1"/>
  <c r="AX346" i="1" s="1"/>
  <c r="L351" i="1"/>
  <c r="K356" i="1"/>
  <c r="AE356" i="1"/>
  <c r="P341" i="1"/>
  <c r="AJ341" i="1"/>
  <c r="M351" i="1"/>
  <c r="M346" i="1" s="1"/>
  <c r="AG351" i="1"/>
  <c r="AG346" i="1" s="1"/>
  <c r="BA351" i="1"/>
  <c r="BA346" i="1" s="1"/>
  <c r="U341" i="1"/>
  <c r="BD341" i="1"/>
  <c r="O351" i="1"/>
  <c r="O346" i="1" s="1"/>
  <c r="AI351" i="1"/>
  <c r="AI346" i="1" s="1"/>
  <c r="BC351" i="1"/>
  <c r="BC346" i="1" s="1"/>
  <c r="AJ356" i="1"/>
  <c r="Q351" i="1"/>
  <c r="AK351" i="1"/>
  <c r="BE351" i="1"/>
  <c r="R351" i="1"/>
  <c r="R346" i="1" s="1"/>
  <c r="AL351" i="1"/>
  <c r="AL346" i="1" s="1"/>
  <c r="BF351" i="1"/>
  <c r="BF346" i="1" s="1"/>
  <c r="S351" i="1"/>
  <c r="S346" i="1" s="1"/>
  <c r="AM351" i="1"/>
  <c r="AM346" i="1" s="1"/>
  <c r="BG351" i="1"/>
  <c r="BG346" i="1" s="1"/>
  <c r="BD327" i="1"/>
  <c r="BD336" i="1" s="1"/>
  <c r="AN346" i="1"/>
  <c r="AP351" i="1"/>
  <c r="AT341" i="1"/>
  <c r="AO356" i="1"/>
  <c r="BI356" i="1"/>
  <c r="Z281" i="1"/>
  <c r="AB280" i="1"/>
  <c r="W351" i="1"/>
  <c r="W346" i="1" s="1"/>
  <c r="AQ351" i="1"/>
  <c r="AQ346" i="1" s="1"/>
  <c r="BK351" i="1"/>
  <c r="BK346" i="1" s="1"/>
  <c r="U356" i="1"/>
  <c r="AR346" i="1"/>
  <c r="AE281" i="1"/>
  <c r="AP327" i="1"/>
  <c r="K341" i="1"/>
  <c r="Y351" i="1"/>
  <c r="Y346" i="1" s="1"/>
  <c r="AS351" i="1"/>
  <c r="AS346" i="1" s="1"/>
  <c r="AT356" i="1"/>
  <c r="AY341" i="1"/>
  <c r="G351" i="1"/>
  <c r="K351" i="1" s="1"/>
  <c r="K346" i="1" s="1"/>
  <c r="AA351" i="1"/>
  <c r="AU351" i="1"/>
  <c r="AV346" i="1"/>
  <c r="D146" i="9"/>
  <c r="P173" i="1"/>
  <c r="Q134" i="1"/>
  <c r="Q135" i="1" s="1"/>
  <c r="AH134" i="1"/>
  <c r="AH135" i="1" s="1"/>
  <c r="BA134" i="1"/>
  <c r="BA135" i="1" s="1"/>
  <c r="J138" i="1"/>
  <c r="J666" i="1" s="1"/>
  <c r="K139" i="1"/>
  <c r="BA139" i="1"/>
  <c r="L140" i="1"/>
  <c r="AG140" i="1"/>
  <c r="AH141" i="1"/>
  <c r="AH93" i="9" s="1"/>
  <c r="P147" i="1"/>
  <c r="AB148" i="1"/>
  <c r="BB148" i="1"/>
  <c r="J140" i="1"/>
  <c r="AN120" i="1"/>
  <c r="R134" i="1"/>
  <c r="R135" i="1" s="1"/>
  <c r="AJ134" i="1"/>
  <c r="AJ135" i="1" s="1"/>
  <c r="BB134" i="1"/>
  <c r="BB135" i="1" s="1"/>
  <c r="K138" i="1"/>
  <c r="K666" i="1" s="1"/>
  <c r="L139" i="1"/>
  <c r="AG139" i="1"/>
  <c r="BB139" i="1"/>
  <c r="BG142" i="1"/>
  <c r="BG94" i="9" s="1"/>
  <c r="BK147" i="1"/>
  <c r="AC148" i="1"/>
  <c r="AI163" i="1"/>
  <c r="AZ169" i="1"/>
  <c r="AZ173" i="1" s="1"/>
  <c r="N225" i="1"/>
  <c r="AE225" i="1"/>
  <c r="AW225" i="1"/>
  <c r="AW143" i="9" s="1"/>
  <c r="C134" i="1"/>
  <c r="C135" i="1" s="1"/>
  <c r="S134" i="1"/>
  <c r="S135" i="1" s="1"/>
  <c r="AK134" i="1"/>
  <c r="AK135" i="1" s="1"/>
  <c r="L138" i="1"/>
  <c r="L666" i="1" s="1"/>
  <c r="AG138" i="1"/>
  <c r="AG666" i="1" s="1"/>
  <c r="M139" i="1"/>
  <c r="AH139" i="1"/>
  <c r="AJ140" i="1"/>
  <c r="P141" i="1"/>
  <c r="P93" i="9" s="1"/>
  <c r="AK141" i="1"/>
  <c r="AK93" i="9" s="1"/>
  <c r="BG141" i="1"/>
  <c r="BG93" i="9" s="1"/>
  <c r="BL147" i="1"/>
  <c r="AD148" i="1"/>
  <c r="BA169" i="1"/>
  <c r="BA173" i="1" s="1"/>
  <c r="Y236" i="1"/>
  <c r="Y70" i="9" s="1"/>
  <c r="AF218" i="1"/>
  <c r="AF225" i="1" s="1"/>
  <c r="AF143" i="9" s="1"/>
  <c r="AO142" i="1"/>
  <c r="AO94" i="9" s="1"/>
  <c r="AD236" i="1"/>
  <c r="AD70" i="9" s="1"/>
  <c r="P218" i="1"/>
  <c r="P225" i="1" s="1"/>
  <c r="AN96" i="1"/>
  <c r="AU102" i="1"/>
  <c r="AQ111" i="1"/>
  <c r="BK111" i="1"/>
  <c r="BE130" i="1"/>
  <c r="E134" i="1"/>
  <c r="E135" i="1" s="1"/>
  <c r="U134" i="1"/>
  <c r="U135" i="1" s="1"/>
  <c r="AM134" i="1"/>
  <c r="AM135" i="1" s="1"/>
  <c r="BF134" i="1"/>
  <c r="BF135" i="1" s="1"/>
  <c r="P139" i="1"/>
  <c r="AK139" i="1"/>
  <c r="BG139" i="1"/>
  <c r="Q140" i="1"/>
  <c r="AM140" i="1"/>
  <c r="BI140" i="1"/>
  <c r="R141" i="1"/>
  <c r="R93" i="9" s="1"/>
  <c r="AO141" i="1"/>
  <c r="AO93" i="9" s="1"/>
  <c r="BK141" i="1"/>
  <c r="BK93" i="9" s="1"/>
  <c r="S142" i="1"/>
  <c r="S94" i="9" s="1"/>
  <c r="AP142" i="1"/>
  <c r="AP94" i="9" s="1"/>
  <c r="BL142" i="1"/>
  <c r="BL94" i="9" s="1"/>
  <c r="U147" i="1"/>
  <c r="AS147" i="1"/>
  <c r="I148" i="1"/>
  <c r="E173" i="1"/>
  <c r="BD169" i="1"/>
  <c r="BD173" i="1" s="1"/>
  <c r="AI236" i="1"/>
  <c r="AI70" i="9" s="1"/>
  <c r="BG148" i="1"/>
  <c r="Q218" i="1"/>
  <c r="Q225" i="1" s="1"/>
  <c r="Q143" i="9" s="1"/>
  <c r="AH218" i="1"/>
  <c r="AH225" i="1" s="1"/>
  <c r="AZ218" i="1"/>
  <c r="AZ225" i="1" s="1"/>
  <c r="AX148" i="1"/>
  <c r="AZ134" i="1"/>
  <c r="AZ135" i="1" s="1"/>
  <c r="AM102" i="1"/>
  <c r="AJ139" i="1"/>
  <c r="Q141" i="1"/>
  <c r="Q93" i="9" s="1"/>
  <c r="BK142" i="1"/>
  <c r="BK94" i="9" s="1"/>
  <c r="U102" i="1"/>
  <c r="AW130" i="1"/>
  <c r="F134" i="1"/>
  <c r="F135" i="1" s="1"/>
  <c r="V134" i="1"/>
  <c r="V135" i="1" s="1"/>
  <c r="AO134" i="1"/>
  <c r="AO135" i="1" s="1"/>
  <c r="BG134" i="1"/>
  <c r="BG135" i="1" s="1"/>
  <c r="P138" i="1"/>
  <c r="P666" i="1" s="1"/>
  <c r="Q139" i="1"/>
  <c r="BK140" i="1"/>
  <c r="BL141" i="1"/>
  <c r="BL93" i="9" s="1"/>
  <c r="AT147" i="1"/>
  <c r="J148" i="1"/>
  <c r="AN236" i="1"/>
  <c r="AN70" i="9" s="1"/>
  <c r="Y230" i="1"/>
  <c r="R218" i="1"/>
  <c r="R225" i="1" s="1"/>
  <c r="AJ218" i="1"/>
  <c r="AJ225" i="1" s="1"/>
  <c r="BA218" i="1"/>
  <c r="BA225" i="1" s="1"/>
  <c r="BF102" i="1"/>
  <c r="AN163" i="1"/>
  <c r="AN164" i="1" s="1"/>
  <c r="AN169" i="1" s="1"/>
  <c r="AN173" i="1" s="1"/>
  <c r="AA102" i="1"/>
  <c r="AQ102" i="1"/>
  <c r="AD119" i="1"/>
  <c r="AU119" i="1"/>
  <c r="AO130" i="1"/>
  <c r="H134" i="1"/>
  <c r="H135" i="1" s="1"/>
  <c r="X134" i="1"/>
  <c r="X135" i="1" s="1"/>
  <c r="AQ134" i="1"/>
  <c r="AQ135" i="1" s="1"/>
  <c r="BJ134" i="1"/>
  <c r="BJ135" i="1" s="1"/>
  <c r="R138" i="1"/>
  <c r="R666" i="1" s="1"/>
  <c r="BK138" i="1"/>
  <c r="BK666" i="1" s="1"/>
  <c r="S139" i="1"/>
  <c r="AP139" i="1"/>
  <c r="BL139" i="1"/>
  <c r="U140" i="1"/>
  <c r="AQ140" i="1"/>
  <c r="C141" i="1"/>
  <c r="C93" i="9" s="1"/>
  <c r="V141" i="1"/>
  <c r="V93" i="9" s="1"/>
  <c r="AS141" i="1"/>
  <c r="AS93" i="9" s="1"/>
  <c r="W142" i="1"/>
  <c r="W94" i="9" s="1"/>
  <c r="AT142" i="1"/>
  <c r="AT94" i="9" s="1"/>
  <c r="X147" i="1"/>
  <c r="AV147" i="1"/>
  <c r="BG169" i="1"/>
  <c r="BG173" i="1" s="1"/>
  <c r="AX236" i="1"/>
  <c r="AX70" i="9" s="1"/>
  <c r="BK148" i="1"/>
  <c r="G148" i="1"/>
  <c r="D218" i="1"/>
  <c r="D225" i="1" s="1"/>
  <c r="T218" i="1"/>
  <c r="T225" i="1" s="1"/>
  <c r="AL218" i="1"/>
  <c r="AL225" i="1" s="1"/>
  <c r="BD218" i="1"/>
  <c r="BD225" i="1" s="1"/>
  <c r="J89" i="9"/>
  <c r="BI102" i="1"/>
  <c r="P130" i="1"/>
  <c r="AY130" i="1"/>
  <c r="R139" i="1"/>
  <c r="R665" i="1" s="1"/>
  <c r="AO139" i="1"/>
  <c r="AO665" i="1" s="1"/>
  <c r="BL140" i="1"/>
  <c r="L148" i="1"/>
  <c r="AU142" i="1"/>
  <c r="AU94" i="9" s="1"/>
  <c r="AA147" i="1"/>
  <c r="BI169" i="1"/>
  <c r="BI173" i="1" s="1"/>
  <c r="AS148" i="1"/>
  <c r="BL148" i="1"/>
  <c r="E218" i="1"/>
  <c r="E225" i="1" s="1"/>
  <c r="AY169" i="1"/>
  <c r="AY173" i="1" s="1"/>
  <c r="AS142" i="1"/>
  <c r="AS94" i="9" s="1"/>
  <c r="AU147" i="1"/>
  <c r="BF169" i="1"/>
  <c r="BF173" i="1" s="1"/>
  <c r="AH102" i="1"/>
  <c r="AE119" i="1"/>
  <c r="BA130" i="1"/>
  <c r="I134" i="1"/>
  <c r="I135" i="1" s="1"/>
  <c r="Z134" i="1"/>
  <c r="Z135" i="1" s="1"/>
  <c r="AR134" i="1"/>
  <c r="AR135" i="1" s="1"/>
  <c r="BK134" i="1"/>
  <c r="BK135" i="1" s="1"/>
  <c r="S138" i="1"/>
  <c r="S666" i="1" s="1"/>
  <c r="AP138" i="1"/>
  <c r="AP666" i="1" s="1"/>
  <c r="BL138" i="1"/>
  <c r="BL666" i="1" s="1"/>
  <c r="C140" i="1"/>
  <c r="AS140" i="1"/>
  <c r="AT141" i="1"/>
  <c r="AT93" i="9" s="1"/>
  <c r="X142" i="1"/>
  <c r="X94" i="9" s="1"/>
  <c r="AW147" i="1"/>
  <c r="BC236" i="1"/>
  <c r="BC70" i="9" s="1"/>
  <c r="AT102" i="1"/>
  <c r="AI103" i="1"/>
  <c r="AI102" i="1" s="1"/>
  <c r="AF119" i="1"/>
  <c r="AW119" i="1"/>
  <c r="J134" i="1"/>
  <c r="J135" i="1" s="1"/>
  <c r="AA134" i="1"/>
  <c r="AA135" i="1" s="1"/>
  <c r="AS134" i="1"/>
  <c r="AS135" i="1" s="1"/>
  <c r="BL134" i="1"/>
  <c r="BL135" i="1" s="1"/>
  <c r="AQ138" i="1"/>
  <c r="AQ666" i="1" s="1"/>
  <c r="C139" i="1"/>
  <c r="V139" i="1"/>
  <c r="W140" i="1"/>
  <c r="AT140" i="1"/>
  <c r="E141" i="1"/>
  <c r="E93" i="9" s="1"/>
  <c r="AU141" i="1"/>
  <c r="AU93" i="9" s="1"/>
  <c r="AA142" i="1"/>
  <c r="AA94" i="9" s="1"/>
  <c r="AV142" i="1"/>
  <c r="AV94" i="9" s="1"/>
  <c r="G147" i="1"/>
  <c r="AB147" i="1"/>
  <c r="AY147" i="1"/>
  <c r="AP148" i="1"/>
  <c r="BJ169" i="1"/>
  <c r="BJ173" i="1" s="1"/>
  <c r="BJ180" i="1" s="1"/>
  <c r="BH236" i="1"/>
  <c r="BH70" i="9" s="1"/>
  <c r="AT148" i="1"/>
  <c r="AE148" i="1"/>
  <c r="F218" i="1"/>
  <c r="F225" i="1" s="1"/>
  <c r="V218" i="1"/>
  <c r="V225" i="1" s="1"/>
  <c r="AO218" i="1"/>
  <c r="AO225" i="1" s="1"/>
  <c r="BF218" i="1"/>
  <c r="BF225" i="1" s="1"/>
  <c r="AN102" i="1"/>
  <c r="P134" i="1"/>
  <c r="P135" i="1" s="1"/>
  <c r="AG134" i="1"/>
  <c r="AG135" i="1" s="1"/>
  <c r="I138" i="1"/>
  <c r="I666" i="1" s="1"/>
  <c r="J139" i="1"/>
  <c r="BA140" i="1"/>
  <c r="AW102" i="1"/>
  <c r="AN114" i="1"/>
  <c r="AZ102" i="1"/>
  <c r="AD96" i="1"/>
  <c r="AD102" i="1" s="1"/>
  <c r="AJ102" i="1"/>
  <c r="BB102" i="1"/>
  <c r="AN111" i="1"/>
  <c r="AG111" i="1"/>
  <c r="AY111" i="1"/>
  <c r="AY119" i="1"/>
  <c r="BL130" i="1"/>
  <c r="AK130" i="1"/>
  <c r="BD130" i="1"/>
  <c r="K134" i="1"/>
  <c r="K135" i="1" s="1"/>
  <c r="AB134" i="1"/>
  <c r="AB135" i="1" s="1"/>
  <c r="AT134" i="1"/>
  <c r="AT135" i="1" s="1"/>
  <c r="AS138" i="1"/>
  <c r="AS666" i="1" s="1"/>
  <c r="AT139" i="1"/>
  <c r="X140" i="1"/>
  <c r="AU140" i="1"/>
  <c r="F141" i="1"/>
  <c r="F93" i="9" s="1"/>
  <c r="AA141" i="1"/>
  <c r="AA93" i="9" s="1"/>
  <c r="AV141" i="1"/>
  <c r="AV93" i="9" s="1"/>
  <c r="AB142" i="1"/>
  <c r="AB94" i="9" s="1"/>
  <c r="AW142" i="1"/>
  <c r="AW94" i="9" s="1"/>
  <c r="AC147" i="1"/>
  <c r="R148" i="1"/>
  <c r="K173" i="1"/>
  <c r="AU148" i="1"/>
  <c r="AI230" i="1"/>
  <c r="G225" i="1"/>
  <c r="G143" i="9" s="1"/>
  <c r="W225" i="1"/>
  <c r="W231" i="1" s="1"/>
  <c r="W149" i="1" s="1"/>
  <c r="W97" i="9" s="1"/>
  <c r="AP225" i="1"/>
  <c r="BG218" i="1"/>
  <c r="BG225" i="1" s="1"/>
  <c r="BG143" i="9" s="1"/>
  <c r="AF102" i="1"/>
  <c r="P119" i="1"/>
  <c r="AG130" i="1"/>
  <c r="BB218" i="1"/>
  <c r="BB225" i="1" s="1"/>
  <c r="AE102" i="1"/>
  <c r="AH119" i="1"/>
  <c r="AZ119" i="1"/>
  <c r="AN130" i="1"/>
  <c r="L134" i="1"/>
  <c r="L135" i="1" s="1"/>
  <c r="AC134" i="1"/>
  <c r="AC135" i="1" s="1"/>
  <c r="AU134" i="1"/>
  <c r="AU135" i="1" s="1"/>
  <c r="W138" i="1"/>
  <c r="W666" i="1" s="1"/>
  <c r="AT138" i="1"/>
  <c r="AT666" i="1" s="1"/>
  <c r="AU139" i="1"/>
  <c r="AA140" i="1"/>
  <c r="AV140" i="1"/>
  <c r="AB141" i="1"/>
  <c r="AB93" i="9" s="1"/>
  <c r="AW141" i="1"/>
  <c r="AW93" i="9" s="1"/>
  <c r="I142" i="1"/>
  <c r="I94" i="9" s="1"/>
  <c r="AC142" i="1"/>
  <c r="AC94" i="9" s="1"/>
  <c r="AY142" i="1"/>
  <c r="AY94" i="9" s="1"/>
  <c r="J147" i="1"/>
  <c r="AD147" i="1"/>
  <c r="BA147" i="1"/>
  <c r="S148" i="1"/>
  <c r="BL169" i="1"/>
  <c r="BL173" i="1" s="1"/>
  <c r="AV148" i="1"/>
  <c r="AN230" i="1"/>
  <c r="H218" i="1"/>
  <c r="H225" i="1" s="1"/>
  <c r="H231" i="1" s="1"/>
  <c r="H149" i="1" s="1"/>
  <c r="H97" i="9" s="1"/>
  <c r="X218" i="1"/>
  <c r="X225" i="1" s="1"/>
  <c r="X143" i="9" s="1"/>
  <c r="AQ218" i="1"/>
  <c r="AQ225" i="1" s="1"/>
  <c r="BI225" i="1"/>
  <c r="BI238" i="1" s="1"/>
  <c r="AZ139" i="1"/>
  <c r="K140" i="1"/>
  <c r="AG141" i="1"/>
  <c r="AG93" i="9" s="1"/>
  <c r="AI111" i="1"/>
  <c r="BA111" i="1"/>
  <c r="AD114" i="1"/>
  <c r="AI120" i="1"/>
  <c r="AI119" i="1" s="1"/>
  <c r="AD122" i="1"/>
  <c r="AD130" i="1" s="1"/>
  <c r="AM130" i="1"/>
  <c r="BF130" i="1"/>
  <c r="X138" i="1"/>
  <c r="X666" i="1" s="1"/>
  <c r="AU138" i="1"/>
  <c r="AU666" i="1" s="1"/>
  <c r="F139" i="1"/>
  <c r="AB140" i="1"/>
  <c r="AB665" i="1" s="1"/>
  <c r="AW140" i="1"/>
  <c r="AC141" i="1"/>
  <c r="AC93" i="9" s="1"/>
  <c r="J142" i="1"/>
  <c r="J94" i="9" s="1"/>
  <c r="K147" i="1"/>
  <c r="BB147" i="1"/>
  <c r="AW148" i="1"/>
  <c r="Z218" i="1"/>
  <c r="Z225" i="1" s="1"/>
  <c r="AR218" i="1"/>
  <c r="AR225" i="1" s="1"/>
  <c r="BJ225" i="1"/>
  <c r="BE40" i="9"/>
  <c r="C749" i="1"/>
  <c r="C756" i="1"/>
  <c r="C742" i="1"/>
  <c r="BC28" i="9"/>
  <c r="B787" i="1"/>
  <c r="AE13" i="1"/>
  <c r="AE20" i="9" s="1"/>
  <c r="AJ23" i="9"/>
  <c r="T24" i="9"/>
  <c r="T659" i="1"/>
  <c r="T9" i="1"/>
  <c r="T16" i="9" s="1"/>
  <c r="Y9" i="1"/>
  <c r="Y16" i="9" s="1"/>
  <c r="AZ24" i="9"/>
  <c r="AZ659" i="1"/>
  <c r="AZ9" i="1"/>
  <c r="AZ16" i="9" s="1"/>
  <c r="BD18" i="1"/>
  <c r="BE9" i="1"/>
  <c r="BE16" i="9" s="1"/>
  <c r="AZ22" i="1"/>
  <c r="BG24" i="9"/>
  <c r="BG659" i="1"/>
  <c r="BG22" i="1"/>
  <c r="AK28" i="9"/>
  <c r="AK75" i="1"/>
  <c r="AK72" i="1"/>
  <c r="AP13" i="1"/>
  <c r="AP20" i="9" s="1"/>
  <c r="AK76" i="1"/>
  <c r="AK73" i="1"/>
  <c r="AK74" i="1"/>
  <c r="AK71" i="1"/>
  <c r="AR28" i="9"/>
  <c r="AR75" i="1"/>
  <c r="AR72" i="1"/>
  <c r="AR76" i="1"/>
  <c r="AR73" i="1"/>
  <c r="AR74" i="1"/>
  <c r="AR71" i="1"/>
  <c r="BD30" i="9"/>
  <c r="BE33" i="1"/>
  <c r="BD29" i="1"/>
  <c r="BD34" i="9" s="1"/>
  <c r="BR30" i="9"/>
  <c r="BS25" i="1"/>
  <c r="BM38" i="9"/>
  <c r="AZ39" i="9"/>
  <c r="AZ38" i="1"/>
  <c r="BD34" i="1"/>
  <c r="BD39" i="9" s="1"/>
  <c r="Z35" i="1"/>
  <c r="AG40" i="9"/>
  <c r="AG39" i="1"/>
  <c r="AR42" i="9"/>
  <c r="Z77" i="1"/>
  <c r="Z74" i="1"/>
  <c r="Y77" i="1"/>
  <c r="BC61" i="9"/>
  <c r="BC575" i="1"/>
  <c r="BC574" i="1"/>
  <c r="BC218" i="1"/>
  <c r="BC225" i="1" s="1"/>
  <c r="BC147" i="1"/>
  <c r="BC62" i="9"/>
  <c r="BC134" i="1"/>
  <c r="BC135" i="1" s="1"/>
  <c r="BC64" i="9"/>
  <c r="BC139" i="1"/>
  <c r="BC63" i="9"/>
  <c r="BC138" i="1"/>
  <c r="BC666" i="1" s="1"/>
  <c r="BC65" i="9"/>
  <c r="BC92" i="9" s="1"/>
  <c r="BC140" i="1"/>
  <c r="BC66" i="9"/>
  <c r="BC141" i="1"/>
  <c r="BC93" i="9" s="1"/>
  <c r="D175" i="1"/>
  <c r="D177" i="1"/>
  <c r="J175" i="1"/>
  <c r="J177" i="1"/>
  <c r="P175" i="1"/>
  <c r="P177" i="1"/>
  <c r="V175" i="1"/>
  <c r="V177" i="1"/>
  <c r="AC175" i="1"/>
  <c r="AC180" i="1"/>
  <c r="AC184" i="1" s="1"/>
  <c r="AC191" i="1" s="1"/>
  <c r="AC232" i="1" s="1"/>
  <c r="AC177" i="1"/>
  <c r="AO175" i="1"/>
  <c r="AO177" i="1"/>
  <c r="AU175" i="1"/>
  <c r="AU180" i="1"/>
  <c r="AU177" i="1"/>
  <c r="BB180" i="1"/>
  <c r="BB184" i="1" s="1"/>
  <c r="BB191" i="1" s="1"/>
  <c r="BB232" i="1" s="1"/>
  <c r="BB177" i="1"/>
  <c r="BB175" i="1"/>
  <c r="AA177" i="1"/>
  <c r="AA175" i="1"/>
  <c r="AA180" i="1"/>
  <c r="BK177" i="1"/>
  <c r="BK175" i="1"/>
  <c r="BK180" i="1"/>
  <c r="BK184" i="1" s="1"/>
  <c r="BK191" i="1" s="1"/>
  <c r="BK232" i="1" s="1"/>
  <c r="AN69" i="9"/>
  <c r="AN402" i="1"/>
  <c r="AN403" i="1" s="1"/>
  <c r="F72" i="9"/>
  <c r="AI598" i="1"/>
  <c r="O83" i="9"/>
  <c r="O150" i="1"/>
  <c r="D143" i="9"/>
  <c r="D144" i="9" s="1"/>
  <c r="D238" i="1"/>
  <c r="D242" i="1" s="1"/>
  <c r="D226" i="1"/>
  <c r="D143" i="1"/>
  <c r="D95" i="9" s="1"/>
  <c r="P143" i="9"/>
  <c r="P144" i="9" s="1"/>
  <c r="P238" i="1"/>
  <c r="P242" i="1" s="1"/>
  <c r="P226" i="1"/>
  <c r="P143" i="1"/>
  <c r="P95" i="9" s="1"/>
  <c r="V143" i="9"/>
  <c r="V238" i="1"/>
  <c r="V226" i="1"/>
  <c r="V231" i="1"/>
  <c r="V149" i="1" s="1"/>
  <c r="V97" i="9" s="1"/>
  <c r="V143" i="1"/>
  <c r="V95" i="9" s="1"/>
  <c r="AC143" i="9"/>
  <c r="AC238" i="1"/>
  <c r="AC242" i="1" s="1"/>
  <c r="AC656" i="1" s="1"/>
  <c r="AC226" i="1"/>
  <c r="AC231" i="1"/>
  <c r="AC149" i="1" s="1"/>
  <c r="AC97" i="9" s="1"/>
  <c r="AC143" i="1"/>
  <c r="AC95" i="9" s="1"/>
  <c r="AJ143" i="9"/>
  <c r="AJ144" i="9" s="1"/>
  <c r="AJ238" i="1"/>
  <c r="AJ242" i="1" s="1"/>
  <c r="AJ226" i="1"/>
  <c r="AJ231" i="1"/>
  <c r="AJ149" i="1" s="1"/>
  <c r="AJ97" i="9" s="1"/>
  <c r="AJ143" i="1"/>
  <c r="AJ95" i="9" s="1"/>
  <c r="AQ143" i="9"/>
  <c r="AQ226" i="1"/>
  <c r="AQ231" i="1"/>
  <c r="AQ149" i="1" s="1"/>
  <c r="AQ97" i="9" s="1"/>
  <c r="AQ143" i="1"/>
  <c r="AQ95" i="9" s="1"/>
  <c r="AQ238" i="1"/>
  <c r="AQ242" i="1" s="1"/>
  <c r="AQ656" i="1" s="1"/>
  <c r="BD143" i="9"/>
  <c r="BD144" i="9" s="1"/>
  <c r="BD226" i="1"/>
  <c r="BD231" i="1"/>
  <c r="BD149" i="1" s="1"/>
  <c r="BD97" i="9" s="1"/>
  <c r="BD143" i="1"/>
  <c r="BD95" i="9" s="1"/>
  <c r="BD238" i="1"/>
  <c r="BD242" i="1" s="1"/>
  <c r="BD656" i="1" s="1"/>
  <c r="E4" i="1"/>
  <c r="BC25" i="9"/>
  <c r="BC10" i="1"/>
  <c r="BC17" i="9" s="1"/>
  <c r="AO23" i="9"/>
  <c r="AO8" i="1"/>
  <c r="AO15" i="9" s="1"/>
  <c r="AT8" i="1"/>
  <c r="AT15" i="9" s="1"/>
  <c r="AD24" i="9"/>
  <c r="AD659" i="1"/>
  <c r="AD22" i="1"/>
  <c r="AD39" i="1"/>
  <c r="AD43" i="1" s="1"/>
  <c r="BA24" i="9"/>
  <c r="BA659" i="1"/>
  <c r="BA22" i="1"/>
  <c r="BO27" i="9"/>
  <c r="AE28" i="9"/>
  <c r="AJ13" i="1"/>
  <c r="AJ20" i="9" s="1"/>
  <c r="AE76" i="1"/>
  <c r="AE73" i="1"/>
  <c r="AL28" i="9"/>
  <c r="AL75" i="1"/>
  <c r="AL72" i="1"/>
  <c r="AL76" i="1"/>
  <c r="AL73" i="1"/>
  <c r="AL74" i="1"/>
  <c r="AL71" i="1"/>
  <c r="BI30" i="9"/>
  <c r="BJ33" i="1"/>
  <c r="BI29" i="1"/>
  <c r="BI34" i="9" s="1"/>
  <c r="AJ31" i="9"/>
  <c r="AK34" i="1"/>
  <c r="BM31" i="9"/>
  <c r="BR26" i="1"/>
  <c r="AH38" i="9"/>
  <c r="AH37" i="1"/>
  <c r="AH42" i="9" s="1"/>
  <c r="BF38" i="9"/>
  <c r="BF37" i="1"/>
  <c r="BR33" i="1"/>
  <c r="BA39" i="9"/>
  <c r="BA38" i="1"/>
  <c r="AE35" i="1"/>
  <c r="AE39" i="1" s="1"/>
  <c r="AA39" i="1"/>
  <c r="AR40" i="9"/>
  <c r="AR39" i="1"/>
  <c r="AW42" i="9"/>
  <c r="AW41" i="1"/>
  <c r="AW46" i="9" s="1"/>
  <c r="AE71" i="1"/>
  <c r="AE74" i="1"/>
  <c r="S77" i="1"/>
  <c r="BH62" i="9"/>
  <c r="BH64" i="9"/>
  <c r="BH63" i="9"/>
  <c r="BH65" i="9"/>
  <c r="BH66" i="9"/>
  <c r="E175" i="1"/>
  <c r="E177" i="1"/>
  <c r="K175" i="1"/>
  <c r="K177" i="1"/>
  <c r="Q175" i="1"/>
  <c r="Q177" i="1"/>
  <c r="W175" i="1"/>
  <c r="W177" i="1"/>
  <c r="AD180" i="1"/>
  <c r="AD184" i="1" s="1"/>
  <c r="AD191" i="1" s="1"/>
  <c r="AD232" i="1" s="1"/>
  <c r="AD177" i="1"/>
  <c r="AD193" i="1"/>
  <c r="AD175" i="1"/>
  <c r="AJ656" i="1"/>
  <c r="AJ177" i="1"/>
  <c r="AJ175" i="1"/>
  <c r="AP180" i="1"/>
  <c r="AP177" i="1"/>
  <c r="AP175" i="1"/>
  <c r="AV180" i="1"/>
  <c r="AV184" i="1" s="1"/>
  <c r="AV191" i="1" s="1"/>
  <c r="AV232" i="1" s="1"/>
  <c r="AV177" i="1"/>
  <c r="AV175" i="1"/>
  <c r="BD177" i="1"/>
  <c r="BD175" i="1"/>
  <c r="AG177" i="1"/>
  <c r="AG175" i="1"/>
  <c r="AG180" i="1"/>
  <c r="AG184" i="1" s="1"/>
  <c r="AG191" i="1" s="1"/>
  <c r="AG232" i="1" s="1"/>
  <c r="O69" i="9"/>
  <c r="O402" i="1"/>
  <c r="O403" i="1" s="1"/>
  <c r="AS69" i="9"/>
  <c r="AS402" i="1"/>
  <c r="AS403" i="1" s="1"/>
  <c r="BK70" i="9"/>
  <c r="BN236" i="1"/>
  <c r="BN70" i="9" s="1"/>
  <c r="K72" i="9"/>
  <c r="AX72" i="9"/>
  <c r="AN598" i="1"/>
  <c r="AN147" i="1"/>
  <c r="Q83" i="9"/>
  <c r="Q150" i="1"/>
  <c r="W83" i="9"/>
  <c r="W150" i="1"/>
  <c r="P83" i="9"/>
  <c r="P150" i="1"/>
  <c r="E143" i="9"/>
  <c r="E144" i="9" s="1"/>
  <c r="E238" i="1"/>
  <c r="E242" i="1" s="1"/>
  <c r="E226" i="1"/>
  <c r="E143" i="1"/>
  <c r="E95" i="9" s="1"/>
  <c r="K143" i="9"/>
  <c r="K144" i="9" s="1"/>
  <c r="K238" i="1"/>
  <c r="K242" i="1" s="1"/>
  <c r="K656" i="1" s="1"/>
  <c r="K226" i="1"/>
  <c r="K143" i="1"/>
  <c r="K95" i="9" s="1"/>
  <c r="W143" i="1"/>
  <c r="W95" i="9" s="1"/>
  <c r="AD143" i="9"/>
  <c r="AD238" i="1"/>
  <c r="AD242" i="1" s="1"/>
  <c r="AD656" i="1" s="1"/>
  <c r="AD226" i="1"/>
  <c r="AD231" i="1"/>
  <c r="AD149" i="1" s="1"/>
  <c r="AD97" i="9" s="1"/>
  <c r="AD143" i="1"/>
  <c r="AD95" i="9" s="1"/>
  <c r="AK143" i="9"/>
  <c r="AK226" i="1"/>
  <c r="AK231" i="1"/>
  <c r="AK149" i="1" s="1"/>
  <c r="AK97" i="9" s="1"/>
  <c r="AK143" i="1"/>
  <c r="AK95" i="9" s="1"/>
  <c r="AK238" i="1"/>
  <c r="AR143" i="9"/>
  <c r="AR226" i="1"/>
  <c r="AR231" i="1"/>
  <c r="AR149" i="1" s="1"/>
  <c r="AR97" i="9" s="1"/>
  <c r="AR143" i="1"/>
  <c r="AR95" i="9" s="1"/>
  <c r="AR238" i="1"/>
  <c r="AR242" i="1" s="1"/>
  <c r="AR656" i="1" s="1"/>
  <c r="AX218" i="1"/>
  <c r="AX225" i="1" s="1"/>
  <c r="BL143" i="9"/>
  <c r="BL238" i="1"/>
  <c r="BL242" i="1" s="1"/>
  <c r="BL656" i="1" s="1"/>
  <c r="BL226" i="1"/>
  <c r="BL231" i="1"/>
  <c r="BL149" i="1" s="1"/>
  <c r="BL97" i="9" s="1"/>
  <c r="BL143" i="1"/>
  <c r="BL95" i="9" s="1"/>
  <c r="D1" i="9"/>
  <c r="D766" i="1"/>
  <c r="D736" i="1"/>
  <c r="BJ39" i="1"/>
  <c r="S28" i="9"/>
  <c r="S75" i="1"/>
  <c r="S72" i="1"/>
  <c r="X13" i="1"/>
  <c r="X20" i="9" s="1"/>
  <c r="S76" i="1"/>
  <c r="S73" i="1"/>
  <c r="S74" i="1"/>
  <c r="S71" i="1"/>
  <c r="S78" i="1" s="1"/>
  <c r="Y28" i="9"/>
  <c r="Y75" i="1"/>
  <c r="Y72" i="1"/>
  <c r="Y76" i="1"/>
  <c r="Y73" i="1"/>
  <c r="Y74" i="1"/>
  <c r="Y71" i="1"/>
  <c r="AF28" i="9"/>
  <c r="AF75" i="1"/>
  <c r="AF72" i="1"/>
  <c r="AF76" i="1"/>
  <c r="AF73" i="1"/>
  <c r="AF74" i="1"/>
  <c r="AF71" i="1"/>
  <c r="AO31" i="9"/>
  <c r="AP34" i="1"/>
  <c r="BN26" i="1"/>
  <c r="BO32" i="9"/>
  <c r="BO31" i="1"/>
  <c r="BO36" i="9" s="1"/>
  <c r="AI38" i="9"/>
  <c r="AI37" i="1"/>
  <c r="AI42" i="9" s="1"/>
  <c r="BG38" i="9"/>
  <c r="BG37" i="1"/>
  <c r="AN39" i="9"/>
  <c r="AN38" i="1"/>
  <c r="AU39" i="9"/>
  <c r="AU38" i="1"/>
  <c r="AY34" i="1"/>
  <c r="AY39" i="9" s="1"/>
  <c r="BL39" i="9"/>
  <c r="BL38" i="1"/>
  <c r="AX42" i="9"/>
  <c r="M77" i="1"/>
  <c r="AQ77" i="1"/>
  <c r="AJ78" i="1"/>
  <c r="Y62" i="9"/>
  <c r="Y64" i="9"/>
  <c r="Y63" i="9"/>
  <c r="Y65" i="9"/>
  <c r="Y66" i="9"/>
  <c r="Y67" i="9"/>
  <c r="F177" i="1"/>
  <c r="F175" i="1"/>
  <c r="L177" i="1"/>
  <c r="L175" i="1"/>
  <c r="R177" i="1"/>
  <c r="R175" i="1"/>
  <c r="X177" i="1"/>
  <c r="X175" i="1"/>
  <c r="AE177" i="1"/>
  <c r="AE175" i="1"/>
  <c r="AK180" i="1"/>
  <c r="AK177" i="1"/>
  <c r="AK175" i="1"/>
  <c r="AQ180" i="1"/>
  <c r="AQ184" i="1" s="1"/>
  <c r="AQ191" i="1" s="1"/>
  <c r="AQ232" i="1" s="1"/>
  <c r="AQ177" i="1"/>
  <c r="AQ175" i="1"/>
  <c r="AW180" i="1"/>
  <c r="AW184" i="1" s="1"/>
  <c r="AW191" i="1" s="1"/>
  <c r="AW232" i="1" s="1"/>
  <c r="AW177" i="1"/>
  <c r="AW175" i="1"/>
  <c r="BL175" i="1"/>
  <c r="BL180" i="1"/>
  <c r="BL184" i="1" s="1"/>
  <c r="BL191" i="1" s="1"/>
  <c r="BL232" i="1" s="1"/>
  <c r="BL177" i="1"/>
  <c r="AM177" i="1"/>
  <c r="AM175" i="1"/>
  <c r="AM180" i="1"/>
  <c r="AM184" i="1" s="1"/>
  <c r="AM191" i="1" s="1"/>
  <c r="AM232" i="1" s="1"/>
  <c r="T69" i="9"/>
  <c r="T402" i="1"/>
  <c r="T403" i="1" s="1"/>
  <c r="P72" i="9"/>
  <c r="P253" i="1"/>
  <c r="BC72" i="9"/>
  <c r="E83" i="9"/>
  <c r="E405" i="1"/>
  <c r="E150" i="1"/>
  <c r="AN148" i="1"/>
  <c r="L83" i="9"/>
  <c r="L150" i="1"/>
  <c r="R83" i="9"/>
  <c r="R150" i="1"/>
  <c r="X83" i="9"/>
  <c r="X150" i="1"/>
  <c r="C83" i="9"/>
  <c r="C405" i="1"/>
  <c r="C150" i="1"/>
  <c r="U83" i="9"/>
  <c r="U150" i="1"/>
  <c r="F143" i="9"/>
  <c r="F144" i="9" s="1"/>
  <c r="F238" i="1"/>
  <c r="F242" i="1" s="1"/>
  <c r="F226" i="1"/>
  <c r="F143" i="1"/>
  <c r="F95" i="9" s="1"/>
  <c r="L143" i="9"/>
  <c r="L238" i="1"/>
  <c r="L242" i="1" s="1"/>
  <c r="L226" i="1"/>
  <c r="L231" i="1"/>
  <c r="L149" i="1" s="1"/>
  <c r="L97" i="9" s="1"/>
  <c r="L143" i="1"/>
  <c r="L95" i="9" s="1"/>
  <c r="R143" i="9"/>
  <c r="R238" i="1"/>
  <c r="R242" i="1" s="1"/>
  <c r="R656" i="1" s="1"/>
  <c r="R226" i="1"/>
  <c r="R231" i="1"/>
  <c r="R149" i="1" s="1"/>
  <c r="R97" i="9" s="1"/>
  <c r="R143" i="1"/>
  <c r="R95" i="9" s="1"/>
  <c r="AE143" i="9"/>
  <c r="AE144" i="9" s="1"/>
  <c r="AE226" i="1"/>
  <c r="AE231" i="1"/>
  <c r="AE149" i="1" s="1"/>
  <c r="AE97" i="9" s="1"/>
  <c r="AE143" i="1"/>
  <c r="AE95" i="9" s="1"/>
  <c r="AE238" i="1"/>
  <c r="AE242" i="1" s="1"/>
  <c r="AE656" i="1" s="1"/>
  <c r="AL143" i="9"/>
  <c r="AL226" i="1"/>
  <c r="AL231" i="1"/>
  <c r="AL149" i="1" s="1"/>
  <c r="AL97" i="9" s="1"/>
  <c r="AL143" i="1"/>
  <c r="AL95" i="9" s="1"/>
  <c r="AL238" i="1"/>
  <c r="AL242" i="1" s="1"/>
  <c r="AL656" i="1" s="1"/>
  <c r="BF143" i="9"/>
  <c r="BF238" i="1"/>
  <c r="BF242" i="1" s="1"/>
  <c r="BF656" i="1" s="1"/>
  <c r="BF226" i="1"/>
  <c r="BF231" i="1"/>
  <c r="BF149" i="1" s="1"/>
  <c r="BF97" i="9" s="1"/>
  <c r="BF143" i="1"/>
  <c r="BF95" i="9" s="1"/>
  <c r="S281" i="1"/>
  <c r="BI22" i="9"/>
  <c r="BI7" i="1"/>
  <c r="BI14" i="9" s="1"/>
  <c r="T25" i="9"/>
  <c r="Y10" i="1"/>
  <c r="Y17" i="9" s="1"/>
  <c r="AS27" i="9"/>
  <c r="AS12" i="1"/>
  <c r="AS19" i="9" s="1"/>
  <c r="T22" i="1"/>
  <c r="Z28" i="9"/>
  <c r="Z75" i="1"/>
  <c r="Z72" i="1"/>
  <c r="BP32" i="9"/>
  <c r="BP31" i="1"/>
  <c r="BP36" i="9" s="1"/>
  <c r="AL40" i="9"/>
  <c r="AL39" i="1"/>
  <c r="BC42" i="9"/>
  <c r="BC41" i="1"/>
  <c r="BC46" i="9" s="1"/>
  <c r="AI62" i="9"/>
  <c r="AI64" i="9"/>
  <c r="AI63" i="9"/>
  <c r="AI65" i="9"/>
  <c r="AI66" i="9"/>
  <c r="AX67" i="9"/>
  <c r="AX142" i="1"/>
  <c r="AX94" i="9" s="1"/>
  <c r="G177" i="1"/>
  <c r="G175" i="1"/>
  <c r="M177" i="1"/>
  <c r="M175" i="1"/>
  <c r="S177" i="1"/>
  <c r="S175" i="1"/>
  <c r="Z177" i="1"/>
  <c r="Z175" i="1"/>
  <c r="AF180" i="1"/>
  <c r="AF177" i="1"/>
  <c r="AF175" i="1"/>
  <c r="AL180" i="1"/>
  <c r="AL184" i="1" s="1"/>
  <c r="AL191" i="1" s="1"/>
  <c r="AL232" i="1" s="1"/>
  <c r="AL177" i="1"/>
  <c r="AL175" i="1"/>
  <c r="AR180" i="1"/>
  <c r="AR184" i="1" s="1"/>
  <c r="AR191" i="1" s="1"/>
  <c r="AR232" i="1" s="1"/>
  <c r="AR177" i="1"/>
  <c r="AR175" i="1"/>
  <c r="BF175" i="1"/>
  <c r="BF180" i="1"/>
  <c r="BF184" i="1" s="1"/>
  <c r="BF191" i="1" s="1"/>
  <c r="BF232" i="1" s="1"/>
  <c r="BF177" i="1"/>
  <c r="I177" i="1"/>
  <c r="I175" i="1"/>
  <c r="AS177" i="1"/>
  <c r="AS175" i="1"/>
  <c r="AS180" i="1"/>
  <c r="AS184" i="1" s="1"/>
  <c r="AS191" i="1" s="1"/>
  <c r="AS232" i="1" s="1"/>
  <c r="Y69" i="9"/>
  <c r="Y402" i="1"/>
  <c r="Y403" i="1" s="1"/>
  <c r="BC148" i="1"/>
  <c r="BL665" i="1"/>
  <c r="BH72" i="9"/>
  <c r="F83" i="9"/>
  <c r="F405" i="1"/>
  <c r="F150" i="1"/>
  <c r="M83" i="9"/>
  <c r="M150" i="1"/>
  <c r="S83" i="9"/>
  <c r="S150" i="1"/>
  <c r="Y83" i="9"/>
  <c r="Y405" i="1"/>
  <c r="D83" i="9"/>
  <c r="D405" i="1"/>
  <c r="D150" i="1"/>
  <c r="V83" i="9"/>
  <c r="V150" i="1"/>
  <c r="M143" i="9"/>
  <c r="M226" i="1"/>
  <c r="M231" i="1"/>
  <c r="M149" i="1" s="1"/>
  <c r="M97" i="9" s="1"/>
  <c r="M143" i="1"/>
  <c r="M95" i="9" s="1"/>
  <c r="M238" i="1"/>
  <c r="M242" i="1" s="1"/>
  <c r="M655" i="1" s="1"/>
  <c r="S143" i="9"/>
  <c r="S226" i="1"/>
  <c r="S231" i="1"/>
  <c r="S149" i="1" s="1"/>
  <c r="S97" i="9" s="1"/>
  <c r="S143" i="1"/>
  <c r="S95" i="9" s="1"/>
  <c r="S238" i="1"/>
  <c r="S242" i="1" s="1"/>
  <c r="S656" i="1" s="1"/>
  <c r="Z143" i="9"/>
  <c r="Z144" i="9" s="1"/>
  <c r="Z226" i="1"/>
  <c r="Z231" i="1"/>
  <c r="Z149" i="1" s="1"/>
  <c r="Z97" i="9" s="1"/>
  <c r="Z143" i="1"/>
  <c r="Z95" i="9" s="1"/>
  <c r="Z238" i="1"/>
  <c r="Z242" i="1" s="1"/>
  <c r="AT143" i="9"/>
  <c r="AT144" i="9" s="1"/>
  <c r="AT238" i="1"/>
  <c r="AT254" i="1" s="1"/>
  <c r="AT226" i="1"/>
  <c r="AT231" i="1"/>
  <c r="AT149" i="1" s="1"/>
  <c r="AT97" i="9" s="1"/>
  <c r="AT143" i="1"/>
  <c r="AT95" i="9" s="1"/>
  <c r="AZ143" i="9"/>
  <c r="AZ238" i="1"/>
  <c r="AZ242" i="1" s="1"/>
  <c r="AZ226" i="1"/>
  <c r="AZ231" i="1"/>
  <c r="AZ149" i="1" s="1"/>
  <c r="AZ97" i="9" s="1"/>
  <c r="AZ143" i="1"/>
  <c r="AZ95" i="9" s="1"/>
  <c r="BG226" i="1"/>
  <c r="M281" i="1"/>
  <c r="M280" i="1"/>
  <c r="BK39" i="1"/>
  <c r="M28" i="9"/>
  <c r="M75" i="1"/>
  <c r="M72" i="1"/>
  <c r="R13" i="1"/>
  <c r="R20" i="9" s="1"/>
  <c r="M76" i="1"/>
  <c r="M73" i="1"/>
  <c r="M74" i="1"/>
  <c r="M71" i="1"/>
  <c r="AZ38" i="9"/>
  <c r="BD33" i="1"/>
  <c r="BD38" i="9" s="1"/>
  <c r="AZ37" i="1"/>
  <c r="BJ40" i="9"/>
  <c r="E5" i="1"/>
  <c r="M13" i="1"/>
  <c r="M20" i="9" s="1"/>
  <c r="AK13" i="1"/>
  <c r="AK20" i="9" s="1"/>
  <c r="J22" i="1"/>
  <c r="AS22" i="1"/>
  <c r="BE39" i="1"/>
  <c r="BL24" i="9"/>
  <c r="BL659" i="1"/>
  <c r="BL9" i="1"/>
  <c r="BL16" i="9" s="1"/>
  <c r="BL22" i="1"/>
  <c r="AD25" i="9"/>
  <c r="AD10" i="1"/>
  <c r="AD17" i="9" s="1"/>
  <c r="AI10" i="1"/>
  <c r="AI17" i="9" s="1"/>
  <c r="BH25" i="9"/>
  <c r="BH10" i="1"/>
  <c r="BH17" i="9" s="1"/>
  <c r="O27" i="9"/>
  <c r="O12" i="1"/>
  <c r="O19" i="9" s="1"/>
  <c r="T12" i="1"/>
  <c r="T19" i="9" s="1"/>
  <c r="AX27" i="9"/>
  <c r="AX12" i="1"/>
  <c r="AX19" i="9" s="1"/>
  <c r="G28" i="9"/>
  <c r="G75" i="1"/>
  <c r="G72" i="1"/>
  <c r="L13" i="1"/>
  <c r="L20" i="9" s="1"/>
  <c r="G76" i="1"/>
  <c r="G73" i="1"/>
  <c r="G74" i="1"/>
  <c r="G71" i="1"/>
  <c r="N28" i="9"/>
  <c r="N75" i="1"/>
  <c r="N72" i="1"/>
  <c r="N76" i="1"/>
  <c r="N73" i="1"/>
  <c r="N74" i="1"/>
  <c r="N71" i="1"/>
  <c r="AJ32" i="9"/>
  <c r="AK35" i="1"/>
  <c r="AJ31" i="1"/>
  <c r="AJ36" i="9" s="1"/>
  <c r="BC32" i="9"/>
  <c r="BC35" i="1"/>
  <c r="BC40" i="9" s="1"/>
  <c r="BC31" i="1"/>
  <c r="BC36" i="9" s="1"/>
  <c r="BI32" i="9"/>
  <c r="BI31" i="1"/>
  <c r="BI36" i="9" s="1"/>
  <c r="BA38" i="9"/>
  <c r="BA37" i="1"/>
  <c r="AH39" i="9"/>
  <c r="AH38" i="1"/>
  <c r="AH43" i="9" s="1"/>
  <c r="AJ34" i="1"/>
  <c r="AJ39" i="9" s="1"/>
  <c r="BF39" i="9"/>
  <c r="BF38" i="1"/>
  <c r="AM40" i="9"/>
  <c r="AM39" i="1"/>
  <c r="AL42" i="9"/>
  <c r="BD37" i="1"/>
  <c r="Z73" i="1"/>
  <c r="Z76" i="1"/>
  <c r="H77" i="1"/>
  <c r="AL77" i="1"/>
  <c r="AN61" i="9"/>
  <c r="AN142" i="1"/>
  <c r="AN94" i="9" s="1"/>
  <c r="AN218" i="1"/>
  <c r="AN225" i="1" s="1"/>
  <c r="AN62" i="9"/>
  <c r="AN134" i="1"/>
  <c r="AN135" i="1" s="1"/>
  <c r="AN64" i="9"/>
  <c r="AN139" i="1"/>
  <c r="AN63" i="9"/>
  <c r="AN138" i="1"/>
  <c r="AN666" i="1" s="1"/>
  <c r="AN65" i="9"/>
  <c r="AN140" i="1"/>
  <c r="AN66" i="9"/>
  <c r="AN141" i="1"/>
  <c r="AN93" i="9" s="1"/>
  <c r="BC67" i="9"/>
  <c r="BC142" i="1"/>
  <c r="BC94" i="9" s="1"/>
  <c r="H177" i="1"/>
  <c r="H175" i="1"/>
  <c r="N177" i="1"/>
  <c r="N175" i="1"/>
  <c r="T177" i="1"/>
  <c r="T175" i="1"/>
  <c r="AZ656" i="1"/>
  <c r="AZ175" i="1"/>
  <c r="AZ180" i="1"/>
  <c r="AZ177" i="1"/>
  <c r="BG175" i="1"/>
  <c r="BG180" i="1"/>
  <c r="BG184" i="1" s="1"/>
  <c r="BG191" i="1" s="1"/>
  <c r="BG232" i="1" s="1"/>
  <c r="BG177" i="1"/>
  <c r="O177" i="1"/>
  <c r="O175" i="1"/>
  <c r="AY177" i="1"/>
  <c r="AY175" i="1"/>
  <c r="AD69" i="9"/>
  <c r="AD402" i="1"/>
  <c r="AD403" i="1" s="1"/>
  <c r="BH69" i="9"/>
  <c r="BH402" i="1"/>
  <c r="BH403" i="1" s="1"/>
  <c r="BF665" i="1"/>
  <c r="D72" i="9"/>
  <c r="D253" i="1"/>
  <c r="Y72" i="9"/>
  <c r="Z667" i="1"/>
  <c r="Z232" i="1"/>
  <c r="BJ148" i="1"/>
  <c r="G83" i="9"/>
  <c r="G405" i="1"/>
  <c r="G150" i="1"/>
  <c r="N83" i="9"/>
  <c r="N150" i="1"/>
  <c r="T83" i="9"/>
  <c r="T405" i="1"/>
  <c r="T150" i="1"/>
  <c r="I83" i="9"/>
  <c r="I405" i="1"/>
  <c r="I150" i="1"/>
  <c r="H143" i="9"/>
  <c r="H226" i="1"/>
  <c r="N143" i="9"/>
  <c r="N226" i="1"/>
  <c r="N231" i="1"/>
  <c r="N149" i="1" s="1"/>
  <c r="N97" i="9" s="1"/>
  <c r="N143" i="1"/>
  <c r="N95" i="9" s="1"/>
  <c r="N238" i="1"/>
  <c r="N242" i="1" s="1"/>
  <c r="T143" i="9"/>
  <c r="T226" i="1"/>
  <c r="T231" i="1"/>
  <c r="T149" i="1" s="1"/>
  <c r="T97" i="9" s="1"/>
  <c r="T143" i="1"/>
  <c r="T95" i="9" s="1"/>
  <c r="T238" i="1"/>
  <c r="T242" i="1" s="1"/>
  <c r="AO143" i="9"/>
  <c r="AO144" i="9" s="1"/>
  <c r="AO238" i="1"/>
  <c r="AO242" i="1" s="1"/>
  <c r="AO655" i="1" s="1"/>
  <c r="AO226" i="1"/>
  <c r="AO231" i="1"/>
  <c r="AO149" i="1" s="1"/>
  <c r="AO97" i="9" s="1"/>
  <c r="AO143" i="1"/>
  <c r="AO95" i="9" s="1"/>
  <c r="AU143" i="9"/>
  <c r="AU238" i="1"/>
  <c r="AU242" i="1" s="1"/>
  <c r="AU226" i="1"/>
  <c r="AU231" i="1"/>
  <c r="AU149" i="1" s="1"/>
  <c r="AU97" i="9" s="1"/>
  <c r="AU143" i="1"/>
  <c r="AU95" i="9" s="1"/>
  <c r="BA143" i="9"/>
  <c r="BA238" i="1"/>
  <c r="BA242" i="1" s="1"/>
  <c r="BA226" i="1"/>
  <c r="BA231" i="1"/>
  <c r="BA149" i="1" s="1"/>
  <c r="BA97" i="9" s="1"/>
  <c r="BA143" i="1"/>
  <c r="BA95" i="9" s="1"/>
  <c r="BI226" i="1"/>
  <c r="BI231" i="1"/>
  <c r="BI149" i="1" s="1"/>
  <c r="BI97" i="9" s="1"/>
  <c r="BI143" i="1"/>
  <c r="BI95" i="9" s="1"/>
  <c r="G280" i="1"/>
  <c r="O28" i="9"/>
  <c r="O76" i="1"/>
  <c r="O73" i="1"/>
  <c r="O77" i="1"/>
  <c r="O74" i="1"/>
  <c r="O71" i="1"/>
  <c r="O13" i="1"/>
  <c r="O20" i="9" s="1"/>
  <c r="O75" i="1"/>
  <c r="O72" i="1"/>
  <c r="BF24" i="9"/>
  <c r="BF659" i="1"/>
  <c r="BF9" i="1"/>
  <c r="BF16" i="9" s="1"/>
  <c r="BK9" i="1"/>
  <c r="BK16" i="9" s="1"/>
  <c r="BF22" i="1"/>
  <c r="H28" i="9"/>
  <c r="H75" i="1"/>
  <c r="H72" i="1"/>
  <c r="H76" i="1"/>
  <c r="H73" i="1"/>
  <c r="H74" i="1"/>
  <c r="H71" i="1"/>
  <c r="AQ28" i="9"/>
  <c r="AQ75" i="1"/>
  <c r="AQ72" i="1"/>
  <c r="AV13" i="1"/>
  <c r="AV20" i="9" s="1"/>
  <c r="AQ76" i="1"/>
  <c r="AQ73" i="1"/>
  <c r="AQ74" i="1"/>
  <c r="AQ71" i="1"/>
  <c r="AX22" i="1"/>
  <c r="BQ30" i="9"/>
  <c r="BQ33" i="1"/>
  <c r="BQ27" i="1"/>
  <c r="AO32" i="9"/>
  <c r="AP35" i="1"/>
  <c r="BD32" i="9"/>
  <c r="BD31" i="1"/>
  <c r="BD36" i="9" s="1"/>
  <c r="BJ32" i="9"/>
  <c r="BJ31" i="1"/>
  <c r="BJ36" i="9" s="1"/>
  <c r="AT31" i="1"/>
  <c r="AT36" i="9" s="1"/>
  <c r="AN38" i="9"/>
  <c r="AN37" i="1"/>
  <c r="AU38" i="9"/>
  <c r="AY33" i="1"/>
  <c r="AY38" i="9" s="1"/>
  <c r="AU37" i="1"/>
  <c r="BL38" i="9"/>
  <c r="BL37" i="1"/>
  <c r="AI39" i="9"/>
  <c r="AI38" i="1"/>
  <c r="AI43" i="9" s="1"/>
  <c r="BG39" i="9"/>
  <c r="BG38" i="1"/>
  <c r="AF40" i="9"/>
  <c r="AJ35" i="1"/>
  <c r="AF39" i="1"/>
  <c r="AX40" i="9"/>
  <c r="AX39" i="1"/>
  <c r="BP35" i="1"/>
  <c r="BP40" i="9" s="1"/>
  <c r="AQ42" i="9"/>
  <c r="AQ41" i="1"/>
  <c r="AQ46" i="9" s="1"/>
  <c r="AF77" i="1"/>
  <c r="AX62" i="9"/>
  <c r="AX134" i="1"/>
  <c r="AX135" i="1" s="1"/>
  <c r="AX64" i="9"/>
  <c r="AX139" i="1"/>
  <c r="AX63" i="9"/>
  <c r="AX138" i="1"/>
  <c r="AX65" i="9"/>
  <c r="AX140" i="1"/>
  <c r="AX66" i="9"/>
  <c r="AX141" i="1"/>
  <c r="AX93" i="9" s="1"/>
  <c r="AB175" i="1"/>
  <c r="AB180" i="1"/>
  <c r="AB184" i="1" s="1"/>
  <c r="AB191" i="1" s="1"/>
  <c r="AB232" i="1" s="1"/>
  <c r="AB177" i="1"/>
  <c r="AH175" i="1"/>
  <c r="AH180" i="1"/>
  <c r="AH184" i="1" s="1"/>
  <c r="AH191" i="1" s="1"/>
  <c r="AH232" i="1" s="1"/>
  <c r="AH177" i="1"/>
  <c r="AN175" i="1"/>
  <c r="AN180" i="1"/>
  <c r="AN184" i="1" s="1"/>
  <c r="AN191" i="1" s="1"/>
  <c r="AN232" i="1" s="1"/>
  <c r="AT175" i="1"/>
  <c r="AT177" i="1"/>
  <c r="BA656" i="1"/>
  <c r="BA175" i="1"/>
  <c r="BA180" i="1"/>
  <c r="BA184" i="1" s="1"/>
  <c r="BA191" i="1" s="1"/>
  <c r="BA232" i="1" s="1"/>
  <c r="BA177" i="1"/>
  <c r="BI177" i="1"/>
  <c r="BI175" i="1"/>
  <c r="U177" i="1"/>
  <c r="U175" i="1"/>
  <c r="BE177" i="1"/>
  <c r="BE175" i="1"/>
  <c r="BE180" i="1"/>
  <c r="AI69" i="9"/>
  <c r="AI402" i="1"/>
  <c r="AI403" i="1" s="1"/>
  <c r="E72" i="9"/>
  <c r="AI72" i="9"/>
  <c r="K83" i="9"/>
  <c r="K405" i="1"/>
  <c r="K150" i="1"/>
  <c r="AE598" i="1"/>
  <c r="AE147" i="1"/>
  <c r="H83" i="9"/>
  <c r="H405" i="1"/>
  <c r="H150" i="1"/>
  <c r="J83" i="9"/>
  <c r="J405" i="1"/>
  <c r="J150" i="1"/>
  <c r="AB143" i="9"/>
  <c r="AB238" i="1"/>
  <c r="AB226" i="1"/>
  <c r="AB231" i="1"/>
  <c r="AB149" i="1" s="1"/>
  <c r="AB97" i="9" s="1"/>
  <c r="AB143" i="1"/>
  <c r="AB95" i="9" s="1"/>
  <c r="AH143" i="9"/>
  <c r="AH238" i="1"/>
  <c r="AH254" i="1" s="1"/>
  <c r="AH226" i="1"/>
  <c r="AH231" i="1"/>
  <c r="AH149" i="1" s="1"/>
  <c r="AH97" i="9" s="1"/>
  <c r="AH143" i="1"/>
  <c r="AH95" i="9" s="1"/>
  <c r="AP143" i="9"/>
  <c r="AP238" i="1"/>
  <c r="AP242" i="1" s="1"/>
  <c r="AP226" i="1"/>
  <c r="AP231" i="1"/>
  <c r="AP149" i="1" s="1"/>
  <c r="AP97" i="9" s="1"/>
  <c r="AP143" i="1"/>
  <c r="AP95" i="9" s="1"/>
  <c r="AV143" i="9"/>
  <c r="AV238" i="1"/>
  <c r="AV242" i="1" s="1"/>
  <c r="AV656" i="1" s="1"/>
  <c r="AV226" i="1"/>
  <c r="AV231" i="1"/>
  <c r="AV149" i="1" s="1"/>
  <c r="AV97" i="9" s="1"/>
  <c r="AV143" i="1"/>
  <c r="AV95" i="9" s="1"/>
  <c r="BB143" i="9"/>
  <c r="BB238" i="1"/>
  <c r="BB242" i="1" s="1"/>
  <c r="BB226" i="1"/>
  <c r="BB231" i="1"/>
  <c r="BB149" i="1" s="1"/>
  <c r="BB97" i="9" s="1"/>
  <c r="BB143" i="1"/>
  <c r="BB95" i="9" s="1"/>
  <c r="BJ143" i="9"/>
  <c r="BJ226" i="1"/>
  <c r="BJ231" i="1"/>
  <c r="BJ149" i="1" s="1"/>
  <c r="BJ97" i="9" s="1"/>
  <c r="BJ143" i="1"/>
  <c r="BJ95" i="9" s="1"/>
  <c r="BJ238" i="1"/>
  <c r="BJ242" i="1" s="1"/>
  <c r="BJ656" i="1" s="1"/>
  <c r="AJ54" i="1"/>
  <c r="AJ58" i="9" s="1"/>
  <c r="K68" i="1"/>
  <c r="K77" i="1" s="1"/>
  <c r="AO68" i="1"/>
  <c r="AO77" i="1" s="1"/>
  <c r="I72" i="1"/>
  <c r="AA72" i="1"/>
  <c r="AG72" i="1"/>
  <c r="AM72" i="1"/>
  <c r="Q73" i="1"/>
  <c r="W73" i="1"/>
  <c r="AC73" i="1"/>
  <c r="I75" i="1"/>
  <c r="AA75" i="1"/>
  <c r="AG75" i="1"/>
  <c r="AM75" i="1"/>
  <c r="Q76" i="1"/>
  <c r="W76" i="1"/>
  <c r="AC76" i="1"/>
  <c r="H138" i="1"/>
  <c r="H666" i="1" s="1"/>
  <c r="N138" i="1"/>
  <c r="N666" i="1" s="1"/>
  <c r="T138" i="1"/>
  <c r="T666" i="1" s="1"/>
  <c r="Z138" i="1"/>
  <c r="Z666" i="1" s="1"/>
  <c r="AF138" i="1"/>
  <c r="AF666" i="1" s="1"/>
  <c r="AL138" i="1"/>
  <c r="AL666" i="1" s="1"/>
  <c r="AR138" i="1"/>
  <c r="AR666" i="1" s="1"/>
  <c r="BD138" i="1"/>
  <c r="BD666" i="1" s="1"/>
  <c r="BJ138" i="1"/>
  <c r="BJ666" i="1" s="1"/>
  <c r="H141" i="1"/>
  <c r="H93" i="9" s="1"/>
  <c r="N141" i="1"/>
  <c r="N93" i="9" s="1"/>
  <c r="T141" i="1"/>
  <c r="T93" i="9" s="1"/>
  <c r="Z141" i="1"/>
  <c r="Z93" i="9" s="1"/>
  <c r="AF141" i="1"/>
  <c r="AF93" i="9" s="1"/>
  <c r="AL141" i="1"/>
  <c r="AL93" i="9" s="1"/>
  <c r="AR141" i="1"/>
  <c r="AR93" i="9" s="1"/>
  <c r="BD141" i="1"/>
  <c r="BD93" i="9" s="1"/>
  <c r="BJ141" i="1"/>
  <c r="BJ93" i="9" s="1"/>
  <c r="H142" i="1"/>
  <c r="H94" i="9" s="1"/>
  <c r="N142" i="1"/>
  <c r="N94" i="9" s="1"/>
  <c r="T142" i="1"/>
  <c r="T94" i="9" s="1"/>
  <c r="Z142" i="1"/>
  <c r="Z94" i="9" s="1"/>
  <c r="AF142" i="1"/>
  <c r="AF94" i="9" s="1"/>
  <c r="AL142" i="1"/>
  <c r="AL94" i="9" s="1"/>
  <c r="AR142" i="1"/>
  <c r="AR94" i="9" s="1"/>
  <c r="BD142" i="1"/>
  <c r="BD94" i="9" s="1"/>
  <c r="BJ142" i="1"/>
  <c r="BJ94" i="9" s="1"/>
  <c r="L665" i="1"/>
  <c r="AD665" i="1"/>
  <c r="AJ665" i="1"/>
  <c r="AP665" i="1"/>
  <c r="AN177" i="1"/>
  <c r="Y210" i="1"/>
  <c r="BC210" i="1"/>
  <c r="C61" i="9"/>
  <c r="C68" i="9" s="1"/>
  <c r="C659" i="1"/>
  <c r="C575" i="1"/>
  <c r="C574" i="1"/>
  <c r="I61" i="9"/>
  <c r="I90" i="9" s="1"/>
  <c r="I659" i="1"/>
  <c r="O61" i="9"/>
  <c r="O575" i="1"/>
  <c r="O574" i="1"/>
  <c r="U61" i="9"/>
  <c r="U659" i="1"/>
  <c r="U575" i="1"/>
  <c r="U574" i="1"/>
  <c r="AA61" i="9"/>
  <c r="AA659" i="1"/>
  <c r="AG61" i="9"/>
  <c r="AG659" i="1"/>
  <c r="AG575" i="1"/>
  <c r="AG574" i="1"/>
  <c r="AM61" i="9"/>
  <c r="AM89" i="9" s="1"/>
  <c r="AM659" i="1"/>
  <c r="AS61" i="9"/>
  <c r="AS575" i="1"/>
  <c r="AS574" i="1"/>
  <c r="AY61" i="9"/>
  <c r="AY575" i="1"/>
  <c r="AY574" i="1"/>
  <c r="BE61" i="9"/>
  <c r="BE89" i="9" s="1"/>
  <c r="BE575" i="1"/>
  <c r="BE574" i="1"/>
  <c r="BK61" i="9"/>
  <c r="BK92" i="9" s="1"/>
  <c r="J218" i="1"/>
  <c r="J225" i="1" s="1"/>
  <c r="J90" i="9"/>
  <c r="J91" i="9"/>
  <c r="J92" i="9"/>
  <c r="D230" i="1"/>
  <c r="D148" i="1" s="1"/>
  <c r="P230" i="1"/>
  <c r="P148" i="1" s="1"/>
  <c r="M69" i="9"/>
  <c r="M402" i="1"/>
  <c r="M403" i="1" s="1"/>
  <c r="S69" i="9"/>
  <c r="S402" i="1"/>
  <c r="S403" i="1" s="1"/>
  <c r="AE69" i="9"/>
  <c r="AE402" i="1"/>
  <c r="AE403" i="1" s="1"/>
  <c r="AK69" i="9"/>
  <c r="AK402" i="1"/>
  <c r="AK403" i="1" s="1"/>
  <c r="AQ69" i="9"/>
  <c r="AQ402" i="1"/>
  <c r="AQ403" i="1" s="1"/>
  <c r="AW69" i="9"/>
  <c r="AW402" i="1"/>
  <c r="AW403" i="1" s="1"/>
  <c r="BC235" i="1"/>
  <c r="BI69" i="9"/>
  <c r="BI402" i="1"/>
  <c r="BI403" i="1" s="1"/>
  <c r="AC253" i="1"/>
  <c r="AU253" i="1"/>
  <c r="K281" i="1"/>
  <c r="R275" i="1"/>
  <c r="S280" i="1" s="1"/>
  <c r="AD281" i="1"/>
  <c r="BH275" i="1"/>
  <c r="BH281" i="1"/>
  <c r="BJ280" i="1"/>
  <c r="BH280" i="1"/>
  <c r="BH307" i="1"/>
  <c r="AQ327" i="1"/>
  <c r="BE327" i="1"/>
  <c r="AE351" i="1"/>
  <c r="AA346" i="1"/>
  <c r="BI351" i="1"/>
  <c r="BI346" i="1" s="1"/>
  <c r="BE346" i="1"/>
  <c r="F139" i="9"/>
  <c r="F124" i="9"/>
  <c r="F406" i="1"/>
  <c r="F407" i="1"/>
  <c r="L139" i="9"/>
  <c r="L124" i="9"/>
  <c r="AP139" i="9"/>
  <c r="AP124" i="9"/>
  <c r="AI24" i="9"/>
  <c r="BB24" i="9"/>
  <c r="BB659" i="1"/>
  <c r="BH24" i="9"/>
  <c r="AY22" i="1"/>
  <c r="BE22" i="1"/>
  <c r="BK22" i="1"/>
  <c r="BI30" i="1"/>
  <c r="BI35" i="9" s="1"/>
  <c r="AD31" i="1"/>
  <c r="BB31" i="1"/>
  <c r="BB36" i="9" s="1"/>
  <c r="BH31" i="1"/>
  <c r="BH36" i="9" s="1"/>
  <c r="AJ33" i="1"/>
  <c r="AJ38" i="9" s="1"/>
  <c r="AP33" i="1"/>
  <c r="AZ35" i="1"/>
  <c r="AZ39" i="1" s="1"/>
  <c r="BF35" i="1"/>
  <c r="BF40" i="9" s="1"/>
  <c r="BL35" i="1"/>
  <c r="BL40" i="9" s="1"/>
  <c r="AG37" i="1"/>
  <c r="AG42" i="9" s="1"/>
  <c r="AM37" i="1"/>
  <c r="AS37" i="1"/>
  <c r="AY37" i="1"/>
  <c r="BK37" i="1"/>
  <c r="AL38" i="1"/>
  <c r="AR38" i="1"/>
  <c r="AX38" i="1"/>
  <c r="BD38" i="1"/>
  <c r="AQ39" i="1"/>
  <c r="AW39" i="1"/>
  <c r="AI43" i="1"/>
  <c r="AI48" i="9" s="1"/>
  <c r="AE54" i="1"/>
  <c r="AE58" i="9" s="1"/>
  <c r="Z71" i="1"/>
  <c r="Z78" i="1" s="1"/>
  <c r="P72" i="1"/>
  <c r="P78" i="1" s="1"/>
  <c r="V72" i="1"/>
  <c r="AB72" i="1"/>
  <c r="AH72" i="1"/>
  <c r="AT72" i="1"/>
  <c r="AT78" i="1" s="1"/>
  <c r="L73" i="1"/>
  <c r="R73" i="1"/>
  <c r="X73" i="1"/>
  <c r="AP73" i="1"/>
  <c r="V75" i="1"/>
  <c r="AB75" i="1"/>
  <c r="AH75" i="1"/>
  <c r="L76" i="1"/>
  <c r="R76" i="1"/>
  <c r="X76" i="1"/>
  <c r="AP76" i="1"/>
  <c r="M665" i="1"/>
  <c r="AK665" i="1"/>
  <c r="AQ665" i="1"/>
  <c r="BH163" i="1"/>
  <c r="AI164" i="1"/>
  <c r="AI169" i="1" s="1"/>
  <c r="AI173" i="1" s="1"/>
  <c r="T590" i="1"/>
  <c r="BJ210" i="1"/>
  <c r="D61" i="9"/>
  <c r="D68" i="9" s="1"/>
  <c r="D659" i="1"/>
  <c r="D575" i="1"/>
  <c r="D578" i="1" s="1"/>
  <c r="D574" i="1"/>
  <c r="O151" i="9"/>
  <c r="J68" i="9"/>
  <c r="P61" i="9"/>
  <c r="P91" i="9" s="1"/>
  <c r="P659" i="1"/>
  <c r="P575" i="1"/>
  <c r="P574" i="1"/>
  <c r="V61" i="9"/>
  <c r="V89" i="9" s="1"/>
  <c r="V659" i="1"/>
  <c r="V575" i="1"/>
  <c r="V574" i="1"/>
  <c r="AB61" i="9"/>
  <c r="AB91" i="9" s="1"/>
  <c r="AB659" i="1"/>
  <c r="AH61" i="9"/>
  <c r="AH89" i="9" s="1"/>
  <c r="AH659" i="1"/>
  <c r="AH575" i="1"/>
  <c r="AH574" i="1"/>
  <c r="AT61" i="9"/>
  <c r="AT91" i="9" s="1"/>
  <c r="AT659" i="1"/>
  <c r="AT575" i="1"/>
  <c r="AT574" i="1"/>
  <c r="AZ61" i="9"/>
  <c r="AZ89" i="9" s="1"/>
  <c r="AZ575" i="1"/>
  <c r="AZ574" i="1"/>
  <c r="BF61" i="9"/>
  <c r="BF91" i="9" s="1"/>
  <c r="BF575" i="1"/>
  <c r="BF574" i="1"/>
  <c r="BL61" i="9"/>
  <c r="E230" i="1"/>
  <c r="E148" i="1" s="1"/>
  <c r="K230" i="1"/>
  <c r="K148" i="1" s="1"/>
  <c r="N69" i="9"/>
  <c r="N402" i="1"/>
  <c r="N403" i="1" s="1"/>
  <c r="Z69" i="9"/>
  <c r="Z402" i="1"/>
  <c r="Z403" i="1" s="1"/>
  <c r="AF69" i="9"/>
  <c r="AF402" i="1"/>
  <c r="AF403" i="1" s="1"/>
  <c r="AL69" i="9"/>
  <c r="AL402" i="1"/>
  <c r="AL403" i="1" s="1"/>
  <c r="AR69" i="9"/>
  <c r="AR402" i="1"/>
  <c r="AR403" i="1" s="1"/>
  <c r="AX235" i="1"/>
  <c r="BD69" i="9"/>
  <c r="BD402" i="1"/>
  <c r="BD403" i="1" s="1"/>
  <c r="BJ69" i="9"/>
  <c r="BJ402" i="1"/>
  <c r="BD72" i="9"/>
  <c r="BD253" i="1"/>
  <c r="BJ72" i="9"/>
  <c r="N254" i="1"/>
  <c r="T254" i="1"/>
  <c r="Z254" i="1"/>
  <c r="AL254" i="1"/>
  <c r="BD254" i="1"/>
  <c r="L253" i="1"/>
  <c r="R253" i="1"/>
  <c r="AD253" i="1"/>
  <c r="AJ253" i="1"/>
  <c r="AP253" i="1"/>
  <c r="AV253" i="1"/>
  <c r="L281" i="1"/>
  <c r="L280" i="1"/>
  <c r="AI280" i="1"/>
  <c r="AI281" i="1"/>
  <c r="BL288" i="1"/>
  <c r="BL292" i="1" s="1"/>
  <c r="BJ288" i="1"/>
  <c r="BH292" i="1"/>
  <c r="AR327" i="1"/>
  <c r="AN24" i="9"/>
  <c r="AN659" i="1"/>
  <c r="BC24" i="9"/>
  <c r="BC659" i="1"/>
  <c r="BI18" i="1"/>
  <c r="AN22" i="1"/>
  <c r="BN25" i="1"/>
  <c r="BD30" i="1"/>
  <c r="BD35" i="9" s="1"/>
  <c r="AK33" i="1"/>
  <c r="BO33" i="1"/>
  <c r="BO34" i="1"/>
  <c r="AU35" i="1"/>
  <c r="BA35" i="1"/>
  <c r="BA40" i="9" s="1"/>
  <c r="BG35" i="1"/>
  <c r="BG40" i="9" s="1"/>
  <c r="AG38" i="1"/>
  <c r="AG43" i="9" s="1"/>
  <c r="AM38" i="1"/>
  <c r="AS38" i="1"/>
  <c r="AY38" i="1"/>
  <c r="BK38" i="1"/>
  <c r="AV42" i="1"/>
  <c r="AV47" i="9" s="1"/>
  <c r="BB42" i="1"/>
  <c r="BB47" i="9" s="1"/>
  <c r="BH42" i="1"/>
  <c r="BH47" i="9" s="1"/>
  <c r="AV43" i="1"/>
  <c r="AV48" i="9" s="1"/>
  <c r="Z54" i="1"/>
  <c r="Z58" i="9" s="1"/>
  <c r="AE68" i="1"/>
  <c r="AE77" i="1" s="1"/>
  <c r="I71" i="1"/>
  <c r="U71" i="1"/>
  <c r="AA71" i="1"/>
  <c r="AG71" i="1"/>
  <c r="AM71" i="1"/>
  <c r="K72" i="1"/>
  <c r="K78" i="1" s="1"/>
  <c r="Q72" i="1"/>
  <c r="W72" i="1"/>
  <c r="AC72" i="1"/>
  <c r="AO72" i="1"/>
  <c r="AO78" i="1" s="1"/>
  <c r="I74" i="1"/>
  <c r="U74" i="1"/>
  <c r="AA74" i="1"/>
  <c r="AG74" i="1"/>
  <c r="AM74" i="1"/>
  <c r="K75" i="1"/>
  <c r="Q75" i="1"/>
  <c r="W75" i="1"/>
  <c r="AC75" i="1"/>
  <c r="AO75" i="1"/>
  <c r="I77" i="1"/>
  <c r="AA77" i="1"/>
  <c r="AG77" i="1"/>
  <c r="AM77" i="1"/>
  <c r="AM117" i="1"/>
  <c r="AM119" i="1" s="1"/>
  <c r="H140" i="1"/>
  <c r="N140" i="1"/>
  <c r="T140" i="1"/>
  <c r="Z140" i="1"/>
  <c r="AF140" i="1"/>
  <c r="AL140" i="1"/>
  <c r="AR140" i="1"/>
  <c r="BD140" i="1"/>
  <c r="BJ140" i="1"/>
  <c r="H147" i="1"/>
  <c r="N147" i="1"/>
  <c r="T147" i="1"/>
  <c r="Z147" i="1"/>
  <c r="AF147" i="1"/>
  <c r="AL147" i="1"/>
  <c r="AR147" i="1"/>
  <c r="AX147" i="1"/>
  <c r="BD147" i="1"/>
  <c r="BJ147" i="1"/>
  <c r="H148" i="1"/>
  <c r="N148" i="1"/>
  <c r="T148" i="1"/>
  <c r="Z148" i="1"/>
  <c r="AF148" i="1"/>
  <c r="AL148" i="1"/>
  <c r="AR148" i="1"/>
  <c r="Y163" i="1"/>
  <c r="BC163" i="1"/>
  <c r="BH164" i="1"/>
  <c r="BH169" i="1" s="1"/>
  <c r="BH173" i="1" s="1"/>
  <c r="BH177" i="1" s="1"/>
  <c r="BH168" i="1"/>
  <c r="BH182" i="1" s="1"/>
  <c r="BH230" i="1" s="1"/>
  <c r="E61" i="9"/>
  <c r="E68" i="9" s="1"/>
  <c r="E659" i="1"/>
  <c r="E575" i="1"/>
  <c r="E574" i="1"/>
  <c r="E577" i="1" s="1"/>
  <c r="K61" i="9"/>
  <c r="K90" i="9" s="1"/>
  <c r="K574" i="1"/>
  <c r="K659" i="1"/>
  <c r="K575" i="1"/>
  <c r="Q61" i="9"/>
  <c r="Q89" i="9" s="1"/>
  <c r="Q574" i="1"/>
  <c r="Q659" i="1"/>
  <c r="Q575" i="1"/>
  <c r="W61" i="9"/>
  <c r="W90" i="9" s="1"/>
  <c r="W659" i="1"/>
  <c r="W574" i="1"/>
  <c r="W575" i="1"/>
  <c r="AC61" i="9"/>
  <c r="AC89" i="9" s="1"/>
  <c r="AC659" i="1"/>
  <c r="AI214" i="1"/>
  <c r="AO61" i="9"/>
  <c r="AO659" i="1"/>
  <c r="AO574" i="1"/>
  <c r="AO575" i="1"/>
  <c r="AU61" i="9"/>
  <c r="AU574" i="1"/>
  <c r="AU659" i="1"/>
  <c r="AU575" i="1"/>
  <c r="BA61" i="9"/>
  <c r="BA89" i="9" s="1"/>
  <c r="BA574" i="1"/>
  <c r="BA575" i="1"/>
  <c r="BG61" i="9"/>
  <c r="BG89" i="9" s="1"/>
  <c r="BG574" i="1"/>
  <c r="BG575" i="1"/>
  <c r="F230" i="1"/>
  <c r="F148" i="1" s="1"/>
  <c r="U69" i="9"/>
  <c r="U402" i="1"/>
  <c r="U403" i="1" s="1"/>
  <c r="AA69" i="9"/>
  <c r="AA402" i="1"/>
  <c r="AA403" i="1" s="1"/>
  <c r="AG69" i="9"/>
  <c r="AG402" i="1"/>
  <c r="AG403" i="1" s="1"/>
  <c r="AM69" i="9"/>
  <c r="AM402" i="1"/>
  <c r="AM403" i="1" s="1"/>
  <c r="AY69" i="9"/>
  <c r="AY402" i="1"/>
  <c r="AY403" i="1" s="1"/>
  <c r="BE69" i="9"/>
  <c r="BE402" i="1"/>
  <c r="BE403" i="1" s="1"/>
  <c r="BK69" i="9"/>
  <c r="BK402" i="1"/>
  <c r="BK403" i="1" s="1"/>
  <c r="U240" i="1"/>
  <c r="BE72" i="9"/>
  <c r="BK72" i="9"/>
  <c r="BN245" i="1"/>
  <c r="BN75" i="9" s="1"/>
  <c r="S253" i="1"/>
  <c r="AE253" i="1"/>
  <c r="AK253" i="1"/>
  <c r="AQ253" i="1"/>
  <c r="J280" i="1"/>
  <c r="U281" i="1"/>
  <c r="AN281" i="1"/>
  <c r="AN280" i="1"/>
  <c r="AQ281" i="1"/>
  <c r="AQ280" i="1"/>
  <c r="J295" i="1"/>
  <c r="J307" i="1"/>
  <c r="AN295" i="1"/>
  <c r="AN307" i="1" s="1"/>
  <c r="O296" i="1"/>
  <c r="O308" i="1" s="1"/>
  <c r="AS296" i="1"/>
  <c r="AS308" i="1"/>
  <c r="T309" i="1"/>
  <c r="AX309" i="1"/>
  <c r="V346" i="1"/>
  <c r="AO351" i="1"/>
  <c r="AO346" i="1" s="1"/>
  <c r="AK346" i="1"/>
  <c r="AZ346" i="1"/>
  <c r="J24" i="9"/>
  <c r="J659" i="1"/>
  <c r="AS24" i="9"/>
  <c r="AS659" i="1"/>
  <c r="BJ24" i="9"/>
  <c r="BJ659" i="1"/>
  <c r="BM21" i="1"/>
  <c r="AI22" i="1"/>
  <c r="BM27" i="1"/>
  <c r="AY29" i="1"/>
  <c r="AY34" i="9" s="1"/>
  <c r="AY30" i="1"/>
  <c r="AY35" i="9" s="1"/>
  <c r="BP33" i="1"/>
  <c r="BJ34" i="1"/>
  <c r="BP34" i="1"/>
  <c r="BB35" i="1"/>
  <c r="BH35" i="1"/>
  <c r="AS39" i="1"/>
  <c r="AQ42" i="1"/>
  <c r="AQ47" i="9" s="1"/>
  <c r="AW42" i="1"/>
  <c r="AW47" i="9" s="1"/>
  <c r="BC42" i="1"/>
  <c r="BC47" i="9" s="1"/>
  <c r="U54" i="1"/>
  <c r="U58" i="9" s="1"/>
  <c r="V71" i="1"/>
  <c r="AB71" i="1"/>
  <c r="AB78" i="1" s="1"/>
  <c r="AH71" i="1"/>
  <c r="L72" i="1"/>
  <c r="L78" i="1" s="1"/>
  <c r="R72" i="1"/>
  <c r="R78" i="1" s="1"/>
  <c r="X72" i="1"/>
  <c r="X78" i="1" s="1"/>
  <c r="AP72" i="1"/>
  <c r="AP78" i="1" s="1"/>
  <c r="V74" i="1"/>
  <c r="AB74" i="1"/>
  <c r="AH74" i="1"/>
  <c r="L75" i="1"/>
  <c r="R75" i="1"/>
  <c r="X75" i="1"/>
  <c r="AP75" i="1"/>
  <c r="AX163" i="1"/>
  <c r="Y164" i="1"/>
  <c r="Y169" i="1" s="1"/>
  <c r="Y173" i="1" s="1"/>
  <c r="Y175" i="1" s="1"/>
  <c r="BC164" i="1"/>
  <c r="BC169" i="1" s="1"/>
  <c r="BC173" i="1" s="1"/>
  <c r="J210" i="1"/>
  <c r="AN210" i="1"/>
  <c r="F61" i="9"/>
  <c r="F91" i="9" s="1"/>
  <c r="F659" i="1"/>
  <c r="F575" i="1"/>
  <c r="F578" i="1" s="1"/>
  <c r="F574" i="1"/>
  <c r="F577" i="1" s="1"/>
  <c r="L61" i="9"/>
  <c r="L90" i="9" s="1"/>
  <c r="L659" i="1"/>
  <c r="L574" i="1"/>
  <c r="L575" i="1"/>
  <c r="R61" i="9"/>
  <c r="R659" i="1"/>
  <c r="R574" i="1"/>
  <c r="R575" i="1"/>
  <c r="X61" i="9"/>
  <c r="X90" i="9" s="1"/>
  <c r="X659" i="1"/>
  <c r="X574" i="1"/>
  <c r="X575" i="1"/>
  <c r="AD61" i="9"/>
  <c r="AD91" i="9" s="1"/>
  <c r="AD574" i="1"/>
  <c r="AD575" i="1"/>
  <c r="AJ61" i="9"/>
  <c r="AJ659" i="1"/>
  <c r="AJ574" i="1"/>
  <c r="AJ575" i="1"/>
  <c r="AP61" i="9"/>
  <c r="AP89" i="9" s="1"/>
  <c r="AP659" i="1"/>
  <c r="AP574" i="1"/>
  <c r="AP575" i="1"/>
  <c r="AV61" i="9"/>
  <c r="AV90" i="9" s="1"/>
  <c r="AV659" i="1"/>
  <c r="AV574" i="1"/>
  <c r="AV575" i="1"/>
  <c r="BB61" i="9"/>
  <c r="BB89" i="9" s="1"/>
  <c r="BB574" i="1"/>
  <c r="BB575" i="1"/>
  <c r="BH214" i="1"/>
  <c r="BK575" i="1" s="1"/>
  <c r="P69" i="9"/>
  <c r="P402" i="1"/>
  <c r="P403" i="1" s="1"/>
  <c r="V69" i="9"/>
  <c r="V402" i="1"/>
  <c r="V403" i="1" s="1"/>
  <c r="AB69" i="9"/>
  <c r="AB402" i="1"/>
  <c r="AB403" i="1" s="1"/>
  <c r="AH69" i="9"/>
  <c r="AH402" i="1"/>
  <c r="AH403" i="1" s="1"/>
  <c r="AT69" i="9"/>
  <c r="AT402" i="1"/>
  <c r="AT403" i="1" s="1"/>
  <c r="AZ69" i="9"/>
  <c r="AZ402" i="1"/>
  <c r="AZ403" i="1" s="1"/>
  <c r="BF69" i="9"/>
  <c r="BF402" i="1"/>
  <c r="BF403" i="1" s="1"/>
  <c r="BL69" i="9"/>
  <c r="BL402" i="1"/>
  <c r="BL403" i="1" s="1"/>
  <c r="AZ72" i="9"/>
  <c r="AZ253" i="1"/>
  <c r="BF72" i="9"/>
  <c r="BF253" i="1"/>
  <c r="BL72" i="9"/>
  <c r="BL253" i="1"/>
  <c r="D254" i="1"/>
  <c r="P254" i="1"/>
  <c r="V254" i="1"/>
  <c r="AB254" i="1"/>
  <c r="AZ254" i="1"/>
  <c r="BF254" i="1"/>
  <c r="BL254" i="1"/>
  <c r="N253" i="1"/>
  <c r="T253" i="1"/>
  <c r="Z253" i="1"/>
  <c r="AL253" i="1"/>
  <c r="O281" i="1"/>
  <c r="N280" i="1"/>
  <c r="V280" i="1"/>
  <c r="V281" i="1"/>
  <c r="AS281" i="1"/>
  <c r="AK281" i="1"/>
  <c r="AK280" i="1"/>
  <c r="AR280" i="1"/>
  <c r="AD280" i="1"/>
  <c r="B2" i="9"/>
  <c r="O24" i="9"/>
  <c r="O659" i="1"/>
  <c r="AY24" i="9"/>
  <c r="AY659" i="1"/>
  <c r="BE24" i="9"/>
  <c r="BE659" i="1"/>
  <c r="BK24" i="9"/>
  <c r="BK659" i="1"/>
  <c r="AX25" i="9"/>
  <c r="AX659" i="1"/>
  <c r="BB22" i="1"/>
  <c r="BH22" i="1"/>
  <c r="AT29" i="1"/>
  <c r="AT34" i="9" s="1"/>
  <c r="AT30" i="1"/>
  <c r="AT35" i="9" s="1"/>
  <c r="AY31" i="1"/>
  <c r="AY36" i="9" s="1"/>
  <c r="BE31" i="1"/>
  <c r="BE36" i="9" s="1"/>
  <c r="BK31" i="1"/>
  <c r="BK36" i="9" s="1"/>
  <c r="BE34" i="1"/>
  <c r="BQ34" i="1"/>
  <c r="AJ37" i="1"/>
  <c r="AJ42" i="9" s="1"/>
  <c r="AV37" i="1"/>
  <c r="BB37" i="1"/>
  <c r="BH37" i="1"/>
  <c r="BM38" i="1"/>
  <c r="AH39" i="1"/>
  <c r="AN39" i="1"/>
  <c r="P54" i="1"/>
  <c r="P58" i="9" s="1"/>
  <c r="AT54" i="1"/>
  <c r="AT58" i="9" s="1"/>
  <c r="Q71" i="1"/>
  <c r="Q78" i="1" s="1"/>
  <c r="W71" i="1"/>
  <c r="AC71" i="1"/>
  <c r="I73" i="1"/>
  <c r="AA73" i="1"/>
  <c r="AG73" i="1"/>
  <c r="AM73" i="1"/>
  <c r="Q74" i="1"/>
  <c r="W74" i="1"/>
  <c r="AC74" i="1"/>
  <c r="I76" i="1"/>
  <c r="AA76" i="1"/>
  <c r="AG76" i="1"/>
  <c r="AM76" i="1"/>
  <c r="Q77" i="1"/>
  <c r="W77" i="1"/>
  <c r="AC77" i="1"/>
  <c r="H139" i="1"/>
  <c r="N139" i="1"/>
  <c r="T139" i="1"/>
  <c r="Z139" i="1"/>
  <c r="AF139" i="1"/>
  <c r="AL139" i="1"/>
  <c r="AR139" i="1"/>
  <c r="BD139" i="1"/>
  <c r="BJ139" i="1"/>
  <c r="V665" i="1"/>
  <c r="AH665" i="1"/>
  <c r="AX666" i="1"/>
  <c r="AX164" i="1"/>
  <c r="AX169" i="1" s="1"/>
  <c r="AX173" i="1" s="1"/>
  <c r="AX177" i="1" s="1"/>
  <c r="AI210" i="1"/>
  <c r="G61" i="9"/>
  <c r="G89" i="9" s="1"/>
  <c r="G659" i="1"/>
  <c r="M61" i="9"/>
  <c r="M659" i="1"/>
  <c r="M575" i="1"/>
  <c r="M574" i="1"/>
  <c r="S61" i="9"/>
  <c r="S659" i="1"/>
  <c r="S575" i="1"/>
  <c r="S574" i="1"/>
  <c r="Y214" i="1"/>
  <c r="Y138" i="1" s="1"/>
  <c r="Y666" i="1" s="1"/>
  <c r="AE61" i="9"/>
  <c r="AE90" i="9" s="1"/>
  <c r="AE659" i="1"/>
  <c r="AE575" i="1"/>
  <c r="AE574" i="1"/>
  <c r="AK61" i="9"/>
  <c r="AK91" i="9" s="1"/>
  <c r="AK659" i="1"/>
  <c r="AK575" i="1"/>
  <c r="AK574" i="1"/>
  <c r="AQ61" i="9"/>
  <c r="AQ659" i="1"/>
  <c r="AQ575" i="1"/>
  <c r="AQ574" i="1"/>
  <c r="AW61" i="9"/>
  <c r="AW91" i="9" s="1"/>
  <c r="AW659" i="1"/>
  <c r="AW575" i="1"/>
  <c r="AW574" i="1"/>
  <c r="BI61" i="9"/>
  <c r="BI90" i="9" s="1"/>
  <c r="BI575" i="1"/>
  <c r="BI574" i="1"/>
  <c r="Q69" i="9"/>
  <c r="Q402" i="1"/>
  <c r="Q403" i="1" s="1"/>
  <c r="W69" i="9"/>
  <c r="W402" i="1"/>
  <c r="W403" i="1" s="1"/>
  <c r="AC69" i="9"/>
  <c r="AC402" i="1"/>
  <c r="AC403" i="1" s="1"/>
  <c r="AO69" i="9"/>
  <c r="AO402" i="1"/>
  <c r="AO403" i="1" s="1"/>
  <c r="AU69" i="9"/>
  <c r="AU402" i="1"/>
  <c r="AU403" i="1" s="1"/>
  <c r="BA69" i="9"/>
  <c r="BA402" i="1"/>
  <c r="BA403" i="1" s="1"/>
  <c r="BG69" i="9"/>
  <c r="BG402" i="1"/>
  <c r="BG403" i="1" s="1"/>
  <c r="K254" i="1"/>
  <c r="AC254" i="1"/>
  <c r="AU254" i="1"/>
  <c r="BA254" i="1"/>
  <c r="BA253" i="1"/>
  <c r="A730" i="1"/>
  <c r="F311" i="1"/>
  <c r="F327" i="1" s="1"/>
  <c r="P281" i="1"/>
  <c r="AL280" i="1"/>
  <c r="N281" i="1"/>
  <c r="Y308" i="1"/>
  <c r="F298" i="1"/>
  <c r="BA336" i="1"/>
  <c r="BA329" i="1"/>
  <c r="BC327" i="1"/>
  <c r="BC329" i="1" s="1"/>
  <c r="U351" i="1"/>
  <c r="Q346" i="1"/>
  <c r="AJ351" i="1"/>
  <c r="AJ346" i="1" s="1"/>
  <c r="AF346" i="1"/>
  <c r="AU346" i="1"/>
  <c r="AC665" i="1"/>
  <c r="U667" i="1"/>
  <c r="Y584" i="1"/>
  <c r="H61" i="9"/>
  <c r="H90" i="9" s="1"/>
  <c r="H659" i="1"/>
  <c r="N61" i="9"/>
  <c r="N659" i="1"/>
  <c r="N575" i="1"/>
  <c r="N574" i="1"/>
  <c r="T61" i="9"/>
  <c r="T91" i="9" s="1"/>
  <c r="T575" i="1"/>
  <c r="T578" i="1" s="1"/>
  <c r="T574" i="1"/>
  <c r="T577" i="1" s="1"/>
  <c r="Z61" i="9"/>
  <c r="Z90" i="9" s="1"/>
  <c r="Z659" i="1"/>
  <c r="Z575" i="1"/>
  <c r="Z574" i="1"/>
  <c r="AF61" i="9"/>
  <c r="AF89" i="9" s="1"/>
  <c r="AF659" i="1"/>
  <c r="AF575" i="1"/>
  <c r="AF574" i="1"/>
  <c r="AL61" i="9"/>
  <c r="AL90" i="9" s="1"/>
  <c r="AL659" i="1"/>
  <c r="AL575" i="1"/>
  <c r="AL574" i="1"/>
  <c r="AL577" i="1" s="1"/>
  <c r="AR61" i="9"/>
  <c r="AR89" i="9" s="1"/>
  <c r="AR659" i="1"/>
  <c r="AR575" i="1"/>
  <c r="AR574" i="1"/>
  <c r="AX61" i="9"/>
  <c r="AX574" i="1"/>
  <c r="AX577" i="1" s="1"/>
  <c r="BD61" i="9"/>
  <c r="BD90" i="9" s="1"/>
  <c r="BD575" i="1"/>
  <c r="BD578" i="1" s="1"/>
  <c r="BD574" i="1"/>
  <c r="BD577" i="1" s="1"/>
  <c r="BJ61" i="9"/>
  <c r="BJ89" i="9" s="1"/>
  <c r="BJ575" i="1"/>
  <c r="BJ574" i="1"/>
  <c r="C89" i="9"/>
  <c r="O89" i="9"/>
  <c r="U89" i="9"/>
  <c r="AA89" i="9"/>
  <c r="AG89" i="9"/>
  <c r="AS89" i="9"/>
  <c r="AY89" i="9"/>
  <c r="C218" i="1"/>
  <c r="C225" i="1" s="1"/>
  <c r="I218" i="1"/>
  <c r="I225" i="1" s="1"/>
  <c r="O218" i="1"/>
  <c r="O225" i="1" s="1"/>
  <c r="U218" i="1"/>
  <c r="U225" i="1" s="1"/>
  <c r="AA218" i="1"/>
  <c r="AA225" i="1" s="1"/>
  <c r="AG218" i="1"/>
  <c r="AG225" i="1" s="1"/>
  <c r="AM218" i="1"/>
  <c r="AM225" i="1" s="1"/>
  <c r="AS218" i="1"/>
  <c r="AS225" i="1" s="1"/>
  <c r="AY218" i="1"/>
  <c r="AY225" i="1" s="1"/>
  <c r="BE218" i="1"/>
  <c r="BE225" i="1" s="1"/>
  <c r="BK218" i="1"/>
  <c r="BK225" i="1" s="1"/>
  <c r="C90" i="9"/>
  <c r="O90" i="9"/>
  <c r="U90" i="9"/>
  <c r="AA90" i="9"/>
  <c r="AG90" i="9"/>
  <c r="AM90" i="9"/>
  <c r="AS90" i="9"/>
  <c r="AY90" i="9"/>
  <c r="C91" i="9"/>
  <c r="O91" i="9"/>
  <c r="U91" i="9"/>
  <c r="AA91" i="9"/>
  <c r="AG91" i="9"/>
  <c r="AM91" i="9"/>
  <c r="AS91" i="9"/>
  <c r="AY91" i="9"/>
  <c r="C92" i="9"/>
  <c r="O92" i="9"/>
  <c r="U92" i="9"/>
  <c r="AA92" i="9"/>
  <c r="AG92" i="9"/>
  <c r="AS92" i="9"/>
  <c r="AY92" i="9"/>
  <c r="BE92" i="9"/>
  <c r="L69" i="9"/>
  <c r="L402" i="1"/>
  <c r="L403" i="1" s="1"/>
  <c r="R69" i="9"/>
  <c r="R402" i="1"/>
  <c r="R403" i="1" s="1"/>
  <c r="X69" i="9"/>
  <c r="X402" i="1"/>
  <c r="X403" i="1" s="1"/>
  <c r="AJ69" i="9"/>
  <c r="AJ402" i="1"/>
  <c r="AJ403" i="1" s="1"/>
  <c r="AP69" i="9"/>
  <c r="AP402" i="1"/>
  <c r="AP403" i="1" s="1"/>
  <c r="AV69" i="9"/>
  <c r="AV402" i="1"/>
  <c r="AV403" i="1" s="1"/>
  <c r="BB69" i="9"/>
  <c r="BB402" i="1"/>
  <c r="BB403" i="1" s="1"/>
  <c r="BB72" i="9"/>
  <c r="BB253" i="1"/>
  <c r="F254" i="1"/>
  <c r="L254" i="1"/>
  <c r="R254" i="1"/>
  <c r="AD254" i="1"/>
  <c r="AJ254" i="1"/>
  <c r="AP254" i="1"/>
  <c r="AV254" i="1"/>
  <c r="BB254" i="1"/>
  <c r="I280" i="1"/>
  <c r="Q281" i="1"/>
  <c r="Q280" i="1"/>
  <c r="Y280" i="1"/>
  <c r="AP336" i="1"/>
  <c r="AP329" i="1"/>
  <c r="BC336" i="1"/>
  <c r="P351" i="1"/>
  <c r="P346" i="1" s="1"/>
  <c r="L346" i="1"/>
  <c r="G104" i="9"/>
  <c r="G664" i="1"/>
  <c r="G599" i="1"/>
  <c r="G583" i="1" s="1"/>
  <c r="G584" i="1" s="1"/>
  <c r="M104" i="9"/>
  <c r="M664" i="1"/>
  <c r="M599" i="1"/>
  <c r="M583" i="1" s="1"/>
  <c r="M584" i="1" s="1"/>
  <c r="S104" i="9"/>
  <c r="S664" i="1"/>
  <c r="S599" i="1"/>
  <c r="S583" i="1" s="1"/>
  <c r="S584" i="1" s="1"/>
  <c r="Y104" i="9"/>
  <c r="Y664" i="1"/>
  <c r="Y599" i="1"/>
  <c r="Y583" i="1" s="1"/>
  <c r="AE104" i="9"/>
  <c r="AE664" i="1"/>
  <c r="AE599" i="1"/>
  <c r="AE583" i="1" s="1"/>
  <c r="AK104" i="9"/>
  <c r="AK664" i="1"/>
  <c r="AK599" i="1"/>
  <c r="AK583" i="1" s="1"/>
  <c r="AQ104" i="9"/>
  <c r="AQ664" i="1"/>
  <c r="AQ599" i="1"/>
  <c r="AQ583" i="1" s="1"/>
  <c r="AQ584" i="1" s="1"/>
  <c r="BC104" i="9"/>
  <c r="BC664" i="1"/>
  <c r="BC599" i="1"/>
  <c r="BC583" i="1" s="1"/>
  <c r="BI104" i="9"/>
  <c r="BI664" i="1"/>
  <c r="BI599" i="1"/>
  <c r="BI583" i="1" s="1"/>
  <c r="D108" i="9"/>
  <c r="D668" i="1"/>
  <c r="J108" i="9"/>
  <c r="J668" i="1"/>
  <c r="P108" i="9"/>
  <c r="P668" i="1"/>
  <c r="P675" i="1"/>
  <c r="V108" i="9"/>
  <c r="V668" i="1"/>
  <c r="AB108" i="9"/>
  <c r="AB668" i="1"/>
  <c r="AH108" i="9"/>
  <c r="AH668" i="1"/>
  <c r="AN108" i="9"/>
  <c r="AN668" i="1"/>
  <c r="AT108" i="9"/>
  <c r="AT668" i="1"/>
  <c r="AT675" i="1"/>
  <c r="AZ108" i="9"/>
  <c r="AZ668" i="1"/>
  <c r="BF108" i="9"/>
  <c r="BF668" i="1"/>
  <c r="BL108" i="9"/>
  <c r="BL668" i="1"/>
  <c r="AD139" i="9"/>
  <c r="D495" i="1"/>
  <c r="D498" i="1" s="1"/>
  <c r="E497" i="1" s="1"/>
  <c r="K495" i="1"/>
  <c r="Z495" i="1"/>
  <c r="AG495" i="1"/>
  <c r="AG498" i="1" s="1"/>
  <c r="AO495" i="1"/>
  <c r="AO498" i="1" s="1"/>
  <c r="BD495" i="1"/>
  <c r="BK495" i="1"/>
  <c r="AX275" i="1"/>
  <c r="X280" i="1"/>
  <c r="AF280" i="1"/>
  <c r="AM280" i="1"/>
  <c r="AU280" i="1"/>
  <c r="AA281" i="1"/>
  <c r="AG281" i="1"/>
  <c r="AM281" i="1"/>
  <c r="T307" i="1"/>
  <c r="AX307" i="1"/>
  <c r="J309" i="1"/>
  <c r="AN309" i="1"/>
  <c r="H104" i="9"/>
  <c r="H664" i="1"/>
  <c r="H599" i="1"/>
  <c r="H583" i="1" s="1"/>
  <c r="N104" i="9"/>
  <c r="N664" i="1"/>
  <c r="N599" i="1"/>
  <c r="N583" i="1" s="1"/>
  <c r="T104" i="9"/>
  <c r="T664" i="1"/>
  <c r="T599" i="1"/>
  <c r="T583" i="1" s="1"/>
  <c r="T584" i="1" s="1"/>
  <c r="Z104" i="9"/>
  <c r="Z664" i="1"/>
  <c r="Z599" i="1"/>
  <c r="Z583" i="1" s="1"/>
  <c r="AF104" i="9"/>
  <c r="AF664" i="1"/>
  <c r="AF599" i="1"/>
  <c r="AF583" i="1" s="1"/>
  <c r="AL104" i="9"/>
  <c r="AL664" i="1"/>
  <c r="AL599" i="1"/>
  <c r="AL583" i="1" s="1"/>
  <c r="AL584" i="1" s="1"/>
  <c r="AR104" i="9"/>
  <c r="AR664" i="1"/>
  <c r="AR599" i="1"/>
  <c r="AR583" i="1" s="1"/>
  <c r="AR584" i="1" s="1"/>
  <c r="AX104" i="9"/>
  <c r="AX664" i="1"/>
  <c r="AX599" i="1"/>
  <c r="AX583" i="1" s="1"/>
  <c r="BD104" i="9"/>
  <c r="BD664" i="1"/>
  <c r="BD599" i="1"/>
  <c r="BD583" i="1" s="1"/>
  <c r="BD584" i="1" s="1"/>
  <c r="BJ104" i="9"/>
  <c r="BJ664" i="1"/>
  <c r="BJ599" i="1"/>
  <c r="BJ583" i="1" s="1"/>
  <c r="E108" i="9"/>
  <c r="E668" i="1"/>
  <c r="K108" i="9"/>
  <c r="K668" i="1"/>
  <c r="Q108" i="9"/>
  <c r="Q668" i="1"/>
  <c r="W108" i="9"/>
  <c r="W668" i="1"/>
  <c r="AC108" i="9"/>
  <c r="AC668" i="1"/>
  <c r="AI108" i="9"/>
  <c r="AI668" i="1"/>
  <c r="AO108" i="9"/>
  <c r="AO675" i="1"/>
  <c r="AO668" i="1"/>
  <c r="AU108" i="9"/>
  <c r="AU668" i="1"/>
  <c r="BA108" i="9"/>
  <c r="BA668" i="1"/>
  <c r="BG108" i="9"/>
  <c r="BG668" i="1"/>
  <c r="AA381" i="1"/>
  <c r="AA382" i="1" s="1"/>
  <c r="AA383" i="1" s="1"/>
  <c r="AA384" i="1" s="1"/>
  <c r="AJ124" i="9"/>
  <c r="AJ139" i="9"/>
  <c r="AJ406" i="1"/>
  <c r="AJ407" i="1"/>
  <c r="E495" i="1"/>
  <c r="AA495" i="1"/>
  <c r="AA498" i="1" s="1"/>
  <c r="AH495" i="1"/>
  <c r="AH498" i="1" s="1"/>
  <c r="BE495" i="1"/>
  <c r="BL495" i="1"/>
  <c r="T274" i="1"/>
  <c r="T275" i="1" s="1"/>
  <c r="AG280" i="1"/>
  <c r="BC280" i="1"/>
  <c r="AB281" i="1"/>
  <c r="AH281" i="1"/>
  <c r="AT281" i="1"/>
  <c r="BJ306" i="1"/>
  <c r="O307" i="1"/>
  <c r="AS307" i="1"/>
  <c r="J308" i="1"/>
  <c r="AN308" i="1"/>
  <c r="AI309" i="1"/>
  <c r="G366" i="1"/>
  <c r="G367" i="1"/>
  <c r="C104" i="9"/>
  <c r="C664" i="1"/>
  <c r="C599" i="1"/>
  <c r="I104" i="9"/>
  <c r="O104" i="9"/>
  <c r="O664" i="1"/>
  <c r="O599" i="1"/>
  <c r="O583" i="1" s="1"/>
  <c r="U104" i="9"/>
  <c r="U664" i="1"/>
  <c r="U599" i="1"/>
  <c r="U583" i="1" s="1"/>
  <c r="U584" i="1" s="1"/>
  <c r="AA104" i="9"/>
  <c r="AA664" i="1"/>
  <c r="AA599" i="1"/>
  <c r="AA583" i="1" s="1"/>
  <c r="AG104" i="9"/>
  <c r="AG664" i="1"/>
  <c r="AG599" i="1"/>
  <c r="AG583" i="1" s="1"/>
  <c r="AG584" i="1" s="1"/>
  <c r="AM104" i="9"/>
  <c r="AM664" i="1"/>
  <c r="AM599" i="1"/>
  <c r="AM583" i="1" s="1"/>
  <c r="AS104" i="9"/>
  <c r="AS664" i="1"/>
  <c r="AS599" i="1"/>
  <c r="AS583" i="1" s="1"/>
  <c r="AS584" i="1" s="1"/>
  <c r="AY104" i="9"/>
  <c r="AY664" i="1"/>
  <c r="AY599" i="1"/>
  <c r="AY583" i="1" s="1"/>
  <c r="BE104" i="9"/>
  <c r="BE664" i="1"/>
  <c r="BE599" i="1"/>
  <c r="BE583" i="1" s="1"/>
  <c r="BK104" i="9"/>
  <c r="BK664" i="1"/>
  <c r="BK599" i="1"/>
  <c r="BK583" i="1" s="1"/>
  <c r="F108" i="9"/>
  <c r="F668" i="1"/>
  <c r="L108" i="9"/>
  <c r="L668" i="1"/>
  <c r="R108" i="9"/>
  <c r="R668" i="1"/>
  <c r="X108" i="9"/>
  <c r="X668" i="1"/>
  <c r="AD108" i="9"/>
  <c r="AD668" i="1"/>
  <c r="AJ108" i="9"/>
  <c r="AJ675" i="1"/>
  <c r="AJ668" i="1"/>
  <c r="AP108" i="9"/>
  <c r="AP668" i="1"/>
  <c r="AV108" i="9"/>
  <c r="AV668" i="1"/>
  <c r="BB108" i="9"/>
  <c r="BB668" i="1"/>
  <c r="BH108" i="9"/>
  <c r="BH668" i="1"/>
  <c r="U495" i="1"/>
  <c r="AB495" i="1"/>
  <c r="AB498" i="1" s="1"/>
  <c r="AY495" i="1"/>
  <c r="BF495" i="1"/>
  <c r="AH280" i="1"/>
  <c r="AP280" i="1"/>
  <c r="BE280" i="1"/>
  <c r="AC281" i="1"/>
  <c r="AO281" i="1"/>
  <c r="AI308" i="1"/>
  <c r="AD309" i="1"/>
  <c r="BH309" i="1"/>
  <c r="AF101" i="9"/>
  <c r="AF103" i="9" s="1"/>
  <c r="AF381" i="1"/>
  <c r="AF382" i="1" s="1"/>
  <c r="AF383" i="1" s="1"/>
  <c r="AF384" i="1" s="1"/>
  <c r="AR101" i="9"/>
  <c r="AR381" i="1"/>
  <c r="AR382" i="1" s="1"/>
  <c r="AR383" i="1" s="1"/>
  <c r="AR384" i="1" s="1"/>
  <c r="BJ101" i="9"/>
  <c r="BJ381" i="1"/>
  <c r="BJ382" i="1" s="1"/>
  <c r="BJ383" i="1" s="1"/>
  <c r="AF366" i="1"/>
  <c r="AR366" i="1"/>
  <c r="BJ366" i="1"/>
  <c r="AF367" i="1"/>
  <c r="AR367" i="1"/>
  <c r="BJ367" i="1"/>
  <c r="D104" i="9"/>
  <c r="D664" i="1"/>
  <c r="D599" i="1"/>
  <c r="J104" i="9"/>
  <c r="J664" i="1"/>
  <c r="J599" i="1"/>
  <c r="J583" i="1" s="1"/>
  <c r="J584" i="1" s="1"/>
  <c r="P104" i="9"/>
  <c r="P664" i="1"/>
  <c r="P599" i="1"/>
  <c r="P583" i="1" s="1"/>
  <c r="P584" i="1" s="1"/>
  <c r="V104" i="9"/>
  <c r="V664" i="1"/>
  <c r="V599" i="1"/>
  <c r="V583" i="1" s="1"/>
  <c r="V584" i="1" s="1"/>
  <c r="AB104" i="9"/>
  <c r="AB664" i="1"/>
  <c r="AB599" i="1"/>
  <c r="AB583" i="1" s="1"/>
  <c r="AH104" i="9"/>
  <c r="AH664" i="1"/>
  <c r="AH599" i="1"/>
  <c r="AH583" i="1" s="1"/>
  <c r="AH584" i="1" s="1"/>
  <c r="AN104" i="9"/>
  <c r="AN664" i="1"/>
  <c r="AN599" i="1"/>
  <c r="AN583" i="1" s="1"/>
  <c r="AT104" i="9"/>
  <c r="AT664" i="1"/>
  <c r="AT599" i="1"/>
  <c r="AT583" i="1" s="1"/>
  <c r="AT584" i="1" s="1"/>
  <c r="AZ104" i="9"/>
  <c r="AZ664" i="1"/>
  <c r="AZ599" i="1"/>
  <c r="AZ583" i="1" s="1"/>
  <c r="BF104" i="9"/>
  <c r="BF664" i="1"/>
  <c r="BF599" i="1"/>
  <c r="BF583" i="1" s="1"/>
  <c r="BF584" i="1" s="1"/>
  <c r="BL104" i="9"/>
  <c r="BL664" i="1"/>
  <c r="BL599" i="1"/>
  <c r="BL583" i="1" s="1"/>
  <c r="G108" i="9"/>
  <c r="G668" i="1"/>
  <c r="M108" i="9"/>
  <c r="M668" i="1"/>
  <c r="S108" i="9"/>
  <c r="S668" i="1"/>
  <c r="Y108" i="9"/>
  <c r="Y668" i="1"/>
  <c r="AE108" i="9"/>
  <c r="AE668" i="1"/>
  <c r="AE675" i="1"/>
  <c r="AK108" i="9"/>
  <c r="AK668" i="1"/>
  <c r="AQ108" i="9"/>
  <c r="AQ668" i="1"/>
  <c r="AW108" i="9"/>
  <c r="BC108" i="9"/>
  <c r="BC668" i="1"/>
  <c r="BI108" i="9"/>
  <c r="BI668" i="1"/>
  <c r="BI675" i="1"/>
  <c r="N495" i="1"/>
  <c r="V495" i="1"/>
  <c r="AC495" i="1"/>
  <c r="AC498" i="1" s="1"/>
  <c r="AR495" i="1"/>
  <c r="AR498" i="1" s="1"/>
  <c r="AZ495" i="1"/>
  <c r="BG495" i="1"/>
  <c r="AX280" i="1"/>
  <c r="X281" i="1"/>
  <c r="AJ281" i="1"/>
  <c r="AP281" i="1"/>
  <c r="AI307" i="1"/>
  <c r="AD308" i="1"/>
  <c r="BH308" i="1"/>
  <c r="Y309" i="1"/>
  <c r="BC309" i="1"/>
  <c r="BE101" i="9"/>
  <c r="BE381" i="1"/>
  <c r="BE382" i="1" s="1"/>
  <c r="BE383" i="1" s="1"/>
  <c r="BE384" i="1" s="1"/>
  <c r="AA366" i="1"/>
  <c r="BE366" i="1"/>
  <c r="AA367" i="1"/>
  <c r="BE367" i="1"/>
  <c r="E104" i="9"/>
  <c r="E664" i="1"/>
  <c r="E599" i="1"/>
  <c r="K104" i="9"/>
  <c r="K664" i="1"/>
  <c r="K599" i="1"/>
  <c r="K583" i="1" s="1"/>
  <c r="Q104" i="9"/>
  <c r="Q664" i="1"/>
  <c r="Q599" i="1"/>
  <c r="Q583" i="1" s="1"/>
  <c r="Q584" i="1" s="1"/>
  <c r="W104" i="9"/>
  <c r="W599" i="1"/>
  <c r="W583" i="1" s="1"/>
  <c r="W664" i="1"/>
  <c r="AC104" i="9"/>
  <c r="AC599" i="1"/>
  <c r="AC583" i="1" s="1"/>
  <c r="AC664" i="1"/>
  <c r="AI104" i="9"/>
  <c r="AI664" i="1"/>
  <c r="AI599" i="1"/>
  <c r="AI583" i="1" s="1"/>
  <c r="AO104" i="9"/>
  <c r="AO664" i="1"/>
  <c r="AO599" i="1"/>
  <c r="AO583" i="1" s="1"/>
  <c r="AU104" i="9"/>
  <c r="AU664" i="1"/>
  <c r="AU599" i="1"/>
  <c r="AU583" i="1" s="1"/>
  <c r="BA104" i="9"/>
  <c r="BA664" i="1"/>
  <c r="BA599" i="1"/>
  <c r="BA583" i="1" s="1"/>
  <c r="BA584" i="1" s="1"/>
  <c r="BG104" i="9"/>
  <c r="BG599" i="1"/>
  <c r="BG583" i="1" s="1"/>
  <c r="BG664" i="1"/>
  <c r="H108" i="9"/>
  <c r="H668" i="1"/>
  <c r="N108" i="9"/>
  <c r="N668" i="1"/>
  <c r="T108" i="9"/>
  <c r="T668" i="1"/>
  <c r="Z108" i="9"/>
  <c r="Z675" i="1"/>
  <c r="Z668" i="1"/>
  <c r="AF108" i="9"/>
  <c r="AF668" i="1"/>
  <c r="AL108" i="9"/>
  <c r="AL668" i="1"/>
  <c r="AR108" i="9"/>
  <c r="AR668" i="1"/>
  <c r="AX108" i="9"/>
  <c r="AX668" i="1"/>
  <c r="BD108" i="9"/>
  <c r="BD675" i="1"/>
  <c r="BD668" i="1"/>
  <c r="BJ108" i="9"/>
  <c r="BJ668" i="1"/>
  <c r="G381" i="1"/>
  <c r="G382" i="1" s="1"/>
  <c r="G383" i="1" s="1"/>
  <c r="G384" i="1" s="1"/>
  <c r="F7" i="9"/>
  <c r="F657" i="1"/>
  <c r="L7" i="9"/>
  <c r="L657" i="1"/>
  <c r="R7" i="9"/>
  <c r="R657" i="1"/>
  <c r="X7" i="9"/>
  <c r="X657" i="1"/>
  <c r="AD7" i="9"/>
  <c r="AD657" i="1"/>
  <c r="AJ7" i="9"/>
  <c r="AJ657" i="1"/>
  <c r="AP7" i="9"/>
  <c r="AP657" i="1"/>
  <c r="AV7" i="9"/>
  <c r="AV657" i="1"/>
  <c r="BB7" i="9"/>
  <c r="BB657" i="1"/>
  <c r="BH7" i="9"/>
  <c r="BH657" i="1"/>
  <c r="BM638" i="1"/>
  <c r="BN635" i="1"/>
  <c r="F8" i="9"/>
  <c r="F658" i="1"/>
  <c r="G403" i="1"/>
  <c r="L8" i="9"/>
  <c r="L658" i="1"/>
  <c r="R8" i="9"/>
  <c r="R658" i="1"/>
  <c r="X8" i="9"/>
  <c r="X658" i="1"/>
  <c r="AD8" i="9"/>
  <c r="AD658" i="1"/>
  <c r="AJ8" i="9"/>
  <c r="AJ658" i="1"/>
  <c r="AP8" i="9"/>
  <c r="AP658" i="1"/>
  <c r="AV8" i="9"/>
  <c r="AV658" i="1"/>
  <c r="AV396" i="1"/>
  <c r="BB8" i="9"/>
  <c r="BB658" i="1"/>
  <c r="BB396" i="1"/>
  <c r="BH8" i="9"/>
  <c r="BH658" i="1"/>
  <c r="BH396" i="1"/>
  <c r="R396" i="1"/>
  <c r="H495" i="1"/>
  <c r="P495" i="1"/>
  <c r="W495" i="1"/>
  <c r="AL495" i="1"/>
  <c r="AL498" i="1" s="1"/>
  <c r="AT495" i="1"/>
  <c r="AT498" i="1" s="1"/>
  <c r="AU497" i="1" s="1"/>
  <c r="BA495" i="1"/>
  <c r="F104" i="9"/>
  <c r="F664" i="1"/>
  <c r="F599" i="1"/>
  <c r="F583" i="1" s="1"/>
  <c r="L104" i="9"/>
  <c r="L664" i="1"/>
  <c r="L599" i="1"/>
  <c r="L583" i="1" s="1"/>
  <c r="L584" i="1" s="1"/>
  <c r="R104" i="9"/>
  <c r="R664" i="1"/>
  <c r="R599" i="1"/>
  <c r="R583" i="1" s="1"/>
  <c r="X104" i="9"/>
  <c r="X664" i="1"/>
  <c r="X599" i="1"/>
  <c r="X583" i="1" s="1"/>
  <c r="AD104" i="9"/>
  <c r="AD664" i="1"/>
  <c r="AD599" i="1"/>
  <c r="AD583" i="1" s="1"/>
  <c r="AD584" i="1" s="1"/>
  <c r="AJ104" i="9"/>
  <c r="AJ664" i="1"/>
  <c r="AJ599" i="1"/>
  <c r="AJ583" i="1" s="1"/>
  <c r="AP104" i="9"/>
  <c r="AP664" i="1"/>
  <c r="AP599" i="1"/>
  <c r="AP583" i="1" s="1"/>
  <c r="AV104" i="9"/>
  <c r="AV664" i="1"/>
  <c r="AV599" i="1"/>
  <c r="AV583" i="1" s="1"/>
  <c r="BB104" i="9"/>
  <c r="BB664" i="1"/>
  <c r="BB599" i="1"/>
  <c r="BB583" i="1" s="1"/>
  <c r="BH104" i="9"/>
  <c r="BH664" i="1"/>
  <c r="BH599" i="1"/>
  <c r="BH583" i="1" s="1"/>
  <c r="BH584" i="1" s="1"/>
  <c r="C108" i="9"/>
  <c r="C668" i="1"/>
  <c r="I108" i="9"/>
  <c r="O108" i="9"/>
  <c r="O668" i="1"/>
  <c r="U108" i="9"/>
  <c r="U675" i="1"/>
  <c r="U668" i="1"/>
  <c r="AA108" i="9"/>
  <c r="AA668" i="1"/>
  <c r="AG108" i="9"/>
  <c r="AG668" i="1"/>
  <c r="AM108" i="9"/>
  <c r="AM668" i="1"/>
  <c r="AS108" i="9"/>
  <c r="AS668" i="1"/>
  <c r="AY108" i="9"/>
  <c r="AY668" i="1"/>
  <c r="BE108" i="9"/>
  <c r="BE668" i="1"/>
  <c r="BK108" i="9"/>
  <c r="BK668" i="1"/>
  <c r="X396" i="1"/>
  <c r="C495" i="1"/>
  <c r="C498" i="1" s="1"/>
  <c r="I495" i="1"/>
  <c r="Q495" i="1"/>
  <c r="AF495" i="1"/>
  <c r="AF498" i="1" s="1"/>
  <c r="AM495" i="1"/>
  <c r="AM498" i="1" s="1"/>
  <c r="AU495" i="1"/>
  <c r="AU498" i="1" s="1"/>
  <c r="BJ495" i="1"/>
  <c r="T655" i="1"/>
  <c r="T521" i="1"/>
  <c r="J452" i="1"/>
  <c r="J458" i="1" s="1"/>
  <c r="AN452" i="1"/>
  <c r="AN458" i="1" s="1"/>
  <c r="J600" i="1"/>
  <c r="AN600" i="1"/>
  <c r="T476" i="1"/>
  <c r="AX476" i="1"/>
  <c r="T492" i="1"/>
  <c r="T495" i="1" s="1"/>
  <c r="AX492" i="1"/>
  <c r="Y112" i="9"/>
  <c r="BC112" i="9"/>
  <c r="AA527" i="1"/>
  <c r="AA564" i="1" s="1"/>
  <c r="BE527" i="1"/>
  <c r="BE564" i="1" s="1"/>
  <c r="AU600" i="1"/>
  <c r="BC584" i="1"/>
  <c r="Y590" i="1"/>
  <c r="AI145" i="9"/>
  <c r="AI639" i="1"/>
  <c r="O131" i="9"/>
  <c r="S132" i="9" s="1"/>
  <c r="G7" i="9"/>
  <c r="G657" i="1"/>
  <c r="M7" i="9"/>
  <c r="M657" i="1"/>
  <c r="S7" i="9"/>
  <c r="S657" i="1"/>
  <c r="Y7" i="9"/>
  <c r="Y657" i="1"/>
  <c r="AE7" i="9"/>
  <c r="AE657" i="1"/>
  <c r="AK7" i="9"/>
  <c r="AK657" i="1"/>
  <c r="AQ7" i="9"/>
  <c r="AQ657" i="1"/>
  <c r="AW7" i="9"/>
  <c r="AW657" i="1"/>
  <c r="BC7" i="9"/>
  <c r="BC657" i="1"/>
  <c r="BI7" i="9"/>
  <c r="BI657" i="1"/>
  <c r="G8" i="9"/>
  <c r="G658" i="1"/>
  <c r="M8" i="9"/>
  <c r="M658" i="1"/>
  <c r="S8" i="9"/>
  <c r="S658" i="1"/>
  <c r="Y8" i="9"/>
  <c r="Y658" i="1"/>
  <c r="AE8" i="9"/>
  <c r="AE658" i="1"/>
  <c r="AK8" i="9"/>
  <c r="AK658" i="1"/>
  <c r="AQ8" i="9"/>
  <c r="AQ658" i="1"/>
  <c r="AW8" i="9"/>
  <c r="AW658" i="1"/>
  <c r="BC8" i="9"/>
  <c r="BC658" i="1"/>
  <c r="BI8" i="9"/>
  <c r="BI658" i="1"/>
  <c r="G396" i="1"/>
  <c r="M396" i="1"/>
  <c r="S396" i="1"/>
  <c r="Y396" i="1"/>
  <c r="AE396" i="1"/>
  <c r="AK396" i="1"/>
  <c r="AQ396" i="1"/>
  <c r="AW396" i="1"/>
  <c r="BC396" i="1"/>
  <c r="BI396" i="1"/>
  <c r="Y521" i="1"/>
  <c r="BC521" i="1"/>
  <c r="AI452" i="1"/>
  <c r="AI458" i="1" s="1"/>
  <c r="J102" i="9"/>
  <c r="AN102" i="9"/>
  <c r="Y545" i="1"/>
  <c r="Z673" i="1" s="1"/>
  <c r="BC545" i="1"/>
  <c r="BD673" i="1" s="1"/>
  <c r="O600" i="1"/>
  <c r="O476" i="1"/>
  <c r="AS476" i="1"/>
  <c r="AD561" i="1"/>
  <c r="BH561" i="1"/>
  <c r="BI674" i="1" s="1"/>
  <c r="O492" i="1"/>
  <c r="O495" i="1" s="1"/>
  <c r="AS492" i="1"/>
  <c r="AD112" i="9"/>
  <c r="BH112" i="9"/>
  <c r="AQ655" i="1"/>
  <c r="K600" i="1"/>
  <c r="O136" i="9"/>
  <c r="O662" i="1"/>
  <c r="AS136" i="9"/>
  <c r="AS662" i="1"/>
  <c r="AH136" i="9"/>
  <c r="AH662" i="1"/>
  <c r="BL136" i="9"/>
  <c r="BL652" i="1"/>
  <c r="AN145" i="9"/>
  <c r="AN639" i="1"/>
  <c r="H7" i="9"/>
  <c r="H657" i="1"/>
  <c r="N7" i="9"/>
  <c r="N657" i="1"/>
  <c r="T7" i="9"/>
  <c r="T657" i="1"/>
  <c r="Z7" i="9"/>
  <c r="Z657" i="1"/>
  <c r="AF7" i="9"/>
  <c r="AF657" i="1"/>
  <c r="AL7" i="9"/>
  <c r="AL657" i="1"/>
  <c r="AR7" i="9"/>
  <c r="AR657" i="1"/>
  <c r="AX7" i="9"/>
  <c r="AX657" i="1"/>
  <c r="BD7" i="9"/>
  <c r="BD657" i="1"/>
  <c r="BJ7" i="9"/>
  <c r="BJ657" i="1"/>
  <c r="H8" i="9"/>
  <c r="H658" i="1"/>
  <c r="N8" i="9"/>
  <c r="N658" i="1"/>
  <c r="T8" i="9"/>
  <c r="T658" i="1"/>
  <c r="Z8" i="9"/>
  <c r="Z658" i="1"/>
  <c r="AF8" i="9"/>
  <c r="AF658" i="1"/>
  <c r="AL8" i="9"/>
  <c r="AL658" i="1"/>
  <c r="AR8" i="9"/>
  <c r="AR658" i="1"/>
  <c r="AX8" i="9"/>
  <c r="AX658" i="1"/>
  <c r="BD8" i="9"/>
  <c r="BD658" i="1"/>
  <c r="BJ8" i="9"/>
  <c r="BJ658" i="1"/>
  <c r="H396" i="1"/>
  <c r="N396" i="1"/>
  <c r="T396" i="1"/>
  <c r="Z396" i="1"/>
  <c r="AF396" i="1"/>
  <c r="AL396" i="1"/>
  <c r="AR396" i="1"/>
  <c r="AX396" i="1"/>
  <c r="BD396" i="1"/>
  <c r="BJ396" i="1"/>
  <c r="AD655" i="1"/>
  <c r="AD521" i="1"/>
  <c r="BH521" i="1"/>
  <c r="AD452" i="1"/>
  <c r="AD458" i="1" s="1"/>
  <c r="BH452" i="1"/>
  <c r="BH458" i="1" s="1"/>
  <c r="O102" i="9"/>
  <c r="AS102" i="9"/>
  <c r="AD545" i="1"/>
  <c r="BH545" i="1"/>
  <c r="T600" i="1"/>
  <c r="AX600" i="1"/>
  <c r="J476" i="1"/>
  <c r="AN476" i="1"/>
  <c r="AI561" i="1"/>
  <c r="AJ674" i="1" s="1"/>
  <c r="J492" i="1"/>
  <c r="AN492" i="1"/>
  <c r="AI112" i="9"/>
  <c r="G527" i="1"/>
  <c r="G564" i="1" s="1"/>
  <c r="BL600" i="1"/>
  <c r="AE674" i="1"/>
  <c r="AT674" i="1"/>
  <c r="AB136" i="9"/>
  <c r="AB662" i="1"/>
  <c r="BF136" i="9"/>
  <c r="AU145" i="9"/>
  <c r="AU639" i="1"/>
  <c r="I7" i="9"/>
  <c r="I657" i="1"/>
  <c r="O7" i="9"/>
  <c r="O657" i="1"/>
  <c r="U7" i="9"/>
  <c r="U657" i="1"/>
  <c r="AA7" i="9"/>
  <c r="AA657" i="1"/>
  <c r="AG7" i="9"/>
  <c r="AG657" i="1"/>
  <c r="AM7" i="9"/>
  <c r="AM657" i="1"/>
  <c r="AS7" i="9"/>
  <c r="AS657" i="1"/>
  <c r="AY7" i="9"/>
  <c r="AY657" i="1"/>
  <c r="BE7" i="9"/>
  <c r="BE657" i="1"/>
  <c r="BK7" i="9"/>
  <c r="BK657" i="1"/>
  <c r="I8" i="9"/>
  <c r="I658" i="1"/>
  <c r="O8" i="9"/>
  <c r="O658" i="1"/>
  <c r="U8" i="9"/>
  <c r="U658" i="1"/>
  <c r="AA8" i="9"/>
  <c r="AA658" i="1"/>
  <c r="AG8" i="9"/>
  <c r="AG658" i="1"/>
  <c r="AM8" i="9"/>
  <c r="AM658" i="1"/>
  <c r="AS8" i="9"/>
  <c r="AS658" i="1"/>
  <c r="AY8" i="9"/>
  <c r="AY658" i="1"/>
  <c r="BE8" i="9"/>
  <c r="BE658" i="1"/>
  <c r="BK8" i="9"/>
  <c r="BK658" i="1"/>
  <c r="C396" i="1"/>
  <c r="I396" i="1"/>
  <c r="O396" i="1"/>
  <c r="U396" i="1"/>
  <c r="AA396" i="1"/>
  <c r="AG396" i="1"/>
  <c r="AM396" i="1"/>
  <c r="AS396" i="1"/>
  <c r="AY396" i="1"/>
  <c r="BE396" i="1"/>
  <c r="BK396" i="1"/>
  <c r="AI521" i="1"/>
  <c r="Y452" i="1"/>
  <c r="Y458" i="1" s="1"/>
  <c r="BC452" i="1"/>
  <c r="BC458" i="1" s="1"/>
  <c r="T102" i="9"/>
  <c r="AX102" i="9"/>
  <c r="AI545" i="1"/>
  <c r="Y600" i="1"/>
  <c r="BC600" i="1"/>
  <c r="AI476" i="1"/>
  <c r="J561" i="1"/>
  <c r="AN561" i="1"/>
  <c r="AI492" i="1"/>
  <c r="J112" i="9"/>
  <c r="AN112" i="9"/>
  <c r="U673" i="1"/>
  <c r="AJ673" i="1"/>
  <c r="AY673" i="1"/>
  <c r="AB600" i="1"/>
  <c r="BF600" i="1"/>
  <c r="Z584" i="1"/>
  <c r="V136" i="9"/>
  <c r="AZ136" i="9"/>
  <c r="BE136" i="9"/>
  <c r="BE652" i="1"/>
  <c r="BE662" i="1"/>
  <c r="BK136" i="9"/>
  <c r="BK662" i="1"/>
  <c r="J145" i="9"/>
  <c r="J639" i="1"/>
  <c r="J7" i="9"/>
  <c r="J657" i="1"/>
  <c r="P7" i="9"/>
  <c r="P657" i="1"/>
  <c r="V7" i="9"/>
  <c r="V657" i="1"/>
  <c r="AB7" i="9"/>
  <c r="AB657" i="1"/>
  <c r="AH7" i="9"/>
  <c r="AH657" i="1"/>
  <c r="AN7" i="9"/>
  <c r="AN657" i="1"/>
  <c r="AT7" i="9"/>
  <c r="AT657" i="1"/>
  <c r="AZ7" i="9"/>
  <c r="AZ657" i="1"/>
  <c r="BF7" i="9"/>
  <c r="BF657" i="1"/>
  <c r="BL7" i="9"/>
  <c r="BL657" i="1"/>
  <c r="J8" i="9"/>
  <c r="J658" i="1"/>
  <c r="P8" i="9"/>
  <c r="P658" i="1"/>
  <c r="V8" i="9"/>
  <c r="V658" i="1"/>
  <c r="AB8" i="9"/>
  <c r="AB658" i="1"/>
  <c r="AH8" i="9"/>
  <c r="AH658" i="1"/>
  <c r="AN8" i="9"/>
  <c r="AN658" i="1"/>
  <c r="AT8" i="9"/>
  <c r="AT658" i="1"/>
  <c r="AZ8" i="9"/>
  <c r="AZ658" i="1"/>
  <c r="BF8" i="9"/>
  <c r="BF658" i="1"/>
  <c r="BL8" i="9"/>
  <c r="BL658" i="1"/>
  <c r="D396" i="1"/>
  <c r="J396" i="1"/>
  <c r="P396" i="1"/>
  <c r="V396" i="1"/>
  <c r="AB396" i="1"/>
  <c r="AH396" i="1"/>
  <c r="AN396" i="1"/>
  <c r="AT396" i="1"/>
  <c r="AZ396" i="1"/>
  <c r="BF396" i="1"/>
  <c r="BL396" i="1"/>
  <c r="J521" i="1"/>
  <c r="AN521" i="1"/>
  <c r="T452" i="1"/>
  <c r="T458" i="1" s="1"/>
  <c r="AX452" i="1"/>
  <c r="AX458" i="1" s="1"/>
  <c r="Y102" i="9"/>
  <c r="BC102" i="9"/>
  <c r="J545" i="1"/>
  <c r="K673" i="1" s="1"/>
  <c r="AN545" i="1"/>
  <c r="AO673" i="1" s="1"/>
  <c r="AD476" i="1"/>
  <c r="BH476" i="1"/>
  <c r="O561" i="1"/>
  <c r="P674" i="1" s="1"/>
  <c r="AS561" i="1"/>
  <c r="AD492" i="1"/>
  <c r="BH492" i="1"/>
  <c r="O112" i="9"/>
  <c r="AS112" i="9"/>
  <c r="AF527" i="1"/>
  <c r="AF564" i="1" s="1"/>
  <c r="BJ527" i="1"/>
  <c r="AC600" i="1"/>
  <c r="AZ600" i="1"/>
  <c r="BG600" i="1"/>
  <c r="K674" i="1"/>
  <c r="Z674" i="1"/>
  <c r="AO674" i="1"/>
  <c r="AR564" i="1"/>
  <c r="BD674" i="1"/>
  <c r="P136" i="9"/>
  <c r="P662" i="1"/>
  <c r="AT136" i="9"/>
  <c r="AT662" i="1"/>
  <c r="K7" i="9"/>
  <c r="K657" i="1"/>
  <c r="Q7" i="9"/>
  <c r="Q657" i="1"/>
  <c r="W7" i="9"/>
  <c r="W657" i="1"/>
  <c r="AC7" i="9"/>
  <c r="AC657" i="1"/>
  <c r="AI7" i="9"/>
  <c r="AI657" i="1"/>
  <c r="AO7" i="9"/>
  <c r="AO657" i="1"/>
  <c r="AU7" i="9"/>
  <c r="AU657" i="1"/>
  <c r="BA7" i="9"/>
  <c r="BA657" i="1"/>
  <c r="BG7" i="9"/>
  <c r="BG657" i="1"/>
  <c r="K8" i="9"/>
  <c r="K658" i="1"/>
  <c r="Q8" i="9"/>
  <c r="Q658" i="1"/>
  <c r="W8" i="9"/>
  <c r="W658" i="1"/>
  <c r="AC8" i="9"/>
  <c r="AC658" i="1"/>
  <c r="AI8" i="9"/>
  <c r="AI658" i="1"/>
  <c r="AO8" i="9"/>
  <c r="AO658" i="1"/>
  <c r="AU8" i="9"/>
  <c r="AU658" i="1"/>
  <c r="BA8" i="9"/>
  <c r="BA658" i="1"/>
  <c r="BG8" i="9"/>
  <c r="BG658" i="1"/>
  <c r="BM394" i="1"/>
  <c r="E396" i="1"/>
  <c r="K396" i="1"/>
  <c r="Q396" i="1"/>
  <c r="W396" i="1"/>
  <c r="AC396" i="1"/>
  <c r="AI396" i="1"/>
  <c r="AO396" i="1"/>
  <c r="AU396" i="1"/>
  <c r="BA396" i="1"/>
  <c r="BG396" i="1"/>
  <c r="O521" i="1"/>
  <c r="AS521" i="1"/>
  <c r="O452" i="1"/>
  <c r="O458" i="1" s="1"/>
  <c r="AS452" i="1"/>
  <c r="AS458" i="1" s="1"/>
  <c r="AI600" i="1"/>
  <c r="Y476" i="1"/>
  <c r="BC476" i="1"/>
  <c r="T561" i="1"/>
  <c r="AX561" i="1"/>
  <c r="Y492" i="1"/>
  <c r="Y495" i="1" s="1"/>
  <c r="BC492" i="1"/>
  <c r="T112" i="9"/>
  <c r="AX112" i="9"/>
  <c r="AE673" i="1"/>
  <c r="AT673" i="1"/>
  <c r="BI673" i="1"/>
  <c r="W600" i="1"/>
  <c r="AX590" i="1"/>
  <c r="BC590" i="1"/>
  <c r="J136" i="9"/>
  <c r="J662" i="1"/>
  <c r="AN136" i="9"/>
  <c r="AN662" i="1"/>
  <c r="AI136" i="9"/>
  <c r="BR525" i="1"/>
  <c r="BS525" i="1" s="1"/>
  <c r="BS628" i="1"/>
  <c r="D655" i="1"/>
  <c r="P655" i="1"/>
  <c r="AZ655" i="1"/>
  <c r="BF655" i="1"/>
  <c r="BL655" i="1"/>
  <c r="BM545" i="1"/>
  <c r="BR646" i="1"/>
  <c r="BS646" i="1" s="1"/>
  <c r="BT646" i="1" s="1"/>
  <c r="BU646" i="1" s="1"/>
  <c r="BV646" i="1" s="1"/>
  <c r="BS556" i="1"/>
  <c r="BS378" i="1" s="1"/>
  <c r="C112" i="9"/>
  <c r="I112" i="9"/>
  <c r="U112" i="9"/>
  <c r="AA112" i="9"/>
  <c r="AG112" i="9"/>
  <c r="AM112" i="9"/>
  <c r="AY112" i="9"/>
  <c r="BE112" i="9"/>
  <c r="BK112" i="9"/>
  <c r="X584" i="1"/>
  <c r="AZ584" i="1"/>
  <c r="BG584" i="1"/>
  <c r="K593" i="1"/>
  <c r="AT593" i="1"/>
  <c r="K590" i="1"/>
  <c r="K596" i="1"/>
  <c r="AU590" i="1"/>
  <c r="BB590" i="1"/>
  <c r="BL590" i="1"/>
  <c r="AF587" i="1"/>
  <c r="AJ587" i="1"/>
  <c r="BE587" i="1"/>
  <c r="BI587" i="1"/>
  <c r="BI590" i="1" s="1"/>
  <c r="BK590" i="1"/>
  <c r="F136" i="9"/>
  <c r="F662" i="1"/>
  <c r="L136" i="9"/>
  <c r="L662" i="1"/>
  <c r="S136" i="9"/>
  <c r="AU136" i="9"/>
  <c r="AU662" i="1"/>
  <c r="AU652" i="1"/>
  <c r="BB136" i="9"/>
  <c r="BB662" i="1"/>
  <c r="BJ136" i="9"/>
  <c r="U136" i="9"/>
  <c r="U662" i="1"/>
  <c r="AM136" i="9"/>
  <c r="AM652" i="1"/>
  <c r="AM662" i="1"/>
  <c r="T145" i="9"/>
  <c r="T639" i="1"/>
  <c r="AB145" i="9"/>
  <c r="AB639" i="1"/>
  <c r="AB650" i="1" s="1"/>
  <c r="AB652" i="1" s="1"/>
  <c r="AO145" i="9"/>
  <c r="AO146" i="9" s="1"/>
  <c r="AO639" i="1"/>
  <c r="AO650" i="1" s="1"/>
  <c r="AO652" i="1" s="1"/>
  <c r="BL145" i="9"/>
  <c r="BL639" i="1"/>
  <c r="BL650" i="1" s="1"/>
  <c r="AD639" i="1"/>
  <c r="AI131" i="9"/>
  <c r="AI650" i="1"/>
  <c r="AI652" i="1" s="1"/>
  <c r="BA131" i="9"/>
  <c r="BI662" i="1"/>
  <c r="E655" i="1"/>
  <c r="K655" i="1"/>
  <c r="AC655" i="1"/>
  <c r="AU655" i="1"/>
  <c r="BA655" i="1"/>
  <c r="BS530" i="1"/>
  <c r="D112" i="9"/>
  <c r="P112" i="9"/>
  <c r="V112" i="9"/>
  <c r="AB112" i="9"/>
  <c r="AH112" i="9"/>
  <c r="AT112" i="9"/>
  <c r="AZ112" i="9"/>
  <c r="BF112" i="9"/>
  <c r="BL112" i="9"/>
  <c r="R584" i="1"/>
  <c r="AT595" i="1"/>
  <c r="H584" i="1"/>
  <c r="BJ581" i="1"/>
  <c r="BN581" i="1"/>
  <c r="L590" i="1"/>
  <c r="U590" i="1"/>
  <c r="AB590" i="1"/>
  <c r="AN590" i="1"/>
  <c r="AV590" i="1"/>
  <c r="AK590" i="1"/>
  <c r="AA587" i="1"/>
  <c r="AE587" i="1"/>
  <c r="AG590" i="1"/>
  <c r="AM590" i="1"/>
  <c r="K594" i="1"/>
  <c r="G136" i="9"/>
  <c r="G662" i="1"/>
  <c r="M136" i="9"/>
  <c r="M662" i="1"/>
  <c r="M652" i="1"/>
  <c r="AO136" i="9"/>
  <c r="AO662" i="1"/>
  <c r="AV136" i="9"/>
  <c r="AV662" i="1"/>
  <c r="BD136" i="9"/>
  <c r="BD662" i="1"/>
  <c r="BP613" i="1"/>
  <c r="O590" i="1"/>
  <c r="AS590" i="1"/>
  <c r="Z145" i="9"/>
  <c r="Z146" i="9" s="1"/>
  <c r="Z639" i="1"/>
  <c r="AN575" i="1"/>
  <c r="AX632" i="1"/>
  <c r="AX575" i="1"/>
  <c r="AX578" i="1" s="1"/>
  <c r="AC145" i="9"/>
  <c r="AC639" i="1"/>
  <c r="BF145" i="9"/>
  <c r="BF639" i="1"/>
  <c r="BF650" i="1" s="1"/>
  <c r="BF652" i="1" s="1"/>
  <c r="AU131" i="9"/>
  <c r="AU650" i="1"/>
  <c r="F655" i="1"/>
  <c r="L655" i="1"/>
  <c r="R655" i="1"/>
  <c r="AJ655" i="1"/>
  <c r="AP655" i="1"/>
  <c r="AV655" i="1"/>
  <c r="BB655" i="1"/>
  <c r="D521" i="1"/>
  <c r="P521" i="1"/>
  <c r="V521" i="1"/>
  <c r="AB521" i="1"/>
  <c r="AH521" i="1"/>
  <c r="AJ671" i="1" s="1"/>
  <c r="AT521" i="1"/>
  <c r="AZ521" i="1"/>
  <c r="BF521" i="1"/>
  <c r="BL521" i="1"/>
  <c r="BN530" i="1"/>
  <c r="F600" i="1"/>
  <c r="L600" i="1"/>
  <c r="R600" i="1"/>
  <c r="X600" i="1"/>
  <c r="AJ600" i="1"/>
  <c r="AP600" i="1"/>
  <c r="AV600" i="1"/>
  <c r="BB600" i="1"/>
  <c r="BN534" i="1"/>
  <c r="BN370" i="1" s="1"/>
  <c r="BN548" i="1"/>
  <c r="E112" i="9"/>
  <c r="K112" i="9"/>
  <c r="Q112" i="9"/>
  <c r="W112" i="9"/>
  <c r="AC112" i="9"/>
  <c r="AO112" i="9"/>
  <c r="AU112" i="9"/>
  <c r="BA112" i="9"/>
  <c r="BG112" i="9"/>
  <c r="K584" i="1"/>
  <c r="K595" i="1"/>
  <c r="AU584" i="1"/>
  <c r="BB584" i="1"/>
  <c r="BL584" i="1"/>
  <c r="BK584" i="1"/>
  <c r="V590" i="1"/>
  <c r="AC590" i="1"/>
  <c r="AO590" i="1"/>
  <c r="AO596" i="1"/>
  <c r="AE594" i="1"/>
  <c r="AT594" i="1"/>
  <c r="AL590" i="1"/>
  <c r="I590" i="1"/>
  <c r="H136" i="9"/>
  <c r="H662" i="1"/>
  <c r="N136" i="9"/>
  <c r="N662" i="1"/>
  <c r="AC136" i="9"/>
  <c r="AJ136" i="9"/>
  <c r="AJ662" i="1"/>
  <c r="AP136" i="9"/>
  <c r="AP662" i="1"/>
  <c r="AW136" i="9"/>
  <c r="AW652" i="1"/>
  <c r="I136" i="9"/>
  <c r="I662" i="1"/>
  <c r="AA136" i="9"/>
  <c r="AA652" i="1"/>
  <c r="AA662" i="1"/>
  <c r="AA145" i="9"/>
  <c r="AA639" i="1"/>
  <c r="BC145" i="9"/>
  <c r="BC639" i="1"/>
  <c r="BC650" i="1" s="1"/>
  <c r="BC652" i="1" s="1"/>
  <c r="V145" i="9"/>
  <c r="V639" i="1"/>
  <c r="V650" i="1" s="1"/>
  <c r="V652" i="1" s="1"/>
  <c r="AZ145" i="9"/>
  <c r="AZ639" i="1"/>
  <c r="AZ650" i="1" s="1"/>
  <c r="AZ652" i="1" s="1"/>
  <c r="BG145" i="9"/>
  <c r="BG639" i="1"/>
  <c r="BG650" i="1" s="1"/>
  <c r="T131" i="9"/>
  <c r="T132" i="9" s="1"/>
  <c r="T650" i="1"/>
  <c r="AO131" i="9"/>
  <c r="AO132" i="9" s="1"/>
  <c r="S655" i="1"/>
  <c r="AE655" i="1"/>
  <c r="E521" i="1"/>
  <c r="K521" i="1"/>
  <c r="Q521" i="1"/>
  <c r="W521" i="1"/>
  <c r="AC521" i="1"/>
  <c r="AO521" i="1"/>
  <c r="AU521" i="1"/>
  <c r="BA521" i="1"/>
  <c r="BG521" i="1"/>
  <c r="G600" i="1"/>
  <c r="M600" i="1"/>
  <c r="AE600" i="1"/>
  <c r="AK600" i="1"/>
  <c r="AQ600" i="1"/>
  <c r="F112" i="9"/>
  <c r="L112" i="9"/>
  <c r="R112" i="9"/>
  <c r="X112" i="9"/>
  <c r="AJ112" i="9"/>
  <c r="AP112" i="9"/>
  <c r="AV112" i="9"/>
  <c r="BB112" i="9"/>
  <c r="BS112" i="9"/>
  <c r="D595" i="1"/>
  <c r="AB584" i="1"/>
  <c r="AN584" i="1"/>
  <c r="AV584" i="1"/>
  <c r="N584" i="1"/>
  <c r="AX584" i="1"/>
  <c r="AF581" i="1"/>
  <c r="AF584" i="1" s="1"/>
  <c r="AJ581" i="1"/>
  <c r="AM584" i="1"/>
  <c r="BE581" i="1"/>
  <c r="BI581" i="1"/>
  <c r="BI584" i="1" s="1"/>
  <c r="F590" i="1"/>
  <c r="P590" i="1"/>
  <c r="W590" i="1"/>
  <c r="AD590" i="1"/>
  <c r="AP590" i="1"/>
  <c r="AY590" i="1"/>
  <c r="BF590" i="1"/>
  <c r="G590" i="1"/>
  <c r="AQ590" i="1"/>
  <c r="BQ589" i="1"/>
  <c r="BQ583" i="1"/>
  <c r="BQ531" i="1" s="1"/>
  <c r="T610" i="1"/>
  <c r="T621" i="1" s="1"/>
  <c r="S662" i="1" s="1"/>
  <c r="AX610" i="1"/>
  <c r="AX621" i="1" s="1"/>
  <c r="AZ662" i="1" s="1"/>
  <c r="AI574" i="1"/>
  <c r="AI577" i="1" s="1"/>
  <c r="W136" i="9"/>
  <c r="W662" i="1"/>
  <c r="W652" i="1"/>
  <c r="AE136" i="9"/>
  <c r="AE652" i="1"/>
  <c r="AE662" i="1"/>
  <c r="AK136" i="9"/>
  <c r="AK662" i="1"/>
  <c r="AQ136" i="9"/>
  <c r="AQ137" i="9" s="1"/>
  <c r="AQ662" i="1"/>
  <c r="AI584" i="1"/>
  <c r="AP145" i="9"/>
  <c r="AQ146" i="9" s="1"/>
  <c r="AP639" i="1"/>
  <c r="AP650" i="1" s="1"/>
  <c r="AP652" i="1" s="1"/>
  <c r="BH632" i="1"/>
  <c r="P145" i="9"/>
  <c r="P639" i="1"/>
  <c r="P650" i="1" s="1"/>
  <c r="P652" i="1" s="1"/>
  <c r="W145" i="9"/>
  <c r="W639" i="1"/>
  <c r="W650" i="1" s="1"/>
  <c r="AT145" i="9"/>
  <c r="AY146" i="9" s="1"/>
  <c r="AT639" i="1"/>
  <c r="AT650" i="1" s="1"/>
  <c r="AT652" i="1" s="1"/>
  <c r="BA145" i="9"/>
  <c r="BA639" i="1"/>
  <c r="BA650" i="1" s="1"/>
  <c r="BA652" i="1" s="1"/>
  <c r="AX131" i="9"/>
  <c r="AS131" i="9"/>
  <c r="AS650" i="1"/>
  <c r="AS652" i="1" s="1"/>
  <c r="AA131" i="9"/>
  <c r="AA132" i="9" s="1"/>
  <c r="AA650" i="1"/>
  <c r="N655" i="1"/>
  <c r="Z655" i="1"/>
  <c r="AL655" i="1"/>
  <c r="BD655" i="1"/>
  <c r="BJ655" i="1"/>
  <c r="F521" i="1"/>
  <c r="L521" i="1"/>
  <c r="R521" i="1"/>
  <c r="X521" i="1"/>
  <c r="AJ521" i="1"/>
  <c r="AP521" i="1"/>
  <c r="AV521" i="1"/>
  <c r="BB521" i="1"/>
  <c r="H600" i="1"/>
  <c r="N600" i="1"/>
  <c r="Z600" i="1"/>
  <c r="AF600" i="1"/>
  <c r="AL600" i="1"/>
  <c r="AR600" i="1"/>
  <c r="BN589" i="1"/>
  <c r="G112" i="9"/>
  <c r="M112" i="9"/>
  <c r="S112" i="9"/>
  <c r="AE112" i="9"/>
  <c r="AK112" i="9"/>
  <c r="AQ112" i="9"/>
  <c r="AW112" i="9"/>
  <c r="BI112" i="9"/>
  <c r="E595" i="1"/>
  <c r="AC584" i="1"/>
  <c r="AO584" i="1"/>
  <c r="AO595" i="1"/>
  <c r="P593" i="1"/>
  <c r="AJ593" i="1"/>
  <c r="AK584" i="1"/>
  <c r="Q590" i="1"/>
  <c r="X590" i="1"/>
  <c r="AH590" i="1"/>
  <c r="AZ590" i="1"/>
  <c r="BG590" i="1"/>
  <c r="H590" i="1"/>
  <c r="Z590" i="1"/>
  <c r="AR590" i="1"/>
  <c r="BJ590" i="1"/>
  <c r="Z136" i="9"/>
  <c r="Z137" i="9" s="1"/>
  <c r="Z662" i="1"/>
  <c r="BC136" i="9"/>
  <c r="BC662" i="1"/>
  <c r="AN574" i="1"/>
  <c r="AN577" i="1" s="1"/>
  <c r="Q136" i="9"/>
  <c r="Q662" i="1"/>
  <c r="X136" i="9"/>
  <c r="X662" i="1"/>
  <c r="AF136" i="9"/>
  <c r="AL136" i="9"/>
  <c r="AL662" i="1"/>
  <c r="AR136" i="9"/>
  <c r="AR662" i="1"/>
  <c r="BG621" i="1"/>
  <c r="AD620" i="1"/>
  <c r="AD621" i="1" s="1"/>
  <c r="BH620" i="1"/>
  <c r="AG136" i="9"/>
  <c r="AG662" i="1"/>
  <c r="AY136" i="9"/>
  <c r="AY137" i="9" s="1"/>
  <c r="AY662" i="1"/>
  <c r="AS145" i="9"/>
  <c r="AW146" i="9" s="1"/>
  <c r="AS639" i="1"/>
  <c r="Q145" i="9"/>
  <c r="Q639" i="1"/>
  <c r="Q650" i="1" s="1"/>
  <c r="Q652" i="1" s="1"/>
  <c r="Z131" i="9"/>
  <c r="Z650" i="1"/>
  <c r="Z652" i="1" s="1"/>
  <c r="BC131" i="9"/>
  <c r="U131" i="9"/>
  <c r="U132" i="9" s="1"/>
  <c r="U650" i="1"/>
  <c r="U652" i="1" s="1"/>
  <c r="M521" i="1"/>
  <c r="S521" i="1"/>
  <c r="AE521" i="1"/>
  <c r="AK521" i="1"/>
  <c r="AQ521" i="1"/>
  <c r="AW521" i="1"/>
  <c r="AA600" i="1"/>
  <c r="AG600" i="1"/>
  <c r="AM600" i="1"/>
  <c r="BK600" i="1"/>
  <c r="H112" i="9"/>
  <c r="N112" i="9"/>
  <c r="Z112" i="9"/>
  <c r="AF112" i="9"/>
  <c r="AL112" i="9"/>
  <c r="AR112" i="9"/>
  <c r="BD112" i="9"/>
  <c r="BJ112" i="9"/>
  <c r="F584" i="1"/>
  <c r="P595" i="1"/>
  <c r="W584" i="1"/>
  <c r="AP584" i="1"/>
  <c r="AY584" i="1"/>
  <c r="AE593" i="1"/>
  <c r="O584" i="1"/>
  <c r="AA581" i="1"/>
  <c r="AE581" i="1"/>
  <c r="J590" i="1"/>
  <c r="R590" i="1"/>
  <c r="AI590" i="1"/>
  <c r="AT590" i="1"/>
  <c r="BA590" i="1"/>
  <c r="BH590" i="1"/>
  <c r="M590" i="1"/>
  <c r="AW590" i="1"/>
  <c r="BJ587" i="1"/>
  <c r="BN587" i="1"/>
  <c r="AO594" i="1"/>
  <c r="AT596" i="1"/>
  <c r="BH621" i="1"/>
  <c r="BJ662" i="1" s="1"/>
  <c r="E136" i="9"/>
  <c r="E137" i="9" s="1"/>
  <c r="E662" i="1"/>
  <c r="D662" i="1"/>
  <c r="K136" i="9"/>
  <c r="K137" i="9" s="1"/>
  <c r="K662" i="1"/>
  <c r="R136" i="9"/>
  <c r="R662" i="1"/>
  <c r="Y137" i="9"/>
  <c r="BA136" i="9"/>
  <c r="BA662" i="1"/>
  <c r="BI137" i="9"/>
  <c r="O145" i="9"/>
  <c r="O639" i="1"/>
  <c r="O650" i="1" s="1"/>
  <c r="O652" i="1" s="1"/>
  <c r="E145" i="9"/>
  <c r="E146" i="9" s="1"/>
  <c r="E639" i="1"/>
  <c r="K145" i="9"/>
  <c r="K146" i="9" s="1"/>
  <c r="K639" i="1"/>
  <c r="K650" i="1" s="1"/>
  <c r="K652" i="1" s="1"/>
  <c r="AH145" i="9"/>
  <c r="AH639" i="1"/>
  <c r="AH650" i="1" s="1"/>
  <c r="AH652" i="1" s="1"/>
  <c r="H131" i="9"/>
  <c r="Y662" i="1"/>
  <c r="AD648" i="1"/>
  <c r="BH648" i="1"/>
  <c r="I131" i="9"/>
  <c r="I650" i="1"/>
  <c r="I652" i="1" s="1"/>
  <c r="BJ131" i="9"/>
  <c r="F146" i="9"/>
  <c r="AJ146" i="9"/>
  <c r="F639" i="1"/>
  <c r="X639" i="1"/>
  <c r="X650" i="1" s="1"/>
  <c r="X652" i="1" s="1"/>
  <c r="AG639" i="1"/>
  <c r="AG650" i="1" s="1"/>
  <c r="AG652" i="1" s="1"/>
  <c r="AY639" i="1"/>
  <c r="AY650" i="1" s="1"/>
  <c r="AY652" i="1" s="1"/>
  <c r="BI639" i="1"/>
  <c r="BI650" i="1" s="1"/>
  <c r="BI652" i="1" s="1"/>
  <c r="BO642" i="1"/>
  <c r="W132" i="9"/>
  <c r="BD131" i="9"/>
  <c r="BK131" i="9"/>
  <c r="BK650" i="1"/>
  <c r="BK652" i="1" s="1"/>
  <c r="F596" i="1"/>
  <c r="M146" i="9"/>
  <c r="G639" i="1"/>
  <c r="G650" i="1" s="1"/>
  <c r="G652" i="1" s="1"/>
  <c r="Y639" i="1"/>
  <c r="Y650" i="1" s="1"/>
  <c r="Y652" i="1" s="1"/>
  <c r="AQ639" i="1"/>
  <c r="AQ650" i="1" s="1"/>
  <c r="AQ652" i="1" s="1"/>
  <c r="BK639" i="1"/>
  <c r="J648" i="1"/>
  <c r="AN648" i="1"/>
  <c r="AR131" i="9"/>
  <c r="AR650" i="1"/>
  <c r="AR652" i="1" s="1"/>
  <c r="BE131" i="9"/>
  <c r="BE650" i="1"/>
  <c r="F595" i="1"/>
  <c r="H145" i="9"/>
  <c r="L146" i="9" s="1"/>
  <c r="H639" i="1"/>
  <c r="H650" i="1" s="1"/>
  <c r="H652" i="1" s="1"/>
  <c r="N145" i="9"/>
  <c r="N146" i="9" s="1"/>
  <c r="N639" i="1"/>
  <c r="AF145" i="9"/>
  <c r="AF639" i="1"/>
  <c r="AL145" i="9"/>
  <c r="AM146" i="9" s="1"/>
  <c r="AL639" i="1"/>
  <c r="AL650" i="1" s="1"/>
  <c r="AL652" i="1" s="1"/>
  <c r="AR145" i="9"/>
  <c r="AR639" i="1"/>
  <c r="BD145" i="9"/>
  <c r="BD146" i="9" s="1"/>
  <c r="BD639" i="1"/>
  <c r="BD650" i="1" s="1"/>
  <c r="BD652" i="1" s="1"/>
  <c r="BJ145" i="9"/>
  <c r="BJ639" i="1"/>
  <c r="BJ650" i="1" s="1"/>
  <c r="BJ652" i="1" s="1"/>
  <c r="I639" i="1"/>
  <c r="R639" i="1"/>
  <c r="AJ639" i="1"/>
  <c r="BB639" i="1"/>
  <c r="AF131" i="9"/>
  <c r="AF650" i="1"/>
  <c r="AF652" i="1" s="1"/>
  <c r="AL131" i="9"/>
  <c r="AL132" i="9" s="1"/>
  <c r="AY131" i="9"/>
  <c r="AY132" i="9" s="1"/>
  <c r="E650" i="1"/>
  <c r="E652" i="1" s="1"/>
  <c r="AC650" i="1"/>
  <c r="AC652" i="1" s="1"/>
  <c r="S639" i="1"/>
  <c r="S650" i="1" s="1"/>
  <c r="S652" i="1" s="1"/>
  <c r="AK639" i="1"/>
  <c r="AK650" i="1" s="1"/>
  <c r="AK652" i="1" s="1"/>
  <c r="N131" i="9"/>
  <c r="N650" i="1"/>
  <c r="N652" i="1" s="1"/>
  <c r="AG131" i="9"/>
  <c r="AM131" i="9"/>
  <c r="AM650" i="1"/>
  <c r="BG132" i="9"/>
  <c r="F132" i="9"/>
  <c r="R132" i="9"/>
  <c r="X132" i="9"/>
  <c r="AJ132" i="9"/>
  <c r="Y132" i="9"/>
  <c r="AE132" i="9"/>
  <c r="AK132" i="9"/>
  <c r="P132" i="9"/>
  <c r="AT132" i="9"/>
  <c r="AZ132" i="9"/>
  <c r="BF132" i="9"/>
  <c r="F650" i="1"/>
  <c r="F652" i="1" s="1"/>
  <c r="L650" i="1"/>
  <c r="L652" i="1" s="1"/>
  <c r="R650" i="1"/>
  <c r="R652" i="1" s="1"/>
  <c r="AJ650" i="1"/>
  <c r="AJ652" i="1" s="1"/>
  <c r="AV650" i="1"/>
  <c r="AV652" i="1" s="1"/>
  <c r="BB650" i="1"/>
  <c r="BB652" i="1" s="1"/>
  <c r="D147" i="9"/>
  <c r="D148" i="9" s="1"/>
  <c r="C147" i="9"/>
  <c r="C754" i="1"/>
  <c r="C747" i="1"/>
  <c r="C740" i="1"/>
  <c r="D743" i="1"/>
  <c r="D750" i="1"/>
  <c r="D757" i="1"/>
  <c r="AD146" i="9" l="1"/>
  <c r="V329" i="1"/>
  <c r="V336" i="1"/>
  <c r="AE146" i="9"/>
  <c r="AN92" i="9"/>
  <c r="R137" i="9"/>
  <c r="AL137" i="9"/>
  <c r="BC89" i="9"/>
  <c r="AC132" i="9"/>
  <c r="X146" i="9"/>
  <c r="AL92" i="9"/>
  <c r="H92" i="9"/>
  <c r="AG146" i="9"/>
  <c r="I92" i="9"/>
  <c r="BD132" i="9"/>
  <c r="AH146" i="9"/>
  <c r="O146" i="9"/>
  <c r="Z132" i="9"/>
  <c r="S146" i="9"/>
  <c r="AE137" i="9"/>
  <c r="AC137" i="9"/>
  <c r="AW132" i="9"/>
  <c r="BF146" i="9"/>
  <c r="AV137" i="9"/>
  <c r="M137" i="9"/>
  <c r="BA132" i="9"/>
  <c r="BF137" i="9"/>
  <c r="AK146" i="9"/>
  <c r="G105" i="9"/>
  <c r="G116" i="9" s="1"/>
  <c r="G118" i="9" s="1"/>
  <c r="BJ103" i="9"/>
  <c r="BJ115" i="9" s="1"/>
  <c r="BE103" i="9"/>
  <c r="H527" i="1"/>
  <c r="H564" i="1" s="1"/>
  <c r="H364" i="1"/>
  <c r="C527" i="1"/>
  <c r="C564" i="1" s="1"/>
  <c r="C567" i="1" s="1"/>
  <c r="C663" i="1" s="1"/>
  <c r="C364" i="1"/>
  <c r="BK527" i="1"/>
  <c r="BK564" i="1" s="1"/>
  <c r="BK364" i="1"/>
  <c r="AX527" i="1"/>
  <c r="AX364" i="1"/>
  <c r="AW599" i="1"/>
  <c r="AD495" i="1"/>
  <c r="AD498" i="1" s="1"/>
  <c r="AR103" i="9"/>
  <c r="AR105" i="9" s="1"/>
  <c r="AW664" i="1"/>
  <c r="E498" i="1"/>
  <c r="F497" i="1" s="1"/>
  <c r="F498" i="1" s="1"/>
  <c r="G497" i="1" s="1"/>
  <c r="H497" i="1" s="1"/>
  <c r="I497" i="1" s="1"/>
  <c r="J497" i="1" s="1"/>
  <c r="K497" i="1" s="1"/>
  <c r="AW104" i="9"/>
  <c r="AY527" i="1"/>
  <c r="AY564" i="1" s="1"/>
  <c r="AY660" i="1" s="1"/>
  <c r="AY364" i="1"/>
  <c r="I527" i="1"/>
  <c r="I364" i="1"/>
  <c r="I564" i="1"/>
  <c r="AA105" i="9"/>
  <c r="AA116" i="9" s="1"/>
  <c r="AA118" i="9" s="1"/>
  <c r="AL527" i="1"/>
  <c r="AL564" i="1" s="1"/>
  <c r="AL364" i="1"/>
  <c r="BC495" i="1"/>
  <c r="BJ600" i="1"/>
  <c r="BN600" i="1" s="1"/>
  <c r="AX564" i="1"/>
  <c r="BH600" i="1"/>
  <c r="AW668" i="1"/>
  <c r="I599" i="1"/>
  <c r="I583" i="1" s="1"/>
  <c r="I584" i="1" s="1"/>
  <c r="AD600" i="1"/>
  <c r="I664" i="1"/>
  <c r="BN373" i="1"/>
  <c r="BN109" i="9" s="1"/>
  <c r="BI527" i="1"/>
  <c r="BI564" i="1" s="1"/>
  <c r="BI364" i="1"/>
  <c r="AM527" i="1"/>
  <c r="AM564" i="1" s="1"/>
  <c r="AM364" i="1"/>
  <c r="AG527" i="1"/>
  <c r="AG564" i="1" s="1"/>
  <c r="AG364" i="1"/>
  <c r="U527" i="1"/>
  <c r="U564" i="1" s="1"/>
  <c r="U364" i="1"/>
  <c r="BN673" i="1"/>
  <c r="BJ384" i="1"/>
  <c r="K675" i="1"/>
  <c r="S600" i="1"/>
  <c r="Z527" i="1"/>
  <c r="Z564" i="1" s="1"/>
  <c r="Z364" i="1"/>
  <c r="N527" i="1"/>
  <c r="N564" i="1" s="1"/>
  <c r="N364" i="1"/>
  <c r="P600" i="1"/>
  <c r="BD527" i="1"/>
  <c r="BD564" i="1" s="1"/>
  <c r="BD364" i="1"/>
  <c r="G115" i="9"/>
  <c r="W281" i="1"/>
  <c r="Z351" i="1"/>
  <c r="Z346" i="1" s="1"/>
  <c r="G346" i="1"/>
  <c r="AE346" i="1"/>
  <c r="BD329" i="1"/>
  <c r="AY351" i="1"/>
  <c r="AY346" i="1" s="1"/>
  <c r="U346" i="1"/>
  <c r="BD351" i="1"/>
  <c r="AT351" i="1"/>
  <c r="AT346" i="1" s="1"/>
  <c r="AP346" i="1"/>
  <c r="BD346" i="1"/>
  <c r="BI242" i="1"/>
  <c r="BI253" i="1"/>
  <c r="AN90" i="9"/>
  <c r="AF238" i="1"/>
  <c r="X143" i="1"/>
  <c r="W226" i="1"/>
  <c r="AM92" i="9"/>
  <c r="I91" i="9"/>
  <c r="AL578" i="1"/>
  <c r="BJ253" i="1"/>
  <c r="D577" i="1"/>
  <c r="BI143" i="9"/>
  <c r="BI144" i="9" s="1"/>
  <c r="BG143" i="1"/>
  <c r="BG95" i="9" s="1"/>
  <c r="AF143" i="1"/>
  <c r="AF95" i="9" s="1"/>
  <c r="X231" i="1"/>
  <c r="X149" i="1" s="1"/>
  <c r="X97" i="9" s="1"/>
  <c r="W238" i="1"/>
  <c r="I89" i="9"/>
  <c r="AO254" i="1"/>
  <c r="AR253" i="1"/>
  <c r="M253" i="1"/>
  <c r="AN91" i="9"/>
  <c r="BG231" i="1"/>
  <c r="BG149" i="1" s="1"/>
  <c r="BG97" i="9" s="1"/>
  <c r="AF231" i="1"/>
  <c r="AF149" i="1" s="1"/>
  <c r="AF97" i="9" s="1"/>
  <c r="X226" i="1"/>
  <c r="W143" i="9"/>
  <c r="BK90" i="9"/>
  <c r="AO253" i="1"/>
  <c r="AF226" i="1"/>
  <c r="X238" i="1"/>
  <c r="Q143" i="1"/>
  <c r="Q95" i="9" s="1"/>
  <c r="BE90" i="9"/>
  <c r="S91" i="9"/>
  <c r="AN89" i="9"/>
  <c r="BG238" i="1"/>
  <c r="G238" i="1"/>
  <c r="Q231" i="1"/>
  <c r="Q149" i="1" s="1"/>
  <c r="Q97" i="9" s="1"/>
  <c r="BJ175" i="1"/>
  <c r="AR146" i="9"/>
  <c r="BE146" i="9"/>
  <c r="BG146" i="9"/>
  <c r="E578" i="1"/>
  <c r="T144" i="9"/>
  <c r="G143" i="1"/>
  <c r="Q226" i="1"/>
  <c r="BJ177" i="1"/>
  <c r="G231" i="1"/>
  <c r="G149" i="1" s="1"/>
  <c r="G97" i="9" s="1"/>
  <c r="Q238" i="1"/>
  <c r="AW238" i="1"/>
  <c r="G226" i="1"/>
  <c r="AW143" i="1"/>
  <c r="AF146" i="9"/>
  <c r="AR655" i="1"/>
  <c r="BK91" i="9"/>
  <c r="Z577" i="1"/>
  <c r="BJ91" i="9"/>
  <c r="BJ254" i="1"/>
  <c r="AQ254" i="1"/>
  <c r="AW231" i="1"/>
  <c r="AW149" i="1" s="1"/>
  <c r="AW97" i="9" s="1"/>
  <c r="E254" i="1"/>
  <c r="BE91" i="9"/>
  <c r="BK89" i="9"/>
  <c r="Z578" i="1"/>
  <c r="AW226" i="1"/>
  <c r="V146" i="9"/>
  <c r="W665" i="1"/>
  <c r="AR254" i="1"/>
  <c r="E253" i="1"/>
  <c r="P146" i="9"/>
  <c r="S665" i="1"/>
  <c r="H238" i="1"/>
  <c r="H143" i="1"/>
  <c r="H95" i="9" s="1"/>
  <c r="AA146" i="9"/>
  <c r="BI577" i="1"/>
  <c r="Y177" i="1"/>
  <c r="AZ665" i="1"/>
  <c r="A738" i="1"/>
  <c r="A745" i="1"/>
  <c r="C752" i="1"/>
  <c r="C738" i="1"/>
  <c r="AA115" i="9"/>
  <c r="A752" i="1"/>
  <c r="C745" i="1"/>
  <c r="AZ44" i="9"/>
  <c r="BP575" i="1"/>
  <c r="BK578" i="1"/>
  <c r="AF567" i="1"/>
  <c r="AA567" i="1"/>
  <c r="AD136" i="9"/>
  <c r="AD137" i="9" s="1"/>
  <c r="AD662" i="1"/>
  <c r="AI662" i="1"/>
  <c r="AC662" i="1"/>
  <c r="AF662" i="1"/>
  <c r="F336" i="1"/>
  <c r="F329" i="1"/>
  <c r="BG136" i="9"/>
  <c r="BG137" i="9" s="1"/>
  <c r="BG662" i="1"/>
  <c r="BG652" i="1"/>
  <c r="BH145" i="9"/>
  <c r="BH146" i="9" s="1"/>
  <c r="BH639" i="1"/>
  <c r="AF590" i="1"/>
  <c r="J527" i="1"/>
  <c r="K672" i="1" s="1"/>
  <c r="J364" i="1"/>
  <c r="BF147" i="9"/>
  <c r="BC527" i="1"/>
  <c r="BC564" i="1" s="1"/>
  <c r="BC364" i="1"/>
  <c r="AV139" i="9"/>
  <c r="AV124" i="9"/>
  <c r="E583" i="1"/>
  <c r="E584" i="1" s="1"/>
  <c r="E600" i="1"/>
  <c r="AB132" i="9"/>
  <c r="BC137" i="9"/>
  <c r="AS132" i="9"/>
  <c r="V132" i="9"/>
  <c r="BI132" i="9"/>
  <c r="AV132" i="9"/>
  <c r="AM132" i="9"/>
  <c r="U146" i="9"/>
  <c r="AN131" i="9"/>
  <c r="AN650" i="1"/>
  <c r="AN652" i="1" s="1"/>
  <c r="BI146" i="9"/>
  <c r="BI147" i="9" s="1"/>
  <c r="BI148" i="9" s="1"/>
  <c r="I600" i="1"/>
  <c r="M527" i="1"/>
  <c r="M564" i="1" s="1"/>
  <c r="M364" i="1"/>
  <c r="AJ527" i="1"/>
  <c r="AJ564" i="1" s="1"/>
  <c r="AJ364" i="1"/>
  <c r="AP146" i="9"/>
  <c r="AK137" i="9"/>
  <c r="BE584" i="1"/>
  <c r="AY671" i="1"/>
  <c r="AU527" i="1"/>
  <c r="AU364" i="1"/>
  <c r="E527" i="1"/>
  <c r="E564" i="1" s="1"/>
  <c r="E364" i="1"/>
  <c r="BC146" i="9"/>
  <c r="AW662" i="1"/>
  <c r="AT527" i="1"/>
  <c r="AT564" i="1" s="1"/>
  <c r="AT364" i="1"/>
  <c r="BD137" i="9"/>
  <c r="AO137" i="9"/>
  <c r="AB146" i="9"/>
  <c r="BE590" i="1"/>
  <c r="AT600" i="1"/>
  <c r="AS527" i="1"/>
  <c r="AS564" i="1" s="1"/>
  <c r="AS364" i="1"/>
  <c r="BA139" i="9"/>
  <c r="BA124" i="9"/>
  <c r="Q139" i="9"/>
  <c r="Q124" i="9"/>
  <c r="AT137" i="9"/>
  <c r="V600" i="1"/>
  <c r="AH139" i="9"/>
  <c r="AH124" i="9"/>
  <c r="AI495" i="1"/>
  <c r="AI498" i="1" s="1"/>
  <c r="AM139" i="9"/>
  <c r="AM124" i="9"/>
  <c r="C139" i="9"/>
  <c r="C140" i="9" s="1"/>
  <c r="C141" i="9" s="1"/>
  <c r="C407" i="1"/>
  <c r="C406" i="1"/>
  <c r="AU146" i="9"/>
  <c r="J495" i="1"/>
  <c r="J498" i="1" s="1"/>
  <c r="BH527" i="1"/>
  <c r="BH364" i="1"/>
  <c r="BD139" i="9"/>
  <c r="BD124" i="9"/>
  <c r="BD407" i="1"/>
  <c r="BD406" i="1"/>
  <c r="T139" i="9"/>
  <c r="T124" i="9"/>
  <c r="AE139" i="9"/>
  <c r="AE124" i="9"/>
  <c r="AE406" i="1"/>
  <c r="AE407" i="1"/>
  <c r="AI146" i="9"/>
  <c r="AY674" i="1"/>
  <c r="U674" i="1"/>
  <c r="T527" i="1"/>
  <c r="T564" i="1" s="1"/>
  <c r="T364" i="1"/>
  <c r="AU566" i="1"/>
  <c r="AV497" i="1"/>
  <c r="G498" i="1"/>
  <c r="AF154" i="9"/>
  <c r="D583" i="1"/>
  <c r="D584" i="1" s="1"/>
  <c r="D600" i="1"/>
  <c r="BJ385" i="1"/>
  <c r="BJ386" i="1" s="1"/>
  <c r="BJ387" i="1" s="1"/>
  <c r="BJ388" i="1" s="1"/>
  <c r="BJ368" i="1"/>
  <c r="BK143" i="9"/>
  <c r="BK231" i="1"/>
  <c r="BK149" i="1" s="1"/>
  <c r="BK97" i="9" s="1"/>
  <c r="BK143" i="1"/>
  <c r="BK238" i="1"/>
  <c r="BK226" i="1"/>
  <c r="AA143" i="9"/>
  <c r="AD144" i="9" s="1"/>
  <c r="AA231" i="1"/>
  <c r="AA149" i="1" s="1"/>
  <c r="AA97" i="9" s="1"/>
  <c r="AA143" i="1"/>
  <c r="AA238" i="1"/>
  <c r="AA226" i="1"/>
  <c r="BJ68" i="9"/>
  <c r="T68" i="9"/>
  <c r="M151" i="9"/>
  <c r="H68" i="9"/>
  <c r="Z92" i="9"/>
  <c r="AR91" i="9"/>
  <c r="H91" i="9"/>
  <c r="H89" i="9"/>
  <c r="AW577" i="1"/>
  <c r="AE577" i="1"/>
  <c r="S578" i="1"/>
  <c r="R151" i="9"/>
  <c r="M68" i="9"/>
  <c r="AN44" i="9"/>
  <c r="AN43" i="1"/>
  <c r="AN48" i="9" s="1"/>
  <c r="AW92" i="9"/>
  <c r="G92" i="9"/>
  <c r="AK90" i="9"/>
  <c r="AW89" i="9"/>
  <c r="BB577" i="1"/>
  <c r="AP578" i="1"/>
  <c r="X577" i="1"/>
  <c r="W151" i="9"/>
  <c r="R68" i="9"/>
  <c r="BC180" i="1"/>
  <c r="BC184" i="1" s="1"/>
  <c r="BC191" i="1" s="1"/>
  <c r="BC232" i="1" s="1"/>
  <c r="BC175" i="1"/>
  <c r="BH40" i="9"/>
  <c r="BH39" i="1"/>
  <c r="BB92" i="9"/>
  <c r="R92" i="9"/>
  <c r="AP91" i="9"/>
  <c r="AD90" i="9"/>
  <c r="R89" i="9"/>
  <c r="BG577" i="1"/>
  <c r="AT151" i="9"/>
  <c r="AO68" i="9"/>
  <c r="W578" i="1"/>
  <c r="Q577" i="1"/>
  <c r="T665" i="1"/>
  <c r="AM78" i="1"/>
  <c r="AY43" i="9"/>
  <c r="BN30" i="9"/>
  <c r="BN29" i="1"/>
  <c r="BN34" i="9" s="1"/>
  <c r="AO92" i="9"/>
  <c r="BG91" i="9"/>
  <c r="Q91" i="9"/>
  <c r="AO90" i="9"/>
  <c r="BL575" i="1"/>
  <c r="AZ578" i="1"/>
  <c r="P577" i="1"/>
  <c r="BD43" i="9"/>
  <c r="BD42" i="1"/>
  <c r="BD47" i="9" s="1"/>
  <c r="AS42" i="9"/>
  <c r="AS41" i="1"/>
  <c r="AS46" i="9" s="1"/>
  <c r="AP38" i="9"/>
  <c r="AP37" i="1"/>
  <c r="AT33" i="1"/>
  <c r="BK28" i="9"/>
  <c r="BK13" i="1"/>
  <c r="BK20" i="9" s="1"/>
  <c r="BC69" i="9"/>
  <c r="BC402" i="1"/>
  <c r="BC403" i="1" s="1"/>
  <c r="AT92" i="9"/>
  <c r="D92" i="9"/>
  <c r="BF90" i="9"/>
  <c r="P90" i="9"/>
  <c r="D89" i="9"/>
  <c r="BE578" i="1"/>
  <c r="AS578" i="1"/>
  <c r="AP84" i="9"/>
  <c r="AP144" i="1"/>
  <c r="AP96" i="9" s="1"/>
  <c r="AH253" i="1"/>
  <c r="AH242" i="1"/>
  <c r="H167" i="9"/>
  <c r="M152" i="9"/>
  <c r="H98" i="9"/>
  <c r="AF44" i="9"/>
  <c r="AF43" i="1"/>
  <c r="AF48" i="9" s="1"/>
  <c r="AN42" i="9"/>
  <c r="AN41" i="1"/>
  <c r="AN46" i="9" s="1"/>
  <c r="AX28" i="9"/>
  <c r="AX13" i="1"/>
  <c r="AX20" i="9" s="1"/>
  <c r="BA84" i="9"/>
  <c r="BA144" i="1"/>
  <c r="BA96" i="9" s="1"/>
  <c r="AU246" i="1"/>
  <c r="N246" i="1"/>
  <c r="I167" i="9"/>
  <c r="N152" i="9"/>
  <c r="I98" i="9"/>
  <c r="N167" i="9"/>
  <c r="S152" i="9"/>
  <c r="N125" i="9"/>
  <c r="N98" i="9"/>
  <c r="BD180" i="1"/>
  <c r="BD184" i="1" s="1"/>
  <c r="BD191" i="1" s="1"/>
  <c r="AZ184" i="1"/>
  <c r="AZ191" i="1" s="1"/>
  <c r="AZ232" i="1" s="1"/>
  <c r="AN143" i="9"/>
  <c r="AR144" i="9" s="1"/>
  <c r="AN238" i="1"/>
  <c r="AN226" i="1"/>
  <c r="AN231" i="1"/>
  <c r="AN149" i="1" s="1"/>
  <c r="AN97" i="9" s="1"/>
  <c r="AN143" i="1"/>
  <c r="AN95" i="9" s="1"/>
  <c r="N78" i="1"/>
  <c r="BE44" i="9"/>
  <c r="BE43" i="1"/>
  <c r="BE48" i="9" s="1"/>
  <c r="S84" i="9"/>
  <c r="S144" i="1"/>
  <c r="S96" i="9" s="1"/>
  <c r="Y150" i="1"/>
  <c r="F167" i="9"/>
  <c r="K152" i="9"/>
  <c r="F125" i="9"/>
  <c r="F122" i="9" s="1"/>
  <c r="F98" i="9"/>
  <c r="BF83" i="9"/>
  <c r="BF405" i="1"/>
  <c r="BF150" i="1"/>
  <c r="AE84" i="9"/>
  <c r="AE144" i="1"/>
  <c r="AE96" i="9" s="1"/>
  <c r="X144" i="9"/>
  <c r="F231" i="1"/>
  <c r="F149" i="1" s="1"/>
  <c r="F97" i="9" s="1"/>
  <c r="U405" i="1"/>
  <c r="X405" i="1"/>
  <c r="L405" i="1"/>
  <c r="Y148" i="1"/>
  <c r="AQ83" i="9"/>
  <c r="AQ405" i="1"/>
  <c r="AQ150" i="1"/>
  <c r="AU43" i="9"/>
  <c r="AP39" i="9"/>
  <c r="AP38" i="1"/>
  <c r="AT34" i="1"/>
  <c r="BJ44" i="9"/>
  <c r="BJ43" i="1"/>
  <c r="BJ48" i="9" s="1"/>
  <c r="BL84" i="9"/>
  <c r="BL144" i="1"/>
  <c r="BL96" i="9" s="1"/>
  <c r="AK84" i="9"/>
  <c r="AK144" i="1"/>
  <c r="AK96" i="9" s="1"/>
  <c r="K231" i="1"/>
  <c r="K149" i="1" s="1"/>
  <c r="K97" i="9" s="1"/>
  <c r="E84" i="9"/>
  <c r="E144" i="1"/>
  <c r="E96" i="9" s="1"/>
  <c r="AV83" i="9"/>
  <c r="AV405" i="1"/>
  <c r="AV150" i="1"/>
  <c r="AD83" i="9"/>
  <c r="AD405" i="1"/>
  <c r="AD150" i="1"/>
  <c r="BH138" i="1"/>
  <c r="BH666" i="1" s="1"/>
  <c r="AN117" i="1"/>
  <c r="AN119" i="1" s="1"/>
  <c r="BR31" i="9"/>
  <c r="BR34" i="1"/>
  <c r="BS26" i="1"/>
  <c r="BD246" i="1"/>
  <c r="AJ661" i="1"/>
  <c r="AJ246" i="1"/>
  <c r="D231" i="1"/>
  <c r="D149" i="1" s="1"/>
  <c r="D97" i="9" s="1"/>
  <c r="O167" i="9"/>
  <c r="T152" i="9"/>
  <c r="O125" i="9"/>
  <c r="O98" i="9"/>
  <c r="F253" i="1"/>
  <c r="AU184" i="1"/>
  <c r="AU191" i="1" s="1"/>
  <c r="AU232" i="1" s="1"/>
  <c r="BC68" i="9"/>
  <c r="BR27" i="1"/>
  <c r="AK78" i="1"/>
  <c r="AZ28" i="9"/>
  <c r="AZ13" i="1"/>
  <c r="AZ20" i="9" s="1"/>
  <c r="AJ38" i="1"/>
  <c r="AJ43" i="9" s="1"/>
  <c r="A2" i="1"/>
  <c r="BJ146" i="9"/>
  <c r="AR132" i="9"/>
  <c r="K147" i="9"/>
  <c r="K148" i="9" s="1"/>
  <c r="AE527" i="1"/>
  <c r="AE564" i="1" s="1"/>
  <c r="AE364" i="1"/>
  <c r="AV527" i="1"/>
  <c r="AV564" i="1" s="1"/>
  <c r="AV364" i="1"/>
  <c r="P527" i="1"/>
  <c r="P564" i="1" s="1"/>
  <c r="P364" i="1"/>
  <c r="AC139" i="9"/>
  <c r="AC124" i="9"/>
  <c r="AY139" i="9"/>
  <c r="AY124" i="9"/>
  <c r="AY407" i="1"/>
  <c r="AY406" i="1"/>
  <c r="AF139" i="9"/>
  <c r="AF124" i="9"/>
  <c r="AQ139" i="9"/>
  <c r="AQ124" i="9"/>
  <c r="O132" i="9"/>
  <c r="BN638" i="1"/>
  <c r="BN393" i="1"/>
  <c r="BO393" i="1" s="1"/>
  <c r="C143" i="9"/>
  <c r="C144" i="9" s="1"/>
  <c r="C148" i="9" s="1"/>
  <c r="C231" i="1"/>
  <c r="C143" i="1"/>
  <c r="C238" i="1"/>
  <c r="C226" i="1"/>
  <c r="S151" i="9"/>
  <c r="N68" i="9"/>
  <c r="U600" i="1"/>
  <c r="BK146" i="9"/>
  <c r="J131" i="9"/>
  <c r="J650" i="1"/>
  <c r="J652" i="1" s="1"/>
  <c r="BP642" i="1"/>
  <c r="BO430" i="1"/>
  <c r="BO10" i="9" s="1"/>
  <c r="BH131" i="9"/>
  <c r="BH132" i="9" s="1"/>
  <c r="BH650" i="1"/>
  <c r="BE600" i="1"/>
  <c r="BI600" i="1" s="1"/>
  <c r="AW527" i="1"/>
  <c r="AW564" i="1" s="1"/>
  <c r="AW364" i="1"/>
  <c r="BC132" i="9"/>
  <c r="AS146" i="9"/>
  <c r="AG137" i="9"/>
  <c r="AR137" i="9"/>
  <c r="AF137" i="9"/>
  <c r="Q137" i="9"/>
  <c r="X527" i="1"/>
  <c r="X564" i="1" s="1"/>
  <c r="X364" i="1"/>
  <c r="AX132" i="9"/>
  <c r="W146" i="9"/>
  <c r="AO527" i="1"/>
  <c r="AO564" i="1" s="1"/>
  <c r="AO364" i="1"/>
  <c r="AW137" i="9"/>
  <c r="AJ137" i="9"/>
  <c r="N137" i="9"/>
  <c r="BS531" i="1"/>
  <c r="AH527" i="1"/>
  <c r="AH564" i="1" s="1"/>
  <c r="AH364" i="1"/>
  <c r="AC146" i="9"/>
  <c r="AC147" i="9" s="1"/>
  <c r="AE596" i="1"/>
  <c r="AE590" i="1"/>
  <c r="BS372" i="1"/>
  <c r="BS110" i="9"/>
  <c r="BT628" i="1"/>
  <c r="BS395" i="1"/>
  <c r="BS9" i="9" s="1"/>
  <c r="AU139" i="9"/>
  <c r="AU124" i="9"/>
  <c r="K139" i="9"/>
  <c r="K140" i="9" s="1"/>
  <c r="K141" i="9" s="1"/>
  <c r="K124" i="9"/>
  <c r="K407" i="1"/>
  <c r="K406" i="1"/>
  <c r="BH495" i="1"/>
  <c r="BL139" i="9"/>
  <c r="BL124" i="9"/>
  <c r="AB139" i="9"/>
  <c r="AB124" i="9"/>
  <c r="AG139" i="9"/>
  <c r="AG140" i="9" s="1"/>
  <c r="AG124" i="9"/>
  <c r="AH600" i="1"/>
  <c r="AD527" i="1"/>
  <c r="AD564" i="1" s="1"/>
  <c r="AD364" i="1"/>
  <c r="AX139" i="9"/>
  <c r="AX124" i="9"/>
  <c r="N139" i="9"/>
  <c r="N122" i="9"/>
  <c r="N124" i="9"/>
  <c r="Z660" i="1"/>
  <c r="BI139" i="9"/>
  <c r="BI140" i="9" s="1"/>
  <c r="BI141" i="9" s="1"/>
  <c r="BI124" i="9"/>
  <c r="BI406" i="1"/>
  <c r="BI407" i="1"/>
  <c r="Y139" i="9"/>
  <c r="Y124" i="9"/>
  <c r="BB124" i="9"/>
  <c r="BB139" i="9"/>
  <c r="G385" i="1"/>
  <c r="G386" i="1" s="1"/>
  <c r="G387" i="1" s="1"/>
  <c r="G388" i="1" s="1"/>
  <c r="G368" i="1"/>
  <c r="AJ140" i="9"/>
  <c r="AJ141" i="9" s="1"/>
  <c r="BE143" i="9"/>
  <c r="BE231" i="1"/>
  <c r="BE149" i="1" s="1"/>
  <c r="BE97" i="9" s="1"/>
  <c r="BE143" i="1"/>
  <c r="BE238" i="1"/>
  <c r="BE226" i="1"/>
  <c r="U143" i="9"/>
  <c r="U144" i="9" s="1"/>
  <c r="U231" i="1"/>
  <c r="U149" i="1" s="1"/>
  <c r="U97" i="9" s="1"/>
  <c r="U143" i="1"/>
  <c r="U238" i="1"/>
  <c r="U226" i="1"/>
  <c r="AQ151" i="9"/>
  <c r="AL68" i="9"/>
  <c r="G294" i="1"/>
  <c r="G298" i="1" s="1"/>
  <c r="K294" i="1"/>
  <c r="K298" i="1" s="1"/>
  <c r="BJ92" i="9"/>
  <c r="T92" i="9"/>
  <c r="AL91" i="9"/>
  <c r="BJ90" i="9"/>
  <c r="T90" i="9"/>
  <c r="AL89" i="9"/>
  <c r="AW578" i="1"/>
  <c r="AV151" i="9"/>
  <c r="AQ68" i="9"/>
  <c r="AE578" i="1"/>
  <c r="AC78" i="1"/>
  <c r="AH44" i="9"/>
  <c r="AH43" i="1"/>
  <c r="AH48" i="9" s="1"/>
  <c r="BQ39" i="9"/>
  <c r="AQ92" i="9"/>
  <c r="BI91" i="9"/>
  <c r="M91" i="9"/>
  <c r="AQ89" i="9"/>
  <c r="BG151" i="9"/>
  <c r="BB68" i="9"/>
  <c r="AP577" i="1"/>
  <c r="AO151" i="9"/>
  <c r="AJ68" i="9"/>
  <c r="BB40" i="9"/>
  <c r="BB39" i="1"/>
  <c r="BM32" i="9"/>
  <c r="BN27" i="1"/>
  <c r="BM35" i="1"/>
  <c r="BM40" i="9" s="1"/>
  <c r="BM31" i="1"/>
  <c r="BM36" i="9" s="1"/>
  <c r="F665" i="1"/>
  <c r="AV92" i="9"/>
  <c r="L92" i="9"/>
  <c r="AJ91" i="9"/>
  <c r="AV89" i="9"/>
  <c r="L89" i="9"/>
  <c r="BL151" i="9"/>
  <c r="BG68" i="9"/>
  <c r="AU577" i="1"/>
  <c r="AI61" i="9"/>
  <c r="AI91" i="9" s="1"/>
  <c r="AI575" i="1"/>
  <c r="AI578" i="1" s="1"/>
  <c r="AI142" i="1"/>
  <c r="AI94" i="9" s="1"/>
  <c r="AI218" i="1"/>
  <c r="AI225" i="1" s="1"/>
  <c r="W577" i="1"/>
  <c r="V151" i="9"/>
  <c r="Q68" i="9"/>
  <c r="N665" i="1"/>
  <c r="AG78" i="1"/>
  <c r="AS43" i="9"/>
  <c r="AS42" i="1"/>
  <c r="AS47" i="9" s="1"/>
  <c r="AU40" i="9"/>
  <c r="AU39" i="1"/>
  <c r="AY35" i="1"/>
  <c r="AN28" i="9"/>
  <c r="AN76" i="1"/>
  <c r="AN73" i="1"/>
  <c r="AN74" i="1"/>
  <c r="AN71" i="1"/>
  <c r="AN13" i="1"/>
  <c r="AN20" i="9" s="1"/>
  <c r="AN75" i="1"/>
  <c r="AN72" i="1"/>
  <c r="K665" i="1"/>
  <c r="AC92" i="9"/>
  <c r="BA91" i="9"/>
  <c r="K91" i="9"/>
  <c r="AC90" i="9"/>
  <c r="K89" i="9"/>
  <c r="BL68" i="9"/>
  <c r="BE151" i="9"/>
  <c r="AZ68" i="9"/>
  <c r="AG151" i="9"/>
  <c r="AB68" i="9"/>
  <c r="P578" i="1"/>
  <c r="AX43" i="9"/>
  <c r="AX42" i="1"/>
  <c r="AX47" i="9" s="1"/>
  <c r="AM42" i="9"/>
  <c r="AM41" i="1"/>
  <c r="AM46" i="9" s="1"/>
  <c r="BE28" i="9"/>
  <c r="BE13" i="1"/>
  <c r="BE20" i="9" s="1"/>
  <c r="AI659" i="1"/>
  <c r="BE336" i="1"/>
  <c r="BE329" i="1"/>
  <c r="AH92" i="9"/>
  <c r="BL91" i="9"/>
  <c r="V91" i="9"/>
  <c r="AZ90" i="9"/>
  <c r="AT89" i="9"/>
  <c r="BJ151" i="9"/>
  <c r="BE68" i="9"/>
  <c r="AX151" i="9"/>
  <c r="AS68" i="9"/>
  <c r="AF151" i="9"/>
  <c r="AA68" i="9"/>
  <c r="BJ246" i="1"/>
  <c r="AV84" i="9"/>
  <c r="AV144" i="1"/>
  <c r="AV96" i="9" s="1"/>
  <c r="AP246" i="1"/>
  <c r="AX91" i="9"/>
  <c r="AJ40" i="9"/>
  <c r="AJ39" i="1"/>
  <c r="BL42" i="9"/>
  <c r="BQ37" i="1"/>
  <c r="BQ42" i="9" s="1"/>
  <c r="BL41" i="1"/>
  <c r="BL46" i="9" s="1"/>
  <c r="AP40" i="9"/>
  <c r="AT35" i="1"/>
  <c r="AP39" i="1"/>
  <c r="AQ78" i="1"/>
  <c r="BF39" i="1"/>
  <c r="BA661" i="1"/>
  <c r="BA246" i="1"/>
  <c r="T246" i="1"/>
  <c r="Z83" i="9"/>
  <c r="Z152" i="9" s="1"/>
  <c r="Z405" i="1"/>
  <c r="Z150" i="1"/>
  <c r="AM44" i="9"/>
  <c r="AM43" i="1"/>
  <c r="AM48" i="9" s="1"/>
  <c r="G78" i="1"/>
  <c r="BL28" i="9"/>
  <c r="BL13" i="1"/>
  <c r="BL20" i="9" s="1"/>
  <c r="AS28" i="9"/>
  <c r="AS76" i="1"/>
  <c r="AS73" i="1"/>
  <c r="AS77" i="1"/>
  <c r="AS74" i="1"/>
  <c r="AS71" i="1"/>
  <c r="AS13" i="1"/>
  <c r="AS20" i="9" s="1"/>
  <c r="AS75" i="1"/>
  <c r="AS72" i="1"/>
  <c r="BK44" i="9"/>
  <c r="BK43" i="1"/>
  <c r="BK48" i="9" s="1"/>
  <c r="Z84" i="9"/>
  <c r="Z144" i="1"/>
  <c r="Z96" i="9" s="1"/>
  <c r="V405" i="1"/>
  <c r="M405" i="1"/>
  <c r="AF184" i="1"/>
  <c r="AF191" i="1" s="1"/>
  <c r="AF232" i="1" s="1"/>
  <c r="AI140" i="1"/>
  <c r="AI134" i="1"/>
  <c r="AI135" i="1" s="1"/>
  <c r="BF84" i="9"/>
  <c r="BF144" i="1"/>
  <c r="BF96" i="9" s="1"/>
  <c r="AL84" i="9"/>
  <c r="AL144" i="1"/>
  <c r="AL96" i="9" s="1"/>
  <c r="F84" i="9"/>
  <c r="F144" i="1"/>
  <c r="F96" i="9" s="1"/>
  <c r="U167" i="9"/>
  <c r="U125" i="9"/>
  <c r="U98" i="9"/>
  <c r="X167" i="9"/>
  <c r="X125" i="9"/>
  <c r="X98" i="9"/>
  <c r="L167" i="9"/>
  <c r="Q152" i="9"/>
  <c r="L125" i="9"/>
  <c r="L122" i="9" s="1"/>
  <c r="L98" i="9"/>
  <c r="Y140" i="1"/>
  <c r="Y134" i="1"/>
  <c r="Y135" i="1" s="1"/>
  <c r="AX41" i="1"/>
  <c r="AX46" i="9" s="1"/>
  <c r="D756" i="1"/>
  <c r="D749" i="1"/>
  <c r="D742" i="1"/>
  <c r="BI254" i="1"/>
  <c r="S254" i="1"/>
  <c r="BL246" i="1"/>
  <c r="AR84" i="9"/>
  <c r="AR144" i="1"/>
  <c r="AR96" i="9" s="1"/>
  <c r="K84" i="9"/>
  <c r="K144" i="1"/>
  <c r="K96" i="9" s="1"/>
  <c r="E661" i="1"/>
  <c r="E246" i="1"/>
  <c r="W405" i="1"/>
  <c r="BB665" i="1"/>
  <c r="E656" i="1"/>
  <c r="AR44" i="9"/>
  <c r="AR43" i="1"/>
  <c r="AR48" i="9" s="1"/>
  <c r="BR38" i="9"/>
  <c r="AL78" i="1"/>
  <c r="AD28" i="9"/>
  <c r="AD77" i="1"/>
  <c r="AD74" i="1"/>
  <c r="AD71" i="1"/>
  <c r="AD13" i="1"/>
  <c r="AD20" i="9" s="1"/>
  <c r="AD75" i="1"/>
  <c r="AD72" i="1"/>
  <c r="AD76" i="1"/>
  <c r="AD73" i="1"/>
  <c r="AQ84" i="9"/>
  <c r="AQ144" i="1"/>
  <c r="AQ96" i="9" s="1"/>
  <c r="P231" i="1"/>
  <c r="P149" i="1" s="1"/>
  <c r="P97" i="9" s="1"/>
  <c r="D84" i="9"/>
  <c r="D144" i="1"/>
  <c r="D96" i="9" s="1"/>
  <c r="AI147" i="1"/>
  <c r="BK83" i="9"/>
  <c r="BK405" i="1"/>
  <c r="BK150" i="1"/>
  <c r="AC83" i="9"/>
  <c r="AC405" i="1"/>
  <c r="AC150" i="1"/>
  <c r="AR41" i="1"/>
  <c r="AR46" i="9" s="1"/>
  <c r="AZ43" i="9"/>
  <c r="AZ42" i="1"/>
  <c r="AZ47" i="9" s="1"/>
  <c r="AY147" i="9"/>
  <c r="BG527" i="1"/>
  <c r="BG564" i="1" s="1"/>
  <c r="BG364" i="1"/>
  <c r="BF527" i="1"/>
  <c r="BF564" i="1" s="1"/>
  <c r="BF364" i="1"/>
  <c r="AT139" i="9"/>
  <c r="AT124" i="9"/>
  <c r="AT407" i="1"/>
  <c r="AT406" i="1"/>
  <c r="BE132" i="9"/>
  <c r="AV146" i="9"/>
  <c r="AD131" i="9"/>
  <c r="AD650" i="1"/>
  <c r="AD652" i="1" s="1"/>
  <c r="E147" i="9"/>
  <c r="E148" i="9" s="1"/>
  <c r="AE595" i="1"/>
  <c r="AE584" i="1"/>
  <c r="AQ527" i="1"/>
  <c r="AQ564" i="1" s="1"/>
  <c r="AQ364" i="1"/>
  <c r="Z147" i="9"/>
  <c r="Z148" i="9" s="1"/>
  <c r="R527" i="1"/>
  <c r="R564" i="1" s="1"/>
  <c r="R364" i="1"/>
  <c r="AX136" i="9"/>
  <c r="AX137" i="9" s="1"/>
  <c r="AX662" i="1"/>
  <c r="AC527" i="1"/>
  <c r="AC564" i="1" s="1"/>
  <c r="AC364" i="1"/>
  <c r="BN545" i="1"/>
  <c r="BN372" i="1"/>
  <c r="AB527" i="1"/>
  <c r="AB564" i="1" s="1"/>
  <c r="AB364" i="1"/>
  <c r="AA590" i="1"/>
  <c r="BL146" i="9"/>
  <c r="T146" i="9"/>
  <c r="U137" i="9"/>
  <c r="S137" i="9"/>
  <c r="F137" i="9"/>
  <c r="AN137" i="9"/>
  <c r="BI660" i="1"/>
  <c r="O527" i="1"/>
  <c r="O364" i="1"/>
  <c r="AO139" i="9"/>
  <c r="AO140" i="9" s="1"/>
  <c r="AO141" i="9" s="1"/>
  <c r="AO124" i="9"/>
  <c r="AO407" i="1"/>
  <c r="AO406" i="1"/>
  <c r="E139" i="9"/>
  <c r="E124" i="9"/>
  <c r="E406" i="1"/>
  <c r="E407" i="1"/>
  <c r="BF139" i="9"/>
  <c r="BF124" i="9"/>
  <c r="V139" i="9"/>
  <c r="V124" i="9"/>
  <c r="BK139" i="9"/>
  <c r="BK124" i="9"/>
  <c r="AA139" i="9"/>
  <c r="AA124" i="9"/>
  <c r="BF662" i="1"/>
  <c r="AB137" i="9"/>
  <c r="AR139" i="9"/>
  <c r="AR124" i="9"/>
  <c r="H139" i="9"/>
  <c r="AN146" i="9"/>
  <c r="AH137" i="9"/>
  <c r="O137" i="9"/>
  <c r="BC139" i="9"/>
  <c r="BC124" i="9"/>
  <c r="S139" i="9"/>
  <c r="S124" i="9"/>
  <c r="BJ564" i="1"/>
  <c r="C571" i="1"/>
  <c r="AX495" i="1"/>
  <c r="I498" i="1"/>
  <c r="X139" i="9"/>
  <c r="X124" i="9"/>
  <c r="X122" i="9"/>
  <c r="AF115" i="9"/>
  <c r="AF105" i="9"/>
  <c r="AD124" i="9"/>
  <c r="AY143" i="9"/>
  <c r="AY144" i="9" s="1"/>
  <c r="AY231" i="1"/>
  <c r="AY149" i="1" s="1"/>
  <c r="AY97" i="9" s="1"/>
  <c r="AY143" i="1"/>
  <c r="AY238" i="1"/>
  <c r="AY226" i="1"/>
  <c r="O143" i="9"/>
  <c r="O144" i="9" s="1"/>
  <c r="O231" i="1"/>
  <c r="O149" i="1" s="1"/>
  <c r="O97" i="9" s="1"/>
  <c r="O143" i="1"/>
  <c r="O238" i="1"/>
  <c r="O226" i="1"/>
  <c r="BD92" i="9"/>
  <c r="N92" i="9"/>
  <c r="AF91" i="9"/>
  <c r="N90" i="9"/>
  <c r="AK577" i="1"/>
  <c r="X151" i="9"/>
  <c r="S68" i="9"/>
  <c r="L151" i="9"/>
  <c r="G68" i="9"/>
  <c r="W78" i="1"/>
  <c r="BM43" i="9"/>
  <c r="BR38" i="1"/>
  <c r="BR43" i="9" s="1"/>
  <c r="BE39" i="9"/>
  <c r="BE38" i="1"/>
  <c r="BI34" i="1"/>
  <c r="BH28" i="9"/>
  <c r="BH13" i="1"/>
  <c r="BH20" i="9" s="1"/>
  <c r="AK92" i="9"/>
  <c r="G91" i="9"/>
  <c r="S90" i="9"/>
  <c r="AK89" i="9"/>
  <c r="AV578" i="1"/>
  <c r="AC151" i="9"/>
  <c r="X68" i="9"/>
  <c r="K151" i="9"/>
  <c r="F68" i="9"/>
  <c r="AH78" i="1"/>
  <c r="BP39" i="9"/>
  <c r="AI28" i="9"/>
  <c r="AI77" i="1"/>
  <c r="AI74" i="1"/>
  <c r="AI71" i="1"/>
  <c r="AI13" i="1"/>
  <c r="AI20" i="9" s="1"/>
  <c r="AI75" i="1"/>
  <c r="AI72" i="1"/>
  <c r="AI76" i="1"/>
  <c r="AI73" i="1"/>
  <c r="AP92" i="9"/>
  <c r="F92" i="9"/>
  <c r="BB90" i="9"/>
  <c r="R90" i="9"/>
  <c r="F89" i="9"/>
  <c r="BA578" i="1"/>
  <c r="AZ151" i="9"/>
  <c r="AU68" i="9"/>
  <c r="AC575" i="1"/>
  <c r="AC578" i="1" s="1"/>
  <c r="K578" i="1"/>
  <c r="AR665" i="1"/>
  <c r="H665" i="1"/>
  <c r="AA78" i="1"/>
  <c r="AM43" i="9"/>
  <c r="AM42" i="1"/>
  <c r="AM47" i="9" s="1"/>
  <c r="BO39" i="9"/>
  <c r="BS34" i="1"/>
  <c r="BS39" i="9" s="1"/>
  <c r="BI24" i="9"/>
  <c r="BI659" i="1"/>
  <c r="BI9" i="1"/>
  <c r="BI16" i="9" s="1"/>
  <c r="BI22" i="1"/>
  <c r="AX69" i="9"/>
  <c r="AX402" i="1"/>
  <c r="AX403" i="1" s="1"/>
  <c r="W92" i="9"/>
  <c r="AU91" i="9"/>
  <c r="E91" i="9"/>
  <c r="AU89" i="9"/>
  <c r="E89" i="9"/>
  <c r="BF577" i="1"/>
  <c r="AT577" i="1"/>
  <c r="V577" i="1"/>
  <c r="AR43" i="9"/>
  <c r="AR42" i="1"/>
  <c r="AR47" i="9" s="1"/>
  <c r="AY28" i="9"/>
  <c r="AY13" i="1"/>
  <c r="AY20" i="9" s="1"/>
  <c r="D665" i="1"/>
  <c r="AB92" i="9"/>
  <c r="AT90" i="9"/>
  <c r="D90" i="9"/>
  <c r="BK574" i="1"/>
  <c r="AY577" i="1"/>
  <c r="AM574" i="1"/>
  <c r="AM577" i="1" s="1"/>
  <c r="U577" i="1"/>
  <c r="T151" i="9"/>
  <c r="O68" i="9"/>
  <c r="C166" i="9"/>
  <c r="C71" i="9"/>
  <c r="BB84" i="9"/>
  <c r="BB144" i="1"/>
  <c r="BB96" i="9" s="1"/>
  <c r="AV246" i="1"/>
  <c r="BA83" i="9"/>
  <c r="BA405" i="1"/>
  <c r="BA150" i="1"/>
  <c r="AN83" i="9"/>
  <c r="AN405" i="1"/>
  <c r="AN150" i="1"/>
  <c r="O78" i="1"/>
  <c r="BJ13" i="1"/>
  <c r="BJ20" i="9" s="1"/>
  <c r="BI84" i="9"/>
  <c r="BI144" i="1"/>
  <c r="BI96" i="9" s="1"/>
  <c r="H84" i="9"/>
  <c r="H144" i="1"/>
  <c r="H96" i="9" s="1"/>
  <c r="BG83" i="9"/>
  <c r="BG405" i="1"/>
  <c r="BG150" i="1"/>
  <c r="N656" i="1"/>
  <c r="AS151" i="9"/>
  <c r="AN68" i="9"/>
  <c r="BA42" i="9"/>
  <c r="BA41" i="1"/>
  <c r="BA46" i="9" s="1"/>
  <c r="J28" i="9"/>
  <c r="J76" i="1"/>
  <c r="J73" i="1"/>
  <c r="J74" i="1"/>
  <c r="J71" i="1"/>
  <c r="J75" i="1"/>
  <c r="J72" i="1"/>
  <c r="AZ42" i="9"/>
  <c r="AZ41" i="1"/>
  <c r="AZ46" i="9" s="1"/>
  <c r="AT84" i="9"/>
  <c r="AT144" i="1"/>
  <c r="AT96" i="9" s="1"/>
  <c r="AF84" i="9"/>
  <c r="AF144" i="1"/>
  <c r="AF96" i="9" s="1"/>
  <c r="M246" i="1"/>
  <c r="V167" i="9"/>
  <c r="V125" i="9"/>
  <c r="V122" i="9" s="1"/>
  <c r="V98" i="9"/>
  <c r="AD152" i="9"/>
  <c r="Y167" i="9"/>
  <c r="Y125" i="9"/>
  <c r="Y122" i="9" s="1"/>
  <c r="M167" i="9"/>
  <c r="R152" i="9"/>
  <c r="M125" i="9"/>
  <c r="M122" i="9" s="1"/>
  <c r="M98" i="9"/>
  <c r="AI92" i="9"/>
  <c r="AI89" i="9"/>
  <c r="BF246" i="1"/>
  <c r="L84" i="9"/>
  <c r="L144" i="1"/>
  <c r="L96" i="9" s="1"/>
  <c r="F661" i="1"/>
  <c r="F246" i="1"/>
  <c r="AW83" i="9"/>
  <c r="AW405" i="1"/>
  <c r="AW150" i="1"/>
  <c r="F656" i="1"/>
  <c r="AN43" i="9"/>
  <c r="AN42" i="1"/>
  <c r="AN47" i="9" s="1"/>
  <c r="AF78" i="1"/>
  <c r="M254" i="1"/>
  <c r="Q84" i="9"/>
  <c r="Q144" i="1"/>
  <c r="Q96" i="9" s="1"/>
  <c r="K661" i="1"/>
  <c r="K246" i="1"/>
  <c r="W167" i="9"/>
  <c r="W125" i="9"/>
  <c r="W122" i="9" s="1"/>
  <c r="W98" i="9"/>
  <c r="AI148" i="1"/>
  <c r="AU665" i="1"/>
  <c r="BH141" i="1"/>
  <c r="BH93" i="9" s="1"/>
  <c r="BH139" i="1"/>
  <c r="BF42" i="9"/>
  <c r="BF41" i="1"/>
  <c r="BF46" i="9" s="1"/>
  <c r="AK39" i="9"/>
  <c r="AK38" i="1"/>
  <c r="AO34" i="1"/>
  <c r="BA28" i="9"/>
  <c r="BA13" i="1"/>
  <c r="BA20" i="9" s="1"/>
  <c r="AW84" i="9"/>
  <c r="AW144" i="1"/>
  <c r="AW96" i="9" s="1"/>
  <c r="P84" i="9"/>
  <c r="P144" i="1"/>
  <c r="P96" i="9" s="1"/>
  <c r="D246" i="1"/>
  <c r="BI665" i="1"/>
  <c r="AU656" i="1"/>
  <c r="AN77" i="1"/>
  <c r="BG28" i="9"/>
  <c r="BG13" i="1"/>
  <c r="BG20" i="9" s="1"/>
  <c r="BD24" i="9"/>
  <c r="BD659" i="1"/>
  <c r="BD9" i="1"/>
  <c r="BD16" i="9" s="1"/>
  <c r="BD22" i="1"/>
  <c r="BC13" i="1"/>
  <c r="BC20" i="9" s="1"/>
  <c r="BH136" i="9"/>
  <c r="BH137" i="9" s="1"/>
  <c r="BH652" i="1"/>
  <c r="BH662" i="1"/>
  <c r="AA584" i="1"/>
  <c r="AO671" i="1"/>
  <c r="AK527" i="1"/>
  <c r="AK364" i="1"/>
  <c r="BB527" i="1"/>
  <c r="BB564" i="1" s="1"/>
  <c r="BB364" i="1"/>
  <c r="P671" i="1"/>
  <c r="L527" i="1"/>
  <c r="L364" i="1"/>
  <c r="AQ147" i="9"/>
  <c r="AE147" i="9"/>
  <c r="AE148" i="9" s="1"/>
  <c r="T136" i="9"/>
  <c r="T137" i="9" s="1"/>
  <c r="T662" i="1"/>
  <c r="T652" i="1"/>
  <c r="AJ584" i="1"/>
  <c r="AJ595" i="1"/>
  <c r="W527" i="1"/>
  <c r="W564" i="1" s="1"/>
  <c r="W364" i="1"/>
  <c r="BN378" i="1"/>
  <c r="BN110" i="9" s="1"/>
  <c r="BL527" i="1"/>
  <c r="BL564" i="1" s="1"/>
  <c r="BL364" i="1"/>
  <c r="Z671" i="1"/>
  <c r="V527" i="1"/>
  <c r="V364" i="1"/>
  <c r="AU132" i="9"/>
  <c r="AX145" i="9"/>
  <c r="AX146" i="9" s="1"/>
  <c r="AX639" i="1"/>
  <c r="AX650" i="1" s="1"/>
  <c r="AX652" i="1" s="1"/>
  <c r="BQ613" i="1"/>
  <c r="AV147" i="9"/>
  <c r="M147" i="9"/>
  <c r="BJ584" i="1"/>
  <c r="AJ590" i="1"/>
  <c r="AJ596" i="1"/>
  <c r="AJ594" i="1"/>
  <c r="H660" i="1"/>
  <c r="AI139" i="9"/>
  <c r="AI140" i="9" s="1"/>
  <c r="AI124" i="9"/>
  <c r="BM8" i="9"/>
  <c r="BM658" i="1"/>
  <c r="BM392" i="1"/>
  <c r="BM624" i="1" s="1"/>
  <c r="P137" i="9"/>
  <c r="AN527" i="1"/>
  <c r="AN564" i="1" s="1"/>
  <c r="AN364" i="1"/>
  <c r="AZ139" i="9"/>
  <c r="AZ124" i="9"/>
  <c r="P139" i="9"/>
  <c r="P140" i="9" s="1"/>
  <c r="P141" i="9" s="1"/>
  <c r="P124" i="9"/>
  <c r="P407" i="1"/>
  <c r="P406" i="1"/>
  <c r="V662" i="1"/>
  <c r="BE139" i="9"/>
  <c r="BE140" i="9" s="1"/>
  <c r="BE141" i="9" s="1"/>
  <c r="BE124" i="9"/>
  <c r="U139" i="9"/>
  <c r="U122" i="9"/>
  <c r="U124" i="9"/>
  <c r="U407" i="1"/>
  <c r="U406" i="1"/>
  <c r="K671" i="1"/>
  <c r="AL139" i="9"/>
  <c r="AL124" i="9"/>
  <c r="AS495" i="1"/>
  <c r="AS498" i="1" s="1"/>
  <c r="AS600" i="1"/>
  <c r="AW139" i="9"/>
  <c r="AW124" i="9"/>
  <c r="M139" i="9"/>
  <c r="M124" i="9"/>
  <c r="BI671" i="1"/>
  <c r="R124" i="9"/>
  <c r="R139" i="9"/>
  <c r="AA385" i="1"/>
  <c r="AA386" i="1" s="1"/>
  <c r="AA387" i="1" s="1"/>
  <c r="AA388" i="1" s="1"/>
  <c r="AA368" i="1"/>
  <c r="AR385" i="1"/>
  <c r="AR386" i="1" s="1"/>
  <c r="AR387" i="1" s="1"/>
  <c r="AR388" i="1" s="1"/>
  <c r="AR368" i="1"/>
  <c r="AD140" i="9"/>
  <c r="AS143" i="9"/>
  <c r="AS144" i="9" s="1"/>
  <c r="AS231" i="1"/>
  <c r="AS149" i="1" s="1"/>
  <c r="AS97" i="9" s="1"/>
  <c r="AS143" i="1"/>
  <c r="AS238" i="1"/>
  <c r="AS226" i="1"/>
  <c r="I143" i="9"/>
  <c r="I231" i="1"/>
  <c r="I149" i="1" s="1"/>
  <c r="I97" i="9" s="1"/>
  <c r="I143" i="1"/>
  <c r="I238" i="1"/>
  <c r="I226" i="1"/>
  <c r="BI151" i="9"/>
  <c r="BD68" i="9"/>
  <c r="AW151" i="9"/>
  <c r="AR68" i="9"/>
  <c r="AE151" i="9"/>
  <c r="Z68" i="9"/>
  <c r="T280" i="1"/>
  <c r="T281" i="1"/>
  <c r="AR92" i="9"/>
  <c r="Z91" i="9"/>
  <c r="AR90" i="9"/>
  <c r="Z89" i="9"/>
  <c r="BB151" i="9"/>
  <c r="AW68" i="9"/>
  <c r="AK578" i="1"/>
  <c r="AJ151" i="9"/>
  <c r="AE68" i="9"/>
  <c r="AX180" i="1"/>
  <c r="AX184" i="1" s="1"/>
  <c r="AX191" i="1" s="1"/>
  <c r="AX232" i="1" s="1"/>
  <c r="AX175" i="1"/>
  <c r="BH42" i="9"/>
  <c r="BM37" i="1"/>
  <c r="BH41" i="1"/>
  <c r="BH46" i="9" s="1"/>
  <c r="BB28" i="9"/>
  <c r="BB13" i="1"/>
  <c r="BB20" i="9" s="1"/>
  <c r="AE92" i="9"/>
  <c r="AQ91" i="9"/>
  <c r="M90" i="9"/>
  <c r="AE89" i="9"/>
  <c r="AV577" i="1"/>
  <c r="AU151" i="9"/>
  <c r="AP68" i="9"/>
  <c r="AD577" i="1"/>
  <c r="R578" i="1"/>
  <c r="AS44" i="9"/>
  <c r="AS43" i="1"/>
  <c r="AS48" i="9" s="1"/>
  <c r="BJ39" i="9"/>
  <c r="BJ38" i="1"/>
  <c r="BN34" i="1"/>
  <c r="BN39" i="9" s="1"/>
  <c r="BM27" i="9"/>
  <c r="BN21" i="1"/>
  <c r="BR21" i="1"/>
  <c r="AJ92" i="9"/>
  <c r="X91" i="9"/>
  <c r="AJ89" i="9"/>
  <c r="BA577" i="1"/>
  <c r="AO578" i="1"/>
  <c r="AB151" i="9"/>
  <c r="W68" i="9"/>
  <c r="E166" i="9"/>
  <c r="E71" i="9"/>
  <c r="AL665" i="1"/>
  <c r="U78" i="1"/>
  <c r="BO38" i="9"/>
  <c r="BS33" i="1"/>
  <c r="BS38" i="9" s="1"/>
  <c r="AR336" i="1"/>
  <c r="AR329" i="1"/>
  <c r="BJ292" i="1"/>
  <c r="BK288" i="1"/>
  <c r="BK292" i="1" s="1"/>
  <c r="BG92" i="9"/>
  <c r="Q92" i="9"/>
  <c r="AO91" i="9"/>
  <c r="BG90" i="9"/>
  <c r="Q90" i="9"/>
  <c r="AO89" i="9"/>
  <c r="BF578" i="1"/>
  <c r="AT578" i="1"/>
  <c r="AM151" i="9"/>
  <c r="AH68" i="9"/>
  <c r="V578" i="1"/>
  <c r="U151" i="9"/>
  <c r="P68" i="9"/>
  <c r="D166" i="9"/>
  <c r="D71" i="9"/>
  <c r="AI175" i="1"/>
  <c r="AI180" i="1"/>
  <c r="AI184" i="1" s="1"/>
  <c r="AI191" i="1" s="1"/>
  <c r="AI232" i="1" s="1"/>
  <c r="AL43" i="9"/>
  <c r="AL42" i="1"/>
  <c r="AL47" i="9" s="1"/>
  <c r="BH659" i="1"/>
  <c r="AQ336" i="1"/>
  <c r="AQ329" i="1"/>
  <c r="BL92" i="9"/>
  <c r="V92" i="9"/>
  <c r="AZ91" i="9"/>
  <c r="AH90" i="9"/>
  <c r="J143" i="9"/>
  <c r="J238" i="1"/>
  <c r="J226" i="1"/>
  <c r="J231" i="1"/>
  <c r="J149" i="1" s="1"/>
  <c r="J97" i="9" s="1"/>
  <c r="J143" i="1"/>
  <c r="AB89" i="9"/>
  <c r="AY578" i="1"/>
  <c r="AM575" i="1"/>
  <c r="AM578" i="1" s="1"/>
  <c r="AL151" i="9"/>
  <c r="AG68" i="9"/>
  <c r="U578" i="1"/>
  <c r="BB246" i="1"/>
  <c r="J167" i="9"/>
  <c r="O152" i="9"/>
  <c r="J125" i="9"/>
  <c r="J122" i="9" s="1"/>
  <c r="J98" i="9"/>
  <c r="BE184" i="1"/>
  <c r="BE191" i="1" s="1"/>
  <c r="BE232" i="1" s="1"/>
  <c r="AB83" i="9"/>
  <c r="AB405" i="1"/>
  <c r="AB150" i="1"/>
  <c r="AX92" i="9"/>
  <c r="AX89" i="9"/>
  <c r="BG43" i="9"/>
  <c r="BG42" i="1"/>
  <c r="BG47" i="9" s="1"/>
  <c r="AU42" i="9"/>
  <c r="AU41" i="1"/>
  <c r="AU46" i="9" s="1"/>
  <c r="BQ32" i="9"/>
  <c r="BQ31" i="1"/>
  <c r="BQ36" i="9" s="1"/>
  <c r="BQ35" i="1"/>
  <c r="BQ40" i="9" s="1"/>
  <c r="H78" i="1"/>
  <c r="N84" i="9"/>
  <c r="N144" i="1"/>
  <c r="N96" i="9" s="1"/>
  <c r="T167" i="9"/>
  <c r="Y152" i="9"/>
  <c r="T125" i="9"/>
  <c r="T122" i="9" s="1"/>
  <c r="T98" i="9"/>
  <c r="G167" i="9"/>
  <c r="L152" i="9"/>
  <c r="G98" i="9"/>
  <c r="BF43" i="9"/>
  <c r="BF42" i="1"/>
  <c r="BF47" i="9" s="1"/>
  <c r="BL39" i="1"/>
  <c r="AZ84" i="9"/>
  <c r="AZ144" i="1"/>
  <c r="AZ96" i="9" s="1"/>
  <c r="AT253" i="1"/>
  <c r="AT242" i="1"/>
  <c r="AF144" i="9"/>
  <c r="S661" i="1"/>
  <c r="S246" i="1"/>
  <c r="BD665" i="1"/>
  <c r="AL83" i="9"/>
  <c r="AL405" i="1"/>
  <c r="AL150" i="1"/>
  <c r="AI138" i="1"/>
  <c r="AI666" i="1" s="1"/>
  <c r="AI177" i="1"/>
  <c r="AL44" i="9"/>
  <c r="AL43" i="1"/>
  <c r="AL48" i="9" s="1"/>
  <c r="BC39" i="1"/>
  <c r="AE661" i="1"/>
  <c r="AE246" i="1"/>
  <c r="R84" i="9"/>
  <c r="R144" i="1"/>
  <c r="R96" i="9" s="1"/>
  <c r="L246" i="1"/>
  <c r="R405" i="1"/>
  <c r="BL83" i="9"/>
  <c r="BL405" i="1"/>
  <c r="BL150" i="1"/>
  <c r="Y142" i="1"/>
  <c r="Y94" i="9" s="1"/>
  <c r="BL43" i="9"/>
  <c r="BQ38" i="1"/>
  <c r="BQ43" i="9" s="1"/>
  <c r="BL42" i="1"/>
  <c r="BL47" i="9" s="1"/>
  <c r="Y78" i="1"/>
  <c r="G254" i="1"/>
  <c r="AX143" i="9"/>
  <c r="AX144" i="9" s="1"/>
  <c r="AX226" i="1"/>
  <c r="AX231" i="1"/>
  <c r="AX149" i="1" s="1"/>
  <c r="AX97" i="9" s="1"/>
  <c r="AX143" i="1"/>
  <c r="AX95" i="9" s="1"/>
  <c r="AX238" i="1"/>
  <c r="AK254" i="1"/>
  <c r="AK242" i="1"/>
  <c r="W84" i="9"/>
  <c r="W144" i="1"/>
  <c r="W96" i="9" s="1"/>
  <c r="AG83" i="9"/>
  <c r="AG405" i="1"/>
  <c r="AG150" i="1"/>
  <c r="BA39" i="1"/>
  <c r="BD84" i="9"/>
  <c r="BD144" i="1"/>
  <c r="BD96" i="9" s="1"/>
  <c r="V84" i="9"/>
  <c r="V144" i="1"/>
  <c r="V96" i="9" s="1"/>
  <c r="P661" i="1"/>
  <c r="P246" i="1"/>
  <c r="AE665" i="1"/>
  <c r="BA665" i="1"/>
  <c r="BB83" i="9"/>
  <c r="BB405" i="1"/>
  <c r="BB150" i="1"/>
  <c r="P656" i="1"/>
  <c r="D656" i="1"/>
  <c r="BC90" i="9"/>
  <c r="BC143" i="9"/>
  <c r="BC144" i="9" s="1"/>
  <c r="BC226" i="1"/>
  <c r="BC231" i="1"/>
  <c r="BC149" i="1" s="1"/>
  <c r="BC97" i="9" s="1"/>
  <c r="BC143" i="1"/>
  <c r="BC95" i="9" s="1"/>
  <c r="BC238" i="1"/>
  <c r="AG44" i="9"/>
  <c r="AG43" i="1"/>
  <c r="AG48" i="9" s="1"/>
  <c r="BE38" i="9"/>
  <c r="BI33" i="1"/>
  <c r="BE37" i="1"/>
  <c r="BG39" i="1"/>
  <c r="T89" i="9"/>
  <c r="BI578" i="1"/>
  <c r="AQ577" i="1"/>
  <c r="Y61" i="9"/>
  <c r="Y91" i="9" s="1"/>
  <c r="Y575" i="1"/>
  <c r="Y578" i="1" s="1"/>
  <c r="Y574" i="1"/>
  <c r="Y577" i="1" s="1"/>
  <c r="Y659" i="1"/>
  <c r="Y218" i="1"/>
  <c r="Y225" i="1" s="1"/>
  <c r="Y147" i="1"/>
  <c r="BB42" i="9"/>
  <c r="BB41" i="1"/>
  <c r="BB46" i="9" s="1"/>
  <c r="S92" i="9"/>
  <c r="AW90" i="9"/>
  <c r="G90" i="9"/>
  <c r="S89" i="9"/>
  <c r="BH61" i="9"/>
  <c r="BH90" i="9" s="1"/>
  <c r="BH574" i="1"/>
  <c r="BH575" i="1"/>
  <c r="BH142" i="1"/>
  <c r="BH94" i="9" s="1"/>
  <c r="BH218" i="1"/>
  <c r="BH225" i="1" s="1"/>
  <c r="BH147" i="1"/>
  <c r="AJ578" i="1"/>
  <c r="AI151" i="9"/>
  <c r="AD68" i="9"/>
  <c r="R577" i="1"/>
  <c r="Q151" i="9"/>
  <c r="L68" i="9"/>
  <c r="BC177" i="1"/>
  <c r="V78" i="1"/>
  <c r="BP38" i="9"/>
  <c r="U72" i="9"/>
  <c r="U253" i="1"/>
  <c r="AD92" i="9"/>
  <c r="BB91" i="9"/>
  <c r="R91" i="9"/>
  <c r="AP90" i="9"/>
  <c r="F90" i="9"/>
  <c r="AD89" i="9"/>
  <c r="BF151" i="9"/>
  <c r="BA68" i="9"/>
  <c r="AO577" i="1"/>
  <c r="AC574" i="1"/>
  <c r="AC577" i="1" s="1"/>
  <c r="Q578" i="1"/>
  <c r="K577" i="1"/>
  <c r="BH148" i="1"/>
  <c r="AF665" i="1"/>
  <c r="I78" i="1"/>
  <c r="AK38" i="9"/>
  <c r="AK37" i="1"/>
  <c r="AO33" i="1"/>
  <c r="BJ403" i="1"/>
  <c r="BA92" i="9"/>
  <c r="K92" i="9"/>
  <c r="AC91" i="9"/>
  <c r="BA90" i="9"/>
  <c r="BK151" i="9"/>
  <c r="BF68" i="9"/>
  <c r="AB574" i="1"/>
  <c r="AB577" i="1" s="1"/>
  <c r="J166" i="9"/>
  <c r="J71" i="9"/>
  <c r="AW44" i="9"/>
  <c r="AW43" i="1"/>
  <c r="AW48" i="9" s="1"/>
  <c r="BK42" i="9"/>
  <c r="BK41" i="1"/>
  <c r="BK46" i="9" s="1"/>
  <c r="BP37" i="1"/>
  <c r="BP42" i="9" s="1"/>
  <c r="BF92" i="9"/>
  <c r="P92" i="9"/>
  <c r="D91" i="9"/>
  <c r="AB90" i="9"/>
  <c r="BL89" i="9"/>
  <c r="BK68" i="9"/>
  <c r="BD151" i="9"/>
  <c r="AY68" i="9"/>
  <c r="AA574" i="1"/>
  <c r="AA577" i="1" s="1"/>
  <c r="N151" i="9"/>
  <c r="I68" i="9"/>
  <c r="BJ84" i="9"/>
  <c r="BJ144" i="1"/>
  <c r="BJ96" i="9" s="1"/>
  <c r="BB144" i="9"/>
  <c r="AB84" i="9"/>
  <c r="AB144" i="1"/>
  <c r="AB96" i="9" s="1"/>
  <c r="AX44" i="9"/>
  <c r="AX43" i="1"/>
  <c r="AX48" i="9" s="1"/>
  <c r="BQ38" i="9"/>
  <c r="BQ16" i="1"/>
  <c r="BF28" i="9"/>
  <c r="BF13" i="1"/>
  <c r="BF20" i="9" s="1"/>
  <c r="AO84" i="9"/>
  <c r="AO144" i="1"/>
  <c r="AO96" i="9" s="1"/>
  <c r="T84" i="9"/>
  <c r="T144" i="1"/>
  <c r="T96" i="9" s="1"/>
  <c r="BJ665" i="1"/>
  <c r="BD42" i="9"/>
  <c r="BD41" i="1"/>
  <c r="BD46" i="9" s="1"/>
  <c r="AK40" i="9"/>
  <c r="AO35" i="1"/>
  <c r="AK39" i="1"/>
  <c r="BG84" i="9"/>
  <c r="BG144" i="1"/>
  <c r="BG96" i="9" s="1"/>
  <c r="AZ246" i="1"/>
  <c r="Z246" i="1"/>
  <c r="G84" i="9"/>
  <c r="G144" i="1"/>
  <c r="G96" i="9" s="1"/>
  <c r="S405" i="1"/>
  <c r="AS83" i="9"/>
  <c r="AS405" i="1"/>
  <c r="AS150" i="1"/>
  <c r="AI90" i="9"/>
  <c r="T28" i="9"/>
  <c r="T75" i="1"/>
  <c r="T72" i="1"/>
  <c r="T76" i="1"/>
  <c r="T73" i="1"/>
  <c r="T74" i="1"/>
  <c r="T71" i="1"/>
  <c r="T13" i="1"/>
  <c r="T20" i="9" s="1"/>
  <c r="Y13" i="1"/>
  <c r="Y20" i="9" s="1"/>
  <c r="AL246" i="1"/>
  <c r="X84" i="9"/>
  <c r="X144" i="1"/>
  <c r="X96" i="9" s="1"/>
  <c r="R246" i="1"/>
  <c r="C167" i="9"/>
  <c r="C125" i="9"/>
  <c r="C122" i="9" s="1"/>
  <c r="C98" i="9"/>
  <c r="R167" i="9"/>
  <c r="W152" i="9"/>
  <c r="R125" i="9"/>
  <c r="R122" i="9" s="1"/>
  <c r="R98" i="9"/>
  <c r="AM83" i="9"/>
  <c r="AM405" i="1"/>
  <c r="AM150" i="1"/>
  <c r="AK184" i="1"/>
  <c r="AK191" i="1" s="1"/>
  <c r="AK232" i="1" s="1"/>
  <c r="AO180" i="1"/>
  <c r="AO184" i="1" s="1"/>
  <c r="AO191" i="1" s="1"/>
  <c r="BG42" i="9"/>
  <c r="BG41" i="1"/>
  <c r="BG46" i="9" s="1"/>
  <c r="AR246" i="1"/>
  <c r="AD84" i="9"/>
  <c r="AD144" i="1"/>
  <c r="AD96" i="9" s="1"/>
  <c r="P405" i="1"/>
  <c r="Q405" i="1"/>
  <c r="AP184" i="1"/>
  <c r="AP191" i="1" s="1"/>
  <c r="AP232" i="1" s="1"/>
  <c r="AT180" i="1"/>
  <c r="AT184" i="1" s="1"/>
  <c r="AT191" i="1" s="1"/>
  <c r="AD199" i="1"/>
  <c r="AE193" i="1"/>
  <c r="AE199" i="1" s="1"/>
  <c r="BH140" i="1"/>
  <c r="BH134" i="1"/>
  <c r="BH135" i="1" s="1"/>
  <c r="AE78" i="1"/>
  <c r="E1" i="9"/>
  <c r="E766" i="1"/>
  <c r="F4" i="1"/>
  <c r="E3" i="1"/>
  <c r="E736" i="1" s="1"/>
  <c r="AQ661" i="1"/>
  <c r="AQ246" i="1"/>
  <c r="AC84" i="9"/>
  <c r="AC144" i="1"/>
  <c r="AC96" i="9" s="1"/>
  <c r="V253" i="1"/>
  <c r="V242" i="1"/>
  <c r="AT665" i="1"/>
  <c r="BB656" i="1"/>
  <c r="BC577" i="1"/>
  <c r="J77" i="1"/>
  <c r="BI35" i="1"/>
  <c r="BI40" i="9" s="1"/>
  <c r="N132" i="9"/>
  <c r="AL146" i="9"/>
  <c r="AL147" i="9" s="1"/>
  <c r="X137" i="9"/>
  <c r="F527" i="1"/>
  <c r="F564" i="1" s="1"/>
  <c r="F364" i="1"/>
  <c r="U671" i="1"/>
  <c r="Q527" i="1"/>
  <c r="Q364" i="1"/>
  <c r="AP137" i="9"/>
  <c r="BN104" i="9"/>
  <c r="BN664" i="1"/>
  <c r="BN599" i="1"/>
  <c r="AN578" i="1"/>
  <c r="O564" i="1"/>
  <c r="J139" i="9"/>
  <c r="J124" i="9"/>
  <c r="O139" i="9"/>
  <c r="O140" i="9" s="1"/>
  <c r="O141" i="9" s="1"/>
  <c r="O122" i="9"/>
  <c r="O124" i="9"/>
  <c r="G139" i="9"/>
  <c r="BH139" i="9"/>
  <c r="BH124" i="9"/>
  <c r="AM143" i="9"/>
  <c r="AM231" i="1"/>
  <c r="AM149" i="1" s="1"/>
  <c r="AM97" i="9" s="1"/>
  <c r="AM143" i="1"/>
  <c r="AM238" i="1"/>
  <c r="AM226" i="1"/>
  <c r="BJ577" i="1"/>
  <c r="BO574" i="1"/>
  <c r="BB132" i="9"/>
  <c r="Y146" i="9"/>
  <c r="Y147" i="9" s="1"/>
  <c r="Q132" i="9"/>
  <c r="R146" i="9"/>
  <c r="R147" i="9" s="1"/>
  <c r="S527" i="1"/>
  <c r="S564" i="1" s="1"/>
  <c r="S364" i="1"/>
  <c r="Q146" i="9"/>
  <c r="AT671" i="1"/>
  <c r="AP527" i="1"/>
  <c r="AP364" i="1"/>
  <c r="AT146" i="9"/>
  <c r="BS589" i="1"/>
  <c r="BQ534" i="1"/>
  <c r="BS534" i="1" s="1"/>
  <c r="BS545" i="1" s="1"/>
  <c r="BA527" i="1"/>
  <c r="BA564" i="1" s="1"/>
  <c r="BA364" i="1"/>
  <c r="K527" i="1"/>
  <c r="K564" i="1" s="1"/>
  <c r="K364" i="1"/>
  <c r="AA137" i="9"/>
  <c r="BD671" i="1"/>
  <c r="AZ527" i="1"/>
  <c r="AZ364" i="1"/>
  <c r="D527" i="1"/>
  <c r="D564" i="1" s="1"/>
  <c r="D364" i="1"/>
  <c r="BS583" i="1"/>
  <c r="AI132" i="9"/>
  <c r="AM137" i="9"/>
  <c r="BJ137" i="9"/>
  <c r="AU137" i="9"/>
  <c r="L137" i="9"/>
  <c r="AI137" i="9"/>
  <c r="J137" i="9"/>
  <c r="BA600" i="1"/>
  <c r="BD600" i="1" s="1"/>
  <c r="BG139" i="9"/>
  <c r="BG124" i="9"/>
  <c r="W139" i="9"/>
  <c r="W140" i="9" s="1"/>
  <c r="W141" i="9" s="1"/>
  <c r="W124" i="9"/>
  <c r="AN139" i="9"/>
  <c r="AN124" i="9"/>
  <c r="D139" i="9"/>
  <c r="D140" i="9" s="1"/>
  <c r="D141" i="9" s="1"/>
  <c r="D407" i="1"/>
  <c r="D406" i="1"/>
  <c r="J146" i="9"/>
  <c r="BE137" i="9"/>
  <c r="V137" i="9"/>
  <c r="BQ545" i="1"/>
  <c r="BS673" i="1" s="1"/>
  <c r="AI527" i="1"/>
  <c r="AJ672" i="1" s="1"/>
  <c r="AI364" i="1"/>
  <c r="AS139" i="9"/>
  <c r="AS140" i="9" s="1"/>
  <c r="AS141" i="9" s="1"/>
  <c r="AS124" i="9"/>
  <c r="I139" i="9"/>
  <c r="AN495" i="1"/>
  <c r="AN498" i="1" s="1"/>
  <c r="BJ139" i="9"/>
  <c r="BJ124" i="9"/>
  <c r="Z139" i="9"/>
  <c r="Z140" i="9" s="1"/>
  <c r="Z141" i="9" s="1"/>
  <c r="Z124" i="9"/>
  <c r="Z407" i="1"/>
  <c r="Z406" i="1"/>
  <c r="BL137" i="9"/>
  <c r="AS137" i="9"/>
  <c r="AO600" i="1"/>
  <c r="BH564" i="1"/>
  <c r="BH660" i="1" s="1"/>
  <c r="Y527" i="1"/>
  <c r="Y564" i="1" s="1"/>
  <c r="Y660" i="1" s="1"/>
  <c r="Y364" i="1"/>
  <c r="AK139" i="9"/>
  <c r="AK140" i="9" s="1"/>
  <c r="AK141" i="9" s="1"/>
  <c r="AK124" i="9"/>
  <c r="Q600" i="1"/>
  <c r="AE671" i="1"/>
  <c r="BE385" i="1"/>
  <c r="BE386" i="1" s="1"/>
  <c r="BE387" i="1" s="1"/>
  <c r="BE388" i="1" s="1"/>
  <c r="BE368" i="1"/>
  <c r="AF385" i="1"/>
  <c r="AF386" i="1" s="1"/>
  <c r="AF387" i="1" s="1"/>
  <c r="AF388" i="1" s="1"/>
  <c r="AF368" i="1"/>
  <c r="BN583" i="1"/>
  <c r="K498" i="1"/>
  <c r="L497" i="1" s="1"/>
  <c r="Y281" i="1"/>
  <c r="AG143" i="9"/>
  <c r="AG144" i="9" s="1"/>
  <c r="AG231" i="1"/>
  <c r="AG149" i="1" s="1"/>
  <c r="AG97" i="9" s="1"/>
  <c r="AG143" i="1"/>
  <c r="AG238" i="1"/>
  <c r="AG226" i="1"/>
  <c r="BO575" i="1"/>
  <c r="BJ578" i="1"/>
  <c r="BC151" i="9"/>
  <c r="AX68" i="9"/>
  <c r="AK151" i="9"/>
  <c r="AF68" i="9"/>
  <c r="AF92" i="9"/>
  <c r="BD91" i="9"/>
  <c r="N91" i="9"/>
  <c r="AF90" i="9"/>
  <c r="BD89" i="9"/>
  <c r="N89" i="9"/>
  <c r="BI68" i="9"/>
  <c r="AQ578" i="1"/>
  <c r="AP151" i="9"/>
  <c r="AK68" i="9"/>
  <c r="S577" i="1"/>
  <c r="AV42" i="9"/>
  <c r="AV41" i="1"/>
  <c r="AV46" i="9" s="1"/>
  <c r="BI92" i="9"/>
  <c r="M92" i="9"/>
  <c r="AE91" i="9"/>
  <c r="AQ90" i="9"/>
  <c r="BI89" i="9"/>
  <c r="M89" i="9"/>
  <c r="BB578" i="1"/>
  <c r="BA151" i="9"/>
  <c r="AV68" i="9"/>
  <c r="AJ577" i="1"/>
  <c r="X578" i="1"/>
  <c r="X92" i="9"/>
  <c r="AV91" i="9"/>
  <c r="L91" i="9"/>
  <c r="AJ90" i="9"/>
  <c r="X89" i="9"/>
  <c r="BG578" i="1"/>
  <c r="AU578" i="1"/>
  <c r="AH151" i="9"/>
  <c r="AC68" i="9"/>
  <c r="P151" i="9"/>
  <c r="K68" i="9"/>
  <c r="BH180" i="1"/>
  <c r="BH184" i="1" s="1"/>
  <c r="BH191" i="1" s="1"/>
  <c r="BH232" i="1" s="1"/>
  <c r="BH175" i="1"/>
  <c r="Z665" i="1"/>
  <c r="BK43" i="9"/>
  <c r="BK42" i="1"/>
  <c r="BK47" i="9" s="1"/>
  <c r="BP38" i="1"/>
  <c r="BP43" i="9" s="1"/>
  <c r="AU92" i="9"/>
  <c r="E92" i="9"/>
  <c r="W91" i="9"/>
  <c r="AU90" i="9"/>
  <c r="E90" i="9"/>
  <c r="W89" i="9"/>
  <c r="BL574" i="1"/>
  <c r="AZ577" i="1"/>
  <c r="AY151" i="9"/>
  <c r="AT68" i="9"/>
  <c r="AB575" i="1"/>
  <c r="AB578" i="1" s="1"/>
  <c r="AA151" i="9"/>
  <c r="V68" i="9"/>
  <c r="AQ44" i="9"/>
  <c r="AQ43" i="1"/>
  <c r="AQ48" i="9" s="1"/>
  <c r="AY42" i="9"/>
  <c r="AZ40" i="9"/>
  <c r="BD35" i="1"/>
  <c r="BD40" i="9" s="1"/>
  <c r="R281" i="1"/>
  <c r="R280" i="1"/>
  <c r="AZ92" i="9"/>
  <c r="AH91" i="9"/>
  <c r="BL90" i="9"/>
  <c r="V90" i="9"/>
  <c r="BF89" i="9"/>
  <c r="P89" i="9"/>
  <c r="BE577" i="1"/>
  <c r="AS577" i="1"/>
  <c r="AR151" i="9"/>
  <c r="AM68" i="9"/>
  <c r="AA575" i="1"/>
  <c r="AA578" i="1" s="1"/>
  <c r="Z151" i="9"/>
  <c r="U68" i="9"/>
  <c r="AH84" i="9"/>
  <c r="AH144" i="1"/>
  <c r="AH96" i="9" s="1"/>
  <c r="AB253" i="1"/>
  <c r="AB242" i="1"/>
  <c r="K167" i="9"/>
  <c r="P152" i="9"/>
  <c r="K125" i="9"/>
  <c r="K122" i="9" s="1"/>
  <c r="K98" i="9"/>
  <c r="AH83" i="9"/>
  <c r="AH405" i="1"/>
  <c r="AH150" i="1"/>
  <c r="AX90" i="9"/>
  <c r="BI661" i="1"/>
  <c r="BI246" i="1"/>
  <c r="AU84" i="9"/>
  <c r="AU144" i="1"/>
  <c r="AU96" i="9" s="1"/>
  <c r="AO661" i="1"/>
  <c r="AO246" i="1"/>
  <c r="N405" i="1"/>
  <c r="T656" i="1"/>
  <c r="AL41" i="1"/>
  <c r="AL46" i="9" s="1"/>
  <c r="E2" i="9"/>
  <c r="F5" i="1"/>
  <c r="M78" i="1"/>
  <c r="M84" i="9"/>
  <c r="M144" i="1"/>
  <c r="M96" i="9" s="1"/>
  <c r="D167" i="9"/>
  <c r="D125" i="9"/>
  <c r="D122" i="9" s="1"/>
  <c r="D98" i="9"/>
  <c r="S167" i="9"/>
  <c r="X152" i="9"/>
  <c r="S125" i="9"/>
  <c r="S122" i="9" s="1"/>
  <c r="S98" i="9"/>
  <c r="AR83" i="9"/>
  <c r="AR405" i="1"/>
  <c r="AR150" i="1"/>
  <c r="Z656" i="1"/>
  <c r="M656" i="1"/>
  <c r="AI141" i="1"/>
  <c r="AI93" i="9" s="1"/>
  <c r="AI139" i="1"/>
  <c r="E167" i="9"/>
  <c r="F152" i="9"/>
  <c r="E125" i="9"/>
  <c r="E122" i="9" s="1"/>
  <c r="E98" i="9"/>
  <c r="AV665" i="1"/>
  <c r="L656" i="1"/>
  <c r="Y141" i="1"/>
  <c r="Y93" i="9" s="1"/>
  <c r="Y139" i="1"/>
  <c r="T77" i="1"/>
  <c r="BN31" i="9"/>
  <c r="BN30" i="1"/>
  <c r="BN35" i="9" s="1"/>
  <c r="AE254" i="1"/>
  <c r="AD246" i="1"/>
  <c r="W144" i="9"/>
  <c r="E231" i="1"/>
  <c r="E149" i="1" s="1"/>
  <c r="E97" i="9" s="1"/>
  <c r="P167" i="9"/>
  <c r="U152" i="9"/>
  <c r="P125" i="9"/>
  <c r="P122" i="9" s="1"/>
  <c r="P98" i="9"/>
  <c r="Q167" i="9"/>
  <c r="V152" i="9"/>
  <c r="Q125" i="9"/>
  <c r="Q122" i="9" s="1"/>
  <c r="Q98" i="9"/>
  <c r="K253" i="1"/>
  <c r="AP656" i="1"/>
  <c r="BH92" i="9"/>
  <c r="BA43" i="9"/>
  <c r="BA42" i="1"/>
  <c r="BA47" i="9" s="1"/>
  <c r="BJ38" i="9"/>
  <c r="BN33" i="1"/>
  <c r="BN38" i="9" s="1"/>
  <c r="BJ37" i="1"/>
  <c r="AJ84" i="9"/>
  <c r="AJ144" i="1"/>
  <c r="AJ96" i="9" s="1"/>
  <c r="AC246" i="1"/>
  <c r="V144" i="9"/>
  <c r="O405" i="1"/>
  <c r="AE180" i="1"/>
  <c r="AE184" i="1" s="1"/>
  <c r="AE191" i="1" s="1"/>
  <c r="AA184" i="1"/>
  <c r="AA191" i="1" s="1"/>
  <c r="AA232" i="1" s="1"/>
  <c r="BJ184" i="1"/>
  <c r="BJ191" i="1" s="1"/>
  <c r="BJ232" i="1" s="1"/>
  <c r="AO656" i="1"/>
  <c r="BC91" i="9"/>
  <c r="BC578" i="1"/>
  <c r="BS30" i="9"/>
  <c r="BT25" i="1"/>
  <c r="BS29" i="1"/>
  <c r="BS34" i="9" s="1"/>
  <c r="AR78" i="1"/>
  <c r="BM17" i="1"/>
  <c r="B775" i="1"/>
  <c r="B777" i="1"/>
  <c r="D747" i="1"/>
  <c r="D754" i="1"/>
  <c r="D740" i="1"/>
  <c r="E743" i="1"/>
  <c r="E757" i="1"/>
  <c r="E750" i="1"/>
  <c r="BB137" i="9" l="1"/>
  <c r="Q144" i="9"/>
  <c r="R144" i="9"/>
  <c r="AZ144" i="9"/>
  <c r="BH89" i="9"/>
  <c r="R148" i="9"/>
  <c r="J144" i="9"/>
  <c r="BG140" i="9"/>
  <c r="BG141" i="9" s="1"/>
  <c r="G107" i="9"/>
  <c r="G113" i="9" s="1"/>
  <c r="G170" i="9" s="1"/>
  <c r="AZ140" i="9"/>
  <c r="AZ141" i="9" s="1"/>
  <c r="AT140" i="9"/>
  <c r="AT141" i="9" s="1"/>
  <c r="BJ105" i="9"/>
  <c r="BJ107" i="9" s="1"/>
  <c r="BJ113" i="9" s="1"/>
  <c r="BJ170" i="9" s="1"/>
  <c r="BJ154" i="9"/>
  <c r="BE105" i="9"/>
  <c r="BE115" i="9"/>
  <c r="AA107" i="9"/>
  <c r="AA113" i="9" s="1"/>
  <c r="AA170" i="9" s="1"/>
  <c r="AF155" i="9"/>
  <c r="Z101" i="9"/>
  <c r="Z103" i="9" s="1"/>
  <c r="Z366" i="1"/>
  <c r="Z381" i="1"/>
  <c r="Z382" i="1" s="1"/>
  <c r="Z383" i="1" s="1"/>
  <c r="Z384" i="1" s="1"/>
  <c r="Z367" i="1"/>
  <c r="J564" i="1"/>
  <c r="AW660" i="1"/>
  <c r="AR115" i="9"/>
  <c r="AW583" i="1"/>
  <c r="AW584" i="1" s="1"/>
  <c r="AW600" i="1"/>
  <c r="AY600" i="1" s="1"/>
  <c r="U101" i="9"/>
  <c r="U103" i="9" s="1"/>
  <c r="U366" i="1"/>
  <c r="U381" i="1"/>
  <c r="U382" i="1" s="1"/>
  <c r="U383" i="1" s="1"/>
  <c r="U384" i="1" s="1"/>
  <c r="U367" i="1"/>
  <c r="AX367" i="1"/>
  <c r="AX366" i="1"/>
  <c r="AX101" i="9"/>
  <c r="AX103" i="9" s="1"/>
  <c r="AX115" i="9" s="1"/>
  <c r="AX381" i="1"/>
  <c r="AX382" i="1" s="1"/>
  <c r="AX383" i="1" s="1"/>
  <c r="AX384" i="1" s="1"/>
  <c r="AL367" i="1"/>
  <c r="AL366" i="1"/>
  <c r="AL101" i="9"/>
  <c r="AL103" i="9" s="1"/>
  <c r="AL381" i="1"/>
  <c r="AL382" i="1" s="1"/>
  <c r="AL383" i="1" s="1"/>
  <c r="AL384" i="1" s="1"/>
  <c r="AG101" i="9"/>
  <c r="AG103" i="9" s="1"/>
  <c r="AG367" i="1"/>
  <c r="AG366" i="1"/>
  <c r="AG381" i="1"/>
  <c r="AG382" i="1" s="1"/>
  <c r="AG383" i="1" s="1"/>
  <c r="AG384" i="1" s="1"/>
  <c r="BK101" i="9"/>
  <c r="BK103" i="9" s="1"/>
  <c r="BK367" i="1"/>
  <c r="BK381" i="1"/>
  <c r="BK382" i="1" s="1"/>
  <c r="BK383" i="1" s="1"/>
  <c r="BK384" i="1" s="1"/>
  <c r="BK366" i="1"/>
  <c r="T660" i="1"/>
  <c r="AM101" i="9"/>
  <c r="AM103" i="9" s="1"/>
  <c r="AM367" i="1"/>
  <c r="AM381" i="1"/>
  <c r="AM382" i="1" s="1"/>
  <c r="AM383" i="1" s="1"/>
  <c r="AM384" i="1" s="1"/>
  <c r="AM366" i="1"/>
  <c r="C101" i="9"/>
  <c r="C103" i="9" s="1"/>
  <c r="C381" i="1"/>
  <c r="C382" i="1" s="1"/>
  <c r="C383" i="1" s="1"/>
  <c r="C384" i="1" s="1"/>
  <c r="C366" i="1"/>
  <c r="C367" i="1"/>
  <c r="BD101" i="9"/>
  <c r="BD103" i="9" s="1"/>
  <c r="BD381" i="1"/>
  <c r="BD382" i="1" s="1"/>
  <c r="BD383" i="1" s="1"/>
  <c r="BD384" i="1" s="1"/>
  <c r="BD367" i="1"/>
  <c r="BD366" i="1"/>
  <c r="I101" i="9"/>
  <c r="I103" i="9" s="1"/>
  <c r="I381" i="1"/>
  <c r="I382" i="1" s="1"/>
  <c r="I383" i="1" s="1"/>
  <c r="I384" i="1" s="1"/>
  <c r="I366" i="1"/>
  <c r="I367" i="1"/>
  <c r="K660" i="1"/>
  <c r="BD660" i="1"/>
  <c r="BI367" i="1"/>
  <c r="BI101" i="9"/>
  <c r="BI103" i="9" s="1"/>
  <c r="BI381" i="1"/>
  <c r="BI382" i="1" s="1"/>
  <c r="BI383" i="1" s="1"/>
  <c r="BI384" i="1" s="1"/>
  <c r="BI366" i="1"/>
  <c r="H101" i="9"/>
  <c r="H103" i="9" s="1"/>
  <c r="H366" i="1"/>
  <c r="H381" i="1"/>
  <c r="H382" i="1" s="1"/>
  <c r="H383" i="1" s="1"/>
  <c r="H384" i="1" s="1"/>
  <c r="H367" i="1"/>
  <c r="H498" i="1"/>
  <c r="O660" i="1"/>
  <c r="N381" i="1"/>
  <c r="N382" i="1" s="1"/>
  <c r="N383" i="1" s="1"/>
  <c r="N384" i="1" s="1"/>
  <c r="N366" i="1"/>
  <c r="N101" i="9"/>
  <c r="N103" i="9" s="1"/>
  <c r="N367" i="1"/>
  <c r="AY367" i="1"/>
  <c r="AY101" i="9"/>
  <c r="AY103" i="9" s="1"/>
  <c r="AY366" i="1"/>
  <c r="AY381" i="1"/>
  <c r="AY382" i="1" s="1"/>
  <c r="AY383" i="1" s="1"/>
  <c r="AY384" i="1" s="1"/>
  <c r="X242" i="1"/>
  <c r="X254" i="1"/>
  <c r="X253" i="1"/>
  <c r="G95" i="9"/>
  <c r="G665" i="1"/>
  <c r="AY148" i="9"/>
  <c r="AV144" i="9"/>
  <c r="H242" i="1"/>
  <c r="H253" i="1"/>
  <c r="H254" i="1"/>
  <c r="AV148" i="9"/>
  <c r="AW144" i="9"/>
  <c r="X95" i="9"/>
  <c r="X665" i="1"/>
  <c r="Y90" i="9"/>
  <c r="G242" i="1"/>
  <c r="G253" i="1"/>
  <c r="AF242" i="1"/>
  <c r="AF254" i="1"/>
  <c r="AF253" i="1"/>
  <c r="BG144" i="9"/>
  <c r="AW95" i="9"/>
  <c r="AW665" i="1"/>
  <c r="BG242" i="1"/>
  <c r="BG254" i="1"/>
  <c r="BG253" i="1"/>
  <c r="Q665" i="1"/>
  <c r="AW242" i="1"/>
  <c r="AW253" i="1"/>
  <c r="AW254" i="1"/>
  <c r="Q242" i="1"/>
  <c r="Q253" i="1"/>
  <c r="Q254" i="1"/>
  <c r="W242" i="1"/>
  <c r="W253" i="1"/>
  <c r="W254" i="1"/>
  <c r="BI656" i="1"/>
  <c r="BI655" i="1"/>
  <c r="AP144" i="9"/>
  <c r="AN665" i="1"/>
  <c r="BG665" i="1"/>
  <c r="D738" i="1"/>
  <c r="B4" i="1"/>
  <c r="B3" i="1" s="1"/>
  <c r="BP423" i="1" s="1"/>
  <c r="BP267" i="1" s="1"/>
  <c r="D745" i="1"/>
  <c r="D752" i="1"/>
  <c r="AD660" i="1"/>
  <c r="AF660" i="1"/>
  <c r="C763" i="1"/>
  <c r="C762" i="1"/>
  <c r="A424" i="1"/>
  <c r="A421" i="1"/>
  <c r="A425" i="1"/>
  <c r="A422" i="1"/>
  <c r="A426" i="1"/>
  <c r="A423" i="1"/>
  <c r="A420" i="1"/>
  <c r="A3" i="1"/>
  <c r="D763" i="1"/>
  <c r="D762" i="1"/>
  <c r="E763" i="1"/>
  <c r="E762" i="1"/>
  <c r="E749" i="1"/>
  <c r="E756" i="1"/>
  <c r="E742" i="1"/>
  <c r="U166" i="9"/>
  <c r="U71" i="9"/>
  <c r="K166" i="9"/>
  <c r="K71" i="9"/>
  <c r="BL147" i="9"/>
  <c r="BJ140" i="9"/>
  <c r="V147" i="9"/>
  <c r="V148" i="9" s="1"/>
  <c r="AN140" i="9"/>
  <c r="AM147" i="9"/>
  <c r="BD672" i="1"/>
  <c r="AZ564" i="1"/>
  <c r="BA660" i="1" s="1"/>
  <c r="AM242" i="1"/>
  <c r="AM254" i="1"/>
  <c r="AM253" i="1"/>
  <c r="BH140" i="9"/>
  <c r="BH141" i="9" s="1"/>
  <c r="F660" i="1"/>
  <c r="AP83" i="9"/>
  <c r="AP405" i="1"/>
  <c r="AP150" i="1"/>
  <c r="AL76" i="9"/>
  <c r="AL256" i="1"/>
  <c r="AL248" i="1"/>
  <c r="AL251" i="1"/>
  <c r="Z76" i="9"/>
  <c r="Z256" i="1"/>
  <c r="Z248" i="1"/>
  <c r="Z251" i="1"/>
  <c r="I166" i="9"/>
  <c r="I71" i="9"/>
  <c r="BP16" i="1"/>
  <c r="AX84" i="9"/>
  <c r="AX144" i="1"/>
  <c r="AX96" i="9" s="1"/>
  <c r="L76" i="9"/>
  <c r="L256" i="1"/>
  <c r="L248" i="1"/>
  <c r="L251" i="1"/>
  <c r="BL44" i="9"/>
  <c r="BL43" i="1"/>
  <c r="BL48" i="9" s="1"/>
  <c r="AB167" i="9"/>
  <c r="AG152" i="9"/>
  <c r="AB98" i="9"/>
  <c r="J84" i="9"/>
  <c r="J144" i="1"/>
  <c r="J96" i="9" s="1"/>
  <c r="AI83" i="9"/>
  <c r="AI405" i="1"/>
  <c r="AI150" i="1"/>
  <c r="BN27" i="9"/>
  <c r="BN12" i="1"/>
  <c r="BN19" i="9" s="1"/>
  <c r="I84" i="9"/>
  <c r="I144" i="1"/>
  <c r="I96" i="9" s="1"/>
  <c r="AS242" i="1"/>
  <c r="AS254" i="1"/>
  <c r="AS253" i="1"/>
  <c r="AN101" i="9"/>
  <c r="AN103" i="9" s="1"/>
  <c r="AN381" i="1"/>
  <c r="AN382" i="1" s="1"/>
  <c r="AN383" i="1" s="1"/>
  <c r="AN384" i="1" s="1"/>
  <c r="AN367" i="1"/>
  <c r="AN366" i="1"/>
  <c r="BH147" i="9"/>
  <c r="D76" i="9"/>
  <c r="D256" i="1"/>
  <c r="D251" i="1"/>
  <c r="D248" i="1"/>
  <c r="Y98" i="9"/>
  <c r="J78" i="1"/>
  <c r="BG167" i="9"/>
  <c r="BL152" i="9"/>
  <c r="BG98" i="9"/>
  <c r="X166" i="9"/>
  <c r="X71" i="9"/>
  <c r="S166" i="9"/>
  <c r="S71" i="9"/>
  <c r="X140" i="9"/>
  <c r="X141" i="9" s="1"/>
  <c r="BJ660" i="1"/>
  <c r="O147" i="9"/>
  <c r="O148" i="9" s="1"/>
  <c r="BF140" i="9"/>
  <c r="BF141" i="9" s="1"/>
  <c r="E140" i="9"/>
  <c r="E141" i="9" s="1"/>
  <c r="F147" i="9"/>
  <c r="F148" i="9" s="1"/>
  <c r="AZ146" i="9"/>
  <c r="AX147" i="9"/>
  <c r="AX148" i="9" s="1"/>
  <c r="AD132" i="9"/>
  <c r="AH132" i="9"/>
  <c r="BL76" i="9"/>
  <c r="BL256" i="1"/>
  <c r="BL251" i="1"/>
  <c r="BL248" i="1"/>
  <c r="BC665" i="1"/>
  <c r="BA76" i="9"/>
  <c r="BA256" i="1"/>
  <c r="BA248" i="1"/>
  <c r="BA251" i="1"/>
  <c r="BJ76" i="9"/>
  <c r="BJ256" i="1"/>
  <c r="BJ248" i="1"/>
  <c r="BJ251" i="1"/>
  <c r="AP140" i="9"/>
  <c r="AZ166" i="9"/>
  <c r="AZ71" i="9"/>
  <c r="AY40" i="9"/>
  <c r="AY39" i="1"/>
  <c r="H294" i="1"/>
  <c r="H298" i="1" s="1"/>
  <c r="G311" i="1"/>
  <c r="G327" i="1" s="1"/>
  <c r="U95" i="9"/>
  <c r="U665" i="1"/>
  <c r="BL140" i="9"/>
  <c r="AH101" i="9"/>
  <c r="AH103" i="9" s="1"/>
  <c r="AH381" i="1"/>
  <c r="AH382" i="1" s="1"/>
  <c r="AH383" i="1" s="1"/>
  <c r="AH384" i="1" s="1"/>
  <c r="AH367" i="1"/>
  <c r="AH366" i="1"/>
  <c r="AO101" i="9"/>
  <c r="AO103" i="9" s="1"/>
  <c r="AO381" i="1"/>
  <c r="AO382" i="1" s="1"/>
  <c r="AO383" i="1" s="1"/>
  <c r="AO384" i="1" s="1"/>
  <c r="AO367" i="1"/>
  <c r="AO366" i="1"/>
  <c r="X660" i="1"/>
  <c r="N166" i="9"/>
  <c r="N71" i="9"/>
  <c r="C149" i="1"/>
  <c r="C97" i="9" s="1"/>
  <c r="P660" i="1"/>
  <c r="BH151" i="9"/>
  <c r="AP42" i="9"/>
  <c r="AP41" i="1"/>
  <c r="AP46" i="9" s="1"/>
  <c r="BH44" i="9"/>
  <c r="BH43" i="1"/>
  <c r="BH48" i="9" s="1"/>
  <c r="H166" i="9"/>
  <c r="H71" i="9"/>
  <c r="BK84" i="9"/>
  <c r="BK144" i="1"/>
  <c r="BK96" i="9" s="1"/>
  <c r="AM140" i="9"/>
  <c r="AM141" i="9" s="1"/>
  <c r="AT147" i="9"/>
  <c r="AT148" i="9" s="1"/>
  <c r="AO147" i="9"/>
  <c r="AO148" i="9" s="1"/>
  <c r="E101" i="9"/>
  <c r="E103" i="9" s="1"/>
  <c r="E381" i="1"/>
  <c r="E382" i="1" s="1"/>
  <c r="E383" i="1" s="1"/>
  <c r="E384" i="1" s="1"/>
  <c r="E367" i="1"/>
  <c r="E366" i="1"/>
  <c r="AJ660" i="1"/>
  <c r="AJ567" i="1"/>
  <c r="BL132" i="9"/>
  <c r="AV140" i="9"/>
  <c r="AV141" i="9" s="1"/>
  <c r="J101" i="9"/>
  <c r="J103" i="9" s="1"/>
  <c r="J367" i="1"/>
  <c r="J366" i="1"/>
  <c r="J381" i="1"/>
  <c r="J382" i="1" s="1"/>
  <c r="J383" i="1" s="1"/>
  <c r="J384" i="1" s="1"/>
  <c r="F2" i="9"/>
  <c r="G5" i="1"/>
  <c r="K5" i="1"/>
  <c r="AB246" i="1"/>
  <c r="AB656" i="1"/>
  <c r="AB655" i="1"/>
  <c r="AV166" i="9"/>
  <c r="AV71" i="9"/>
  <c r="AF166" i="9"/>
  <c r="AF71" i="9"/>
  <c r="AG84" i="9"/>
  <c r="AG144" i="1"/>
  <c r="AG96" i="9" s="1"/>
  <c r="M497" i="1"/>
  <c r="L498" i="1"/>
  <c r="Y101" i="9"/>
  <c r="Y103" i="9" s="1"/>
  <c r="Y381" i="1"/>
  <c r="Y382" i="1" s="1"/>
  <c r="Y383" i="1" s="1"/>
  <c r="Y384" i="1" s="1"/>
  <c r="Y367" i="1"/>
  <c r="Y366" i="1"/>
  <c r="BE147" i="9"/>
  <c r="J147" i="9"/>
  <c r="J148" i="9" s="1"/>
  <c r="AM95" i="9"/>
  <c r="AM665" i="1"/>
  <c r="J140" i="9"/>
  <c r="AP147" i="9"/>
  <c r="AP148" i="9" s="1"/>
  <c r="X147" i="9"/>
  <c r="X148" i="9" s="1"/>
  <c r="AQ76" i="9"/>
  <c r="AQ256" i="1"/>
  <c r="AQ248" i="1"/>
  <c r="AQ251" i="1"/>
  <c r="AO667" i="1"/>
  <c r="AO232" i="1"/>
  <c r="L144" i="9"/>
  <c r="AK44" i="9"/>
  <c r="AK43" i="1"/>
  <c r="AK48" i="9" s="1"/>
  <c r="N144" i="9"/>
  <c r="AD166" i="9"/>
  <c r="AD71" i="9"/>
  <c r="BH578" i="1"/>
  <c r="BM575" i="1"/>
  <c r="BR575" i="1" s="1"/>
  <c r="BG44" i="9"/>
  <c r="BG43" i="1"/>
  <c r="BG48" i="9" s="1"/>
  <c r="BC242" i="1"/>
  <c r="BC254" i="1"/>
  <c r="BC253" i="1"/>
  <c r="AK246" i="1"/>
  <c r="AK656" i="1"/>
  <c r="AK655" i="1"/>
  <c r="BF144" i="9"/>
  <c r="BF148" i="9" s="1"/>
  <c r="BE83" i="9"/>
  <c r="BE405" i="1"/>
  <c r="BE150" i="1"/>
  <c r="J253" i="1"/>
  <c r="J242" i="1"/>
  <c r="J254" i="1"/>
  <c r="AH166" i="9"/>
  <c r="AH71" i="9"/>
  <c r="BM42" i="9"/>
  <c r="BR37" i="1"/>
  <c r="BM16" i="1"/>
  <c r="AF578" i="1"/>
  <c r="I254" i="1"/>
  <c r="I242" i="1"/>
  <c r="I253" i="1"/>
  <c r="AS95" i="9"/>
  <c r="AS665" i="1"/>
  <c r="AW140" i="9"/>
  <c r="AW141" i="9" s="1"/>
  <c r="AI141" i="9"/>
  <c r="BB101" i="9"/>
  <c r="BB103" i="9" s="1"/>
  <c r="BB381" i="1"/>
  <c r="BB382" i="1" s="1"/>
  <c r="BB383" i="1" s="1"/>
  <c r="BB384" i="1" s="1"/>
  <c r="BB367" i="1"/>
  <c r="BB366" i="1"/>
  <c r="AN166" i="9"/>
  <c r="AN71" i="9"/>
  <c r="BA167" i="9"/>
  <c r="BF152" i="9"/>
  <c r="BA98" i="9"/>
  <c r="BI39" i="1"/>
  <c r="BP17" i="1"/>
  <c r="AF577" i="1"/>
  <c r="AY84" i="9"/>
  <c r="AY144" i="1"/>
  <c r="AY96" i="9" s="1"/>
  <c r="AH147" i="9"/>
  <c r="AZ137" i="9"/>
  <c r="V140" i="9"/>
  <c r="V141" i="9" s="1"/>
  <c r="S147" i="9"/>
  <c r="R101" i="9"/>
  <c r="R103" i="9" s="1"/>
  <c r="R381" i="1"/>
  <c r="R382" i="1" s="1"/>
  <c r="R383" i="1" s="1"/>
  <c r="R384" i="1" s="1"/>
  <c r="R367" i="1"/>
  <c r="R366" i="1"/>
  <c r="BF101" i="9"/>
  <c r="BF103" i="9" s="1"/>
  <c r="BF381" i="1"/>
  <c r="BF382" i="1" s="1"/>
  <c r="BF383" i="1" s="1"/>
  <c r="BF384" i="1" s="1"/>
  <c r="BF367" i="1"/>
  <c r="BF366" i="1"/>
  <c r="AC167" i="9"/>
  <c r="AH152" i="9"/>
  <c r="AC98" i="9"/>
  <c r="AX665" i="1"/>
  <c r="AS78" i="1"/>
  <c r="AH144" i="9"/>
  <c r="BE166" i="9"/>
  <c r="BE71" i="9"/>
  <c r="AN78" i="1"/>
  <c r="AU44" i="9"/>
  <c r="AU43" i="1"/>
  <c r="AU48" i="9" s="1"/>
  <c r="Q166" i="9"/>
  <c r="Q71" i="9"/>
  <c r="AN151" i="9"/>
  <c r="AI68" i="9"/>
  <c r="BN32" i="9"/>
  <c r="BN31" i="1"/>
  <c r="BN36" i="9" s="1"/>
  <c r="BO35" i="1"/>
  <c r="AL166" i="9"/>
  <c r="AL71" i="9"/>
  <c r="BE144" i="9"/>
  <c r="AI564" i="1"/>
  <c r="AI660" i="1" s="1"/>
  <c r="AB140" i="9"/>
  <c r="AB141" i="9" s="1"/>
  <c r="BS108" i="9"/>
  <c r="AM660" i="1"/>
  <c r="AO660" i="1"/>
  <c r="AO567" i="1"/>
  <c r="Q147" i="9"/>
  <c r="Q148" i="9" s="1"/>
  <c r="AW101" i="9"/>
  <c r="AW103" i="9" s="1"/>
  <c r="AW381" i="1"/>
  <c r="AW382" i="1" s="1"/>
  <c r="AW383" i="1" s="1"/>
  <c r="AW384" i="1" s="1"/>
  <c r="AW367" i="1"/>
  <c r="AW366" i="1"/>
  <c r="J132" i="9"/>
  <c r="L132" i="9"/>
  <c r="M132" i="9"/>
  <c r="AE101" i="9"/>
  <c r="AE103" i="9" s="1"/>
  <c r="AE381" i="1"/>
  <c r="AE382" i="1" s="1"/>
  <c r="AE383" i="1" s="1"/>
  <c r="AE384" i="1" s="1"/>
  <c r="AE367" i="1"/>
  <c r="AE366" i="1"/>
  <c r="AY180" i="1"/>
  <c r="AY184" i="1" s="1"/>
  <c r="AY191" i="1" s="1"/>
  <c r="BD76" i="9"/>
  <c r="BD256" i="1"/>
  <c r="BD248" i="1"/>
  <c r="BD251" i="1"/>
  <c r="AT39" i="9"/>
  <c r="AT38" i="1"/>
  <c r="BN35" i="1"/>
  <c r="BN40" i="9" s="1"/>
  <c r="AN84" i="9"/>
  <c r="AN144" i="1"/>
  <c r="AN96" i="9" s="1"/>
  <c r="N76" i="9"/>
  <c r="N256" i="1"/>
  <c r="N248" i="1"/>
  <c r="N251" i="1"/>
  <c r="AH577" i="1"/>
  <c r="AA84" i="9"/>
  <c r="AA144" i="1"/>
  <c r="AA96" i="9" s="1"/>
  <c r="BK242" i="1"/>
  <c r="BK254" i="1"/>
  <c r="BK253" i="1"/>
  <c r="AW497" i="1"/>
  <c r="AV498" i="1"/>
  <c r="BD147" i="9"/>
  <c r="BD148" i="9" s="1"/>
  <c r="E660" i="1"/>
  <c r="M101" i="9"/>
  <c r="M103" i="9" s="1"/>
  <c r="M381" i="1"/>
  <c r="M382" i="1" s="1"/>
  <c r="M383" i="1" s="1"/>
  <c r="M384" i="1" s="1"/>
  <c r="M367" i="1"/>
  <c r="M366" i="1"/>
  <c r="BK132" i="9"/>
  <c r="AF663" i="1"/>
  <c r="AF571" i="1"/>
  <c r="AG566" i="1"/>
  <c r="AG567" i="1" s="1"/>
  <c r="BJ83" i="9"/>
  <c r="BJ405" i="1"/>
  <c r="BJ150" i="1"/>
  <c r="BI76" i="9"/>
  <c r="BI256" i="1"/>
  <c r="BI248" i="1"/>
  <c r="BI251" i="1"/>
  <c r="AT166" i="9"/>
  <c r="AT71" i="9"/>
  <c r="AK166" i="9"/>
  <c r="AK71" i="9"/>
  <c r="AG242" i="1"/>
  <c r="AG254" i="1"/>
  <c r="AG253" i="1"/>
  <c r="AI147" i="9"/>
  <c r="AA147" i="9"/>
  <c r="S101" i="9"/>
  <c r="S103" i="9" s="1"/>
  <c r="S381" i="1"/>
  <c r="S382" i="1" s="1"/>
  <c r="S383" i="1" s="1"/>
  <c r="S384" i="1" s="1"/>
  <c r="S367" i="1"/>
  <c r="S366" i="1"/>
  <c r="Q101" i="9"/>
  <c r="Q103" i="9" s="1"/>
  <c r="Q381" i="1"/>
  <c r="Q382" i="1" s="1"/>
  <c r="Q383" i="1" s="1"/>
  <c r="Q384" i="1" s="1"/>
  <c r="Q367" i="1"/>
  <c r="Q366" i="1"/>
  <c r="AR76" i="9"/>
  <c r="AR256" i="1"/>
  <c r="AR248" i="1"/>
  <c r="AR251" i="1"/>
  <c r="AK83" i="9"/>
  <c r="AM125" i="9" s="1"/>
  <c r="AM122" i="9" s="1"/>
  <c r="AK405" i="1"/>
  <c r="AK150" i="1"/>
  <c r="R76" i="9"/>
  <c r="R256" i="1"/>
  <c r="R248" i="1"/>
  <c r="R251" i="1"/>
  <c r="AS167" i="9"/>
  <c r="AS125" i="9"/>
  <c r="AS122" i="9" s="1"/>
  <c r="AS98" i="9"/>
  <c r="AO40" i="9"/>
  <c r="AO39" i="1"/>
  <c r="BQ22" i="9"/>
  <c r="BQ7" i="1"/>
  <c r="BQ14" i="9" s="1"/>
  <c r="BF166" i="9"/>
  <c r="BF71" i="9"/>
  <c r="BA166" i="9"/>
  <c r="BA71" i="9"/>
  <c r="BH577" i="1"/>
  <c r="BM574" i="1"/>
  <c r="BR574" i="1" s="1"/>
  <c r="BE42" i="9"/>
  <c r="BE41" i="1"/>
  <c r="BE46" i="9" s="1"/>
  <c r="P76" i="9"/>
  <c r="P256" i="1"/>
  <c r="P251" i="1"/>
  <c r="P248" i="1"/>
  <c r="AG167" i="9"/>
  <c r="AL152" i="9"/>
  <c r="AG98" i="9"/>
  <c r="BC44" i="9"/>
  <c r="BC43" i="1"/>
  <c r="BC48" i="9" s="1"/>
  <c r="AT661" i="1"/>
  <c r="AT669" i="1"/>
  <c r="AT246" i="1"/>
  <c r="AT656" i="1"/>
  <c r="AT655" i="1"/>
  <c r="BI180" i="1"/>
  <c r="BI184" i="1" s="1"/>
  <c r="BI191" i="1" s="1"/>
  <c r="BB76" i="9"/>
  <c r="BB256" i="1"/>
  <c r="BB248" i="1"/>
  <c r="BB251" i="1"/>
  <c r="AW166" i="9"/>
  <c r="AW71" i="9"/>
  <c r="AR166" i="9"/>
  <c r="AR71" i="9"/>
  <c r="I95" i="9"/>
  <c r="I665" i="1"/>
  <c r="M140" i="9"/>
  <c r="AS660" i="1"/>
  <c r="V101" i="9"/>
  <c r="V103" i="9" s="1"/>
  <c r="V381" i="1"/>
  <c r="V382" i="1" s="1"/>
  <c r="V383" i="1" s="1"/>
  <c r="V384" i="1" s="1"/>
  <c r="V367" i="1"/>
  <c r="V366" i="1"/>
  <c r="BA146" i="9"/>
  <c r="BB660" i="1"/>
  <c r="BD28" i="9"/>
  <c r="BD13" i="1"/>
  <c r="BD20" i="9" s="1"/>
  <c r="AB152" i="9"/>
  <c r="AW167" i="9"/>
  <c r="BB152" i="9"/>
  <c r="AW98" i="9"/>
  <c r="M76" i="9"/>
  <c r="M256" i="1"/>
  <c r="M248" i="1"/>
  <c r="M251" i="1"/>
  <c r="BK577" i="1"/>
  <c r="BP574" i="1"/>
  <c r="E665" i="1"/>
  <c r="AU166" i="9"/>
  <c r="AU71" i="9"/>
  <c r="AD578" i="1"/>
  <c r="O84" i="9"/>
  <c r="O144" i="1"/>
  <c r="O96" i="9" s="1"/>
  <c r="AY242" i="1"/>
  <c r="AY254" i="1"/>
  <c r="AY253" i="1"/>
  <c r="BK137" i="9"/>
  <c r="O101" i="9"/>
  <c r="O103" i="9" s="1"/>
  <c r="O367" i="1"/>
  <c r="O366" i="1"/>
  <c r="O381" i="1"/>
  <c r="O382" i="1" s="1"/>
  <c r="O383" i="1" s="1"/>
  <c r="O384" i="1" s="1"/>
  <c r="AB101" i="9"/>
  <c r="AB103" i="9" s="1"/>
  <c r="AB381" i="1"/>
  <c r="AB382" i="1" s="1"/>
  <c r="AB383" i="1" s="1"/>
  <c r="AB384" i="1" s="1"/>
  <c r="AB367" i="1"/>
  <c r="AB366" i="1"/>
  <c r="AC101" i="9"/>
  <c r="AC103" i="9" s="1"/>
  <c r="AC381" i="1"/>
  <c r="AC382" i="1" s="1"/>
  <c r="AC383" i="1" s="1"/>
  <c r="AC384" i="1" s="1"/>
  <c r="AC367" i="1"/>
  <c r="AC366" i="1"/>
  <c r="BF660" i="1"/>
  <c r="AC152" i="9"/>
  <c r="Z167" i="9"/>
  <c r="Z125" i="9"/>
  <c r="Z122" i="9" s="1"/>
  <c r="Z98" i="9"/>
  <c r="BF44" i="9"/>
  <c r="BF43" i="1"/>
  <c r="BF48" i="9" s="1"/>
  <c r="AP76" i="9"/>
  <c r="AP256" i="1"/>
  <c r="AP248" i="1"/>
  <c r="AP251" i="1"/>
  <c r="AA166" i="9"/>
  <c r="AA71" i="9"/>
  <c r="P665" i="1"/>
  <c r="BL166" i="9"/>
  <c r="BL71" i="9"/>
  <c r="BB166" i="9"/>
  <c r="BB71" i="9"/>
  <c r="BQ17" i="1"/>
  <c r="AQ166" i="9"/>
  <c r="AQ71" i="9"/>
  <c r="BB140" i="9"/>
  <c r="BB141" i="9" s="1"/>
  <c r="AU140" i="9"/>
  <c r="AU141" i="9" s="1"/>
  <c r="BS370" i="1"/>
  <c r="AF147" i="9"/>
  <c r="AF148" i="9" s="1"/>
  <c r="BB146" i="9"/>
  <c r="BB147" i="9" s="1"/>
  <c r="BB148" i="9" s="1"/>
  <c r="C84" i="9"/>
  <c r="C144" i="1"/>
  <c r="C96" i="9" s="1"/>
  <c r="BQ664" i="1"/>
  <c r="AE660" i="1"/>
  <c r="AE567" i="1"/>
  <c r="AU83" i="9"/>
  <c r="AW125" i="9" s="1"/>
  <c r="AW122" i="9" s="1"/>
  <c r="AU405" i="1"/>
  <c r="AU150" i="1"/>
  <c r="AV167" i="9"/>
  <c r="BA152" i="9"/>
  <c r="AV98" i="9"/>
  <c r="AP43" i="9"/>
  <c r="AP42" i="1"/>
  <c r="AP47" i="9" s="1"/>
  <c r="AN242" i="1"/>
  <c r="AP661" i="1" s="1"/>
  <c r="AN253" i="1"/>
  <c r="AN254" i="1"/>
  <c r="L140" i="9"/>
  <c r="L141" i="9" s="1"/>
  <c r="T166" i="9"/>
  <c r="T71" i="9"/>
  <c r="AA242" i="1"/>
  <c r="AB661" i="1" s="1"/>
  <c r="AA254" i="1"/>
  <c r="AA253" i="1"/>
  <c r="BK95" i="9"/>
  <c r="BK665" i="1"/>
  <c r="AY566" i="1"/>
  <c r="AY567" i="1" s="1"/>
  <c r="AE140" i="9"/>
  <c r="AE141" i="9" s="1"/>
  <c r="U660" i="1"/>
  <c r="AH140" i="9"/>
  <c r="AH141" i="9" s="1"/>
  <c r="AT101" i="9"/>
  <c r="AT103" i="9" s="1"/>
  <c r="AT381" i="1"/>
  <c r="AT382" i="1" s="1"/>
  <c r="AT383" i="1" s="1"/>
  <c r="AT384" i="1" s="1"/>
  <c r="AT367" i="1"/>
  <c r="AT366" i="1"/>
  <c r="AU101" i="9"/>
  <c r="AU103" i="9" s="1"/>
  <c r="AU381" i="1"/>
  <c r="AU382" i="1" s="1"/>
  <c r="AU383" i="1" s="1"/>
  <c r="AU384" i="1" s="1"/>
  <c r="AU367" i="1"/>
  <c r="AU366" i="1"/>
  <c r="W137" i="9"/>
  <c r="BC147" i="9"/>
  <c r="BC148" i="9" s="1"/>
  <c r="BC101" i="9"/>
  <c r="BC103" i="9" s="1"/>
  <c r="BC381" i="1"/>
  <c r="BC382" i="1" s="1"/>
  <c r="BC383" i="1" s="1"/>
  <c r="BC384" i="1" s="1"/>
  <c r="BC367" i="1"/>
  <c r="BC366" i="1"/>
  <c r="BJ132" i="9"/>
  <c r="AC76" i="9"/>
  <c r="AC256" i="1"/>
  <c r="AC248" i="1"/>
  <c r="AC251" i="1"/>
  <c r="BJ42" i="9"/>
  <c r="BJ41" i="1"/>
  <c r="BJ46" i="9" s="1"/>
  <c r="BO37" i="1"/>
  <c r="AH167" i="9"/>
  <c r="AM152" i="9"/>
  <c r="AH98" i="9"/>
  <c r="AC166" i="9"/>
  <c r="AC71" i="9"/>
  <c r="BT30" i="9"/>
  <c r="BU25" i="1"/>
  <c r="BT33" i="1"/>
  <c r="AD76" i="9"/>
  <c r="AD256" i="1"/>
  <c r="AD248" i="1"/>
  <c r="AD251" i="1"/>
  <c r="AR167" i="9"/>
  <c r="AW152" i="9"/>
  <c r="AR125" i="9"/>
  <c r="AR122" i="9" s="1"/>
  <c r="AR98" i="9"/>
  <c r="AO76" i="9"/>
  <c r="AO256" i="1"/>
  <c r="AO248" i="1"/>
  <c r="AO251" i="1"/>
  <c r="AM166" i="9"/>
  <c r="AM71" i="9"/>
  <c r="AX166" i="9"/>
  <c r="AX71" i="9"/>
  <c r="AG95" i="9"/>
  <c r="AG665" i="1"/>
  <c r="AI101" i="9"/>
  <c r="AI103" i="9" s="1"/>
  <c r="AI381" i="1"/>
  <c r="AI382" i="1" s="1"/>
  <c r="AI383" i="1" s="1"/>
  <c r="AI384" i="1" s="1"/>
  <c r="AI367" i="1"/>
  <c r="AI366" i="1"/>
  <c r="L147" i="9"/>
  <c r="D101" i="9"/>
  <c r="D103" i="9" s="1"/>
  <c r="D367" i="1"/>
  <c r="D366" i="1"/>
  <c r="D381" i="1"/>
  <c r="D382" i="1" s="1"/>
  <c r="D383" i="1" s="1"/>
  <c r="D384" i="1" s="1"/>
  <c r="K101" i="9"/>
  <c r="K103" i="9" s="1"/>
  <c r="K381" i="1"/>
  <c r="K382" i="1" s="1"/>
  <c r="K383" i="1" s="1"/>
  <c r="K384" i="1" s="1"/>
  <c r="K367" i="1"/>
  <c r="K366" i="1"/>
  <c r="S660" i="1"/>
  <c r="U672" i="1"/>
  <c r="Q564" i="1"/>
  <c r="V246" i="1"/>
  <c r="V655" i="1"/>
  <c r="V656" i="1"/>
  <c r="AZ76" i="9"/>
  <c r="AZ256" i="1"/>
  <c r="AZ251" i="1"/>
  <c r="AZ248" i="1"/>
  <c r="AY166" i="9"/>
  <c r="AY71" i="9"/>
  <c r="BH68" i="9"/>
  <c r="AD151" i="9"/>
  <c r="Y68" i="9"/>
  <c r="BI38" i="9"/>
  <c r="BI37" i="1"/>
  <c r="AX242" i="1"/>
  <c r="AX254" i="1"/>
  <c r="AX253" i="1"/>
  <c r="AL167" i="9"/>
  <c r="AQ152" i="9"/>
  <c r="AL98" i="9"/>
  <c r="BJ43" i="9"/>
  <c r="BJ42" i="1"/>
  <c r="BJ47" i="9" s="1"/>
  <c r="BO38" i="1"/>
  <c r="AP166" i="9"/>
  <c r="AP71" i="9"/>
  <c r="R140" i="9"/>
  <c r="R141" i="9" s="1"/>
  <c r="AL140" i="9"/>
  <c r="AL141" i="9" s="1"/>
  <c r="Z672" i="1"/>
  <c r="V564" i="1"/>
  <c r="W660" i="1" s="1"/>
  <c r="W101" i="9"/>
  <c r="W103" i="9" s="1"/>
  <c r="W381" i="1"/>
  <c r="W382" i="1" s="1"/>
  <c r="W383" i="1" s="1"/>
  <c r="W384" i="1" s="1"/>
  <c r="W367" i="1"/>
  <c r="W366" i="1"/>
  <c r="T147" i="9"/>
  <c r="T148" i="9" s="1"/>
  <c r="AO39" i="9"/>
  <c r="AO38" i="1"/>
  <c r="Y89" i="9"/>
  <c r="BF76" i="9"/>
  <c r="BF256" i="1"/>
  <c r="BF251" i="1"/>
  <c r="BF248" i="1"/>
  <c r="BA144" i="9"/>
  <c r="AV76" i="9"/>
  <c r="AV256" i="1"/>
  <c r="AV248" i="1"/>
  <c r="AV251" i="1"/>
  <c r="O166" i="9"/>
  <c r="O71" i="9"/>
  <c r="AI78" i="1"/>
  <c r="O242" i="1"/>
  <c r="O253" i="1"/>
  <c r="O254" i="1"/>
  <c r="AY95" i="9"/>
  <c r="AY665" i="1"/>
  <c r="AF116" i="9"/>
  <c r="AF118" i="9" s="1"/>
  <c r="AF107" i="9"/>
  <c r="AF113" i="9" s="1"/>
  <c r="AF170" i="9" s="1"/>
  <c r="BI672" i="1"/>
  <c r="AR140" i="9"/>
  <c r="AR141" i="9" s="1"/>
  <c r="U147" i="9"/>
  <c r="U148" i="9" s="1"/>
  <c r="AB660" i="1"/>
  <c r="AC660" i="1"/>
  <c r="BG101" i="9"/>
  <c r="BG103" i="9" s="1"/>
  <c r="BG381" i="1"/>
  <c r="BG382" i="1" s="1"/>
  <c r="BG383" i="1" s="1"/>
  <c r="BG384" i="1" s="1"/>
  <c r="BG367" i="1"/>
  <c r="BG366" i="1"/>
  <c r="AF132" i="9"/>
  <c r="T76" i="9"/>
  <c r="T256" i="1"/>
  <c r="T248" i="1"/>
  <c r="T251" i="1"/>
  <c r="AB166" i="9"/>
  <c r="AB71" i="9"/>
  <c r="BG166" i="9"/>
  <c r="BG71" i="9"/>
  <c r="BB44" i="9"/>
  <c r="BB43" i="1"/>
  <c r="BB48" i="9" s="1"/>
  <c r="AR578" i="1"/>
  <c r="BE84" i="9"/>
  <c r="BE144" i="1"/>
  <c r="BE96" i="9" s="1"/>
  <c r="N147" i="9"/>
  <c r="N148" i="9" s="1"/>
  <c r="AR147" i="9"/>
  <c r="AR148" i="9" s="1"/>
  <c r="C242" i="1"/>
  <c r="C254" i="1"/>
  <c r="C253" i="1"/>
  <c r="AR116" i="9"/>
  <c r="AR118" i="9" s="1"/>
  <c r="AR107" i="9"/>
  <c r="AR113" i="9" s="1"/>
  <c r="AR170" i="9" s="1"/>
  <c r="BO635" i="1"/>
  <c r="BO638" i="1" s="1"/>
  <c r="BP393" i="1"/>
  <c r="AF140" i="9"/>
  <c r="AC140" i="9"/>
  <c r="AC141" i="9" s="1"/>
  <c r="AV101" i="9"/>
  <c r="AV103" i="9" s="1"/>
  <c r="AV381" i="1"/>
  <c r="AV382" i="1" s="1"/>
  <c r="AV383" i="1" s="1"/>
  <c r="AV384" i="1" s="1"/>
  <c r="AV367" i="1"/>
  <c r="AV366" i="1"/>
  <c r="AQ167" i="9"/>
  <c r="AV152" i="9"/>
  <c r="AQ125" i="9"/>
  <c r="AQ122" i="9" s="1"/>
  <c r="AQ98" i="9"/>
  <c r="BF167" i="9"/>
  <c r="BK152" i="9"/>
  <c r="BF98" i="9"/>
  <c r="M144" i="9"/>
  <c r="M148" i="9" s="1"/>
  <c r="AN144" i="9"/>
  <c r="AU76" i="9"/>
  <c r="AU256" i="1"/>
  <c r="AU248" i="1"/>
  <c r="AU251" i="1"/>
  <c r="BQ575" i="1"/>
  <c r="BL578" i="1"/>
  <c r="BC83" i="9"/>
  <c r="BF125" i="9" s="1"/>
  <c r="BF122" i="9" s="1"/>
  <c r="BC405" i="1"/>
  <c r="BC150" i="1"/>
  <c r="M166" i="9"/>
  <c r="M71" i="9"/>
  <c r="Y151" i="9"/>
  <c r="AA95" i="9"/>
  <c r="AA665" i="1"/>
  <c r="T101" i="9"/>
  <c r="T103" i="9" s="1"/>
  <c r="T381" i="1"/>
  <c r="T382" i="1" s="1"/>
  <c r="T383" i="1" s="1"/>
  <c r="T384" i="1" s="1"/>
  <c r="T367" i="1"/>
  <c r="T366" i="1"/>
  <c r="T140" i="9"/>
  <c r="T141" i="9" s="1"/>
  <c r="AT660" i="1"/>
  <c r="AT567" i="1"/>
  <c r="AY672" i="1"/>
  <c r="AU564" i="1"/>
  <c r="AK147" i="9"/>
  <c r="BC660" i="1"/>
  <c r="G660" i="1"/>
  <c r="AD147" i="9"/>
  <c r="AD148" i="9" s="1"/>
  <c r="AX660" i="1"/>
  <c r="BM23" i="9"/>
  <c r="BM8" i="1"/>
  <c r="BM15" i="9" s="1"/>
  <c r="BN17" i="1"/>
  <c r="AU147" i="9"/>
  <c r="D660" i="1"/>
  <c r="D567" i="1"/>
  <c r="C660" i="1"/>
  <c r="I660" i="1"/>
  <c r="AP101" i="9"/>
  <c r="AP103" i="9" s="1"/>
  <c r="AP367" i="1"/>
  <c r="AP366" i="1"/>
  <c r="AP381" i="1"/>
  <c r="AP382" i="1" s="1"/>
  <c r="AP383" i="1" s="1"/>
  <c r="AP384" i="1" s="1"/>
  <c r="F1" i="9"/>
  <c r="F766" i="1"/>
  <c r="F762" i="1"/>
  <c r="F266" i="1"/>
  <c r="G4" i="1"/>
  <c r="F3" i="1"/>
  <c r="F736" i="1" s="1"/>
  <c r="T78" i="1"/>
  <c r="AO38" i="9"/>
  <c r="AO37" i="1"/>
  <c r="L166" i="9"/>
  <c r="L71" i="9"/>
  <c r="BC84" i="9"/>
  <c r="BC144" i="1"/>
  <c r="BC96" i="9" s="1"/>
  <c r="BA44" i="9"/>
  <c r="BA43" i="1"/>
  <c r="BA48" i="9" s="1"/>
  <c r="BL167" i="9"/>
  <c r="BL98" i="9"/>
  <c r="AE76" i="9"/>
  <c r="AE256" i="1"/>
  <c r="AE248" i="1"/>
  <c r="AE251" i="1"/>
  <c r="J95" i="9"/>
  <c r="J665" i="1"/>
  <c r="P166" i="9"/>
  <c r="P71" i="9"/>
  <c r="W166" i="9"/>
  <c r="W71" i="9"/>
  <c r="AX83" i="9"/>
  <c r="AX405" i="1"/>
  <c r="AX150" i="1"/>
  <c r="BD166" i="9"/>
  <c r="BD71" i="9"/>
  <c r="AD141" i="9"/>
  <c r="P147" i="9"/>
  <c r="P148" i="9" s="1"/>
  <c r="BR613" i="1"/>
  <c r="L101" i="9"/>
  <c r="L103" i="9" s="1"/>
  <c r="L381" i="1"/>
  <c r="L382" i="1" s="1"/>
  <c r="L383" i="1" s="1"/>
  <c r="L384" i="1" s="1"/>
  <c r="L367" i="1"/>
  <c r="L366" i="1"/>
  <c r="AK101" i="9"/>
  <c r="AK103" i="9" s="1"/>
  <c r="AK381" i="1"/>
  <c r="AK382" i="1" s="1"/>
  <c r="AK383" i="1" s="1"/>
  <c r="AK384" i="1" s="1"/>
  <c r="AK367" i="1"/>
  <c r="AK366" i="1"/>
  <c r="BD39" i="1"/>
  <c r="AQ144" i="9"/>
  <c r="AQ148" i="9" s="1"/>
  <c r="AK43" i="9"/>
  <c r="AK42" i="1"/>
  <c r="AK47" i="9" s="1"/>
  <c r="K76" i="9"/>
  <c r="K256" i="1"/>
  <c r="K248" i="1"/>
  <c r="K251" i="1"/>
  <c r="Y92" i="9"/>
  <c r="F76" i="9"/>
  <c r="F256" i="1"/>
  <c r="F248" i="1"/>
  <c r="F251" i="1"/>
  <c r="AN167" i="9"/>
  <c r="AS152" i="9"/>
  <c r="AN125" i="9"/>
  <c r="AN122" i="9" s="1"/>
  <c r="AN98" i="9"/>
  <c r="F166" i="9"/>
  <c r="F71" i="9"/>
  <c r="BI39" i="9"/>
  <c r="BI38" i="1"/>
  <c r="G166" i="9"/>
  <c r="G71" i="9"/>
  <c r="O95" i="9"/>
  <c r="O665" i="1"/>
  <c r="BC140" i="9"/>
  <c r="BC141" i="9" s="1"/>
  <c r="BK140" i="9"/>
  <c r="BK141" i="9" s="1"/>
  <c r="BN108" i="9"/>
  <c r="BG660" i="1"/>
  <c r="BK167" i="9"/>
  <c r="BK98" i="9"/>
  <c r="AD78" i="1"/>
  <c r="AF83" i="9"/>
  <c r="AF405" i="1"/>
  <c r="AF150" i="1"/>
  <c r="AP44" i="9"/>
  <c r="AP43" i="1"/>
  <c r="AP48" i="9" s="1"/>
  <c r="AJ44" i="9"/>
  <c r="AJ43" i="1"/>
  <c r="AJ48" i="9" s="1"/>
  <c r="AG578" i="1"/>
  <c r="AI143" i="9"/>
  <c r="AM144" i="9" s="1"/>
  <c r="AI238" i="1"/>
  <c r="AI226" i="1"/>
  <c r="AI231" i="1"/>
  <c r="AI149" i="1" s="1"/>
  <c r="AI97" i="9" s="1"/>
  <c r="AI143" i="1"/>
  <c r="AI95" i="9" s="1"/>
  <c r="U84" i="9"/>
  <c r="U144" i="1"/>
  <c r="U96" i="9" s="1"/>
  <c r="BE242" i="1"/>
  <c r="BE254" i="1"/>
  <c r="BE253" i="1"/>
  <c r="Y140" i="9"/>
  <c r="Y141" i="9" s="1"/>
  <c r="AX140" i="9"/>
  <c r="AX141" i="9" s="1"/>
  <c r="BU628" i="1"/>
  <c r="BT525" i="1"/>
  <c r="BT395" i="1"/>
  <c r="BT9" i="9" s="1"/>
  <c r="AJ147" i="9"/>
  <c r="AJ148" i="9" s="1"/>
  <c r="AG147" i="9"/>
  <c r="AG148" i="9" s="1"/>
  <c r="BQ642" i="1"/>
  <c r="BP430" i="1"/>
  <c r="BP10" i="9" s="1"/>
  <c r="C95" i="9"/>
  <c r="C665" i="1"/>
  <c r="AQ140" i="9"/>
  <c r="AY140" i="9"/>
  <c r="AY141" i="9" s="1"/>
  <c r="AV660" i="1"/>
  <c r="BP426" i="1"/>
  <c r="BV423" i="1"/>
  <c r="BV267" i="1" s="1"/>
  <c r="BR32" i="9"/>
  <c r="BS27" i="1"/>
  <c r="BR35" i="1"/>
  <c r="BR40" i="9" s="1"/>
  <c r="BR31" i="1"/>
  <c r="BR36" i="9" s="1"/>
  <c r="AJ76" i="9"/>
  <c r="AJ256" i="1"/>
  <c r="AJ248" i="1"/>
  <c r="AJ251" i="1"/>
  <c r="BS31" i="9"/>
  <c r="BS30" i="1"/>
  <c r="BS35" i="9" s="1"/>
  <c r="BT26" i="1"/>
  <c r="AU42" i="1"/>
  <c r="AU47" i="9" s="1"/>
  <c r="AZ83" i="9"/>
  <c r="BB125" i="9" s="1"/>
  <c r="BB122" i="9" s="1"/>
  <c r="AZ405" i="1"/>
  <c r="AZ150" i="1"/>
  <c r="AG577" i="1"/>
  <c r="AO166" i="9"/>
  <c r="AO71" i="9"/>
  <c r="R166" i="9"/>
  <c r="R71" i="9"/>
  <c r="AR577" i="1"/>
  <c r="AG660" i="1"/>
  <c r="BD140" i="9"/>
  <c r="BD141" i="9" s="1"/>
  <c r="N660" i="1"/>
  <c r="BA140" i="9"/>
  <c r="BA141" i="9" s="1"/>
  <c r="AN132" i="9"/>
  <c r="AQ132" i="9"/>
  <c r="AP132" i="9"/>
  <c r="AZ43" i="1"/>
  <c r="AZ48" i="9" s="1"/>
  <c r="AA83" i="9"/>
  <c r="AD125" i="9" s="1"/>
  <c r="AD122" i="9" s="1"/>
  <c r="AA405" i="1"/>
  <c r="AA150" i="1"/>
  <c r="AE667" i="1"/>
  <c r="AE232" i="1"/>
  <c r="V166" i="9"/>
  <c r="V71" i="9"/>
  <c r="BL577" i="1"/>
  <c r="BQ574" i="1"/>
  <c r="BH83" i="9"/>
  <c r="BK125" i="9" s="1"/>
  <c r="BK122" i="9" s="1"/>
  <c r="BH405" i="1"/>
  <c r="BH150" i="1"/>
  <c r="BI166" i="9"/>
  <c r="BI71" i="9"/>
  <c r="AS147" i="9"/>
  <c r="AS148" i="9" s="1"/>
  <c r="BJ147" i="9"/>
  <c r="AZ101" i="9"/>
  <c r="AZ103" i="9" s="1"/>
  <c r="AZ381" i="1"/>
  <c r="AZ382" i="1" s="1"/>
  <c r="AZ383" i="1" s="1"/>
  <c r="AZ384" i="1" s="1"/>
  <c r="AZ367" i="1"/>
  <c r="AZ366" i="1"/>
  <c r="BA101" i="9"/>
  <c r="BA103" i="9" s="1"/>
  <c r="BA381" i="1"/>
  <c r="BA382" i="1" s="1"/>
  <c r="BA383" i="1" s="1"/>
  <c r="BA384" i="1" s="1"/>
  <c r="BA367" i="1"/>
  <c r="BA366" i="1"/>
  <c r="AT672" i="1"/>
  <c r="AP564" i="1"/>
  <c r="AQ660" i="1" s="1"/>
  <c r="AM84" i="9"/>
  <c r="AM144" i="1"/>
  <c r="AM96" i="9" s="1"/>
  <c r="F101" i="9"/>
  <c r="F103" i="9" s="1"/>
  <c r="F381" i="1"/>
  <c r="F382" i="1" s="1"/>
  <c r="F383" i="1" s="1"/>
  <c r="F384" i="1" s="1"/>
  <c r="F367" i="1"/>
  <c r="F366" i="1"/>
  <c r="AT667" i="1"/>
  <c r="AT232" i="1"/>
  <c r="W661" i="1"/>
  <c r="AR152" i="9"/>
  <c r="AM167" i="9"/>
  <c r="AM98" i="9"/>
  <c r="BK166" i="9"/>
  <c r="BK71" i="9"/>
  <c r="AK42" i="9"/>
  <c r="AK41" i="1"/>
  <c r="AK46" i="9" s="1"/>
  <c r="BH143" i="9"/>
  <c r="BH238" i="1"/>
  <c r="BH226" i="1"/>
  <c r="BH231" i="1"/>
  <c r="BH149" i="1" s="1"/>
  <c r="BH97" i="9" s="1"/>
  <c r="BH143" i="1"/>
  <c r="BH95" i="9" s="1"/>
  <c r="Y143" i="9"/>
  <c r="AA144" i="9" s="1"/>
  <c r="Y226" i="1"/>
  <c r="Y231" i="1"/>
  <c r="Y149" i="1" s="1"/>
  <c r="Y97" i="9" s="1"/>
  <c r="Y143" i="1"/>
  <c r="Y95" i="9" s="1"/>
  <c r="Y238" i="1"/>
  <c r="BB167" i="9"/>
  <c r="BG152" i="9"/>
  <c r="BB98" i="9"/>
  <c r="BH91" i="9"/>
  <c r="S76" i="9"/>
  <c r="S256" i="1"/>
  <c r="S248" i="1"/>
  <c r="S251" i="1"/>
  <c r="AG166" i="9"/>
  <c r="AG71" i="9"/>
  <c r="BR27" i="9"/>
  <c r="BS21" i="1"/>
  <c r="AE166" i="9"/>
  <c r="AE71" i="9"/>
  <c r="Z166" i="9"/>
  <c r="Z71" i="9"/>
  <c r="AS84" i="9"/>
  <c r="AS144" i="1"/>
  <c r="AS96" i="9" s="1"/>
  <c r="U140" i="9"/>
  <c r="U141" i="9" s="1"/>
  <c r="BN624" i="1"/>
  <c r="BL101" i="9"/>
  <c r="BL103" i="9" s="1"/>
  <c r="BL381" i="1"/>
  <c r="BL382" i="1" s="1"/>
  <c r="BL383" i="1" s="1"/>
  <c r="BL384" i="1" s="1"/>
  <c r="BL367" i="1"/>
  <c r="BL366" i="1"/>
  <c r="P672" i="1"/>
  <c r="L564" i="1"/>
  <c r="L660" i="1" s="1"/>
  <c r="AO672" i="1"/>
  <c r="AK564" i="1"/>
  <c r="BI28" i="9"/>
  <c r="BI13" i="1"/>
  <c r="BI20" i="9" s="1"/>
  <c r="BE43" i="9"/>
  <c r="BE42" i="1"/>
  <c r="BE47" i="9" s="1"/>
  <c r="S140" i="9"/>
  <c r="S141" i="9" s="1"/>
  <c r="BK660" i="1"/>
  <c r="AB147" i="9"/>
  <c r="AA140" i="9"/>
  <c r="AA141" i="9" s="1"/>
  <c r="J660" i="1"/>
  <c r="AN147" i="9"/>
  <c r="AN148" i="9" s="1"/>
  <c r="AQ101" i="9"/>
  <c r="AQ103" i="9" s="1"/>
  <c r="AQ381" i="1"/>
  <c r="AQ382" i="1" s="1"/>
  <c r="AQ383" i="1" s="1"/>
  <c r="AQ384" i="1" s="1"/>
  <c r="AQ367" i="1"/>
  <c r="AQ366" i="1"/>
  <c r="AG132" i="9"/>
  <c r="AG141" i="9" s="1"/>
  <c r="AE672" i="1"/>
  <c r="E76" i="9"/>
  <c r="E256" i="1"/>
  <c r="E248" i="1"/>
  <c r="E251" i="1"/>
  <c r="AJ180" i="1"/>
  <c r="AJ184" i="1" s="1"/>
  <c r="AJ191" i="1" s="1"/>
  <c r="S144" i="9"/>
  <c r="AU144" i="9"/>
  <c r="AT40" i="9"/>
  <c r="AT39" i="1"/>
  <c r="AS166" i="9"/>
  <c r="AS71" i="9"/>
  <c r="F140" i="9"/>
  <c r="F141" i="9" s="1"/>
  <c r="AH578" i="1"/>
  <c r="AJ166" i="9"/>
  <c r="AJ71" i="9"/>
  <c r="P294" i="1"/>
  <c r="P298" i="1" s="1"/>
  <c r="L294" i="1"/>
  <c r="L298" i="1" s="1"/>
  <c r="K311" i="1"/>
  <c r="K327" i="1" s="1"/>
  <c r="U242" i="1"/>
  <c r="U254" i="1"/>
  <c r="BE95" i="9"/>
  <c r="BE665" i="1"/>
  <c r="N140" i="9"/>
  <c r="N141" i="9" s="1"/>
  <c r="AD101" i="9"/>
  <c r="AD103" i="9" s="1"/>
  <c r="AD381" i="1"/>
  <c r="AD382" i="1" s="1"/>
  <c r="AD383" i="1" s="1"/>
  <c r="AD384" i="1" s="1"/>
  <c r="AD367" i="1"/>
  <c r="AD366" i="1"/>
  <c r="AW147" i="9"/>
  <c r="AW148" i="9" s="1"/>
  <c r="X101" i="9"/>
  <c r="X103" i="9" s="1"/>
  <c r="X367" i="1"/>
  <c r="X366" i="1"/>
  <c r="X381" i="1"/>
  <c r="X382" i="1" s="1"/>
  <c r="X383" i="1" s="1"/>
  <c r="X384" i="1" s="1"/>
  <c r="P101" i="9"/>
  <c r="P103" i="9" s="1"/>
  <c r="P381" i="1"/>
  <c r="P382" i="1" s="1"/>
  <c r="P383" i="1" s="1"/>
  <c r="P384" i="1" s="1"/>
  <c r="P367" i="1"/>
  <c r="P366" i="1"/>
  <c r="BC166" i="9"/>
  <c r="BC71" i="9"/>
  <c r="BR39" i="9"/>
  <c r="BR17" i="1"/>
  <c r="AD167" i="9"/>
  <c r="AI152" i="9"/>
  <c r="AD98" i="9"/>
  <c r="BD667" i="1"/>
  <c r="BD232" i="1"/>
  <c r="AH246" i="1"/>
  <c r="AH655" i="1"/>
  <c r="AH656" i="1"/>
  <c r="AT38" i="9"/>
  <c r="AT37" i="1"/>
  <c r="BJ166" i="9"/>
  <c r="BJ71" i="9"/>
  <c r="BH101" i="9"/>
  <c r="BH103" i="9" s="1"/>
  <c r="BH381" i="1"/>
  <c r="BH382" i="1" s="1"/>
  <c r="BH383" i="1" s="1"/>
  <c r="BH384" i="1" s="1"/>
  <c r="BH367" i="1"/>
  <c r="BH366" i="1"/>
  <c r="AR660" i="1"/>
  <c r="Q140" i="9"/>
  <c r="Q141" i="9" s="1"/>
  <c r="AS101" i="9"/>
  <c r="AS103" i="9" s="1"/>
  <c r="AS367" i="1"/>
  <c r="AS366" i="1"/>
  <c r="AS381" i="1"/>
  <c r="AS382" i="1" s="1"/>
  <c r="AS383" i="1" s="1"/>
  <c r="AS384" i="1" s="1"/>
  <c r="AJ101" i="9"/>
  <c r="AJ103" i="9" s="1"/>
  <c r="AJ381" i="1"/>
  <c r="AJ382" i="1" s="1"/>
  <c r="AJ383" i="1" s="1"/>
  <c r="AJ384" i="1" s="1"/>
  <c r="AJ367" i="1"/>
  <c r="AJ366" i="1"/>
  <c r="BG147" i="9"/>
  <c r="BG148" i="9" s="1"/>
  <c r="BA137" i="9"/>
  <c r="AA663" i="1"/>
  <c r="AB566" i="1"/>
  <c r="AB567" i="1" s="1"/>
  <c r="AA571" i="1"/>
  <c r="E740" i="1"/>
  <c r="E754" i="1"/>
  <c r="E747" i="1"/>
  <c r="F757" i="1"/>
  <c r="E761" i="1"/>
  <c r="F750" i="1"/>
  <c r="C761" i="1"/>
  <c r="F743" i="1"/>
  <c r="D761" i="1"/>
  <c r="BM423" i="1" l="1"/>
  <c r="BM267" i="1" s="1"/>
  <c r="BQ423" i="1"/>
  <c r="BQ267" i="1" s="1"/>
  <c r="BS423" i="1"/>
  <c r="BS267" i="1" s="1"/>
  <c r="BQ426" i="1"/>
  <c r="BM426" i="1"/>
  <c r="BR423" i="1"/>
  <c r="BR267" i="1" s="1"/>
  <c r="BS426" i="1"/>
  <c r="BR426" i="1"/>
  <c r="BN423" i="1"/>
  <c r="BN267" i="1" s="1"/>
  <c r="BT423" i="1"/>
  <c r="BT267" i="1" s="1"/>
  <c r="BV426" i="1"/>
  <c r="BN426" i="1"/>
  <c r="BT426" i="1"/>
  <c r="BO423" i="1"/>
  <c r="BO267" i="1" s="1"/>
  <c r="BU423" i="1"/>
  <c r="BU267" i="1" s="1"/>
  <c r="BO426" i="1"/>
  <c r="BU426" i="1"/>
  <c r="AF141" i="9"/>
  <c r="L148" i="9"/>
  <c r="J141" i="9"/>
  <c r="BJ116" i="9"/>
  <c r="BJ118" i="9" s="1"/>
  <c r="BJ155" i="9"/>
  <c r="BE107" i="9"/>
  <c r="BE113" i="9" s="1"/>
  <c r="BE170" i="9" s="1"/>
  <c r="BE116" i="9"/>
  <c r="BE118" i="9" s="1"/>
  <c r="BC154" i="9"/>
  <c r="AX105" i="9"/>
  <c r="AX107" i="9" s="1"/>
  <c r="AX113" i="9" s="1"/>
  <c r="AX170" i="9" s="1"/>
  <c r="AM115" i="9"/>
  <c r="AM105" i="9"/>
  <c r="AX385" i="1"/>
  <c r="AX386" i="1" s="1"/>
  <c r="AX387" i="1" s="1"/>
  <c r="AX388" i="1" s="1"/>
  <c r="AX368" i="1"/>
  <c r="N154" i="9"/>
  <c r="N105" i="9"/>
  <c r="N115" i="9"/>
  <c r="I385" i="1"/>
  <c r="I386" i="1" s="1"/>
  <c r="I387" i="1" s="1"/>
  <c r="I388" i="1" s="1"/>
  <c r="I368" i="1"/>
  <c r="BK385" i="1"/>
  <c r="BK386" i="1" s="1"/>
  <c r="BK387" i="1" s="1"/>
  <c r="BK388" i="1" s="1"/>
  <c r="BK368" i="1"/>
  <c r="N385" i="1"/>
  <c r="N386" i="1" s="1"/>
  <c r="N387" i="1" s="1"/>
  <c r="N388" i="1" s="1"/>
  <c r="N368" i="1"/>
  <c r="I115" i="9"/>
  <c r="I105" i="9"/>
  <c r="U385" i="1"/>
  <c r="U386" i="1" s="1"/>
  <c r="U387" i="1" s="1"/>
  <c r="U388" i="1" s="1"/>
  <c r="U368" i="1"/>
  <c r="U416" i="1" s="1"/>
  <c r="BD385" i="1"/>
  <c r="BD386" i="1" s="1"/>
  <c r="BD387" i="1" s="1"/>
  <c r="BD388" i="1" s="1"/>
  <c r="BD368" i="1"/>
  <c r="BD416" i="1" s="1"/>
  <c r="BK115" i="9"/>
  <c r="BK105" i="9"/>
  <c r="U105" i="9"/>
  <c r="U115" i="9"/>
  <c r="U161" i="9" s="1"/>
  <c r="U126" i="9"/>
  <c r="U123" i="9" s="1"/>
  <c r="AG385" i="1"/>
  <c r="AG386" i="1" s="1"/>
  <c r="AG387" i="1" s="1"/>
  <c r="AG388" i="1" s="1"/>
  <c r="AG368" i="1"/>
  <c r="BD126" i="9"/>
  <c r="BD123" i="9" s="1"/>
  <c r="BD115" i="9"/>
  <c r="BD161" i="9" s="1"/>
  <c r="BD105" i="9"/>
  <c r="BD154" i="9"/>
  <c r="H385" i="1"/>
  <c r="H386" i="1" s="1"/>
  <c r="H387" i="1" s="1"/>
  <c r="H388" i="1" s="1"/>
  <c r="H368" i="1"/>
  <c r="AG115" i="9"/>
  <c r="AG105" i="9"/>
  <c r="H115" i="9"/>
  <c r="H105" i="9"/>
  <c r="C385" i="1"/>
  <c r="C386" i="1" s="1"/>
  <c r="C387" i="1" s="1"/>
  <c r="C388" i="1" s="1"/>
  <c r="C368" i="1"/>
  <c r="BI385" i="1"/>
  <c r="BI386" i="1" s="1"/>
  <c r="BI387" i="1" s="1"/>
  <c r="BI388" i="1" s="1"/>
  <c r="BI368" i="1"/>
  <c r="BI416" i="1" s="1"/>
  <c r="AL154" i="9"/>
  <c r="AL115" i="9"/>
  <c r="AL105" i="9"/>
  <c r="C126" i="9"/>
  <c r="C123" i="9" s="1"/>
  <c r="C105" i="9"/>
  <c r="C107" i="9" s="1"/>
  <c r="C113" i="9" s="1"/>
  <c r="C170" i="9" s="1"/>
  <c r="AL368" i="1"/>
  <c r="AL385" i="1"/>
  <c r="AL386" i="1" s="1"/>
  <c r="AL387" i="1" s="1"/>
  <c r="AL388" i="1" s="1"/>
  <c r="BI126" i="9"/>
  <c r="BI123" i="9" s="1"/>
  <c r="BI105" i="9"/>
  <c r="BI154" i="9"/>
  <c r="BI115" i="9"/>
  <c r="BI161" i="9" s="1"/>
  <c r="AM385" i="1"/>
  <c r="AM386" i="1" s="1"/>
  <c r="AM387" i="1" s="1"/>
  <c r="AM388" i="1" s="1"/>
  <c r="AM368" i="1"/>
  <c r="Z385" i="1"/>
  <c r="Z386" i="1" s="1"/>
  <c r="Z387" i="1" s="1"/>
  <c r="Z388" i="1" s="1"/>
  <c r="Z368" i="1"/>
  <c r="Z416" i="1" s="1"/>
  <c r="AY385" i="1"/>
  <c r="AY386" i="1" s="1"/>
  <c r="AY387" i="1" s="1"/>
  <c r="AY388" i="1" s="1"/>
  <c r="AY368" i="1"/>
  <c r="AY416" i="1" s="1"/>
  <c r="Z154" i="9"/>
  <c r="Z126" i="9"/>
  <c r="Z123" i="9" s="1"/>
  <c r="Z105" i="9"/>
  <c r="Z115" i="9"/>
  <c r="Z161" i="9" s="1"/>
  <c r="AY115" i="9"/>
  <c r="AY161" i="9" s="1"/>
  <c r="AY105" i="9"/>
  <c r="AY126" i="9"/>
  <c r="AY123" i="9" s="1"/>
  <c r="AR154" i="9"/>
  <c r="Q656" i="1"/>
  <c r="Q655" i="1"/>
  <c r="Q246" i="1"/>
  <c r="R661" i="1"/>
  <c r="AV125" i="9"/>
  <c r="AV122" i="9" s="1"/>
  <c r="G655" i="1"/>
  <c r="G661" i="1"/>
  <c r="G246" i="1"/>
  <c r="G656" i="1"/>
  <c r="AL125" i="9"/>
  <c r="AL122" i="9" s="1"/>
  <c r="AW655" i="1"/>
  <c r="AW656" i="1"/>
  <c r="AV661" i="1"/>
  <c r="AW246" i="1"/>
  <c r="BG655" i="1"/>
  <c r="BG656" i="1"/>
  <c r="BG246" i="1"/>
  <c r="H655" i="1"/>
  <c r="H656" i="1"/>
  <c r="M661" i="1"/>
  <c r="H246" i="1"/>
  <c r="V661" i="1"/>
  <c r="W655" i="1"/>
  <c r="W656" i="1"/>
  <c r="W246" i="1"/>
  <c r="AF656" i="1"/>
  <c r="AF655" i="1"/>
  <c r="AF246" i="1"/>
  <c r="X655" i="1"/>
  <c r="X656" i="1"/>
  <c r="X246" i="1"/>
  <c r="AC661" i="1"/>
  <c r="E745" i="1"/>
  <c r="D759" i="1"/>
  <c r="E759" i="1"/>
  <c r="A759" i="1"/>
  <c r="E738" i="1"/>
  <c r="E752" i="1"/>
  <c r="C759" i="1"/>
  <c r="AX126" i="9"/>
  <c r="AX123" i="9" s="1"/>
  <c r="F756" i="1"/>
  <c r="F742" i="1"/>
  <c r="F749" i="1"/>
  <c r="F763" i="1"/>
  <c r="AO154" i="9"/>
  <c r="AJ126" i="9"/>
  <c r="AJ123" i="9" s="1"/>
  <c r="AJ115" i="9"/>
  <c r="AJ161" i="9" s="1"/>
  <c r="AJ105" i="9"/>
  <c r="AX154" i="9"/>
  <c r="AS126" i="9"/>
  <c r="AS123" i="9" s="1"/>
  <c r="AS115" i="9"/>
  <c r="AS105" i="9"/>
  <c r="P385" i="1"/>
  <c r="P368" i="1"/>
  <c r="P416" i="1" s="1"/>
  <c r="AD385" i="1"/>
  <c r="AD386" i="1" s="1"/>
  <c r="AD387" i="1" s="1"/>
  <c r="AD388" i="1" s="1"/>
  <c r="AD368" i="1"/>
  <c r="AQ385" i="1"/>
  <c r="AQ386" i="1" s="1"/>
  <c r="AQ387" i="1" s="1"/>
  <c r="AQ388" i="1" s="1"/>
  <c r="AQ368" i="1"/>
  <c r="S169" i="9"/>
  <c r="S134" i="9"/>
  <c r="Y242" i="1"/>
  <c r="Y253" i="1"/>
  <c r="Y254" i="1"/>
  <c r="K154" i="9"/>
  <c r="F115" i="9"/>
  <c r="F161" i="9" s="1"/>
  <c r="F126" i="9"/>
  <c r="F123" i="9" s="1"/>
  <c r="F105" i="9"/>
  <c r="BA385" i="1"/>
  <c r="BA386" i="1" s="1"/>
  <c r="BA387" i="1" s="1"/>
  <c r="BA388" i="1" s="1"/>
  <c r="BA368" i="1"/>
  <c r="AA167" i="9"/>
  <c r="AF152" i="9"/>
  <c r="AA125" i="9"/>
  <c r="AA122" i="9" s="1"/>
  <c r="AA98" i="9"/>
  <c r="AA152" i="9"/>
  <c r="AZ167" i="9"/>
  <c r="BE152" i="9"/>
  <c r="AZ125" i="9"/>
  <c r="AZ122" i="9" s="1"/>
  <c r="AZ98" i="9"/>
  <c r="AJ85" i="9"/>
  <c r="AJ258" i="1"/>
  <c r="BS32" i="9"/>
  <c r="BS31" i="1"/>
  <c r="BS36" i="9" s="1"/>
  <c r="K85" i="9"/>
  <c r="K258" i="1"/>
  <c r="L385" i="1"/>
  <c r="L386" i="1" s="1"/>
  <c r="L387" i="1" s="1"/>
  <c r="L388" i="1" s="1"/>
  <c r="L368" i="1"/>
  <c r="BS613" i="1"/>
  <c r="AO42" i="9"/>
  <c r="AO41" i="1"/>
  <c r="AO46" i="9" s="1"/>
  <c r="AU154" i="9"/>
  <c r="AP126" i="9"/>
  <c r="AP123" i="9" s="1"/>
  <c r="AP115" i="9"/>
  <c r="AP105" i="9"/>
  <c r="AU148" i="9"/>
  <c r="T385" i="1"/>
  <c r="T386" i="1" s="1"/>
  <c r="T387" i="1" s="1"/>
  <c r="T388" i="1" s="1"/>
  <c r="T368" i="1"/>
  <c r="AU78" i="9"/>
  <c r="AU257" i="1"/>
  <c r="AU79" i="9" s="1"/>
  <c r="AV78" i="9"/>
  <c r="AV257" i="1"/>
  <c r="AV79" i="9" s="1"/>
  <c r="AV283" i="1"/>
  <c r="D126" i="9"/>
  <c r="D123" i="9" s="1"/>
  <c r="D105" i="9"/>
  <c r="D107" i="9" s="1"/>
  <c r="D113" i="9" s="1"/>
  <c r="D170" i="9" s="1"/>
  <c r="AN154" i="9"/>
  <c r="AI126" i="9"/>
  <c r="AI123" i="9" s="1"/>
  <c r="AI105" i="9"/>
  <c r="AI115" i="9"/>
  <c r="AD169" i="9"/>
  <c r="AD134" i="9"/>
  <c r="AU385" i="1"/>
  <c r="AU386" i="1" s="1"/>
  <c r="AU387" i="1" s="1"/>
  <c r="AU388" i="1" s="1"/>
  <c r="AU368" i="1"/>
  <c r="AY571" i="1"/>
  <c r="AE663" i="1"/>
  <c r="AE571" i="1"/>
  <c r="AB385" i="1"/>
  <c r="AB386" i="1" s="1"/>
  <c r="AB387" i="1" s="1"/>
  <c r="AB388" i="1" s="1"/>
  <c r="AB368" i="1"/>
  <c r="M78" i="9"/>
  <c r="M257" i="1"/>
  <c r="M79" i="9" s="1"/>
  <c r="M283" i="1"/>
  <c r="V385" i="1"/>
  <c r="V386" i="1" s="1"/>
  <c r="V387" i="1" s="1"/>
  <c r="V388" i="1" s="1"/>
  <c r="V368" i="1"/>
  <c r="BB85" i="9"/>
  <c r="BB258" i="1"/>
  <c r="BB86" i="9" s="1"/>
  <c r="BB119" i="9" s="1"/>
  <c r="Q385" i="1"/>
  <c r="Q386" i="1" s="1"/>
  <c r="Q387" i="1" s="1"/>
  <c r="Q388" i="1" s="1"/>
  <c r="Q368" i="1"/>
  <c r="BI169" i="9"/>
  <c r="BI134" i="9"/>
  <c r="BI135" i="9" s="1"/>
  <c r="R154" i="9"/>
  <c r="M115" i="9"/>
  <c r="M126" i="9"/>
  <c r="M123" i="9" s="1"/>
  <c r="M105" i="9"/>
  <c r="M154" i="9"/>
  <c r="N126" i="9"/>
  <c r="N123" i="9" s="1"/>
  <c r="N169" i="9"/>
  <c r="N134" i="9"/>
  <c r="BD85" i="9"/>
  <c r="BD258" i="1"/>
  <c r="AI166" i="9"/>
  <c r="AI71" i="9"/>
  <c r="AH148" i="9"/>
  <c r="BI44" i="9"/>
  <c r="BI43" i="1"/>
  <c r="BI48" i="9" s="1"/>
  <c r="I661" i="1"/>
  <c r="I246" i="1"/>
  <c r="I656" i="1"/>
  <c r="I655" i="1"/>
  <c r="N661" i="1"/>
  <c r="K669" i="1"/>
  <c r="AD154" i="9"/>
  <c r="Y115" i="9"/>
  <c r="Y126" i="9"/>
  <c r="Y123" i="9" s="1"/>
  <c r="Y105" i="9"/>
  <c r="AA126" i="9"/>
  <c r="AA123" i="9" s="1"/>
  <c r="E385" i="1"/>
  <c r="E386" i="1" s="1"/>
  <c r="E387" i="1" s="1"/>
  <c r="E388" i="1" s="1"/>
  <c r="E368" i="1"/>
  <c r="BL141" i="9"/>
  <c r="D78" i="9"/>
  <c r="D257" i="1"/>
  <c r="D79" i="9" s="1"/>
  <c r="L85" i="9"/>
  <c r="L258" i="1"/>
  <c r="L86" i="9" s="1"/>
  <c r="L119" i="9" s="1"/>
  <c r="BP22" i="9"/>
  <c r="BP18" i="1"/>
  <c r="BP7" i="1"/>
  <c r="BP14" i="9" s="1"/>
  <c r="Z169" i="9"/>
  <c r="Z134" i="9"/>
  <c r="Z135" i="9" s="1"/>
  <c r="AM661" i="1"/>
  <c r="AM246" i="1"/>
  <c r="AM655" i="1"/>
  <c r="AM656" i="1"/>
  <c r="AO669" i="1"/>
  <c r="AR661" i="1"/>
  <c r="AN141" i="9"/>
  <c r="BA147" i="9"/>
  <c r="BA148" i="9" s="1"/>
  <c r="BH126" i="9"/>
  <c r="BH123" i="9" s="1"/>
  <c r="BH115" i="9"/>
  <c r="BH105" i="9"/>
  <c r="BJ126" i="9"/>
  <c r="BJ123" i="9" s="1"/>
  <c r="BK126" i="9"/>
  <c r="BK123" i="9" s="1"/>
  <c r="U294" i="1"/>
  <c r="U298" i="1" s="1"/>
  <c r="Q294" i="1"/>
  <c r="Q298" i="1" s="1"/>
  <c r="P311" i="1"/>
  <c r="P327" i="1" s="1"/>
  <c r="E85" i="9"/>
  <c r="E258" i="1"/>
  <c r="E86" i="9" s="1"/>
  <c r="E119" i="9" s="1"/>
  <c r="BL126" i="9"/>
  <c r="BL123" i="9" s="1"/>
  <c r="BL115" i="9"/>
  <c r="BL105" i="9"/>
  <c r="AT42" i="9"/>
  <c r="AT41" i="1"/>
  <c r="AT46" i="9" s="1"/>
  <c r="AY41" i="1"/>
  <c r="AY46" i="9" s="1"/>
  <c r="BD83" i="9"/>
  <c r="BD405" i="1"/>
  <c r="BD150" i="1"/>
  <c r="BR23" i="9"/>
  <c r="BR8" i="1"/>
  <c r="BR15" i="9" s="1"/>
  <c r="X385" i="1"/>
  <c r="X386" i="1" s="1"/>
  <c r="X387" i="1" s="1"/>
  <c r="X388" i="1" s="1"/>
  <c r="X368" i="1"/>
  <c r="AT44" i="9"/>
  <c r="AT43" i="1"/>
  <c r="AT48" i="9" s="1"/>
  <c r="E78" i="9"/>
  <c r="E257" i="1"/>
  <c r="E79" i="9" s="1"/>
  <c r="BN394" i="1"/>
  <c r="BN392" i="1"/>
  <c r="BH84" i="9"/>
  <c r="BH144" i="1"/>
  <c r="BH96" i="9" s="1"/>
  <c r="AT83" i="9"/>
  <c r="AT405" i="1"/>
  <c r="AT150" i="1"/>
  <c r="BE154" i="9"/>
  <c r="AZ126" i="9"/>
  <c r="AZ123" i="9" s="1"/>
  <c r="AZ105" i="9"/>
  <c r="AZ115" i="9"/>
  <c r="Y665" i="1"/>
  <c r="AJ78" i="9"/>
  <c r="AJ257" i="1"/>
  <c r="AJ79" i="9" s="1"/>
  <c r="AF167" i="9"/>
  <c r="AK152" i="9"/>
  <c r="AF125" i="9"/>
  <c r="AF122" i="9" s="1"/>
  <c r="AF98" i="9"/>
  <c r="F85" i="9"/>
  <c r="F258" i="1"/>
  <c r="K78" i="9"/>
  <c r="K257" i="1"/>
  <c r="K79" i="9" s="1"/>
  <c r="BD44" i="9"/>
  <c r="BD43" i="1"/>
  <c r="BD48" i="9" s="1"/>
  <c r="AE169" i="9"/>
  <c r="AE134" i="9"/>
  <c r="AE135" i="9" s="1"/>
  <c r="AE138" i="9" s="1"/>
  <c r="AU660" i="1"/>
  <c r="AV385" i="1"/>
  <c r="AV386" i="1" s="1"/>
  <c r="AV387" i="1" s="1"/>
  <c r="AV388" i="1" s="1"/>
  <c r="AV368" i="1"/>
  <c r="BP635" i="1"/>
  <c r="BP638" i="1" s="1"/>
  <c r="BQ393" i="1"/>
  <c r="T169" i="9"/>
  <c r="T134" i="9"/>
  <c r="BG385" i="1"/>
  <c r="BG386" i="1" s="1"/>
  <c r="BG387" i="1" s="1"/>
  <c r="BG388" i="1" s="1"/>
  <c r="BG368" i="1"/>
  <c r="O661" i="1"/>
  <c r="O246" i="1"/>
  <c r="O655" i="1"/>
  <c r="O656" i="1"/>
  <c r="T661" i="1"/>
  <c r="Q661" i="1"/>
  <c r="P669" i="1"/>
  <c r="BF169" i="9"/>
  <c r="BF134" i="9"/>
  <c r="W385" i="1"/>
  <c r="W386" i="1" s="1"/>
  <c r="W387" i="1" s="1"/>
  <c r="W388" i="1" s="1"/>
  <c r="W368" i="1"/>
  <c r="BI42" i="9"/>
  <c r="BI41" i="1"/>
  <c r="BI46" i="9" s="1"/>
  <c r="BH665" i="1"/>
  <c r="AZ169" i="9"/>
  <c r="AZ134" i="9"/>
  <c r="Q660" i="1"/>
  <c r="AO85" i="9"/>
  <c r="AO258" i="1"/>
  <c r="BT38" i="9"/>
  <c r="BC385" i="1"/>
  <c r="BC386" i="1" s="1"/>
  <c r="BC387" i="1" s="1"/>
  <c r="BC388" i="1" s="1"/>
  <c r="BC368" i="1"/>
  <c r="AY154" i="9"/>
  <c r="AT126" i="9"/>
  <c r="AT123" i="9" s="1"/>
  <c r="AT115" i="9"/>
  <c r="AT161" i="9" s="1"/>
  <c r="AT105" i="9"/>
  <c r="AP85" i="9"/>
  <c r="AP258" i="1"/>
  <c r="AP86" i="9" s="1"/>
  <c r="AP119" i="9" s="1"/>
  <c r="R660" i="1"/>
  <c r="O385" i="1"/>
  <c r="O386" i="1" s="1"/>
  <c r="O387" i="1" s="1"/>
  <c r="O388" i="1" s="1"/>
  <c r="O368" i="1"/>
  <c r="BB78" i="9"/>
  <c r="BB257" i="1"/>
  <c r="BB79" i="9" s="1"/>
  <c r="BB283" i="1"/>
  <c r="AT76" i="9"/>
  <c r="AT256" i="1"/>
  <c r="AT251" i="1"/>
  <c r="AT248" i="1"/>
  <c r="AG125" i="9"/>
  <c r="AG122" i="9" s="1"/>
  <c r="P169" i="9"/>
  <c r="P134" i="9"/>
  <c r="P135" i="9" s="1"/>
  <c r="AO44" i="9"/>
  <c r="AO43" i="1"/>
  <c r="AO48" i="9" s="1"/>
  <c r="R85" i="9"/>
  <c r="R258" i="1"/>
  <c r="R86" i="9" s="1"/>
  <c r="R119" i="9" s="1"/>
  <c r="AK167" i="9"/>
  <c r="AP152" i="9"/>
  <c r="AK125" i="9"/>
  <c r="AK122" i="9" s="1"/>
  <c r="AK98" i="9"/>
  <c r="BD78" i="9"/>
  <c r="BD257" i="1"/>
  <c r="BD79" i="9" s="1"/>
  <c r="AW385" i="1"/>
  <c r="AW386" i="1" s="1"/>
  <c r="AW387" i="1" s="1"/>
  <c r="AW388" i="1" s="1"/>
  <c r="AW368" i="1"/>
  <c r="AO571" i="1"/>
  <c r="AO663" i="1"/>
  <c r="AC125" i="9"/>
  <c r="AC122" i="9" s="1"/>
  <c r="BK154" i="9"/>
  <c r="BF126" i="9"/>
  <c r="BF123" i="9" s="1"/>
  <c r="BF115" i="9"/>
  <c r="BF105" i="9"/>
  <c r="S148" i="9"/>
  <c r="BB385" i="1"/>
  <c r="BB386" i="1" s="1"/>
  <c r="BB387" i="1" s="1"/>
  <c r="BB388" i="1" s="1"/>
  <c r="BB368" i="1"/>
  <c r="BE167" i="9"/>
  <c r="BJ152" i="9"/>
  <c r="BE125" i="9"/>
  <c r="BE122" i="9" s="1"/>
  <c r="BE98" i="9"/>
  <c r="AQ169" i="9"/>
  <c r="AQ134" i="9"/>
  <c r="BE148" i="9"/>
  <c r="AT154" i="9"/>
  <c r="AO126" i="9"/>
  <c r="AO123" i="9" s="1"/>
  <c r="AO115" i="9"/>
  <c r="AO161" i="9" s="1"/>
  <c r="AO105" i="9"/>
  <c r="BJ169" i="9"/>
  <c r="BJ134" i="9"/>
  <c r="BL78" i="9"/>
  <c r="BL283" i="1"/>
  <c r="BL257" i="1"/>
  <c r="BL79" i="9" s="1"/>
  <c r="BG125" i="9"/>
  <c r="BG122" i="9" s="1"/>
  <c r="D85" i="9"/>
  <c r="D258" i="1"/>
  <c r="D86" i="9" s="1"/>
  <c r="D119" i="9" s="1"/>
  <c r="AB125" i="9"/>
  <c r="AB122" i="9" s="1"/>
  <c r="L78" i="9"/>
  <c r="L257" i="1"/>
  <c r="L79" i="9" s="1"/>
  <c r="AL85" i="9"/>
  <c r="AL258" i="1"/>
  <c r="AL86" i="9" s="1"/>
  <c r="AL119" i="9" s="1"/>
  <c r="AP167" i="9"/>
  <c r="AU152" i="9"/>
  <c r="AP125" i="9"/>
  <c r="AP122" i="9" s="1"/>
  <c r="AP98" i="9"/>
  <c r="F78" i="9"/>
  <c r="F257" i="1"/>
  <c r="F79" i="9" s="1"/>
  <c r="F283" i="1"/>
  <c r="AK385" i="1"/>
  <c r="AK386" i="1" s="1"/>
  <c r="AK387" i="1" s="1"/>
  <c r="AK388" i="1" s="1"/>
  <c r="AK368" i="1"/>
  <c r="G1" i="9"/>
  <c r="G766" i="1"/>
  <c r="G762" i="1"/>
  <c r="G266" i="1"/>
  <c r="G3" i="1"/>
  <c r="H4" i="1"/>
  <c r="BN23" i="9"/>
  <c r="BN38" i="1"/>
  <c r="BN8" i="1"/>
  <c r="BN15" i="9" s="1"/>
  <c r="BC167" i="9"/>
  <c r="BH152" i="9"/>
  <c r="BC125" i="9"/>
  <c r="BC122" i="9" s="1"/>
  <c r="BC98" i="9"/>
  <c r="AU169" i="9"/>
  <c r="AU134" i="9"/>
  <c r="C661" i="1"/>
  <c r="C246" i="1"/>
  <c r="C656" i="1"/>
  <c r="C655" i="1"/>
  <c r="H661" i="1"/>
  <c r="D661" i="1"/>
  <c r="AV169" i="9"/>
  <c r="AV134" i="9"/>
  <c r="AX246" i="1"/>
  <c r="AX655" i="1"/>
  <c r="AX661" i="1"/>
  <c r="AZ661" i="1"/>
  <c r="AW661" i="1"/>
  <c r="AX656" i="1"/>
  <c r="P154" i="9"/>
  <c r="K126" i="9"/>
  <c r="K123" i="9" s="1"/>
  <c r="K115" i="9"/>
  <c r="K161" i="9" s="1"/>
  <c r="K105" i="9"/>
  <c r="AO78" i="9"/>
  <c r="AO257" i="1"/>
  <c r="AO79" i="9" s="1"/>
  <c r="BU30" i="9"/>
  <c r="BV25" i="1"/>
  <c r="BU33" i="1"/>
  <c r="AH125" i="9"/>
  <c r="AH122" i="9" s="1"/>
  <c r="AC85" i="9"/>
  <c r="AC258" i="1"/>
  <c r="AC86" i="9" s="1"/>
  <c r="AC119" i="9" s="1"/>
  <c r="AA661" i="1"/>
  <c r="AA246" i="1"/>
  <c r="AA656" i="1"/>
  <c r="AA655" i="1"/>
  <c r="AF661" i="1"/>
  <c r="AE669" i="1"/>
  <c r="AN246" i="1"/>
  <c r="AN656" i="1"/>
  <c r="AN655" i="1"/>
  <c r="AP78" i="9"/>
  <c r="AP257" i="1"/>
  <c r="AP79" i="9" s="1"/>
  <c r="AC385" i="1"/>
  <c r="AC386" i="1" s="1"/>
  <c r="AC387" i="1" s="1"/>
  <c r="AC388" i="1" s="1"/>
  <c r="AC368" i="1"/>
  <c r="AY669" i="1"/>
  <c r="AY661" i="1"/>
  <c r="AY246" i="1"/>
  <c r="AY656" i="1"/>
  <c r="AY655" i="1"/>
  <c r="BD661" i="1"/>
  <c r="M169" i="9"/>
  <c r="M134" i="9"/>
  <c r="R78" i="9"/>
  <c r="R257" i="1"/>
  <c r="R79" i="9" s="1"/>
  <c r="AR85" i="9"/>
  <c r="AR258" i="1"/>
  <c r="AR86" i="9" s="1"/>
  <c r="AR119" i="9" s="1"/>
  <c r="X154" i="9"/>
  <c r="S115" i="9"/>
  <c r="S126" i="9"/>
  <c r="S123" i="9" s="1"/>
  <c r="S105" i="9"/>
  <c r="S154" i="9"/>
  <c r="AJ154" i="9"/>
  <c r="AE115" i="9"/>
  <c r="AE161" i="9" s="1"/>
  <c r="AE126" i="9"/>
  <c r="AE123" i="9" s="1"/>
  <c r="AE105" i="9"/>
  <c r="AE154" i="9"/>
  <c r="R385" i="1"/>
  <c r="R386" i="1" s="1"/>
  <c r="R387" i="1" s="1"/>
  <c r="R388" i="1" s="1"/>
  <c r="R368" i="1"/>
  <c r="BA125" i="9"/>
  <c r="BA122" i="9" s="1"/>
  <c r="AO83" i="9"/>
  <c r="AO405" i="1"/>
  <c r="AO150" i="1"/>
  <c r="N497" i="1"/>
  <c r="M498" i="1"/>
  <c r="K2" i="9"/>
  <c r="L5" i="1"/>
  <c r="P5" i="1"/>
  <c r="J385" i="1"/>
  <c r="J386" i="1" s="1"/>
  <c r="J387" i="1" s="1"/>
  <c r="J388" i="1" s="1"/>
  <c r="J368" i="1"/>
  <c r="AH385" i="1"/>
  <c r="AH386" i="1" s="1"/>
  <c r="AH387" i="1" s="1"/>
  <c r="AH388" i="1" s="1"/>
  <c r="AH368" i="1"/>
  <c r="BA85" i="9"/>
  <c r="BA258" i="1"/>
  <c r="BA86" i="9" s="1"/>
  <c r="BA119" i="9" s="1"/>
  <c r="BL85" i="9"/>
  <c r="BL258" i="1"/>
  <c r="BL86" i="9" s="1"/>
  <c r="BL119" i="9" s="1"/>
  <c r="AN385" i="1"/>
  <c r="AN386" i="1" s="1"/>
  <c r="AN387" i="1" s="1"/>
  <c r="AN388" i="1" s="1"/>
  <c r="AN368" i="1"/>
  <c r="AS661" i="1"/>
  <c r="AS246" i="1"/>
  <c r="AS656" i="1"/>
  <c r="AS655" i="1"/>
  <c r="AU661" i="1"/>
  <c r="AL78" i="9"/>
  <c r="AL257" i="1"/>
  <c r="AL79" i="9" s="1"/>
  <c r="AL283" i="1"/>
  <c r="AZ660" i="1"/>
  <c r="BE660" i="1"/>
  <c r="BH385" i="1"/>
  <c r="BH386" i="1" s="1"/>
  <c r="BH387" i="1" s="1"/>
  <c r="BH388" i="1" s="1"/>
  <c r="BH368" i="1"/>
  <c r="AI154" i="9"/>
  <c r="AD126" i="9"/>
  <c r="AD123" i="9" s="1"/>
  <c r="AD115" i="9"/>
  <c r="AD105" i="9"/>
  <c r="AF126" i="9"/>
  <c r="AF123" i="9" s="1"/>
  <c r="AG126" i="9"/>
  <c r="AG123" i="9" s="1"/>
  <c r="Y84" i="9"/>
  <c r="Y144" i="1"/>
  <c r="Y96" i="9" s="1"/>
  <c r="BH144" i="9"/>
  <c r="BH148" i="9" s="1"/>
  <c r="BJ144" i="9"/>
  <c r="BJ148" i="9" s="1"/>
  <c r="BL144" i="9"/>
  <c r="BL148" i="9" s="1"/>
  <c r="F385" i="1"/>
  <c r="F368" i="1"/>
  <c r="F416" i="1" s="1"/>
  <c r="BF154" i="9"/>
  <c r="BA126" i="9"/>
  <c r="BA123" i="9" s="1"/>
  <c r="BA105" i="9"/>
  <c r="BA115" i="9"/>
  <c r="BK144" i="9"/>
  <c r="BT31" i="9"/>
  <c r="BT34" i="1"/>
  <c r="BU26" i="1"/>
  <c r="AJ169" i="9"/>
  <c r="AJ134" i="9"/>
  <c r="AJ135" i="9" s="1"/>
  <c r="BR642" i="1"/>
  <c r="BQ430" i="1"/>
  <c r="BQ10" i="9" s="1"/>
  <c r="AI84" i="9"/>
  <c r="AI144" i="1"/>
  <c r="AI96" i="9" s="1"/>
  <c r="K169" i="9"/>
  <c r="K134" i="9"/>
  <c r="K135" i="9" s="1"/>
  <c r="Q154" i="9"/>
  <c r="L126" i="9"/>
  <c r="L123" i="9" s="1"/>
  <c r="L115" i="9"/>
  <c r="L105" i="9"/>
  <c r="L154" i="9"/>
  <c r="AX167" i="9"/>
  <c r="BC152" i="9"/>
  <c r="AX125" i="9"/>
  <c r="AX122" i="9" s="1"/>
  <c r="AX98" i="9"/>
  <c r="BL125" i="9"/>
  <c r="BL122" i="9" s="1"/>
  <c r="D663" i="1"/>
  <c r="D571" i="1"/>
  <c r="E566" i="1"/>
  <c r="E567" i="1" s="1"/>
  <c r="AT663" i="1"/>
  <c r="AT571" i="1"/>
  <c r="Y154" i="9"/>
  <c r="T126" i="9"/>
  <c r="T123" i="9" s="1"/>
  <c r="T115" i="9"/>
  <c r="T105" i="9"/>
  <c r="AO43" i="9"/>
  <c r="AO42" i="1"/>
  <c r="AO47" i="9" s="1"/>
  <c r="Y166" i="9"/>
  <c r="Y71" i="9"/>
  <c r="AI385" i="1"/>
  <c r="AI386" i="1" s="1"/>
  <c r="AI387" i="1" s="1"/>
  <c r="AI388" i="1" s="1"/>
  <c r="AI368" i="1"/>
  <c r="AD85" i="9"/>
  <c r="AD258" i="1"/>
  <c r="AD86" i="9" s="1"/>
  <c r="AD119" i="9" s="1"/>
  <c r="BT27" i="1"/>
  <c r="AC78" i="9"/>
  <c r="AC257" i="1"/>
  <c r="AC79" i="9" s="1"/>
  <c r="AC283" i="1"/>
  <c r="AZ154" i="9"/>
  <c r="AU126" i="9"/>
  <c r="AU123" i="9" s="1"/>
  <c r="AU115" i="9"/>
  <c r="AU105" i="9"/>
  <c r="AG154" i="9"/>
  <c r="AB126" i="9"/>
  <c r="AB123" i="9" s="1"/>
  <c r="AB115" i="9"/>
  <c r="AB105" i="9"/>
  <c r="T154" i="9"/>
  <c r="O126" i="9"/>
  <c r="O123" i="9" s="1"/>
  <c r="O115" i="9"/>
  <c r="O105" i="9"/>
  <c r="AA154" i="9"/>
  <c r="V126" i="9"/>
  <c r="V123" i="9" s="1"/>
  <c r="V115" i="9"/>
  <c r="V105" i="9"/>
  <c r="BB169" i="9"/>
  <c r="BB134" i="9"/>
  <c r="AR78" i="9"/>
  <c r="AR257" i="1"/>
  <c r="AR79" i="9" s="1"/>
  <c r="V154" i="9"/>
  <c r="Q126" i="9"/>
  <c r="Q123" i="9" s="1"/>
  <c r="Q105" i="9"/>
  <c r="Q115" i="9"/>
  <c r="BI85" i="9"/>
  <c r="BI258" i="1"/>
  <c r="AG663" i="1"/>
  <c r="AH566" i="1"/>
  <c r="AH567" i="1" s="1"/>
  <c r="AG571" i="1"/>
  <c r="M385" i="1"/>
  <c r="M386" i="1" s="1"/>
  <c r="M387" i="1" s="1"/>
  <c r="M388" i="1" s="1"/>
  <c r="M368" i="1"/>
  <c r="N85" i="9"/>
  <c r="N258" i="1"/>
  <c r="N86" i="9" s="1"/>
  <c r="N119" i="9" s="1"/>
  <c r="BD169" i="9"/>
  <c r="BD134" i="9"/>
  <c r="BD135" i="9" s="1"/>
  <c r="BD138" i="9" s="1"/>
  <c r="BO40" i="9"/>
  <c r="BS35" i="1"/>
  <c r="BS40" i="9" s="1"/>
  <c r="BM22" i="9"/>
  <c r="BN16" i="1"/>
  <c r="BM7" i="1"/>
  <c r="BM14" i="9" s="1"/>
  <c r="BM18" i="1"/>
  <c r="J661" i="1"/>
  <c r="J246" i="1"/>
  <c r="J655" i="1"/>
  <c r="J656" i="1"/>
  <c r="L661" i="1"/>
  <c r="BC246" i="1"/>
  <c r="BC656" i="1"/>
  <c r="BC655" i="1"/>
  <c r="BC661" i="1"/>
  <c r="BB661" i="1"/>
  <c r="BD669" i="1"/>
  <c r="Y385" i="1"/>
  <c r="Y386" i="1" s="1"/>
  <c r="Y387" i="1" s="1"/>
  <c r="Y388" i="1" s="1"/>
  <c r="Y368" i="1"/>
  <c r="G2" i="9"/>
  <c r="H5" i="1"/>
  <c r="F154" i="9"/>
  <c r="E126" i="9"/>
  <c r="E123" i="9" s="1"/>
  <c r="E105" i="9"/>
  <c r="G329" i="1"/>
  <c r="G336" i="1"/>
  <c r="AP141" i="9"/>
  <c r="BA78" i="9"/>
  <c r="BA257" i="1"/>
  <c r="BA79" i="9" s="1"/>
  <c r="BA283" i="1"/>
  <c r="D169" i="9"/>
  <c r="D134" i="9"/>
  <c r="D135" i="9" s="1"/>
  <c r="D138" i="9" s="1"/>
  <c r="AI167" i="9"/>
  <c r="AN152" i="9"/>
  <c r="AI125" i="9"/>
  <c r="AI122" i="9" s="1"/>
  <c r="AI98" i="9"/>
  <c r="L169" i="9"/>
  <c r="L134" i="9"/>
  <c r="Z85" i="9"/>
  <c r="Z258" i="1"/>
  <c r="BJ141" i="9"/>
  <c r="AN660" i="1"/>
  <c r="BH242" i="1"/>
  <c r="BI669" i="1" s="1"/>
  <c r="BH253" i="1"/>
  <c r="BH254" i="1"/>
  <c r="AC154" i="9"/>
  <c r="X126" i="9"/>
  <c r="X123" i="9" s="1"/>
  <c r="X115" i="9"/>
  <c r="X105" i="9"/>
  <c r="U669" i="1"/>
  <c r="U661" i="1"/>
  <c r="U246" i="1"/>
  <c r="U656" i="1"/>
  <c r="U655" i="1"/>
  <c r="Z661" i="1"/>
  <c r="E169" i="9"/>
  <c r="E134" i="9"/>
  <c r="E135" i="9" s="1"/>
  <c r="E138" i="9" s="1"/>
  <c r="AV154" i="9"/>
  <c r="AQ115" i="9"/>
  <c r="AQ126" i="9"/>
  <c r="AQ123" i="9" s="1"/>
  <c r="AQ105" i="9"/>
  <c r="AR126" i="9"/>
  <c r="AR123" i="9" s="1"/>
  <c r="AQ154" i="9"/>
  <c r="BL385" i="1"/>
  <c r="BL386" i="1" s="1"/>
  <c r="BL387" i="1" s="1"/>
  <c r="BL388" i="1" s="1"/>
  <c r="BL368" i="1"/>
  <c r="S85" i="9"/>
  <c r="S258" i="1"/>
  <c r="S86" i="9" s="1"/>
  <c r="S119" i="9" s="1"/>
  <c r="AB663" i="1"/>
  <c r="AB571" i="1"/>
  <c r="AC566" i="1"/>
  <c r="AC567" i="1" s="1"/>
  <c r="AS385" i="1"/>
  <c r="AS386" i="1" s="1"/>
  <c r="AS387" i="1" s="1"/>
  <c r="AS388" i="1" s="1"/>
  <c r="AS368" i="1"/>
  <c r="K329" i="1"/>
  <c r="K336" i="1"/>
  <c r="AI665" i="1"/>
  <c r="S78" i="9"/>
  <c r="S257" i="1"/>
  <c r="S79" i="9" s="1"/>
  <c r="Y144" i="9"/>
  <c r="Y148" i="9" s="1"/>
  <c r="AB144" i="9"/>
  <c r="AB148" i="9" s="1"/>
  <c r="AC144" i="9"/>
  <c r="AC148" i="9" s="1"/>
  <c r="AP660" i="1"/>
  <c r="AP567" i="1"/>
  <c r="AZ385" i="1"/>
  <c r="AZ386" i="1" s="1"/>
  <c r="AZ387" i="1" s="1"/>
  <c r="AZ388" i="1" s="1"/>
  <c r="AZ368" i="1"/>
  <c r="AE83" i="9"/>
  <c r="AE405" i="1"/>
  <c r="AE150" i="1"/>
  <c r="AQ141" i="9"/>
  <c r="BE661" i="1"/>
  <c r="BE246" i="1"/>
  <c r="BE655" i="1"/>
  <c r="BE656" i="1"/>
  <c r="BF661" i="1"/>
  <c r="AI242" i="1"/>
  <c r="AJ669" i="1" s="1"/>
  <c r="AI254" i="1"/>
  <c r="AI253" i="1"/>
  <c r="F169" i="9"/>
  <c r="F134" i="9"/>
  <c r="F135" i="9" s="1"/>
  <c r="F138" i="9" s="1"/>
  <c r="AE85" i="9"/>
  <c r="AE258" i="1"/>
  <c r="AP385" i="1"/>
  <c r="AP386" i="1" s="1"/>
  <c r="AP387" i="1" s="1"/>
  <c r="AP388" i="1" s="1"/>
  <c r="AP368" i="1"/>
  <c r="BA154" i="9"/>
  <c r="AV126" i="9"/>
  <c r="AV123" i="9" s="1"/>
  <c r="AV115" i="9"/>
  <c r="AV105" i="9"/>
  <c r="T85" i="9"/>
  <c r="T258" i="1"/>
  <c r="T86" i="9" s="1"/>
  <c r="T119" i="9" s="1"/>
  <c r="BL154" i="9"/>
  <c r="BG126" i="9"/>
  <c r="BG123" i="9" s="1"/>
  <c r="BG115" i="9"/>
  <c r="BG105" i="9"/>
  <c r="BF78" i="9"/>
  <c r="BF283" i="1"/>
  <c r="BF257" i="1"/>
  <c r="BF79" i="9" s="1"/>
  <c r="AB154" i="9"/>
  <c r="W126" i="9"/>
  <c r="W123" i="9" s="1"/>
  <c r="W115" i="9"/>
  <c r="W105" i="9"/>
  <c r="AZ78" i="9"/>
  <c r="AZ257" i="1"/>
  <c r="AZ79" i="9" s="1"/>
  <c r="V76" i="9"/>
  <c r="V256" i="1"/>
  <c r="V251" i="1"/>
  <c r="V248" i="1"/>
  <c r="D385" i="1"/>
  <c r="D386" i="1" s="1"/>
  <c r="D387" i="1" s="1"/>
  <c r="D388" i="1" s="1"/>
  <c r="D368" i="1"/>
  <c r="AO169" i="9"/>
  <c r="AO134" i="9"/>
  <c r="AO135" i="9" s="1"/>
  <c r="AD78" i="9"/>
  <c r="AD257" i="1"/>
  <c r="AD79" i="9" s="1"/>
  <c r="AD283" i="1"/>
  <c r="BH154" i="9"/>
  <c r="BC115" i="9"/>
  <c r="BC126" i="9"/>
  <c r="BC123" i="9" s="1"/>
  <c r="BC105" i="9"/>
  <c r="BC155" i="9" s="1"/>
  <c r="BE126" i="9"/>
  <c r="BE123" i="9" s="1"/>
  <c r="M660" i="1"/>
  <c r="AT385" i="1"/>
  <c r="AT368" i="1"/>
  <c r="AT416" i="1" s="1"/>
  <c r="AE142" i="9"/>
  <c r="AP169" i="9"/>
  <c r="AP134" i="9"/>
  <c r="BK147" i="9"/>
  <c r="BI667" i="1"/>
  <c r="BI232" i="1"/>
  <c r="P78" i="9"/>
  <c r="P257" i="1"/>
  <c r="P79" i="9" s="1"/>
  <c r="R169" i="9"/>
  <c r="R134" i="9"/>
  <c r="AA148" i="9"/>
  <c r="AG661" i="1"/>
  <c r="AG246" i="1"/>
  <c r="AG655" i="1"/>
  <c r="AG656" i="1"/>
  <c r="AL661" i="1"/>
  <c r="BI78" i="9"/>
  <c r="BI257" i="1"/>
  <c r="BI79" i="9" s="1"/>
  <c r="BJ167" i="9"/>
  <c r="BJ125" i="9"/>
  <c r="BJ122" i="9" s="1"/>
  <c r="BJ98" i="9"/>
  <c r="N78" i="9"/>
  <c r="N257" i="1"/>
  <c r="N79" i="9" s="1"/>
  <c r="N283" i="1"/>
  <c r="AT43" i="9"/>
  <c r="AT42" i="1"/>
  <c r="AT47" i="9" s="1"/>
  <c r="AY42" i="1"/>
  <c r="AY47" i="9" s="1"/>
  <c r="AY667" i="1"/>
  <c r="AY232" i="1"/>
  <c r="BB154" i="9"/>
  <c r="AW115" i="9"/>
  <c r="AW126" i="9"/>
  <c r="AW123" i="9" s="1"/>
  <c r="AW105" i="9"/>
  <c r="AW154" i="9"/>
  <c r="AH660" i="1"/>
  <c r="BF385" i="1"/>
  <c r="BF386" i="1" s="1"/>
  <c r="BF387" i="1" s="1"/>
  <c r="BF388" i="1" s="1"/>
  <c r="BF368" i="1"/>
  <c r="AZ147" i="9"/>
  <c r="AZ148" i="9" s="1"/>
  <c r="BG154" i="9"/>
  <c r="BB126" i="9"/>
  <c r="BB123" i="9" s="1"/>
  <c r="BB115" i="9"/>
  <c r="BB105" i="9"/>
  <c r="BR42" i="9"/>
  <c r="BR16" i="1"/>
  <c r="AQ85" i="9"/>
  <c r="AQ258" i="1"/>
  <c r="AQ86" i="9" s="1"/>
  <c r="AQ119" i="9" s="1"/>
  <c r="O154" i="9"/>
  <c r="J126" i="9"/>
  <c r="J123" i="9" s="1"/>
  <c r="J115" i="9"/>
  <c r="J105" i="9"/>
  <c r="AJ663" i="1"/>
  <c r="AJ571" i="1"/>
  <c r="AO385" i="1"/>
  <c r="AO368" i="1"/>
  <c r="AO416" i="1" s="1"/>
  <c r="I294" i="1"/>
  <c r="I298" i="1" s="1"/>
  <c r="H311" i="1"/>
  <c r="H327" i="1" s="1"/>
  <c r="BJ85" i="9"/>
  <c r="BJ258" i="1"/>
  <c r="BJ86" i="9" s="1"/>
  <c r="BJ119" i="9" s="1"/>
  <c r="BL169" i="9"/>
  <c r="BL134" i="9"/>
  <c r="Z78" i="9"/>
  <c r="Z257" i="1"/>
  <c r="Z79" i="9" s="1"/>
  <c r="AL169" i="9"/>
  <c r="AL134" i="9"/>
  <c r="U154" i="9"/>
  <c r="P126" i="9"/>
  <c r="P123" i="9" s="1"/>
  <c r="P105" i="9"/>
  <c r="P115" i="9"/>
  <c r="P161" i="9" s="1"/>
  <c r="AJ368" i="1"/>
  <c r="AJ416" i="1" s="1"/>
  <c r="AJ385" i="1"/>
  <c r="AH76" i="9"/>
  <c r="AH256" i="1"/>
  <c r="AH251" i="1"/>
  <c r="AH248" i="1"/>
  <c r="M294" i="1"/>
  <c r="M298" i="1" s="1"/>
  <c r="L311" i="1"/>
  <c r="L327" i="1" s="1"/>
  <c r="AJ667" i="1"/>
  <c r="AJ232" i="1"/>
  <c r="AK660" i="1"/>
  <c r="AK567" i="1"/>
  <c r="AL660" i="1"/>
  <c r="BS27" i="9"/>
  <c r="BT21" i="1"/>
  <c r="BS12" i="1"/>
  <c r="BS19" i="9" s="1"/>
  <c r="BH167" i="9"/>
  <c r="BH125" i="9"/>
  <c r="BH122" i="9" s="1"/>
  <c r="BH98" i="9"/>
  <c r="BV628" i="1"/>
  <c r="BU525" i="1"/>
  <c r="BU395" i="1"/>
  <c r="BU9" i="9" s="1"/>
  <c r="AI144" i="9"/>
  <c r="AI148" i="9" s="1"/>
  <c r="AK144" i="9"/>
  <c r="AK148" i="9" s="1"/>
  <c r="AL144" i="9"/>
  <c r="AL148" i="9" s="1"/>
  <c r="BI43" i="9"/>
  <c r="BI42" i="1"/>
  <c r="BI47" i="9" s="1"/>
  <c r="AP154" i="9"/>
  <c r="AK115" i="9"/>
  <c r="AK126" i="9"/>
  <c r="AK123" i="9" s="1"/>
  <c r="AK105" i="9"/>
  <c r="AM126" i="9"/>
  <c r="AM123" i="9" s="1"/>
  <c r="AL126" i="9"/>
  <c r="AL123" i="9" s="1"/>
  <c r="AK154" i="9"/>
  <c r="AE78" i="9"/>
  <c r="AE257" i="1"/>
  <c r="AE79" i="9" s="1"/>
  <c r="AU85" i="9"/>
  <c r="AU258" i="1"/>
  <c r="AU86" i="9" s="1"/>
  <c r="AU119" i="9" s="1"/>
  <c r="T78" i="9"/>
  <c r="T257" i="1"/>
  <c r="T79" i="9" s="1"/>
  <c r="AV85" i="9"/>
  <c r="AV258" i="1"/>
  <c r="AV86" i="9" s="1"/>
  <c r="AV119" i="9" s="1"/>
  <c r="BF85" i="9"/>
  <c r="BF258" i="1"/>
  <c r="BF86" i="9" s="1"/>
  <c r="BF119" i="9" s="1"/>
  <c r="V660" i="1"/>
  <c r="AA660" i="1"/>
  <c r="BO43" i="9"/>
  <c r="BO17" i="1"/>
  <c r="BH166" i="9"/>
  <c r="BH71" i="9"/>
  <c r="AZ85" i="9"/>
  <c r="AZ258" i="1"/>
  <c r="AZ86" i="9" s="1"/>
  <c r="AZ119" i="9" s="1"/>
  <c r="K385" i="1"/>
  <c r="K368" i="1"/>
  <c r="K416" i="1" s="1"/>
  <c r="BO42" i="9"/>
  <c r="BO16" i="1"/>
  <c r="AC169" i="9"/>
  <c r="AC134" i="9"/>
  <c r="W147" i="9"/>
  <c r="W148" i="9" s="1"/>
  <c r="AU567" i="1"/>
  <c r="AU167" i="9"/>
  <c r="AZ152" i="9"/>
  <c r="AU125" i="9"/>
  <c r="AU122" i="9" s="1"/>
  <c r="AU98" i="9"/>
  <c r="BS104" i="9"/>
  <c r="BS664" i="1"/>
  <c r="BS599" i="1"/>
  <c r="BQ23" i="9"/>
  <c r="BQ8" i="1"/>
  <c r="BQ15" i="9" s="1"/>
  <c r="AH154" i="9"/>
  <c r="AC126" i="9"/>
  <c r="AC123" i="9" s="1"/>
  <c r="AC115" i="9"/>
  <c r="AC105" i="9"/>
  <c r="M85" i="9"/>
  <c r="M258" i="1"/>
  <c r="M86" i="9" s="1"/>
  <c r="M119" i="9" s="1"/>
  <c r="M141" i="9"/>
  <c r="P85" i="9"/>
  <c r="P258" i="1"/>
  <c r="BQ18" i="1"/>
  <c r="AX152" i="9"/>
  <c r="AR169" i="9"/>
  <c r="AR134" i="9"/>
  <c r="S385" i="1"/>
  <c r="S386" i="1" s="1"/>
  <c r="S387" i="1" s="1"/>
  <c r="S388" i="1" s="1"/>
  <c r="S368" i="1"/>
  <c r="AX497" i="1"/>
  <c r="AW498" i="1"/>
  <c r="BK661" i="1"/>
  <c r="BK246" i="1"/>
  <c r="BK656" i="1"/>
  <c r="BK655" i="1"/>
  <c r="AE385" i="1"/>
  <c r="AE368" i="1"/>
  <c r="AE416" i="1" s="1"/>
  <c r="W154" i="9"/>
  <c r="R126" i="9"/>
  <c r="R123" i="9" s="1"/>
  <c r="R115" i="9"/>
  <c r="R105" i="9"/>
  <c r="BP23" i="9"/>
  <c r="BP8" i="1"/>
  <c r="BP15" i="9" s="1"/>
  <c r="AK76" i="9"/>
  <c r="AK256" i="1"/>
  <c r="AK248" i="1"/>
  <c r="AK251" i="1"/>
  <c r="AQ78" i="9"/>
  <c r="AQ257" i="1"/>
  <c r="AQ79" i="9" s="1"/>
  <c r="AB76" i="9"/>
  <c r="AB256" i="1"/>
  <c r="AB251" i="1"/>
  <c r="AB248" i="1"/>
  <c r="AM154" i="9"/>
  <c r="AH126" i="9"/>
  <c r="AH123" i="9" s="1"/>
  <c r="AH105" i="9"/>
  <c r="AH115" i="9"/>
  <c r="AY44" i="9"/>
  <c r="AY43" i="1"/>
  <c r="AY48" i="9" s="1"/>
  <c r="BJ78" i="9"/>
  <c r="BJ257" i="1"/>
  <c r="BJ79" i="9" s="1"/>
  <c r="BJ283" i="1"/>
  <c r="BA169" i="9"/>
  <c r="BA134" i="9"/>
  <c r="AS154" i="9"/>
  <c r="AN126" i="9"/>
  <c r="AN123" i="9" s="1"/>
  <c r="AN115" i="9"/>
  <c r="AN105" i="9"/>
  <c r="AM148" i="9"/>
  <c r="F740" i="1"/>
  <c r="F754" i="1"/>
  <c r="F747" i="1"/>
  <c r="F761" i="1"/>
  <c r="AX116" i="9" l="1"/>
  <c r="AX118" i="9" s="1"/>
  <c r="AY116" i="9"/>
  <c r="AY118" i="9" s="1"/>
  <c r="AY107" i="9"/>
  <c r="AY113" i="9" s="1"/>
  <c r="AY170" i="9" s="1"/>
  <c r="I107" i="9"/>
  <c r="I113" i="9" s="1"/>
  <c r="I170" i="9" s="1"/>
  <c r="I116" i="9"/>
  <c r="I118" i="9" s="1"/>
  <c r="BD116" i="9"/>
  <c r="BD118" i="9" s="1"/>
  <c r="BD107" i="9"/>
  <c r="BD113" i="9" s="1"/>
  <c r="BD170" i="9" s="1"/>
  <c r="BD155" i="9"/>
  <c r="Z155" i="9"/>
  <c r="Z116" i="9"/>
  <c r="Z118" i="9" s="1"/>
  <c r="Z107" i="9"/>
  <c r="Z113" i="9" s="1"/>
  <c r="Z170" i="9" s="1"/>
  <c r="AL155" i="9"/>
  <c r="AL107" i="9"/>
  <c r="AL113" i="9" s="1"/>
  <c r="AL170" i="9" s="1"/>
  <c r="AL116" i="9"/>
  <c r="AL118" i="9" s="1"/>
  <c r="U116" i="9"/>
  <c r="U118" i="9" s="1"/>
  <c r="U107" i="9"/>
  <c r="U113" i="9" s="1"/>
  <c r="U170" i="9" s="1"/>
  <c r="N107" i="9"/>
  <c r="N113" i="9" s="1"/>
  <c r="N170" i="9" s="1"/>
  <c r="N155" i="9"/>
  <c r="N116" i="9"/>
  <c r="N118" i="9" s="1"/>
  <c r="BK116" i="9"/>
  <c r="BK118" i="9" s="1"/>
  <c r="BK107" i="9"/>
  <c r="BK113" i="9" s="1"/>
  <c r="BK170" i="9" s="1"/>
  <c r="H116" i="9"/>
  <c r="H118" i="9" s="1"/>
  <c r="H107" i="9"/>
  <c r="H113" i="9" s="1"/>
  <c r="H170" i="9" s="1"/>
  <c r="AG107" i="9"/>
  <c r="AG113" i="9" s="1"/>
  <c r="AG170" i="9" s="1"/>
  <c r="AG116" i="9"/>
  <c r="AG118" i="9" s="1"/>
  <c r="AM107" i="9"/>
  <c r="AM113" i="9" s="1"/>
  <c r="AM170" i="9" s="1"/>
  <c r="AR155" i="9"/>
  <c r="AM116" i="9"/>
  <c r="AM118" i="9" s="1"/>
  <c r="BI107" i="9"/>
  <c r="BI113" i="9" s="1"/>
  <c r="BI170" i="9" s="1"/>
  <c r="BI116" i="9"/>
  <c r="BI118" i="9" s="1"/>
  <c r="BI155" i="9"/>
  <c r="X76" i="9"/>
  <c r="X256" i="1"/>
  <c r="X248" i="1"/>
  <c r="X251" i="1"/>
  <c r="AW248" i="1"/>
  <c r="AW251" i="1"/>
  <c r="AW256" i="1"/>
  <c r="AW76" i="9"/>
  <c r="AF251" i="1"/>
  <c r="AF256" i="1"/>
  <c r="AF76" i="9"/>
  <c r="AF248" i="1"/>
  <c r="F142" i="9"/>
  <c r="W76" i="9"/>
  <c r="W256" i="1"/>
  <c r="W248" i="1"/>
  <c r="W251" i="1"/>
  <c r="BD142" i="9"/>
  <c r="G251" i="1"/>
  <c r="G76" i="9"/>
  <c r="G256" i="1"/>
  <c r="G248" i="1"/>
  <c r="E142" i="9"/>
  <c r="H76" i="9"/>
  <c r="H256" i="1"/>
  <c r="H248" i="1"/>
  <c r="H251" i="1"/>
  <c r="Q76" i="9"/>
  <c r="Q256" i="1"/>
  <c r="Q248" i="1"/>
  <c r="Q251" i="1"/>
  <c r="BG251" i="1"/>
  <c r="BG76" i="9"/>
  <c r="BG256" i="1"/>
  <c r="BG248" i="1"/>
  <c r="F759" i="1"/>
  <c r="F424" i="1" s="1"/>
  <c r="F738" i="1"/>
  <c r="F420" i="1" s="1"/>
  <c r="F745" i="1"/>
  <c r="F421" i="1" s="1"/>
  <c r="F752" i="1"/>
  <c r="F422" i="1" s="1"/>
  <c r="BJ284" i="1"/>
  <c r="BJ286" i="1"/>
  <c r="AU168" i="9"/>
  <c r="AZ153" i="9"/>
  <c r="AU129" i="9"/>
  <c r="AY83" i="9"/>
  <c r="AY405" i="1"/>
  <c r="AY150" i="1"/>
  <c r="AG76" i="9"/>
  <c r="AG251" i="1"/>
  <c r="AG256" i="1"/>
  <c r="AG248" i="1"/>
  <c r="BH155" i="9"/>
  <c r="BC116" i="9"/>
  <c r="BC118" i="9" s="1"/>
  <c r="BC107" i="9"/>
  <c r="BC113" i="9" s="1"/>
  <c r="BC170" i="9" s="1"/>
  <c r="AV155" i="9"/>
  <c r="AQ116" i="9"/>
  <c r="AQ118" i="9" s="1"/>
  <c r="AQ107" i="9"/>
  <c r="AQ113" i="9" s="1"/>
  <c r="AQ170" i="9" s="1"/>
  <c r="AQ155" i="9"/>
  <c r="AC155" i="9"/>
  <c r="X116" i="9"/>
  <c r="X118" i="9" s="1"/>
  <c r="X107" i="9"/>
  <c r="X113" i="9" s="1"/>
  <c r="X170" i="9" s="1"/>
  <c r="BH246" i="1"/>
  <c r="BH655" i="1"/>
  <c r="BH661" i="1"/>
  <c r="BG661" i="1"/>
  <c r="BH656" i="1"/>
  <c r="BC76" i="9"/>
  <c r="BC256" i="1"/>
  <c r="BC248" i="1"/>
  <c r="BC251" i="1"/>
  <c r="N168" i="9"/>
  <c r="S153" i="9"/>
  <c r="N129" i="9"/>
  <c r="K138" i="9"/>
  <c r="K142" i="9"/>
  <c r="AY76" i="9"/>
  <c r="AY251" i="1"/>
  <c r="AY256" i="1"/>
  <c r="AY248" i="1"/>
  <c r="AL168" i="9"/>
  <c r="AQ153" i="9"/>
  <c r="AL129" i="9"/>
  <c r="AT85" i="9"/>
  <c r="AT258" i="1"/>
  <c r="AY155" i="9"/>
  <c r="AT116" i="9"/>
  <c r="AT118" i="9" s="1"/>
  <c r="AT107" i="9"/>
  <c r="AT113" i="9" s="1"/>
  <c r="AT170" i="9" s="1"/>
  <c r="AT167" i="9"/>
  <c r="AY152" i="9"/>
  <c r="AT125" i="9"/>
  <c r="AT122" i="9" s="1"/>
  <c r="AT98" i="9"/>
  <c r="AJ168" i="9"/>
  <c r="AO153" i="9"/>
  <c r="AJ129" i="9"/>
  <c r="AJ130" i="9" s="1"/>
  <c r="AJ133" i="9" s="1"/>
  <c r="AX155" i="9"/>
  <c r="AS116" i="9"/>
  <c r="AS118" i="9" s="1"/>
  <c r="AS107" i="9"/>
  <c r="AS113" i="9" s="1"/>
  <c r="AS170" i="9" s="1"/>
  <c r="AB78" i="9"/>
  <c r="AB283" i="1"/>
  <c r="AB257" i="1"/>
  <c r="AB79" i="9" s="1"/>
  <c r="BF168" i="9"/>
  <c r="BF129" i="9"/>
  <c r="BB155" i="9"/>
  <c r="AW116" i="9"/>
  <c r="AW118" i="9" s="1"/>
  <c r="AW107" i="9"/>
  <c r="AW113" i="9" s="1"/>
  <c r="AW170" i="9" s="1"/>
  <c r="AW155" i="9"/>
  <c r="AO138" i="9"/>
  <c r="AO142" i="9"/>
  <c r="S168" i="9"/>
  <c r="S129" i="9"/>
  <c r="BI168" i="9"/>
  <c r="BI129" i="9"/>
  <c r="BI130" i="9" s="1"/>
  <c r="BI133" i="9" s="1"/>
  <c r="BE155" i="9"/>
  <c r="AZ116" i="9"/>
  <c r="AZ118" i="9" s="1"/>
  <c r="AZ107" i="9"/>
  <c r="AZ113" i="9" s="1"/>
  <c r="AZ170" i="9" s="1"/>
  <c r="BP24" i="9"/>
  <c r="BP39" i="1"/>
  <c r="BP9" i="1"/>
  <c r="BP16" i="9" s="1"/>
  <c r="BP22" i="1"/>
  <c r="AV284" i="1"/>
  <c r="AV286" i="1"/>
  <c r="AU155" i="9"/>
  <c r="AP116" i="9"/>
  <c r="AP118" i="9" s="1"/>
  <c r="AP107" i="9"/>
  <c r="AP113" i="9" s="1"/>
  <c r="AP170" i="9" s="1"/>
  <c r="AB85" i="9"/>
  <c r="AB258" i="1"/>
  <c r="AB86" i="9" s="1"/>
  <c r="AB119" i="9" s="1"/>
  <c r="BF284" i="1"/>
  <c r="BF286" i="1"/>
  <c r="AE86" i="9"/>
  <c r="AE414" i="1"/>
  <c r="BN22" i="9"/>
  <c r="BN37" i="1"/>
  <c r="BN7" i="1"/>
  <c r="BN14" i="9" s="1"/>
  <c r="BN18" i="1"/>
  <c r="AJ142" i="9"/>
  <c r="AJ138" i="9"/>
  <c r="P2" i="9"/>
  <c r="U5" i="1"/>
  <c r="Q5" i="1"/>
  <c r="AJ155" i="9"/>
  <c r="AE116" i="9"/>
  <c r="AE118" i="9" s="1"/>
  <c r="AE107" i="9"/>
  <c r="AE113" i="9" s="1"/>
  <c r="AE170" i="9" s="1"/>
  <c r="AE155" i="9"/>
  <c r="AX76" i="9"/>
  <c r="AX256" i="1"/>
  <c r="AX248" i="1"/>
  <c r="AX251" i="1"/>
  <c r="P138" i="9"/>
  <c r="P142" i="9"/>
  <c r="AT169" i="9"/>
  <c r="AT134" i="9"/>
  <c r="AT135" i="9" s="1"/>
  <c r="AO86" i="9"/>
  <c r="AO414" i="1"/>
  <c r="O76" i="9"/>
  <c r="O251" i="1"/>
  <c r="O256" i="1"/>
  <c r="O248" i="1"/>
  <c r="F168" i="9"/>
  <c r="K153" i="9"/>
  <c r="F129" i="9"/>
  <c r="F130" i="9" s="1"/>
  <c r="F133" i="9" s="1"/>
  <c r="AK78" i="9"/>
  <c r="AK257" i="1"/>
  <c r="AK79" i="9" s="1"/>
  <c r="AK283" i="1"/>
  <c r="R153" i="9"/>
  <c r="M168" i="9"/>
  <c r="M129" i="9"/>
  <c r="AV168" i="9"/>
  <c r="BA153" i="9"/>
  <c r="AV129" i="9"/>
  <c r="AJ83" i="9"/>
  <c r="AJ405" i="1"/>
  <c r="AJ150" i="1"/>
  <c r="AO386" i="1"/>
  <c r="AO387" i="1" s="1"/>
  <c r="AO388" i="1" s="1"/>
  <c r="AQ168" i="9"/>
  <c r="AV153" i="9"/>
  <c r="AQ129" i="9"/>
  <c r="AT386" i="1"/>
  <c r="AT387" i="1" s="1"/>
  <c r="AT388" i="1" s="1"/>
  <c r="AB155" i="9"/>
  <c r="W116" i="9"/>
  <c r="W118" i="9" s="1"/>
  <c r="W107" i="9"/>
  <c r="W113" i="9" s="1"/>
  <c r="W170" i="9" s="1"/>
  <c r="AE168" i="9"/>
  <c r="AJ153" i="9"/>
  <c r="AE129" i="9"/>
  <c r="AE130" i="9" s="1"/>
  <c r="AE133" i="9" s="1"/>
  <c r="AI246" i="1"/>
  <c r="AI656" i="1"/>
  <c r="AI655" i="1"/>
  <c r="AI661" i="1"/>
  <c r="AK661" i="1"/>
  <c r="AH661" i="1"/>
  <c r="BE76" i="9"/>
  <c r="BE251" i="1"/>
  <c r="BE256" i="1"/>
  <c r="BE248" i="1"/>
  <c r="AC663" i="1"/>
  <c r="AC571" i="1"/>
  <c r="AD566" i="1"/>
  <c r="AD567" i="1" s="1"/>
  <c r="U76" i="9"/>
  <c r="U251" i="1"/>
  <c r="U256" i="1"/>
  <c r="U248" i="1"/>
  <c r="BA284" i="1"/>
  <c r="BA286" i="1"/>
  <c r="F155" i="9"/>
  <c r="E107" i="9"/>
  <c r="E113" i="9" s="1"/>
  <c r="E170" i="9" s="1"/>
  <c r="H2" i="9"/>
  <c r="I5" i="1"/>
  <c r="V155" i="9"/>
  <c r="Q116" i="9"/>
  <c r="Q118" i="9" s="1"/>
  <c r="Q107" i="9"/>
  <c r="Q113" i="9" s="1"/>
  <c r="Q170" i="9" s="1"/>
  <c r="T155" i="9"/>
  <c r="O116" i="9"/>
  <c r="O118" i="9" s="1"/>
  <c r="O107" i="9"/>
  <c r="O113" i="9" s="1"/>
  <c r="O170" i="9" s="1"/>
  <c r="AC284" i="1"/>
  <c r="AC286" i="1"/>
  <c r="Y155" i="9"/>
  <c r="T116" i="9"/>
  <c r="T118" i="9" s="1"/>
  <c r="T107" i="9"/>
  <c r="T113" i="9" s="1"/>
  <c r="T170" i="9" s="1"/>
  <c r="E571" i="1"/>
  <c r="E663" i="1"/>
  <c r="F566" i="1"/>
  <c r="F567" i="1" s="1"/>
  <c r="L2" i="9"/>
  <c r="M5" i="1"/>
  <c r="AR168" i="9"/>
  <c r="AR129" i="9"/>
  <c r="AN661" i="1"/>
  <c r="AC168" i="9"/>
  <c r="AC129" i="9"/>
  <c r="BN43" i="9"/>
  <c r="BN42" i="1"/>
  <c r="BN47" i="9" s="1"/>
  <c r="AT155" i="9"/>
  <c r="AO116" i="9"/>
  <c r="AO118" i="9" s="1"/>
  <c r="AO107" i="9"/>
  <c r="AO113" i="9" s="1"/>
  <c r="AO170" i="9" s="1"/>
  <c r="BB284" i="1"/>
  <c r="BB286" i="1"/>
  <c r="AO168" i="9"/>
  <c r="AT153" i="9"/>
  <c r="AO129" i="9"/>
  <c r="AO130" i="9" s="1"/>
  <c r="AO133" i="9" s="1"/>
  <c r="E168" i="9"/>
  <c r="F153" i="9"/>
  <c r="E129" i="9"/>
  <c r="E130" i="9" s="1"/>
  <c r="E133" i="9" s="1"/>
  <c r="BH116" i="9"/>
  <c r="BH118" i="9" s="1"/>
  <c r="BH107" i="9"/>
  <c r="BH113" i="9" s="1"/>
  <c r="BH170" i="9" s="1"/>
  <c r="I76" i="9"/>
  <c r="I256" i="1"/>
  <c r="I251" i="1"/>
  <c r="I248" i="1"/>
  <c r="K155" i="9"/>
  <c r="F116" i="9"/>
  <c r="F118" i="9" s="1"/>
  <c r="F107" i="9"/>
  <c r="F113" i="9" s="1"/>
  <c r="F170" i="9" s="1"/>
  <c r="Y246" i="1"/>
  <c r="Y661" i="1"/>
  <c r="Y655" i="1"/>
  <c r="Y656" i="1"/>
  <c r="AD661" i="1"/>
  <c r="X661" i="1"/>
  <c r="Z669" i="1"/>
  <c r="AM155" i="9"/>
  <c r="AH116" i="9"/>
  <c r="AH118" i="9" s="1"/>
  <c r="AH107" i="9"/>
  <c r="AH113" i="9" s="1"/>
  <c r="AH170" i="9" s="1"/>
  <c r="P168" i="9"/>
  <c r="P129" i="9"/>
  <c r="P130" i="9" s="1"/>
  <c r="P133" i="9" s="1"/>
  <c r="V85" i="9"/>
  <c r="V258" i="1"/>
  <c r="V86" i="9" s="1"/>
  <c r="V119" i="9" s="1"/>
  <c r="BT32" i="9"/>
  <c r="BT35" i="1"/>
  <c r="BT40" i="9" s="1"/>
  <c r="BT31" i="1"/>
  <c r="BT36" i="9" s="1"/>
  <c r="BU38" i="9"/>
  <c r="C76" i="9"/>
  <c r="C256" i="1"/>
  <c r="C251" i="1"/>
  <c r="C248" i="1"/>
  <c r="D168" i="9"/>
  <c r="D129" i="9"/>
  <c r="D130" i="9" s="1"/>
  <c r="BI83" i="9"/>
  <c r="BI405" i="1"/>
  <c r="BI150" i="1"/>
  <c r="AG155" i="9"/>
  <c r="AB116" i="9"/>
  <c r="AB118" i="9" s="1"/>
  <c r="AB107" i="9"/>
  <c r="AB113" i="9" s="1"/>
  <c r="AB170" i="9" s="1"/>
  <c r="BF155" i="9"/>
  <c r="BA116" i="9"/>
  <c r="BA118" i="9" s="1"/>
  <c r="BA107" i="9"/>
  <c r="BA113" i="9" s="1"/>
  <c r="BA170" i="9" s="1"/>
  <c r="BV30" i="9"/>
  <c r="BV33" i="1"/>
  <c r="BK155" i="9"/>
  <c r="BF116" i="9"/>
  <c r="BF118" i="9" s="1"/>
  <c r="BF107" i="9"/>
  <c r="BF113" i="9" s="1"/>
  <c r="BF170" i="9" s="1"/>
  <c r="F86" i="9"/>
  <c r="F414" i="1"/>
  <c r="K86" i="9"/>
  <c r="K414" i="1"/>
  <c r="AK85" i="9"/>
  <c r="AK258" i="1"/>
  <c r="AK86" i="9" s="1"/>
  <c r="AK119" i="9" s="1"/>
  <c r="AE386" i="1"/>
  <c r="AE387" i="1" s="1"/>
  <c r="AE388" i="1" s="1"/>
  <c r="K386" i="1"/>
  <c r="K387" i="1" s="1"/>
  <c r="K388" i="1" s="1"/>
  <c r="AH85" i="9"/>
  <c r="AH258" i="1"/>
  <c r="AH86" i="9" s="1"/>
  <c r="AH119" i="9" s="1"/>
  <c r="U155" i="9"/>
  <c r="P116" i="9"/>
  <c r="P118" i="9" s="1"/>
  <c r="P107" i="9"/>
  <c r="P113" i="9" s="1"/>
  <c r="P170" i="9" s="1"/>
  <c r="V169" i="9"/>
  <c r="V134" i="9"/>
  <c r="V135" i="9" s="1"/>
  <c r="AE167" i="9"/>
  <c r="AJ152" i="9"/>
  <c r="AE125" i="9"/>
  <c r="AE122" i="9" s="1"/>
  <c r="AE98" i="9"/>
  <c r="AE152" i="9"/>
  <c r="AD168" i="9"/>
  <c r="AD129" i="9"/>
  <c r="AI155" i="9"/>
  <c r="AD116" i="9"/>
  <c r="AD118" i="9" s="1"/>
  <c r="AD107" i="9"/>
  <c r="AD113" i="9" s="1"/>
  <c r="AD170" i="9" s="1"/>
  <c r="AO167" i="9"/>
  <c r="AT152" i="9"/>
  <c r="AO125" i="9"/>
  <c r="AO122" i="9" s="1"/>
  <c r="AO98" i="9"/>
  <c r="G736" i="1"/>
  <c r="AB169" i="9"/>
  <c r="AB134" i="9"/>
  <c r="BQ24" i="9"/>
  <c r="BQ39" i="1"/>
  <c r="BQ9" i="1"/>
  <c r="BQ16" i="9" s="1"/>
  <c r="BQ22" i="1"/>
  <c r="AH155" i="9"/>
  <c r="AC116" i="9"/>
  <c r="AC118" i="9" s="1"/>
  <c r="AC107" i="9"/>
  <c r="AC113" i="9" s="1"/>
  <c r="AC170" i="9" s="1"/>
  <c r="AH169" i="9"/>
  <c r="AH134" i="9"/>
  <c r="BR22" i="9"/>
  <c r="BR7" i="1"/>
  <c r="BR14" i="9" s="1"/>
  <c r="BR18" i="1"/>
  <c r="BK148" i="9"/>
  <c r="AD284" i="1"/>
  <c r="AE283" i="1"/>
  <c r="AD286" i="1"/>
  <c r="T168" i="9"/>
  <c r="T129" i="9"/>
  <c r="BJ661" i="1"/>
  <c r="Z86" i="9"/>
  <c r="Z414" i="1"/>
  <c r="J76" i="9"/>
  <c r="J256" i="1"/>
  <c r="J251" i="1"/>
  <c r="J248" i="1"/>
  <c r="AH663" i="1"/>
  <c r="AI566" i="1"/>
  <c r="AI567" i="1" s="1"/>
  <c r="AH571" i="1"/>
  <c r="BU31" i="9"/>
  <c r="BU34" i="1"/>
  <c r="BV26" i="1"/>
  <c r="AL284" i="1"/>
  <c r="AL286" i="1"/>
  <c r="AS76" i="9"/>
  <c r="AS256" i="1"/>
  <c r="AS251" i="1"/>
  <c r="AS248" i="1"/>
  <c r="BL168" i="9"/>
  <c r="BL129" i="9"/>
  <c r="X155" i="9"/>
  <c r="S116" i="9"/>
  <c r="S118" i="9" s="1"/>
  <c r="S107" i="9"/>
  <c r="S113" i="9" s="1"/>
  <c r="S170" i="9" s="1"/>
  <c r="S155" i="9"/>
  <c r="F284" i="1"/>
  <c r="F286" i="1"/>
  <c r="BN8" i="9"/>
  <c r="BN658" i="1"/>
  <c r="BO394" i="1"/>
  <c r="BL116" i="9"/>
  <c r="BL118" i="9" s="1"/>
  <c r="BL107" i="9"/>
  <c r="BL113" i="9" s="1"/>
  <c r="BL170" i="9" s="1"/>
  <c r="P329" i="1"/>
  <c r="P336" i="1"/>
  <c r="Z138" i="9"/>
  <c r="Z142" i="9"/>
  <c r="L168" i="9"/>
  <c r="L129" i="9"/>
  <c r="BD86" i="9"/>
  <c r="BD414" i="1"/>
  <c r="R155" i="9"/>
  <c r="M116" i="9"/>
  <c r="M118" i="9" s="1"/>
  <c r="M107" i="9"/>
  <c r="M113" i="9" s="1"/>
  <c r="M170" i="9" s="1"/>
  <c r="M155" i="9"/>
  <c r="BT613" i="1"/>
  <c r="AO155" i="9"/>
  <c r="AJ116" i="9"/>
  <c r="AJ118" i="9" s="1"/>
  <c r="AJ107" i="9"/>
  <c r="AJ113" i="9" s="1"/>
  <c r="AJ170" i="9" s="1"/>
  <c r="AU663" i="1"/>
  <c r="AU571" i="1"/>
  <c r="AV566" i="1"/>
  <c r="AV567" i="1" s="1"/>
  <c r="N294" i="1"/>
  <c r="N298" i="1" s="1"/>
  <c r="M311" i="1"/>
  <c r="M327" i="1" s="1"/>
  <c r="H329" i="1"/>
  <c r="H336" i="1"/>
  <c r="O155" i="9"/>
  <c r="J116" i="9"/>
  <c r="J118" i="9" s="1"/>
  <c r="J107" i="9"/>
  <c r="J113" i="9" s="1"/>
  <c r="J170" i="9" s="1"/>
  <c r="BG155" i="9"/>
  <c r="BB116" i="9"/>
  <c r="BB118" i="9" s="1"/>
  <c r="BB107" i="9"/>
  <c r="BB113" i="9" s="1"/>
  <c r="BB170" i="9" s="1"/>
  <c r="BM24" i="9"/>
  <c r="BM39" i="1"/>
  <c r="BM22" i="1"/>
  <c r="BM9" i="1"/>
  <c r="BM16" i="9" s="1"/>
  <c r="BI86" i="9"/>
  <c r="BI414" i="1"/>
  <c r="BS642" i="1"/>
  <c r="BR430" i="1"/>
  <c r="BR10" i="9" s="1"/>
  <c r="BA168" i="9"/>
  <c r="BF153" i="9"/>
  <c r="BA129" i="9"/>
  <c r="AN76" i="9"/>
  <c r="AN256" i="1"/>
  <c r="AN251" i="1"/>
  <c r="AN248" i="1"/>
  <c r="V294" i="1"/>
  <c r="V298" i="1" s="1"/>
  <c r="W294" i="1" s="1"/>
  <c r="W298" i="1" s="1"/>
  <c r="Z294" i="1"/>
  <c r="Z298" i="1" s="1"/>
  <c r="U311" i="1"/>
  <c r="U327" i="1" s="1"/>
  <c r="AD155" i="9"/>
  <c r="Y116" i="9"/>
  <c r="Y118" i="9" s="1"/>
  <c r="Y107" i="9"/>
  <c r="Y113" i="9" s="1"/>
  <c r="Y170" i="9" s="1"/>
  <c r="AN155" i="9"/>
  <c r="AI116" i="9"/>
  <c r="AI118" i="9" s="1"/>
  <c r="AI107" i="9"/>
  <c r="AI113" i="9" s="1"/>
  <c r="AI170" i="9" s="1"/>
  <c r="AP155" i="9"/>
  <c r="AK116" i="9"/>
  <c r="AK118" i="9" s="1"/>
  <c r="AK107" i="9"/>
  <c r="AK113" i="9" s="1"/>
  <c r="AK170" i="9" s="1"/>
  <c r="AK155" i="9"/>
  <c r="BV525" i="1"/>
  <c r="BV395" i="1"/>
  <c r="BV9" i="9" s="1"/>
  <c r="AH78" i="9"/>
  <c r="AH283" i="1"/>
  <c r="AH257" i="1"/>
  <c r="AH79" i="9" s="1"/>
  <c r="J294" i="1"/>
  <c r="J298" i="1" s="1"/>
  <c r="J311" i="1" s="1"/>
  <c r="J327" i="1" s="1"/>
  <c r="I311" i="1"/>
  <c r="I327" i="1" s="1"/>
  <c r="W155" i="9"/>
  <c r="R116" i="9"/>
  <c r="R118" i="9" s="1"/>
  <c r="R107" i="9"/>
  <c r="R113" i="9" s="1"/>
  <c r="R170" i="9" s="1"/>
  <c r="AY497" i="1"/>
  <c r="AY498" i="1" s="1"/>
  <c r="AX498" i="1"/>
  <c r="BO23" i="9"/>
  <c r="BS17" i="1"/>
  <c r="BO8" i="1"/>
  <c r="BO15" i="9" s="1"/>
  <c r="BT27" i="9"/>
  <c r="BU21" i="1"/>
  <c r="Q155" i="9"/>
  <c r="L116" i="9"/>
  <c r="L118" i="9" s="1"/>
  <c r="L107" i="9"/>
  <c r="L113" i="9" s="1"/>
  <c r="L170" i="9" s="1"/>
  <c r="L155" i="9"/>
  <c r="BQ635" i="1"/>
  <c r="BQ638" i="1" s="1"/>
  <c r="BR393" i="1"/>
  <c r="BR635" i="1" s="1"/>
  <c r="AM76" i="9"/>
  <c r="AM256" i="1"/>
  <c r="AM251" i="1"/>
  <c r="AM248" i="1"/>
  <c r="M284" i="1"/>
  <c r="M286" i="1"/>
  <c r="K168" i="9"/>
  <c r="P153" i="9"/>
  <c r="K129" i="9"/>
  <c r="K130" i="9" s="1"/>
  <c r="K133" i="9" s="1"/>
  <c r="AS155" i="9"/>
  <c r="AN116" i="9"/>
  <c r="AN118" i="9" s="1"/>
  <c r="AN107" i="9"/>
  <c r="AN113" i="9" s="1"/>
  <c r="AN170" i="9" s="1"/>
  <c r="AK169" i="9"/>
  <c r="AK134" i="9"/>
  <c r="BK76" i="9"/>
  <c r="BK251" i="1"/>
  <c r="BK256" i="1"/>
  <c r="BK248" i="1"/>
  <c r="P86" i="9"/>
  <c r="P414" i="1"/>
  <c r="BO22" i="9"/>
  <c r="BO7" i="1"/>
  <c r="BO14" i="9" s="1"/>
  <c r="BO18" i="1"/>
  <c r="BS16" i="1"/>
  <c r="AZ168" i="9"/>
  <c r="AZ129" i="9"/>
  <c r="AK663" i="1"/>
  <c r="AK571" i="1"/>
  <c r="AL566" i="1"/>
  <c r="AL567" i="1" s="1"/>
  <c r="L336" i="1"/>
  <c r="L329" i="1"/>
  <c r="AJ386" i="1"/>
  <c r="AJ387" i="1" s="1"/>
  <c r="AJ388" i="1" s="1"/>
  <c r="BJ168" i="9"/>
  <c r="BJ129" i="9"/>
  <c r="N284" i="1"/>
  <c r="N286" i="1"/>
  <c r="V78" i="9"/>
  <c r="V257" i="1"/>
  <c r="V79" i="9" s="1"/>
  <c r="BL155" i="9"/>
  <c r="BG116" i="9"/>
  <c r="BG118" i="9" s="1"/>
  <c r="BG107" i="9"/>
  <c r="BG113" i="9" s="1"/>
  <c r="BG170" i="9" s="1"/>
  <c r="BA155" i="9"/>
  <c r="AV116" i="9"/>
  <c r="AV118" i="9" s="1"/>
  <c r="AV107" i="9"/>
  <c r="AV113" i="9" s="1"/>
  <c r="AV170" i="9" s="1"/>
  <c r="AP663" i="1"/>
  <c r="AP571" i="1"/>
  <c r="AQ566" i="1"/>
  <c r="AQ567" i="1" s="1"/>
  <c r="Z168" i="9"/>
  <c r="AE153" i="9"/>
  <c r="Z129" i="9"/>
  <c r="Z130" i="9" s="1"/>
  <c r="Z133" i="9" s="1"/>
  <c r="AA155" i="9"/>
  <c r="V116" i="9"/>
  <c r="V118" i="9" s="1"/>
  <c r="V107" i="9"/>
  <c r="V113" i="9" s="1"/>
  <c r="V170" i="9" s="1"/>
  <c r="AZ155" i="9"/>
  <c r="AU116" i="9"/>
  <c r="AU118" i="9" s="1"/>
  <c r="AU107" i="9"/>
  <c r="AU113" i="9" s="1"/>
  <c r="AU170" i="9" s="1"/>
  <c r="BT39" i="9"/>
  <c r="F386" i="1"/>
  <c r="F387" i="1" s="1"/>
  <c r="F388" i="1" s="1"/>
  <c r="O497" i="1"/>
  <c r="N498" i="1"/>
  <c r="AA76" i="9"/>
  <c r="AA251" i="1"/>
  <c r="AA256" i="1"/>
  <c r="AA248" i="1"/>
  <c r="BU27" i="1"/>
  <c r="P155" i="9"/>
  <c r="K116" i="9"/>
  <c r="K118" i="9" s="1"/>
  <c r="K107" i="9"/>
  <c r="K113" i="9" s="1"/>
  <c r="K170" i="9" s="1"/>
  <c r="H1" i="9"/>
  <c r="H766" i="1"/>
  <c r="H762" i="1"/>
  <c r="H266" i="1"/>
  <c r="I4" i="1"/>
  <c r="H3" i="1"/>
  <c r="BL284" i="1"/>
  <c r="BL286" i="1"/>
  <c r="R168" i="9"/>
  <c r="R129" i="9"/>
  <c r="AT78" i="9"/>
  <c r="AT257" i="1"/>
  <c r="AT79" i="9" s="1"/>
  <c r="AP168" i="9"/>
  <c r="AU153" i="9"/>
  <c r="AP129" i="9"/>
  <c r="BD167" i="9"/>
  <c r="BI152" i="9"/>
  <c r="BD125" i="9"/>
  <c r="BD122" i="9" s="1"/>
  <c r="BD98" i="9"/>
  <c r="R294" i="1"/>
  <c r="R298" i="1" s="1"/>
  <c r="Q311" i="1"/>
  <c r="Q327" i="1" s="1"/>
  <c r="BD168" i="9"/>
  <c r="BI153" i="9"/>
  <c r="BD129" i="9"/>
  <c r="BD130" i="9" s="1"/>
  <c r="BD133" i="9" s="1"/>
  <c r="BI138" i="9"/>
  <c r="BI142" i="9"/>
  <c r="BB168" i="9"/>
  <c r="BB129" i="9"/>
  <c r="AJ86" i="9"/>
  <c r="AJ414" i="1"/>
  <c r="P386" i="1"/>
  <c r="P387" i="1" s="1"/>
  <c r="P388" i="1" s="1"/>
  <c r="G757" i="1"/>
  <c r="G743" i="1"/>
  <c r="G750" i="1"/>
  <c r="Q258" i="1" l="1"/>
  <c r="Q86" i="9" s="1"/>
  <c r="Q119" i="9" s="1"/>
  <c r="Q85" i="9"/>
  <c r="Q78" i="9"/>
  <c r="Q257" i="1"/>
  <c r="Q79" i="9" s="1"/>
  <c r="W169" i="9"/>
  <c r="W134" i="9"/>
  <c r="W135" i="9" s="1"/>
  <c r="W138" i="9" s="1"/>
  <c r="Q169" i="9"/>
  <c r="Q134" i="9"/>
  <c r="T135" i="9" s="1"/>
  <c r="H85" i="9"/>
  <c r="H258" i="1"/>
  <c r="H86" i="9" s="1"/>
  <c r="H119" i="9" s="1"/>
  <c r="AF78" i="9"/>
  <c r="AF257" i="1"/>
  <c r="AF79" i="9" s="1"/>
  <c r="H78" i="9"/>
  <c r="H257" i="1"/>
  <c r="H79" i="9" s="1"/>
  <c r="AF169" i="9"/>
  <c r="AF134" i="9"/>
  <c r="AF135" i="9" s="1"/>
  <c r="H169" i="9"/>
  <c r="H134" i="9"/>
  <c r="AF258" i="1"/>
  <c r="AF86" i="9" s="1"/>
  <c r="AF119" i="9" s="1"/>
  <c r="AF85" i="9"/>
  <c r="AK153" i="9" s="1"/>
  <c r="AW169" i="9"/>
  <c r="AW134" i="9"/>
  <c r="G78" i="9"/>
  <c r="G257" i="1"/>
  <c r="G79" i="9" s="1"/>
  <c r="G283" i="1"/>
  <c r="AW85" i="9"/>
  <c r="AW258" i="1"/>
  <c r="AW86" i="9" s="1"/>
  <c r="AW119" i="9" s="1"/>
  <c r="V153" i="9"/>
  <c r="G169" i="9"/>
  <c r="G134" i="9"/>
  <c r="AW78" i="9"/>
  <c r="AW257" i="1"/>
  <c r="AW79" i="9" s="1"/>
  <c r="AW283" i="1"/>
  <c r="BG78" i="9"/>
  <c r="BG257" i="1"/>
  <c r="BG79" i="9" s="1"/>
  <c r="BG283" i="1"/>
  <c r="G85" i="9"/>
  <c r="G258" i="1"/>
  <c r="G86" i="9" s="1"/>
  <c r="G119" i="9" s="1"/>
  <c r="X85" i="9"/>
  <c r="X258" i="1"/>
  <c r="X86" i="9" s="1"/>
  <c r="X119" i="9" s="1"/>
  <c r="X78" i="9"/>
  <c r="X257" i="1"/>
  <c r="X79" i="9" s="1"/>
  <c r="X283" i="1"/>
  <c r="BG169" i="9"/>
  <c r="BG134" i="9"/>
  <c r="W258" i="1"/>
  <c r="W86" i="9" s="1"/>
  <c r="W119" i="9" s="1"/>
  <c r="W85" i="9"/>
  <c r="BG85" i="9"/>
  <c r="BG258" i="1"/>
  <c r="BG86" i="9" s="1"/>
  <c r="BG119" i="9" s="1"/>
  <c r="W78" i="9"/>
  <c r="W257" i="1"/>
  <c r="W79" i="9" s="1"/>
  <c r="W283" i="1"/>
  <c r="X169" i="9"/>
  <c r="X134" i="9"/>
  <c r="X135" i="9" s="1"/>
  <c r="X138" i="9" s="1"/>
  <c r="J329" i="1"/>
  <c r="J336" i="1"/>
  <c r="BT642" i="1"/>
  <c r="BS430" i="1"/>
  <c r="BS10" i="9" s="1"/>
  <c r="BD158" i="9"/>
  <c r="BD119" i="9"/>
  <c r="BA5" i="9"/>
  <c r="BA6" i="9" s="1"/>
  <c r="BA11" i="9" s="1"/>
  <c r="BA411" i="1"/>
  <c r="BA412" i="1" s="1"/>
  <c r="O85" i="9"/>
  <c r="O258" i="1"/>
  <c r="O86" i="9" s="1"/>
  <c r="O119" i="9" s="1"/>
  <c r="AA169" i="9"/>
  <c r="AA134" i="9"/>
  <c r="BO24" i="9"/>
  <c r="BO39" i="1"/>
  <c r="BO9" i="1"/>
  <c r="BO16" i="9" s="1"/>
  <c r="BO22" i="1"/>
  <c r="AM85" i="9"/>
  <c r="AM258" i="1"/>
  <c r="AM86" i="9" s="1"/>
  <c r="AM119" i="9" s="1"/>
  <c r="U329" i="1"/>
  <c r="U336" i="1"/>
  <c r="AN169" i="9"/>
  <c r="AN134" i="9"/>
  <c r="AV663" i="1"/>
  <c r="AV571" i="1"/>
  <c r="AW566" i="1"/>
  <c r="AW567" i="1" s="1"/>
  <c r="BO8" i="9"/>
  <c r="BO658" i="1"/>
  <c r="BP394" i="1"/>
  <c r="BO392" i="1"/>
  <c r="BO624" i="1" s="1"/>
  <c r="AS78" i="9"/>
  <c r="AS283" i="1"/>
  <c r="AS257" i="1"/>
  <c r="AS79" i="9" s="1"/>
  <c r="BV31" i="9"/>
  <c r="BV34" i="1"/>
  <c r="J78" i="9"/>
  <c r="J257" i="1"/>
  <c r="J79" i="9" s="1"/>
  <c r="BQ28" i="9"/>
  <c r="BQ13" i="1"/>
  <c r="BQ20" i="9" s="1"/>
  <c r="BQ214" i="1"/>
  <c r="BI167" i="9"/>
  <c r="BI125" i="9"/>
  <c r="BI122" i="9" s="1"/>
  <c r="BI98" i="9"/>
  <c r="I78" i="9"/>
  <c r="I257" i="1"/>
  <c r="I79" i="9" s="1"/>
  <c r="O169" i="9"/>
  <c r="O134" i="9"/>
  <c r="U2" i="9"/>
  <c r="Z5" i="1"/>
  <c r="V5" i="1"/>
  <c r="BN42" i="9"/>
  <c r="BN41" i="1"/>
  <c r="BN46" i="9" s="1"/>
  <c r="AE119" i="9"/>
  <c r="AE158" i="9"/>
  <c r="BP44" i="9"/>
  <c r="BP43" i="1"/>
  <c r="BP48" i="9" s="1"/>
  <c r="AT86" i="9"/>
  <c r="AT414" i="1"/>
  <c r="BC169" i="9"/>
  <c r="BC134" i="9"/>
  <c r="BC135" i="9" s="1"/>
  <c r="BH76" i="9"/>
  <c r="BH256" i="1"/>
  <c r="BH248" i="1"/>
  <c r="BH251" i="1"/>
  <c r="AG78" i="9"/>
  <c r="AG283" i="1"/>
  <c r="AG257" i="1"/>
  <c r="AG79" i="9" s="1"/>
  <c r="AY167" i="9"/>
  <c r="BD152" i="9"/>
  <c r="AY125" i="9"/>
  <c r="AY122" i="9" s="1"/>
  <c r="AY98" i="9"/>
  <c r="Q329" i="1"/>
  <c r="Q336" i="1"/>
  <c r="AL663" i="1"/>
  <c r="AL571" i="1"/>
  <c r="AM566" i="1"/>
  <c r="AM567" i="1" s="1"/>
  <c r="AE284" i="1"/>
  <c r="AE286" i="1"/>
  <c r="AF283" i="1"/>
  <c r="K158" i="9"/>
  <c r="K119" i="9"/>
  <c r="AI76" i="9"/>
  <c r="AI256" i="1"/>
  <c r="AI248" i="1"/>
  <c r="AI251" i="1"/>
  <c r="AY78" i="9"/>
  <c r="AY257" i="1"/>
  <c r="AY79" i="9" s="1"/>
  <c r="S294" i="1"/>
  <c r="S298" i="1" s="1"/>
  <c r="R311" i="1"/>
  <c r="R327" i="1" s="1"/>
  <c r="I1" i="9"/>
  <c r="I766" i="1"/>
  <c r="I762" i="1"/>
  <c r="I266" i="1"/>
  <c r="J4" i="1"/>
  <c r="I3" i="1"/>
  <c r="N5" i="9"/>
  <c r="N6" i="9" s="1"/>
  <c r="N11" i="9" s="1"/>
  <c r="N411" i="1"/>
  <c r="N412" i="1" s="1"/>
  <c r="BK85" i="9"/>
  <c r="BK258" i="1"/>
  <c r="BK86" i="9" s="1"/>
  <c r="BK119" i="9" s="1"/>
  <c r="M5" i="9"/>
  <c r="M6" i="9" s="1"/>
  <c r="M11" i="9" s="1"/>
  <c r="M411" i="1"/>
  <c r="M412" i="1" s="1"/>
  <c r="BS23" i="9"/>
  <c r="BS38" i="1"/>
  <c r="BS8" i="1"/>
  <c r="BS15" i="9" s="1"/>
  <c r="AH284" i="1"/>
  <c r="AH286" i="1"/>
  <c r="AA294" i="1"/>
  <c r="AA298" i="1" s="1"/>
  <c r="AE294" i="1"/>
  <c r="AE298" i="1" s="1"/>
  <c r="Z311" i="1"/>
  <c r="Z327" i="1" s="1"/>
  <c r="AS85" i="9"/>
  <c r="AS258" i="1"/>
  <c r="AS86" i="9" s="1"/>
  <c r="AS119" i="9" s="1"/>
  <c r="AT670" i="1"/>
  <c r="BU39" i="9"/>
  <c r="J85" i="9"/>
  <c r="J258" i="1"/>
  <c r="J86" i="9" s="1"/>
  <c r="J119" i="9" s="1"/>
  <c r="F119" i="9"/>
  <c r="F158" i="9"/>
  <c r="I85" i="9"/>
  <c r="I258" i="1"/>
  <c r="I86" i="9" s="1"/>
  <c r="I119" i="9" s="1"/>
  <c r="I2" i="9"/>
  <c r="J5" i="1"/>
  <c r="U78" i="9"/>
  <c r="U257" i="1"/>
  <c r="U79" i="9" s="1"/>
  <c r="AJ167" i="9"/>
  <c r="AO152" i="9"/>
  <c r="AJ125" i="9"/>
  <c r="AJ122" i="9" s="1"/>
  <c r="AJ98" i="9"/>
  <c r="AX85" i="9"/>
  <c r="AX258" i="1"/>
  <c r="AX86" i="9" s="1"/>
  <c r="AX119" i="9" s="1"/>
  <c r="AY670" i="1"/>
  <c r="BF5" i="9"/>
  <c r="BF6" i="9" s="1"/>
  <c r="BF11" i="9" s="1"/>
  <c r="BF411" i="1"/>
  <c r="BF412" i="1" s="1"/>
  <c r="AT168" i="9"/>
  <c r="AT129" i="9"/>
  <c r="AT130" i="9" s="1"/>
  <c r="AT133" i="9" s="1"/>
  <c r="AY85" i="9"/>
  <c r="AY153" i="9" s="1"/>
  <c r="AY258" i="1"/>
  <c r="AA85" i="9"/>
  <c r="AA153" i="9" s="1"/>
  <c r="AE670" i="1"/>
  <c r="AA258" i="1"/>
  <c r="AA86" i="9" s="1"/>
  <c r="AA119" i="9" s="1"/>
  <c r="BK78" i="9"/>
  <c r="BK283" i="1"/>
  <c r="BK257" i="1"/>
  <c r="BK79" i="9" s="1"/>
  <c r="AM78" i="9"/>
  <c r="AM283" i="1"/>
  <c r="AM257" i="1"/>
  <c r="AM79" i="9" s="1"/>
  <c r="BM44" i="9"/>
  <c r="BM43" i="1"/>
  <c r="BM48" i="9" s="1"/>
  <c r="BU613" i="1"/>
  <c r="C169" i="9"/>
  <c r="C134" i="9"/>
  <c r="C135" i="9" s="1"/>
  <c r="C138" i="9" s="1"/>
  <c r="Y76" i="9"/>
  <c r="Y256" i="1"/>
  <c r="Y248" i="1"/>
  <c r="Y251" i="1"/>
  <c r="AD663" i="1"/>
  <c r="AD571" i="1"/>
  <c r="Q2" i="9"/>
  <c r="R5" i="1"/>
  <c r="W142" i="9"/>
  <c r="BU32" i="9"/>
  <c r="BU35" i="1"/>
  <c r="BU40" i="9" s="1"/>
  <c r="BU31" i="1"/>
  <c r="BU36" i="9" s="1"/>
  <c r="P497" i="1"/>
  <c r="P498" i="1" s="1"/>
  <c r="Q497" i="1" s="1"/>
  <c r="O498" i="1"/>
  <c r="BK169" i="9"/>
  <c r="BK134" i="9"/>
  <c r="AM169" i="9"/>
  <c r="AM134" i="9"/>
  <c r="X294" i="1"/>
  <c r="X298" i="1" s="1"/>
  <c r="W311" i="1"/>
  <c r="W327" i="1" s="1"/>
  <c r="BI158" i="9"/>
  <c r="BI119" i="9"/>
  <c r="BR24" i="9"/>
  <c r="BR39" i="1"/>
  <c r="BR9" i="1"/>
  <c r="BR16" i="9" s="1"/>
  <c r="BR22" i="1"/>
  <c r="BQ44" i="9"/>
  <c r="BQ43" i="1"/>
  <c r="BQ48" i="9" s="1"/>
  <c r="AO670" i="1"/>
  <c r="C78" i="9"/>
  <c r="C257" i="1"/>
  <c r="C79" i="9" s="1"/>
  <c r="M2" i="9"/>
  <c r="N5" i="1"/>
  <c r="AC5" i="9"/>
  <c r="AC6" i="9" s="1"/>
  <c r="AC11" i="9" s="1"/>
  <c r="AC411" i="1"/>
  <c r="AC412" i="1" s="1"/>
  <c r="BE78" i="9"/>
  <c r="BE257" i="1"/>
  <c r="BE79" i="9" s="1"/>
  <c r="AK284" i="1"/>
  <c r="AK286" i="1"/>
  <c r="AO119" i="9"/>
  <c r="AO158" i="9"/>
  <c r="AX78" i="9"/>
  <c r="AX257" i="1"/>
  <c r="AX79" i="9" s="1"/>
  <c r="AX283" i="1"/>
  <c r="AV5" i="9"/>
  <c r="AV6" i="9" s="1"/>
  <c r="AV11" i="9" s="1"/>
  <c r="AV411" i="1"/>
  <c r="AV412" i="1" s="1"/>
  <c r="AY169" i="9"/>
  <c r="AY134" i="9"/>
  <c r="AY135" i="9" s="1"/>
  <c r="AG85" i="9"/>
  <c r="AG153" i="9" s="1"/>
  <c r="AG258" i="1"/>
  <c r="AG86" i="9" s="1"/>
  <c r="AG119" i="9" s="1"/>
  <c r="AJ670" i="1"/>
  <c r="BS22" i="9"/>
  <c r="BS37" i="1"/>
  <c r="BS7" i="1"/>
  <c r="BS14" i="9" s="1"/>
  <c r="BS18" i="1"/>
  <c r="F5" i="9"/>
  <c r="F6" i="9" s="1"/>
  <c r="F411" i="1"/>
  <c r="Z158" i="9"/>
  <c r="Z119" i="9"/>
  <c r="AH168" i="9"/>
  <c r="AM153" i="9"/>
  <c r="AH129" i="9"/>
  <c r="F663" i="1"/>
  <c r="G566" i="1"/>
  <c r="G567" i="1" s="1"/>
  <c r="F571" i="1"/>
  <c r="K566" i="1"/>
  <c r="K567" i="1" s="1"/>
  <c r="BE169" i="9"/>
  <c r="BE134" i="9"/>
  <c r="H736" i="1"/>
  <c r="AA78" i="9"/>
  <c r="AA257" i="1"/>
  <c r="AA79" i="9" s="1"/>
  <c r="AQ663" i="1"/>
  <c r="AQ571" i="1"/>
  <c r="AR566" i="1"/>
  <c r="AR567" i="1" s="1"/>
  <c r="BS635" i="1"/>
  <c r="BR638" i="1"/>
  <c r="AN78" i="9"/>
  <c r="AN283" i="1"/>
  <c r="AN257" i="1"/>
  <c r="AN79" i="9" s="1"/>
  <c r="AS169" i="9"/>
  <c r="AS134" i="9"/>
  <c r="J169" i="9"/>
  <c r="J134" i="9"/>
  <c r="V138" i="9"/>
  <c r="V142" i="9"/>
  <c r="AP153" i="9"/>
  <c r="AK168" i="9"/>
  <c r="AK129" i="9"/>
  <c r="BV27" i="1"/>
  <c r="C85" i="9"/>
  <c r="C258" i="1"/>
  <c r="C86" i="9" s="1"/>
  <c r="C119" i="9" s="1"/>
  <c r="I169" i="9"/>
  <c r="I134" i="9"/>
  <c r="U85" i="9"/>
  <c r="U258" i="1"/>
  <c r="U670" i="1"/>
  <c r="O78" i="9"/>
  <c r="O283" i="1"/>
  <c r="O257" i="1"/>
  <c r="O79" i="9" s="1"/>
  <c r="AT142" i="9"/>
  <c r="AT138" i="9"/>
  <c r="BC85" i="9"/>
  <c r="BC258" i="1"/>
  <c r="BC86" i="9" s="1"/>
  <c r="BC119" i="9" s="1"/>
  <c r="BD670" i="1"/>
  <c r="AG169" i="9"/>
  <c r="AG134" i="9"/>
  <c r="AJ119" i="9"/>
  <c r="AJ158" i="9"/>
  <c r="O294" i="1"/>
  <c r="O298" i="1" s="1"/>
  <c r="O311" i="1" s="1"/>
  <c r="O327" i="1" s="1"/>
  <c r="N311" i="1"/>
  <c r="N327" i="1" s="1"/>
  <c r="AH153" i="9"/>
  <c r="X142" i="9"/>
  <c r="BL5" i="9"/>
  <c r="BL6" i="9" s="1"/>
  <c r="BL11" i="9" s="1"/>
  <c r="BL411" i="1"/>
  <c r="BL412" i="1" s="1"/>
  <c r="P158" i="9"/>
  <c r="P119" i="9"/>
  <c r="BU27" i="9"/>
  <c r="BV21" i="1"/>
  <c r="BV27" i="9" s="1"/>
  <c r="AZ497" i="1"/>
  <c r="AY663" i="1"/>
  <c r="I329" i="1"/>
  <c r="I336" i="1"/>
  <c r="AN85" i="9"/>
  <c r="AN258" i="1"/>
  <c r="AN86" i="9" s="1"/>
  <c r="AN119" i="9" s="1"/>
  <c r="BM28" i="9"/>
  <c r="BM13" i="1"/>
  <c r="BM20" i="9" s="1"/>
  <c r="BM214" i="1"/>
  <c r="M329" i="1"/>
  <c r="M336" i="1"/>
  <c r="AL5" i="9"/>
  <c r="AL6" i="9" s="1"/>
  <c r="AL11" i="9" s="1"/>
  <c r="AL411" i="1"/>
  <c r="AL412" i="1" s="1"/>
  <c r="AI571" i="1"/>
  <c r="AI663" i="1"/>
  <c r="AD5" i="9"/>
  <c r="AD6" i="9" s="1"/>
  <c r="AD11" i="9" s="1"/>
  <c r="AD411" i="1"/>
  <c r="AD412" i="1" s="1"/>
  <c r="G756" i="1"/>
  <c r="G749" i="1"/>
  <c r="G742" i="1"/>
  <c r="G763" i="1"/>
  <c r="BV38" i="9"/>
  <c r="V168" i="9"/>
  <c r="V129" i="9"/>
  <c r="V130" i="9" s="1"/>
  <c r="V133" i="9" s="1"/>
  <c r="BB5" i="9"/>
  <c r="BB6" i="9" s="1"/>
  <c r="BB11" i="9" s="1"/>
  <c r="BB411" i="1"/>
  <c r="BB412" i="1" s="1"/>
  <c r="U169" i="9"/>
  <c r="U134" i="9"/>
  <c r="U135" i="9" s="1"/>
  <c r="BE85" i="9"/>
  <c r="BI670" i="1"/>
  <c r="BE258" i="1"/>
  <c r="BE86" i="9" s="1"/>
  <c r="BE119" i="9" s="1"/>
  <c r="AX169" i="9"/>
  <c r="AX134" i="9"/>
  <c r="BN24" i="9"/>
  <c r="BN22" i="1"/>
  <c r="BN39" i="1"/>
  <c r="BN9" i="1"/>
  <c r="BN16" i="9" s="1"/>
  <c r="AB168" i="9"/>
  <c r="AB129" i="9"/>
  <c r="BP28" i="9"/>
  <c r="BP214" i="1"/>
  <c r="BP13" i="1"/>
  <c r="BP20" i="9" s="1"/>
  <c r="AB284" i="1"/>
  <c r="AB286" i="1"/>
  <c r="BC78" i="9"/>
  <c r="BC257" i="1"/>
  <c r="BC79" i="9" s="1"/>
  <c r="BC283" i="1"/>
  <c r="BJ5" i="9"/>
  <c r="BJ6" i="9" s="1"/>
  <c r="BJ11" i="9" s="1"/>
  <c r="BJ411" i="1"/>
  <c r="BJ412" i="1" s="1"/>
  <c r="G754" i="1"/>
  <c r="G747" i="1"/>
  <c r="G740" i="1"/>
  <c r="H743" i="1"/>
  <c r="H750" i="1"/>
  <c r="H757" i="1"/>
  <c r="G761" i="1"/>
  <c r="AG135" i="9" l="1"/>
  <c r="X284" i="1"/>
  <c r="X286" i="1"/>
  <c r="BB153" i="9"/>
  <c r="AW129" i="9"/>
  <c r="AW168" i="9"/>
  <c r="AW153" i="9"/>
  <c r="H283" i="1"/>
  <c r="G284" i="1"/>
  <c r="G286" i="1"/>
  <c r="H168" i="9"/>
  <c r="M153" i="9"/>
  <c r="H129" i="9"/>
  <c r="X153" i="9"/>
  <c r="X168" i="9"/>
  <c r="AC153" i="9"/>
  <c r="X129" i="9"/>
  <c r="T138" i="9"/>
  <c r="T142" i="9"/>
  <c r="W153" i="9"/>
  <c r="W168" i="9"/>
  <c r="AB153" i="9"/>
  <c r="W129" i="9"/>
  <c r="G168" i="9"/>
  <c r="L153" i="9"/>
  <c r="G129" i="9"/>
  <c r="W286" i="1"/>
  <c r="W284" i="1"/>
  <c r="BG284" i="1"/>
  <c r="BG286" i="1"/>
  <c r="AF168" i="9"/>
  <c r="AF129" i="9"/>
  <c r="AF130" i="9" s="1"/>
  <c r="AF133" i="9" s="1"/>
  <c r="AW284" i="1"/>
  <c r="AW286" i="1"/>
  <c r="Q168" i="9"/>
  <c r="Q129" i="9"/>
  <c r="T130" i="9" s="1"/>
  <c r="T133" i="9" s="1"/>
  <c r="Q153" i="9"/>
  <c r="BG168" i="9"/>
  <c r="BL153" i="9"/>
  <c r="BG129" i="9"/>
  <c r="BG153" i="9"/>
  <c r="G759" i="1"/>
  <c r="G424" i="1" s="1"/>
  <c r="G738" i="1"/>
  <c r="G420" i="1" s="1"/>
  <c r="G745" i="1"/>
  <c r="G421" i="1" s="1"/>
  <c r="G752" i="1"/>
  <c r="G422" i="1" s="1"/>
  <c r="N329" i="1"/>
  <c r="N336" i="1"/>
  <c r="AS135" i="9"/>
  <c r="AW135" i="9"/>
  <c r="AU135" i="9"/>
  <c r="AV135" i="9"/>
  <c r="K663" i="1"/>
  <c r="K571" i="1"/>
  <c r="P566" i="1"/>
  <c r="P567" i="1" s="1"/>
  <c r="L566" i="1"/>
  <c r="L567" i="1" s="1"/>
  <c r="AG168" i="9"/>
  <c r="AL153" i="9"/>
  <c r="AG129" i="9"/>
  <c r="AH130" i="9" s="1"/>
  <c r="AH133" i="9" s="1"/>
  <c r="AK5" i="9"/>
  <c r="AK6" i="9" s="1"/>
  <c r="AK11" i="9" s="1"/>
  <c r="AK411" i="1"/>
  <c r="AK412" i="1" s="1"/>
  <c r="AM284" i="1"/>
  <c r="AM286" i="1"/>
  <c r="I168" i="9"/>
  <c r="N153" i="9"/>
  <c r="I129" i="9"/>
  <c r="J168" i="9"/>
  <c r="O153" i="9"/>
  <c r="J129" i="9"/>
  <c r="AF284" i="1"/>
  <c r="AF286" i="1"/>
  <c r="BH169" i="9"/>
  <c r="BH134" i="9"/>
  <c r="BK135" i="9" s="1"/>
  <c r="AW663" i="1"/>
  <c r="AW571" i="1"/>
  <c r="AX566" i="1"/>
  <c r="AX567" i="1" s="1"/>
  <c r="AB5" i="9"/>
  <c r="AB6" i="9" s="1"/>
  <c r="AB11" i="9" s="1"/>
  <c r="AB411" i="1"/>
  <c r="AB412" i="1" s="1"/>
  <c r="BS24" i="9"/>
  <c r="BS39" i="1"/>
  <c r="BS22" i="1"/>
  <c r="BS9" i="1"/>
  <c r="BS16" i="9" s="1"/>
  <c r="R497" i="1"/>
  <c r="Q498" i="1"/>
  <c r="AI78" i="9"/>
  <c r="AI257" i="1"/>
  <c r="AI79" i="9" s="1"/>
  <c r="AI283" i="1"/>
  <c r="BO44" i="9"/>
  <c r="BO43" i="1"/>
  <c r="BO48" i="9" s="1"/>
  <c r="AZ566" i="1"/>
  <c r="BA497" i="1"/>
  <c r="AZ498" i="1"/>
  <c r="U138" i="9"/>
  <c r="U142" i="9"/>
  <c r="O329" i="1"/>
  <c r="O336" i="1"/>
  <c r="P283" i="1"/>
  <c r="O284" i="1"/>
  <c r="O286" i="1"/>
  <c r="BS42" i="9"/>
  <c r="BT37" i="1"/>
  <c r="BS41" i="1"/>
  <c r="BS46" i="9" s="1"/>
  <c r="AY138" i="9"/>
  <c r="AY142" i="9"/>
  <c r="AY283" i="1"/>
  <c r="AX284" i="1"/>
  <c r="AX286" i="1"/>
  <c r="R2" i="9"/>
  <c r="S5" i="1"/>
  <c r="Y85" i="9"/>
  <c r="Y258" i="1"/>
  <c r="Y86" i="9" s="1"/>
  <c r="Y119" i="9" s="1"/>
  <c r="Z670" i="1"/>
  <c r="BV613" i="1"/>
  <c r="AF153" i="9"/>
  <c r="AA168" i="9"/>
  <c r="AA129" i="9"/>
  <c r="AD130" i="9" s="1"/>
  <c r="AD133" i="9" s="1"/>
  <c r="AX168" i="9"/>
  <c r="BC153" i="9"/>
  <c r="AX129" i="9"/>
  <c r="AI169" i="9"/>
  <c r="AI134" i="9"/>
  <c r="AM135" i="9" s="1"/>
  <c r="AE5" i="9"/>
  <c r="AE6" i="9" s="1"/>
  <c r="AE411" i="1"/>
  <c r="AG284" i="1"/>
  <c r="AG286" i="1"/>
  <c r="BC138" i="9"/>
  <c r="BC142" i="9"/>
  <c r="V2" i="9"/>
  <c r="W5" i="1"/>
  <c r="O168" i="9"/>
  <c r="T153" i="9"/>
  <c r="O129" i="9"/>
  <c r="U168" i="9"/>
  <c r="Z153" i="9"/>
  <c r="U129" i="9"/>
  <c r="U130" i="9" s="1"/>
  <c r="U133" i="9" s="1"/>
  <c r="U153" i="9"/>
  <c r="AX135" i="9"/>
  <c r="BA135" i="9"/>
  <c r="BB135" i="9"/>
  <c r="AZ135" i="9"/>
  <c r="BE168" i="9"/>
  <c r="BJ153" i="9"/>
  <c r="BE129" i="9"/>
  <c r="BE153" i="9"/>
  <c r="AN168" i="9"/>
  <c r="AS153" i="9"/>
  <c r="AN129" i="9"/>
  <c r="BC168" i="9"/>
  <c r="BC129" i="9"/>
  <c r="BC130" i="9" s="1"/>
  <c r="BC133" i="9" s="1"/>
  <c r="G663" i="1"/>
  <c r="H566" i="1"/>
  <c r="H567" i="1" s="1"/>
  <c r="G571" i="1"/>
  <c r="BR28" i="9"/>
  <c r="BR13" i="1"/>
  <c r="BR20" i="9" s="1"/>
  <c r="BR214" i="1"/>
  <c r="Y78" i="9"/>
  <c r="Y257" i="1"/>
  <c r="Y79" i="9" s="1"/>
  <c r="Y283" i="1"/>
  <c r="Z336" i="1"/>
  <c r="Z329" i="1"/>
  <c r="BS43" i="9"/>
  <c r="BT38" i="1"/>
  <c r="BS42" i="1"/>
  <c r="BS47" i="9" s="1"/>
  <c r="BK168" i="9"/>
  <c r="BK129" i="9"/>
  <c r="BK153" i="9"/>
  <c r="J1" i="9"/>
  <c r="J766" i="1"/>
  <c r="J762" i="1"/>
  <c r="J736" i="1"/>
  <c r="J266" i="1"/>
  <c r="J3" i="1"/>
  <c r="K4" i="1"/>
  <c r="Z2" i="9"/>
  <c r="AA5" i="1"/>
  <c r="AE5" i="1"/>
  <c r="BQ61" i="9"/>
  <c r="BQ224" i="1"/>
  <c r="BQ67" i="9" s="1"/>
  <c r="BQ222" i="1"/>
  <c r="BQ65" i="9" s="1"/>
  <c r="BQ221" i="1"/>
  <c r="BQ64" i="9" s="1"/>
  <c r="BQ91" i="9" s="1"/>
  <c r="BQ220" i="1"/>
  <c r="BQ63" i="9" s="1"/>
  <c r="BQ90" i="9" s="1"/>
  <c r="BQ218" i="1"/>
  <c r="BQ217" i="1"/>
  <c r="BQ659" i="1"/>
  <c r="BV39" i="9"/>
  <c r="AR153" i="9"/>
  <c r="AM168" i="9"/>
  <c r="AM129" i="9"/>
  <c r="AD135" i="9"/>
  <c r="BU642" i="1"/>
  <c r="BT430" i="1"/>
  <c r="BT10" i="9" s="1"/>
  <c r="AT119" i="9"/>
  <c r="AT158" i="9"/>
  <c r="BC284" i="1"/>
  <c r="BD283" i="1"/>
  <c r="BC286" i="1"/>
  <c r="BP61" i="9"/>
  <c r="BP224" i="1"/>
  <c r="BP67" i="9" s="1"/>
  <c r="BP222" i="1"/>
  <c r="BP65" i="9" s="1"/>
  <c r="BP221" i="1"/>
  <c r="BP64" i="9" s="1"/>
  <c r="BP91" i="9" s="1"/>
  <c r="BP220" i="1"/>
  <c r="BP63" i="9" s="1"/>
  <c r="BP90" i="9" s="1"/>
  <c r="BP218" i="1"/>
  <c r="BP659" i="1"/>
  <c r="BN44" i="9"/>
  <c r="BN43" i="1"/>
  <c r="BN48" i="9" s="1"/>
  <c r="BN28" i="9"/>
  <c r="BN13" i="1"/>
  <c r="BN20" i="9" s="1"/>
  <c r="W130" i="9"/>
  <c r="W133" i="9" s="1"/>
  <c r="AF138" i="9"/>
  <c r="AF142" i="9"/>
  <c r="C168" i="9"/>
  <c r="C129" i="9"/>
  <c r="C130" i="9" s="1"/>
  <c r="AR663" i="1"/>
  <c r="AR571" i="1"/>
  <c r="AS566" i="1"/>
  <c r="AS567" i="1" s="1"/>
  <c r="H756" i="1"/>
  <c r="H749" i="1"/>
  <c r="H742" i="1"/>
  <c r="H763" i="1"/>
  <c r="F412" i="1"/>
  <c r="F417" i="1"/>
  <c r="N2" i="9"/>
  <c r="O5" i="1"/>
  <c r="W329" i="1"/>
  <c r="W336" i="1"/>
  <c r="BK284" i="1"/>
  <c r="BK286" i="1"/>
  <c r="AY86" i="9"/>
  <c r="AY414" i="1"/>
  <c r="J2" i="9"/>
  <c r="AH135" i="9"/>
  <c r="AF294" i="1"/>
  <c r="AF298" i="1" s="1"/>
  <c r="AJ294" i="1"/>
  <c r="AJ298" i="1" s="1"/>
  <c r="AE311" i="1"/>
  <c r="AE327" i="1" s="1"/>
  <c r="AM663" i="1"/>
  <c r="AM571" i="1"/>
  <c r="AN566" i="1"/>
  <c r="AN567" i="1" s="1"/>
  <c r="BH85" i="9"/>
  <c r="BH153" i="9" s="1"/>
  <c r="BH258" i="1"/>
  <c r="BH86" i="9" s="1"/>
  <c r="BH119" i="9" s="1"/>
  <c r="BP8" i="9"/>
  <c r="BP658" i="1"/>
  <c r="BQ394" i="1"/>
  <c r="BP392" i="1"/>
  <c r="BP624" i="1" s="1"/>
  <c r="AN135" i="9"/>
  <c r="AR135" i="9"/>
  <c r="AQ135" i="9"/>
  <c r="AP135" i="9"/>
  <c r="BO28" i="9"/>
  <c r="BO214" i="1"/>
  <c r="BQ608" i="1" s="1"/>
  <c r="BO13" i="1"/>
  <c r="BO20" i="9" s="1"/>
  <c r="AS168" i="9"/>
  <c r="AX153" i="9"/>
  <c r="AS129" i="9"/>
  <c r="AH5" i="9"/>
  <c r="AH6" i="9" s="1"/>
  <c r="AH11" i="9" s="1"/>
  <c r="AH411" i="1"/>
  <c r="AH412" i="1" s="1"/>
  <c r="T294" i="1"/>
  <c r="T298" i="1" s="1"/>
  <c r="T311" i="1" s="1"/>
  <c r="T327" i="1" s="1"/>
  <c r="S311" i="1"/>
  <c r="S327" i="1" s="1"/>
  <c r="AT283" i="1"/>
  <c r="AS284" i="1"/>
  <c r="AS286" i="1"/>
  <c r="BM61" i="9"/>
  <c r="BM627" i="1"/>
  <c r="BM608" i="1"/>
  <c r="BM224" i="1"/>
  <c r="BM222" i="1"/>
  <c r="BM221" i="1"/>
  <c r="BM220" i="1"/>
  <c r="BM218" i="1"/>
  <c r="BM217" i="1"/>
  <c r="BN214" i="1"/>
  <c r="BM659" i="1"/>
  <c r="AG138" i="9"/>
  <c r="AG142" i="9"/>
  <c r="U86" i="9"/>
  <c r="U414" i="1"/>
  <c r="BV32" i="9"/>
  <c r="BV31" i="1"/>
  <c r="BV36" i="9" s="1"/>
  <c r="BV35" i="1"/>
  <c r="BV40" i="9" s="1"/>
  <c r="J135" i="9"/>
  <c r="J142" i="9" s="1"/>
  <c r="N135" i="9"/>
  <c r="L135" i="9"/>
  <c r="M135" i="9"/>
  <c r="AN284" i="1"/>
  <c r="AO283" i="1"/>
  <c r="AN286" i="1"/>
  <c r="BS638" i="1"/>
  <c r="BS393" i="1"/>
  <c r="BT393" i="1" s="1"/>
  <c r="BE135" i="9"/>
  <c r="BG135" i="9"/>
  <c r="BF135" i="9"/>
  <c r="F11" i="9"/>
  <c r="F162" i="9"/>
  <c r="BR44" i="9"/>
  <c r="BR43" i="1"/>
  <c r="BR48" i="9" s="1"/>
  <c r="Y294" i="1"/>
  <c r="Y298" i="1" s="1"/>
  <c r="Y311" i="1" s="1"/>
  <c r="Y327" i="1" s="1"/>
  <c r="X311" i="1"/>
  <c r="X327" i="1" s="1"/>
  <c r="Y169" i="9"/>
  <c r="Y134" i="9"/>
  <c r="AC135" i="9" s="1"/>
  <c r="AY168" i="9"/>
  <c r="BD153" i="9"/>
  <c r="AY129" i="9"/>
  <c r="AY130" i="9" s="1"/>
  <c r="AY133" i="9" s="1"/>
  <c r="AB294" i="1"/>
  <c r="AB298" i="1" s="1"/>
  <c r="AA311" i="1"/>
  <c r="AA327" i="1" s="1"/>
  <c r="I736" i="1"/>
  <c r="R336" i="1"/>
  <c r="R329" i="1"/>
  <c r="AI85" i="9"/>
  <c r="AI258" i="1"/>
  <c r="AI86" i="9" s="1"/>
  <c r="AI119" i="9" s="1"/>
  <c r="BH78" i="9"/>
  <c r="BH257" i="1"/>
  <c r="BH79" i="9" s="1"/>
  <c r="BH283" i="1"/>
  <c r="O135" i="9"/>
  <c r="R135" i="9"/>
  <c r="S135" i="9"/>
  <c r="Q135" i="9"/>
  <c r="H740" i="1"/>
  <c r="H747" i="1"/>
  <c r="H754" i="1"/>
  <c r="J761" i="1"/>
  <c r="H761" i="1"/>
  <c r="J750" i="1"/>
  <c r="J757" i="1"/>
  <c r="J743" i="1"/>
  <c r="I757" i="1"/>
  <c r="I750" i="1"/>
  <c r="I743" i="1"/>
  <c r="J763" i="1" l="1"/>
  <c r="X130" i="9"/>
  <c r="X133" i="9" s="1"/>
  <c r="BQ92" i="9"/>
  <c r="BG5" i="9"/>
  <c r="BG6" i="9" s="1"/>
  <c r="BG11" i="9" s="1"/>
  <c r="BG411" i="1"/>
  <c r="BG412" i="1" s="1"/>
  <c r="W5" i="9"/>
  <c r="W6" i="9" s="1"/>
  <c r="W11" i="9" s="1"/>
  <c r="W411" i="1"/>
  <c r="W412" i="1" s="1"/>
  <c r="AG130" i="9"/>
  <c r="AG133" i="9" s="1"/>
  <c r="G5" i="9"/>
  <c r="G6" i="9" s="1"/>
  <c r="G11" i="9" s="1"/>
  <c r="G411" i="1"/>
  <c r="G412" i="1" s="1"/>
  <c r="I283" i="1"/>
  <c r="H284" i="1"/>
  <c r="H286" i="1"/>
  <c r="BL135" i="9"/>
  <c r="BL138" i="9" s="1"/>
  <c r="X5" i="9"/>
  <c r="X6" i="9" s="1"/>
  <c r="X11" i="9" s="1"/>
  <c r="X411" i="1"/>
  <c r="X412" i="1" s="1"/>
  <c r="AW5" i="9"/>
  <c r="AW6" i="9" s="1"/>
  <c r="AW11" i="9" s="1"/>
  <c r="AW411" i="1"/>
  <c r="AW412" i="1" s="1"/>
  <c r="J759" i="1"/>
  <c r="J424" i="1" s="1"/>
  <c r="H752" i="1"/>
  <c r="H422" i="1" s="1"/>
  <c r="H745" i="1"/>
  <c r="H421" i="1" s="1"/>
  <c r="H759" i="1"/>
  <c r="H424" i="1" s="1"/>
  <c r="H738" i="1"/>
  <c r="H420" i="1" s="1"/>
  <c r="AC138" i="9"/>
  <c r="AC142" i="9"/>
  <c r="BH284" i="1"/>
  <c r="BI283" i="1"/>
  <c r="BH286" i="1"/>
  <c r="AI168" i="9"/>
  <c r="AN153" i="9"/>
  <c r="AI129" i="9"/>
  <c r="AM130" i="9" s="1"/>
  <c r="AM133" i="9" s="1"/>
  <c r="AI153" i="9"/>
  <c r="L138" i="9"/>
  <c r="L142" i="9"/>
  <c r="BM62" i="9"/>
  <c r="BM89" i="9" s="1"/>
  <c r="BM134" i="1"/>
  <c r="BN217" i="1"/>
  <c r="BN608" i="1"/>
  <c r="BM522" i="1"/>
  <c r="AT284" i="1"/>
  <c r="AT286" i="1"/>
  <c r="AU283" i="1"/>
  <c r="AQ138" i="9"/>
  <c r="AQ142" i="9"/>
  <c r="BP608" i="1"/>
  <c r="BQ522" i="1" s="1"/>
  <c r="AA2" i="9"/>
  <c r="AB5" i="1"/>
  <c r="BB138" i="9"/>
  <c r="BB142" i="9"/>
  <c r="AG5" i="9"/>
  <c r="AG6" i="9" s="1"/>
  <c r="AG11" i="9" s="1"/>
  <c r="AG411" i="1"/>
  <c r="AG412" i="1" s="1"/>
  <c r="O5" i="9"/>
  <c r="O6" i="9" s="1"/>
  <c r="O11" i="9" s="1"/>
  <c r="O411" i="1"/>
  <c r="O412" i="1" s="1"/>
  <c r="AI284" i="1"/>
  <c r="AJ283" i="1"/>
  <c r="AI286" i="1"/>
  <c r="BS28" i="9"/>
  <c r="BS13" i="1"/>
  <c r="BS20" i="9" s="1"/>
  <c r="J130" i="9"/>
  <c r="N130" i="9"/>
  <c r="N133" i="9" s="1"/>
  <c r="M130" i="9"/>
  <c r="M133" i="9" s="1"/>
  <c r="L130" i="9"/>
  <c r="L133" i="9" s="1"/>
  <c r="P663" i="1"/>
  <c r="U566" i="1"/>
  <c r="U567" i="1" s="1"/>
  <c r="P571" i="1"/>
  <c r="Q566" i="1"/>
  <c r="Q567" i="1" s="1"/>
  <c r="AS138" i="9"/>
  <c r="AS142" i="9"/>
  <c r="R138" i="9"/>
  <c r="R142" i="9"/>
  <c r="Y135" i="9"/>
  <c r="AB135" i="9"/>
  <c r="BT635" i="1"/>
  <c r="BT638" i="1" s="1"/>
  <c r="BU393" i="1"/>
  <c r="O138" i="9"/>
  <c r="O142" i="9"/>
  <c r="F160" i="9"/>
  <c r="F159" i="9"/>
  <c r="F163" i="9"/>
  <c r="N138" i="9"/>
  <c r="N142" i="9"/>
  <c r="U119" i="9"/>
  <c r="U158" i="9"/>
  <c r="BN627" i="1"/>
  <c r="BM524" i="1"/>
  <c r="BN524" i="1" s="1"/>
  <c r="S329" i="1"/>
  <c r="S336" i="1"/>
  <c r="AR138" i="9"/>
  <c r="AR142" i="9"/>
  <c r="AE336" i="1"/>
  <c r="AE329" i="1"/>
  <c r="F415" i="1"/>
  <c r="F418" i="1"/>
  <c r="AM138" i="9"/>
  <c r="AM142" i="9"/>
  <c r="AA135" i="9"/>
  <c r="BR61" i="9"/>
  <c r="BR608" i="1"/>
  <c r="BS608" i="1" s="1"/>
  <c r="BR627" i="1"/>
  <c r="BR224" i="1"/>
  <c r="BR67" i="9" s="1"/>
  <c r="BR222" i="1"/>
  <c r="BR65" i="9" s="1"/>
  <c r="BR92" i="9" s="1"/>
  <c r="BR221" i="1"/>
  <c r="BR64" i="9" s="1"/>
  <c r="BR91" i="9" s="1"/>
  <c r="BR220" i="1"/>
  <c r="BR63" i="9" s="1"/>
  <c r="BR90" i="9" s="1"/>
  <c r="BR218" i="1"/>
  <c r="BR659" i="1"/>
  <c r="BA142" i="9"/>
  <c r="BA138" i="9"/>
  <c r="O130" i="9"/>
  <c r="O133" i="9" s="1"/>
  <c r="R130" i="9"/>
  <c r="R133" i="9" s="1"/>
  <c r="Q130" i="9"/>
  <c r="Q133" i="9" s="1"/>
  <c r="S130" i="9"/>
  <c r="S133" i="9" s="1"/>
  <c r="BK142" i="9"/>
  <c r="BK138" i="9"/>
  <c r="BS44" i="9"/>
  <c r="BS43" i="1"/>
  <c r="BS48" i="9" s="1"/>
  <c r="AX571" i="1"/>
  <c r="AX663" i="1"/>
  <c r="BM63" i="9"/>
  <c r="BM90" i="9" s="1"/>
  <c r="BN220" i="1"/>
  <c r="T329" i="1"/>
  <c r="T336" i="1"/>
  <c r="AN138" i="9"/>
  <c r="AN142" i="9"/>
  <c r="AK294" i="1"/>
  <c r="AK298" i="1" s="1"/>
  <c r="AO294" i="1"/>
  <c r="AO298" i="1" s="1"/>
  <c r="AJ311" i="1"/>
  <c r="AJ327" i="1" s="1"/>
  <c r="BC5" i="9"/>
  <c r="BC6" i="9" s="1"/>
  <c r="BC11" i="9" s="1"/>
  <c r="BC411" i="1"/>
  <c r="BC412" i="1" s="1"/>
  <c r="BQ62" i="9"/>
  <c r="BQ89" i="9" s="1"/>
  <c r="BQ134" i="1"/>
  <c r="BQ627" i="1"/>
  <c r="K1" i="9"/>
  <c r="K766" i="1"/>
  <c r="K762" i="1"/>
  <c r="K266" i="1"/>
  <c r="L4" i="1"/>
  <c r="K3" i="1"/>
  <c r="BE130" i="9"/>
  <c r="BE133" i="9" s="1"/>
  <c r="BF130" i="9"/>
  <c r="BF133" i="9" s="1"/>
  <c r="BG130" i="9"/>
  <c r="BG133" i="9" s="1"/>
  <c r="AX138" i="9"/>
  <c r="AX142" i="9"/>
  <c r="W2" i="9"/>
  <c r="X5" i="1"/>
  <c r="AE412" i="1"/>
  <c r="AE417" i="1"/>
  <c r="AX5" i="9"/>
  <c r="AX6" i="9" s="1"/>
  <c r="AX11" i="9" s="1"/>
  <c r="AX411" i="1"/>
  <c r="AX412" i="1" s="1"/>
  <c r="BT42" i="9"/>
  <c r="BU37" i="1"/>
  <c r="BT16" i="1"/>
  <c r="P284" i="1"/>
  <c r="P286" i="1"/>
  <c r="Q283" i="1"/>
  <c r="BB497" i="1"/>
  <c r="BA498" i="1"/>
  <c r="BH135" i="9"/>
  <c r="BJ135" i="9"/>
  <c r="O2" i="9"/>
  <c r="BP92" i="9"/>
  <c r="BD284" i="1"/>
  <c r="BD286" i="1"/>
  <c r="BE283" i="1"/>
  <c r="BV642" i="1"/>
  <c r="BU430" i="1"/>
  <c r="BU10" i="9" s="1"/>
  <c r="J596" i="1"/>
  <c r="J595" i="1"/>
  <c r="AE11" i="9"/>
  <c r="AE162" i="9"/>
  <c r="AD153" i="9"/>
  <c r="Y168" i="9"/>
  <c r="Y129" i="9"/>
  <c r="AC130" i="9" s="1"/>
  <c r="AC133" i="9" s="1"/>
  <c r="Y153" i="9"/>
  <c r="AZ567" i="1"/>
  <c r="BD566" i="1"/>
  <c r="BD567" i="1" s="1"/>
  <c r="AM5" i="9"/>
  <c r="AM6" i="9" s="1"/>
  <c r="AM11" i="9" s="1"/>
  <c r="AM411" i="1"/>
  <c r="AM412" i="1" s="1"/>
  <c r="AV138" i="9"/>
  <c r="AV142" i="9"/>
  <c r="X336" i="1"/>
  <c r="X329" i="1"/>
  <c r="AN5" i="9"/>
  <c r="AN6" i="9" s="1"/>
  <c r="AN11" i="9" s="1"/>
  <c r="AN411" i="1"/>
  <c r="AN412" i="1" s="1"/>
  <c r="I749" i="1"/>
  <c r="I756" i="1"/>
  <c r="I742" i="1"/>
  <c r="I763" i="1"/>
  <c r="Y329" i="1"/>
  <c r="Y336" i="1"/>
  <c r="BM64" i="9"/>
  <c r="BM91" i="9" s="1"/>
  <c r="BN221" i="1"/>
  <c r="AG294" i="1"/>
  <c r="AG298" i="1" s="1"/>
  <c r="AF311" i="1"/>
  <c r="AF327" i="1" s="1"/>
  <c r="AA336" i="1"/>
  <c r="AA329" i="1"/>
  <c r="AN571" i="1"/>
  <c r="AN663" i="1"/>
  <c r="AH138" i="9"/>
  <c r="AH142" i="9"/>
  <c r="AY119" i="9"/>
  <c r="AY158" i="9"/>
  <c r="AS663" i="1"/>
  <c r="AS571" i="1"/>
  <c r="BT43" i="9"/>
  <c r="BU38" i="1"/>
  <c r="BT17" i="1"/>
  <c r="Y284" i="1"/>
  <c r="Z283" i="1"/>
  <c r="Y286" i="1"/>
  <c r="AN130" i="9"/>
  <c r="AN133" i="9" s="1"/>
  <c r="AP130" i="9"/>
  <c r="AP133" i="9" s="1"/>
  <c r="AR130" i="9"/>
  <c r="AR133" i="9" s="1"/>
  <c r="AQ130" i="9"/>
  <c r="AQ133" i="9" s="1"/>
  <c r="AI135" i="9"/>
  <c r="AL135" i="9"/>
  <c r="AK135" i="9"/>
  <c r="S2" i="9"/>
  <c r="T5" i="1"/>
  <c r="AY284" i="1"/>
  <c r="AY286" i="1"/>
  <c r="AZ283" i="1"/>
  <c r="S497" i="1"/>
  <c r="R498" i="1"/>
  <c r="AF5" i="9"/>
  <c r="AF6" i="9" s="1"/>
  <c r="AF11" i="9" s="1"/>
  <c r="AF411" i="1"/>
  <c r="AF412" i="1" s="1"/>
  <c r="AU138" i="9"/>
  <c r="AU142" i="9"/>
  <c r="BF138" i="9"/>
  <c r="BF142" i="9"/>
  <c r="AO284" i="1"/>
  <c r="AO286" i="1"/>
  <c r="AP283" i="1"/>
  <c r="BO61" i="9"/>
  <c r="BO608" i="1"/>
  <c r="BP522" i="1" s="1"/>
  <c r="BO627" i="1"/>
  <c r="BO224" i="1"/>
  <c r="BO222" i="1"/>
  <c r="BO221" i="1"/>
  <c r="BO220" i="1"/>
  <c r="BO218" i="1"/>
  <c r="BO217" i="1"/>
  <c r="BS214" i="1"/>
  <c r="BO659" i="1"/>
  <c r="BH168" i="9"/>
  <c r="BH129" i="9"/>
  <c r="Q138" i="9"/>
  <c r="Q142" i="9"/>
  <c r="BG142" i="9"/>
  <c r="BG138" i="9"/>
  <c r="BM65" i="9"/>
  <c r="BM92" i="9" s="1"/>
  <c r="BN222" i="1"/>
  <c r="AS5" i="9"/>
  <c r="AS6" i="9" s="1"/>
  <c r="AS11" i="9" s="1"/>
  <c r="AS411" i="1"/>
  <c r="AS412" i="1" s="1"/>
  <c r="S138" i="9"/>
  <c r="S142" i="9"/>
  <c r="AC294" i="1"/>
  <c r="AC298" i="1" s="1"/>
  <c r="AB311" i="1"/>
  <c r="AB327" i="1" s="1"/>
  <c r="BE142" i="9"/>
  <c r="BE138" i="9"/>
  <c r="M138" i="9"/>
  <c r="M142" i="9"/>
  <c r="BN61" i="9"/>
  <c r="BN218" i="1"/>
  <c r="BN659" i="1"/>
  <c r="BM67" i="9"/>
  <c r="BN224" i="1"/>
  <c r="AS130" i="9"/>
  <c r="AS133" i="9" s="1"/>
  <c r="AW130" i="9"/>
  <c r="AW133" i="9" s="1"/>
  <c r="AU130" i="9"/>
  <c r="AU133" i="9" s="1"/>
  <c r="AV130" i="9"/>
  <c r="AV133" i="9" s="1"/>
  <c r="AP138" i="9"/>
  <c r="AP142" i="9"/>
  <c r="BQ8" i="9"/>
  <c r="BQ658" i="1"/>
  <c r="BR394" i="1"/>
  <c r="BQ392" i="1"/>
  <c r="BQ624" i="1" s="1"/>
  <c r="BK5" i="9"/>
  <c r="BK6" i="9" s="1"/>
  <c r="BK11" i="9" s="1"/>
  <c r="BK411" i="1"/>
  <c r="BK412" i="1" s="1"/>
  <c r="BP217" i="1"/>
  <c r="BP627" i="1"/>
  <c r="AD138" i="9"/>
  <c r="AD142" i="9"/>
  <c r="AE2" i="9"/>
  <c r="AF5" i="1"/>
  <c r="AJ5" i="1"/>
  <c r="J756" i="1"/>
  <c r="J749" i="1"/>
  <c r="J742" i="1"/>
  <c r="H663" i="1"/>
  <c r="I566" i="1"/>
  <c r="I567" i="1" s="1"/>
  <c r="H571" i="1"/>
  <c r="AZ142" i="9"/>
  <c r="AZ138" i="9"/>
  <c r="AX130" i="9"/>
  <c r="AX133" i="9" s="1"/>
  <c r="BB130" i="9"/>
  <c r="BB133" i="9" s="1"/>
  <c r="AZ130" i="9"/>
  <c r="AZ133" i="9" s="1"/>
  <c r="BA130" i="9"/>
  <c r="BA133" i="9" s="1"/>
  <c r="L663" i="1"/>
  <c r="L571" i="1"/>
  <c r="M566" i="1"/>
  <c r="M567" i="1" s="1"/>
  <c r="AW138" i="9"/>
  <c r="AW142" i="9"/>
  <c r="I747" i="1"/>
  <c r="J747" i="1"/>
  <c r="J740" i="1"/>
  <c r="I754" i="1"/>
  <c r="I740" i="1"/>
  <c r="J754" i="1"/>
  <c r="I761" i="1"/>
  <c r="BL142" i="9" l="1"/>
  <c r="BP524" i="1"/>
  <c r="H5" i="9"/>
  <c r="H6" i="9" s="1"/>
  <c r="H11" i="9" s="1"/>
  <c r="H411" i="1"/>
  <c r="H412" i="1" s="1"/>
  <c r="J283" i="1"/>
  <c r="I284" i="1"/>
  <c r="I286" i="1"/>
  <c r="I752" i="1"/>
  <c r="I422" i="1" s="1"/>
  <c r="I745" i="1"/>
  <c r="I421" i="1" s="1"/>
  <c r="I738" i="1"/>
  <c r="I420" i="1" s="1"/>
  <c r="J752" i="1"/>
  <c r="J422" i="1" s="1"/>
  <c r="J745" i="1"/>
  <c r="J421" i="1" s="1"/>
  <c r="J738" i="1"/>
  <c r="J420" i="1" s="1"/>
  <c r="I759" i="1"/>
  <c r="I424" i="1" s="1"/>
  <c r="AI138" i="9"/>
  <c r="AI142" i="9"/>
  <c r="Z284" i="1"/>
  <c r="Z286" i="1"/>
  <c r="AA283" i="1"/>
  <c r="AH294" i="1"/>
  <c r="AH298" i="1" s="1"/>
  <c r="AG311" i="1"/>
  <c r="AG327" i="1" s="1"/>
  <c r="AJ2" i="9"/>
  <c r="AG720" i="1"/>
  <c r="AE720" i="1"/>
  <c r="AD720" i="1"/>
  <c r="AH720" i="1"/>
  <c r="AF720" i="1"/>
  <c r="AF719" i="1" s="1"/>
  <c r="AK5" i="1"/>
  <c r="AO5" i="1"/>
  <c r="BP62" i="9"/>
  <c r="BP134" i="1"/>
  <c r="BR8" i="9"/>
  <c r="BR658" i="1"/>
  <c r="BR392" i="1"/>
  <c r="BR624" i="1" s="1"/>
  <c r="AB336" i="1"/>
  <c r="AB329" i="1"/>
  <c r="BN65" i="9"/>
  <c r="BN92" i="9" s="1"/>
  <c r="BN140" i="1"/>
  <c r="BH130" i="9"/>
  <c r="BH133" i="9" s="1"/>
  <c r="BJ130" i="9"/>
  <c r="BJ133" i="9" s="1"/>
  <c r="BP102" i="9"/>
  <c r="BP365" i="1"/>
  <c r="Y130" i="9"/>
  <c r="Y133" i="9" s="1"/>
  <c r="AB130" i="9"/>
  <c r="AB133" i="9" s="1"/>
  <c r="BD5" i="9"/>
  <c r="BD6" i="9" s="1"/>
  <c r="BD411" i="1"/>
  <c r="Q284" i="1"/>
  <c r="Q286" i="1"/>
  <c r="R283" i="1"/>
  <c r="I594" i="1"/>
  <c r="J594" i="1"/>
  <c r="H594" i="1"/>
  <c r="J593" i="1"/>
  <c r="I593" i="1"/>
  <c r="G594" i="1"/>
  <c r="G593" i="1"/>
  <c r="H593" i="1"/>
  <c r="G595" i="1"/>
  <c r="G596" i="1"/>
  <c r="H595" i="1"/>
  <c r="H596" i="1"/>
  <c r="I595" i="1"/>
  <c r="I596" i="1"/>
  <c r="AB138" i="9"/>
  <c r="AB142" i="9"/>
  <c r="Q663" i="1"/>
  <c r="Q571" i="1"/>
  <c r="R566" i="1"/>
  <c r="R567" i="1" s="1"/>
  <c r="BL130" i="9"/>
  <c r="BL133" i="9" s="1"/>
  <c r="BN574" i="1"/>
  <c r="BN577" i="1" s="1"/>
  <c r="BO522" i="1"/>
  <c r="BO524" i="1"/>
  <c r="AY5" i="9"/>
  <c r="AY6" i="9" s="1"/>
  <c r="AY411" i="1"/>
  <c r="BE284" i="1"/>
  <c r="BE286" i="1"/>
  <c r="AL294" i="1"/>
  <c r="AL298" i="1" s="1"/>
  <c r="AK311" i="1"/>
  <c r="AK327" i="1" s="1"/>
  <c r="BS574" i="1"/>
  <c r="BN575" i="1"/>
  <c r="BN578" i="1" s="1"/>
  <c r="AF2" i="9"/>
  <c r="AD714" i="1"/>
  <c r="AE714" i="1"/>
  <c r="AG5" i="1"/>
  <c r="AD294" i="1"/>
  <c r="AD298" i="1" s="1"/>
  <c r="AD311" i="1" s="1"/>
  <c r="AD327" i="1" s="1"/>
  <c r="AC311" i="1"/>
  <c r="AC327" i="1" s="1"/>
  <c r="BO63" i="9"/>
  <c r="BO90" i="9" s="1"/>
  <c r="BS220" i="1"/>
  <c r="T2" i="9"/>
  <c r="BT23" i="9"/>
  <c r="BT8" i="1"/>
  <c r="BT15" i="9" s="1"/>
  <c r="BN64" i="9"/>
  <c r="BN91" i="9" s="1"/>
  <c r="BN139" i="1"/>
  <c r="P5" i="9"/>
  <c r="P6" i="9" s="1"/>
  <c r="P411" i="1"/>
  <c r="L1" i="9"/>
  <c r="L766" i="1"/>
  <c r="L762" i="1"/>
  <c r="L736" i="1"/>
  <c r="L266" i="1"/>
  <c r="L3" i="1"/>
  <c r="M4" i="1"/>
  <c r="BN63" i="9"/>
  <c r="BN90" i="9" s="1"/>
  <c r="BN138" i="1"/>
  <c r="AA138" i="9"/>
  <c r="AA142" i="9"/>
  <c r="Y138" i="9"/>
  <c r="Y142" i="9"/>
  <c r="BK130" i="9"/>
  <c r="BK133" i="9" s="1"/>
  <c r="BN62" i="9"/>
  <c r="BN89" i="9" s="1"/>
  <c r="BN134" i="1"/>
  <c r="BN135" i="1" s="1"/>
  <c r="AI130" i="9"/>
  <c r="AI133" i="9" s="1"/>
  <c r="AL130" i="9"/>
  <c r="AL133" i="9" s="1"/>
  <c r="AK130" i="9"/>
  <c r="AK133" i="9" s="1"/>
  <c r="BO64" i="9"/>
  <c r="BO91" i="9" s="1"/>
  <c r="BS221" i="1"/>
  <c r="AP284" i="1"/>
  <c r="AP286" i="1"/>
  <c r="AQ283" i="1"/>
  <c r="BU43" i="9"/>
  <c r="BV38" i="1"/>
  <c r="BU17" i="1"/>
  <c r="BJ138" i="9"/>
  <c r="BJ142" i="9"/>
  <c r="AA130" i="9"/>
  <c r="AA133" i="9" s="1"/>
  <c r="U571" i="1"/>
  <c r="V566" i="1"/>
  <c r="V567" i="1" s="1"/>
  <c r="Z566" i="1"/>
  <c r="Z567" i="1" s="1"/>
  <c r="AB2" i="9"/>
  <c r="AC5" i="1"/>
  <c r="AU284" i="1"/>
  <c r="AU286" i="1"/>
  <c r="BO62" i="9"/>
  <c r="BO89" i="9" s="1"/>
  <c r="BO134" i="1"/>
  <c r="BS217" i="1"/>
  <c r="BS218" i="1" s="1"/>
  <c r="BC497" i="1"/>
  <c r="BB498" i="1"/>
  <c r="X2" i="9"/>
  <c r="Y5" i="1"/>
  <c r="AJ284" i="1"/>
  <c r="AJ286" i="1"/>
  <c r="BM102" i="9"/>
  <c r="BN522" i="1"/>
  <c r="BM365" i="1"/>
  <c r="BI284" i="1"/>
  <c r="BI286" i="1"/>
  <c r="M663" i="1"/>
  <c r="N566" i="1"/>
  <c r="N567" i="1" s="1"/>
  <c r="M571" i="1"/>
  <c r="BN67" i="9"/>
  <c r="BN142" i="1"/>
  <c r="BN94" i="9" s="1"/>
  <c r="BO65" i="9"/>
  <c r="BO92" i="9" s="1"/>
  <c r="BS222" i="1"/>
  <c r="AO5" i="9"/>
  <c r="AO6" i="9" s="1"/>
  <c r="AO411" i="1"/>
  <c r="T497" i="1"/>
  <c r="S498" i="1"/>
  <c r="AK138" i="9"/>
  <c r="AK142" i="9"/>
  <c r="BD571" i="1"/>
  <c r="BV430" i="1"/>
  <c r="BV10" i="9" s="1"/>
  <c r="BH138" i="9"/>
  <c r="BH142" i="9"/>
  <c r="BT22" i="9"/>
  <c r="BT7" i="1"/>
  <c r="BT14" i="9" s="1"/>
  <c r="BT18" i="1"/>
  <c r="K736" i="1"/>
  <c r="BQ524" i="1"/>
  <c r="BQ365" i="1" s="1"/>
  <c r="AJ336" i="1"/>
  <c r="AJ329" i="1"/>
  <c r="AT5" i="9"/>
  <c r="AT6" i="9" s="1"/>
  <c r="AT411" i="1"/>
  <c r="I663" i="1"/>
  <c r="J566" i="1"/>
  <c r="J567" i="1" s="1"/>
  <c r="I571" i="1"/>
  <c r="BS61" i="9"/>
  <c r="BS659" i="1"/>
  <c r="BO67" i="9"/>
  <c r="BS224" i="1"/>
  <c r="AZ284" i="1"/>
  <c r="AZ286" i="1"/>
  <c r="AL138" i="9"/>
  <c r="AL142" i="9"/>
  <c r="Y5" i="9"/>
  <c r="Y6" i="9" s="1"/>
  <c r="Y11" i="9" s="1"/>
  <c r="Y411" i="1"/>
  <c r="Y412" i="1" s="1"/>
  <c r="AF336" i="1"/>
  <c r="AF329" i="1"/>
  <c r="AZ663" i="1"/>
  <c r="BA566" i="1"/>
  <c r="BA567" i="1" s="1"/>
  <c r="AZ571" i="1"/>
  <c r="AE160" i="9"/>
  <c r="AE159" i="9"/>
  <c r="AE163" i="9"/>
  <c r="BU42" i="9"/>
  <c r="BV37" i="1"/>
  <c r="BU16" i="1"/>
  <c r="AE415" i="1"/>
  <c r="AE418" i="1"/>
  <c r="AT294" i="1"/>
  <c r="AT298" i="1" s="1"/>
  <c r="AP294" i="1"/>
  <c r="AP298" i="1" s="1"/>
  <c r="AQ294" i="1" s="1"/>
  <c r="AQ298" i="1" s="1"/>
  <c r="AR294" i="1" s="1"/>
  <c r="AR298" i="1" s="1"/>
  <c r="AS294" i="1" s="1"/>
  <c r="AS298" i="1" s="1"/>
  <c r="AS311" i="1" s="1"/>
  <c r="AS327" i="1" s="1"/>
  <c r="AO311" i="1"/>
  <c r="AO327" i="1" s="1"/>
  <c r="BR217" i="1"/>
  <c r="BS627" i="1"/>
  <c r="BS575" i="1" s="1"/>
  <c r="BR524" i="1"/>
  <c r="BU635" i="1"/>
  <c r="BU638" i="1" s="1"/>
  <c r="BV393" i="1"/>
  <c r="BV635" i="1" s="1"/>
  <c r="BV638" i="1" s="1"/>
  <c r="AI5" i="9"/>
  <c r="AI6" i="9" s="1"/>
  <c r="AI11" i="9" s="1"/>
  <c r="AI411" i="1"/>
  <c r="AI412" i="1" s="1"/>
  <c r="BQ102" i="9"/>
  <c r="BH5" i="9"/>
  <c r="BH6" i="9" s="1"/>
  <c r="BH11" i="9" s="1"/>
  <c r="BH411" i="1"/>
  <c r="BH412" i="1" s="1"/>
  <c r="BR522" i="1"/>
  <c r="K757" i="1"/>
  <c r="L750" i="1"/>
  <c r="L743" i="1"/>
  <c r="K750" i="1"/>
  <c r="L757" i="1"/>
  <c r="K743" i="1"/>
  <c r="I411" i="1" l="1"/>
  <c r="I412" i="1" s="1"/>
  <c r="I5" i="9"/>
  <c r="I6" i="9" s="1"/>
  <c r="I11" i="9" s="1"/>
  <c r="J284" i="1"/>
  <c r="K283" i="1"/>
  <c r="J286" i="1"/>
  <c r="BS578" i="1"/>
  <c r="BT575" i="1"/>
  <c r="BU575" i="1" s="1"/>
  <c r="BV575" i="1" s="1"/>
  <c r="L756" i="1"/>
  <c r="L749" i="1"/>
  <c r="L742" i="1"/>
  <c r="AO336" i="1"/>
  <c r="AO329" i="1"/>
  <c r="BA663" i="1"/>
  <c r="BA571" i="1"/>
  <c r="BB566" i="1"/>
  <c r="BB567" i="1" s="1"/>
  <c r="K749" i="1"/>
  <c r="K756" i="1"/>
  <c r="K742" i="1"/>
  <c r="K763" i="1"/>
  <c r="Y2" i="9"/>
  <c r="V571" i="1"/>
  <c r="W566" i="1"/>
  <c r="W567" i="1" s="1"/>
  <c r="BU23" i="9"/>
  <c r="BU8" i="1"/>
  <c r="BU15" i="9" s="1"/>
  <c r="BS64" i="9"/>
  <c r="BS91" i="9" s="1"/>
  <c r="BS139" i="1"/>
  <c r="P11" i="9"/>
  <c r="P162" i="9"/>
  <c r="BS63" i="9"/>
  <c r="BS90" i="9" s="1"/>
  <c r="BS138" i="1"/>
  <c r="BT574" i="1"/>
  <c r="BU574" i="1" s="1"/>
  <c r="BV574" i="1" s="1"/>
  <c r="BS577" i="1"/>
  <c r="AY412" i="1"/>
  <c r="AY417" i="1"/>
  <c r="BD412" i="1"/>
  <c r="BD417" i="1"/>
  <c r="AI294" i="1"/>
  <c r="AI298" i="1" s="1"/>
  <c r="AI311" i="1" s="1"/>
  <c r="AI327" i="1" s="1"/>
  <c r="AH311" i="1"/>
  <c r="AH327" i="1" s="1"/>
  <c r="BS65" i="9"/>
  <c r="BS92" i="9" s="1"/>
  <c r="BS140" i="1"/>
  <c r="BR62" i="9"/>
  <c r="BR134" i="1"/>
  <c r="BR102" i="9"/>
  <c r="BR365" i="1"/>
  <c r="AS329" i="1"/>
  <c r="AS336" i="1"/>
  <c r="AT412" i="1"/>
  <c r="AT417" i="1"/>
  <c r="BT24" i="9"/>
  <c r="BT22" i="1"/>
  <c r="BT39" i="1"/>
  <c r="BT9" i="1"/>
  <c r="BT16" i="9" s="1"/>
  <c r="U497" i="1"/>
  <c r="U498" i="1" s="1"/>
  <c r="T498" i="1"/>
  <c r="AU5" i="9"/>
  <c r="AU6" i="9" s="1"/>
  <c r="AU11" i="9" s="1"/>
  <c r="AU411" i="1"/>
  <c r="AU412" i="1" s="1"/>
  <c r="BV43" i="9"/>
  <c r="BV17" i="1"/>
  <c r="AG2" i="9"/>
  <c r="AF714" i="1"/>
  <c r="AH5" i="1"/>
  <c r="AY11" i="9"/>
  <c r="AY162" i="9"/>
  <c r="R663" i="1"/>
  <c r="R571" i="1"/>
  <c r="S566" i="1"/>
  <c r="S567" i="1" s="1"/>
  <c r="BD11" i="9"/>
  <c r="BD162" i="9"/>
  <c r="AD719" i="1"/>
  <c r="AA284" i="1"/>
  <c r="AA286" i="1"/>
  <c r="BS62" i="9"/>
  <c r="BS89" i="9" s="1"/>
  <c r="BS134" i="1"/>
  <c r="BS135" i="1" s="1"/>
  <c r="BU22" i="9"/>
  <c r="BU7" i="1"/>
  <c r="BU14" i="9" s="1"/>
  <c r="BU18" i="1"/>
  <c r="J663" i="1"/>
  <c r="J571" i="1"/>
  <c r="Z571" i="1"/>
  <c r="P412" i="1"/>
  <c r="P417" i="1"/>
  <c r="BV42" i="9"/>
  <c r="BV16" i="1"/>
  <c r="AZ5" i="9"/>
  <c r="AZ6" i="9" s="1"/>
  <c r="AZ11" i="9" s="1"/>
  <c r="AZ411" i="1"/>
  <c r="AZ412" i="1" s="1"/>
  <c r="AT11" i="9"/>
  <c r="AT162" i="9"/>
  <c r="AO412" i="1"/>
  <c r="AO417" i="1"/>
  <c r="BN102" i="9"/>
  <c r="BN365" i="1"/>
  <c r="M1" i="9"/>
  <c r="M766" i="1"/>
  <c r="M762" i="1"/>
  <c r="M266" i="1"/>
  <c r="M3" i="1"/>
  <c r="N4" i="1"/>
  <c r="L763" i="1"/>
  <c r="AC336" i="1"/>
  <c r="AC329" i="1"/>
  <c r="AK336" i="1"/>
  <c r="AK329" i="1"/>
  <c r="BP89" i="9"/>
  <c r="AE719" i="1"/>
  <c r="Z5" i="9"/>
  <c r="Z6" i="9" s="1"/>
  <c r="Z411" i="1"/>
  <c r="BI5" i="9"/>
  <c r="BI6" i="9" s="1"/>
  <c r="BI411" i="1"/>
  <c r="AY294" i="1"/>
  <c r="AY298" i="1" s="1"/>
  <c r="AU294" i="1"/>
  <c r="AU298" i="1" s="1"/>
  <c r="AT311" i="1"/>
  <c r="AT327" i="1" s="1"/>
  <c r="AO11" i="9"/>
  <c r="AO162" i="9"/>
  <c r="N663" i="1"/>
  <c r="O566" i="1"/>
  <c r="O567" i="1" s="1"/>
  <c r="N571" i="1"/>
  <c r="BD497" i="1"/>
  <c r="BD498" i="1" s="1"/>
  <c r="BC498" i="1"/>
  <c r="AC2" i="9"/>
  <c r="AD5" i="1"/>
  <c r="AQ284" i="1"/>
  <c r="AQ286" i="1"/>
  <c r="AR283" i="1"/>
  <c r="AD329" i="1"/>
  <c r="AD336" i="1"/>
  <c r="AM294" i="1"/>
  <c r="AM298" i="1" s="1"/>
  <c r="AL311" i="1"/>
  <c r="AL327" i="1" s="1"/>
  <c r="BS524" i="1"/>
  <c r="R284" i="1"/>
  <c r="R286" i="1"/>
  <c r="S283" i="1"/>
  <c r="BS624" i="1"/>
  <c r="AO2" i="9"/>
  <c r="AM720" i="1"/>
  <c r="AK720" i="1"/>
  <c r="AJ720" i="1"/>
  <c r="AI720" i="1"/>
  <c r="AI719" i="1" s="1"/>
  <c r="AL720" i="1"/>
  <c r="AL719" i="1" s="1"/>
  <c r="AP5" i="1"/>
  <c r="AT5" i="1"/>
  <c r="AG719" i="1"/>
  <c r="BE5" i="9"/>
  <c r="BE6" i="9" s="1"/>
  <c r="BE11" i="9" s="1"/>
  <c r="BE411" i="1"/>
  <c r="BE412" i="1" s="1"/>
  <c r="BO102" i="9"/>
  <c r="BS522" i="1"/>
  <c r="BO365" i="1"/>
  <c r="Q5" i="9"/>
  <c r="Q6" i="9" s="1"/>
  <c r="Q11" i="9" s="1"/>
  <c r="Q411" i="1"/>
  <c r="Q412" i="1" s="1"/>
  <c r="AK2" i="9"/>
  <c r="AJ714" i="1"/>
  <c r="AI714" i="1"/>
  <c r="AL5" i="1"/>
  <c r="BS67" i="9"/>
  <c r="BS142" i="1"/>
  <c r="BS94" i="9" s="1"/>
  <c r="AJ5" i="9"/>
  <c r="AJ6" i="9" s="1"/>
  <c r="AJ411" i="1"/>
  <c r="AP5" i="9"/>
  <c r="AP6" i="9" s="1"/>
  <c r="AP11" i="9" s="1"/>
  <c r="AP411" i="1"/>
  <c r="AP412" i="1" s="1"/>
  <c r="AG336" i="1"/>
  <c r="AG329" i="1"/>
  <c r="K754" i="1"/>
  <c r="K740" i="1"/>
  <c r="K747" i="1"/>
  <c r="L754" i="1"/>
  <c r="L747" i="1"/>
  <c r="L740" i="1"/>
  <c r="L761" i="1"/>
  <c r="K761" i="1"/>
  <c r="J5" i="9" l="1"/>
  <c r="J6" i="9" s="1"/>
  <c r="J11" i="9" s="1"/>
  <c r="J411" i="1"/>
  <c r="J412" i="1" s="1"/>
  <c r="K286" i="1"/>
  <c r="L283" i="1"/>
  <c r="K284" i="1"/>
  <c r="K745" i="1"/>
  <c r="K421" i="1" s="1"/>
  <c r="L759" i="1"/>
  <c r="L424" i="1" s="1"/>
  <c r="K759" i="1"/>
  <c r="K424" i="1" s="1"/>
  <c r="L745" i="1"/>
  <c r="L421" i="1" s="1"/>
  <c r="L738" i="1"/>
  <c r="L420" i="1" s="1"/>
  <c r="L752" i="1"/>
  <c r="L422" i="1" s="1"/>
  <c r="K738" i="1"/>
  <c r="K420" i="1" s="1"/>
  <c r="K752" i="1"/>
  <c r="K422" i="1" s="1"/>
  <c r="AL2" i="9"/>
  <c r="AK714" i="1"/>
  <c r="AM5" i="1"/>
  <c r="BT28" i="9"/>
  <c r="BT13" i="1"/>
  <c r="BT20" i="9" s="1"/>
  <c r="BT214" i="1"/>
  <c r="AT2" i="9"/>
  <c r="AQ720" i="1"/>
  <c r="AQ719" i="1" s="1"/>
  <c r="AP720" i="1"/>
  <c r="AO720" i="1"/>
  <c r="AN720" i="1"/>
  <c r="AN719" i="1" s="1"/>
  <c r="AR720" i="1"/>
  <c r="AY5" i="1"/>
  <c r="AU5" i="1"/>
  <c r="BI11" i="9"/>
  <c r="BI162" i="9"/>
  <c r="BV22" i="9"/>
  <c r="BV18" i="1"/>
  <c r="BV7" i="1"/>
  <c r="BV14" i="9" s="1"/>
  <c r="S663" i="1"/>
  <c r="S571" i="1"/>
  <c r="T566" i="1"/>
  <c r="T567" i="1" s="1"/>
  <c r="BS102" i="9"/>
  <c r="BS365" i="1"/>
  <c r="AP2" i="9"/>
  <c r="AN714" i="1"/>
  <c r="AO714" i="1"/>
  <c r="AQ5" i="1"/>
  <c r="AO160" i="9"/>
  <c r="AO159" i="9"/>
  <c r="AO163" i="9"/>
  <c r="Z412" i="1"/>
  <c r="Z417" i="1"/>
  <c r="AT159" i="9"/>
  <c r="AT160" i="9"/>
  <c r="AT163" i="9"/>
  <c r="AA5" i="9"/>
  <c r="AA6" i="9" s="1"/>
  <c r="AA11" i="9" s="1"/>
  <c r="AA411" i="1"/>
  <c r="AA412" i="1" s="1"/>
  <c r="AH2" i="9"/>
  <c r="AG714" i="1"/>
  <c r="AI5" i="1"/>
  <c r="AH336" i="1"/>
  <c r="AH329" i="1"/>
  <c r="AY415" i="1"/>
  <c r="AY418" i="1"/>
  <c r="BS394" i="1"/>
  <c r="BS392" i="1"/>
  <c r="AR284" i="1"/>
  <c r="AR286" i="1"/>
  <c r="AJ11" i="9"/>
  <c r="AJ162" i="9"/>
  <c r="AN294" i="1"/>
  <c r="AN298" i="1" s="1"/>
  <c r="AN311" i="1" s="1"/>
  <c r="AN327" i="1" s="1"/>
  <c r="AM311" i="1"/>
  <c r="AM327" i="1" s="1"/>
  <c r="AQ5" i="9"/>
  <c r="AQ6" i="9" s="1"/>
  <c r="AQ11" i="9" s="1"/>
  <c r="AQ411" i="1"/>
  <c r="AQ412" i="1" s="1"/>
  <c r="AV294" i="1"/>
  <c r="AV298" i="1" s="1"/>
  <c r="AU311" i="1"/>
  <c r="AU327" i="1" s="1"/>
  <c r="P415" i="1"/>
  <c r="P418" i="1"/>
  <c r="V497" i="1"/>
  <c r="U663" i="1"/>
  <c r="AH719" i="1"/>
  <c r="P159" i="9"/>
  <c r="P160" i="9"/>
  <c r="P163" i="9"/>
  <c r="W571" i="1"/>
  <c r="X566" i="1"/>
  <c r="X567" i="1" s="1"/>
  <c r="BB663" i="1"/>
  <c r="BB571" i="1"/>
  <c r="BC566" i="1"/>
  <c r="BC567" i="1" s="1"/>
  <c r="AJ412" i="1"/>
  <c r="AJ417" i="1"/>
  <c r="AL336" i="1"/>
  <c r="AL329" i="1"/>
  <c r="BE497" i="1"/>
  <c r="BD663" i="1"/>
  <c r="Z11" i="9"/>
  <c r="Z162" i="9"/>
  <c r="M736" i="1"/>
  <c r="BU24" i="9"/>
  <c r="BU39" i="1"/>
  <c r="BU9" i="1"/>
  <c r="BU16" i="9" s="1"/>
  <c r="BU22" i="1"/>
  <c r="AI329" i="1"/>
  <c r="AI336" i="1"/>
  <c r="AJ719" i="1"/>
  <c r="S284" i="1"/>
  <c r="S286" i="1"/>
  <c r="T283" i="1"/>
  <c r="O663" i="1"/>
  <c r="O571" i="1"/>
  <c r="AZ294" i="1"/>
  <c r="AZ298" i="1" s="1"/>
  <c r="BD294" i="1"/>
  <c r="BD298" i="1" s="1"/>
  <c r="AY311" i="1"/>
  <c r="AY327" i="1" s="1"/>
  <c r="AY159" i="9"/>
  <c r="AY160" i="9"/>
  <c r="AY163" i="9"/>
  <c r="BV23" i="9"/>
  <c r="BV8" i="1"/>
  <c r="BV15" i="9" s="1"/>
  <c r="AT415" i="1"/>
  <c r="AT418" i="1"/>
  <c r="BR89" i="9"/>
  <c r="AT336" i="1"/>
  <c r="AT329" i="1"/>
  <c r="AK719" i="1"/>
  <c r="R5" i="9"/>
  <c r="R6" i="9" s="1"/>
  <c r="R11" i="9" s="1"/>
  <c r="R411" i="1"/>
  <c r="R412" i="1" s="1"/>
  <c r="AD2" i="9"/>
  <c r="BI412" i="1"/>
  <c r="BI417" i="1"/>
  <c r="N1" i="9"/>
  <c r="N766" i="1"/>
  <c r="N762" i="1"/>
  <c r="N266" i="1"/>
  <c r="O4" i="1"/>
  <c r="N3" i="1"/>
  <c r="N736" i="1" s="1"/>
  <c r="AO415" i="1"/>
  <c r="AO418" i="1"/>
  <c r="BD159" i="9"/>
  <c r="BD160" i="9"/>
  <c r="BD163" i="9"/>
  <c r="BT44" i="9"/>
  <c r="BT43" i="1"/>
  <c r="BT48" i="9" s="1"/>
  <c r="BD415" i="1"/>
  <c r="BD418" i="1"/>
  <c r="N743" i="1"/>
  <c r="M750" i="1"/>
  <c r="N757" i="1"/>
  <c r="N750" i="1"/>
  <c r="M743" i="1"/>
  <c r="M757" i="1"/>
  <c r="L286" i="1" l="1"/>
  <c r="L284" i="1"/>
  <c r="K5" i="9"/>
  <c r="K6" i="9" s="1"/>
  <c r="K411" i="1"/>
  <c r="N756" i="1"/>
  <c r="N749" i="1"/>
  <c r="N742" i="1"/>
  <c r="N763" i="1"/>
  <c r="O1" i="9"/>
  <c r="O766" i="1"/>
  <c r="O762" i="1"/>
  <c r="O736" i="1"/>
  <c r="O266" i="1"/>
  <c r="P4" i="1"/>
  <c r="O3" i="1"/>
  <c r="AJ160" i="9"/>
  <c r="AJ159" i="9"/>
  <c r="AJ163" i="9"/>
  <c r="AI2" i="9"/>
  <c r="AH714" i="1"/>
  <c r="AU2" i="9"/>
  <c r="AT714" i="1"/>
  <c r="AS714" i="1"/>
  <c r="AV5" i="1"/>
  <c r="AY336" i="1"/>
  <c r="AY329" i="1"/>
  <c r="S5" i="9"/>
  <c r="S6" i="9" s="1"/>
  <c r="S11" i="9" s="1"/>
  <c r="S411" i="1"/>
  <c r="S412" i="1" s="1"/>
  <c r="AQ2" i="9"/>
  <c r="AP714" i="1"/>
  <c r="AR5" i="1"/>
  <c r="T663" i="1"/>
  <c r="T571" i="1"/>
  <c r="AY2" i="9"/>
  <c r="AS720" i="1"/>
  <c r="AS719" i="1" s="1"/>
  <c r="AW720" i="1"/>
  <c r="AV720" i="1"/>
  <c r="AU720" i="1"/>
  <c r="AU719" i="1" s="1"/>
  <c r="AT720" i="1"/>
  <c r="BD5" i="1"/>
  <c r="AZ5" i="1"/>
  <c r="M756" i="1"/>
  <c r="M749" i="1"/>
  <c r="M742" i="1"/>
  <c r="M763" i="1"/>
  <c r="BS8" i="9"/>
  <c r="BS658" i="1"/>
  <c r="BT394" i="1"/>
  <c r="BE294" i="1"/>
  <c r="BE298" i="1" s="1"/>
  <c r="BF294" i="1" s="1"/>
  <c r="BF298" i="1" s="1"/>
  <c r="BI294" i="1"/>
  <c r="BI298" i="1" s="1"/>
  <c r="BU44" i="9"/>
  <c r="BU43" i="1"/>
  <c r="BU48" i="9" s="1"/>
  <c r="Z160" i="9"/>
  <c r="Z159" i="9"/>
  <c r="Z163" i="9"/>
  <c r="AJ415" i="1"/>
  <c r="AJ418" i="1"/>
  <c r="W497" i="1"/>
  <c r="V498" i="1"/>
  <c r="V663" i="1" s="1"/>
  <c r="AR719" i="1"/>
  <c r="BT61" i="9"/>
  <c r="BT627" i="1"/>
  <c r="BT524" i="1" s="1"/>
  <c r="BT608" i="1"/>
  <c r="BT224" i="1"/>
  <c r="BT67" i="9" s="1"/>
  <c r="BT222" i="1"/>
  <c r="BT65" i="9" s="1"/>
  <c r="BT221" i="1"/>
  <c r="BT64" i="9" s="1"/>
  <c r="BT220" i="1"/>
  <c r="BT63" i="9" s="1"/>
  <c r="BT218" i="1"/>
  <c r="BT217" i="1" s="1"/>
  <c r="BT659" i="1"/>
  <c r="BI415" i="1"/>
  <c r="BI418" i="1"/>
  <c r="BA294" i="1"/>
  <c r="BA298" i="1" s="1"/>
  <c r="BB294" i="1" s="1"/>
  <c r="BB298" i="1" s="1"/>
  <c r="AZ311" i="1"/>
  <c r="AZ327" i="1" s="1"/>
  <c r="BC571" i="1"/>
  <c r="BC663" i="1"/>
  <c r="AM336" i="1"/>
  <c r="AM329" i="1"/>
  <c r="AR5" i="9"/>
  <c r="AR6" i="9" s="1"/>
  <c r="AR11" i="9" s="1"/>
  <c r="AR411" i="1"/>
  <c r="AR412" i="1" s="1"/>
  <c r="Z415" i="1"/>
  <c r="Z418" i="1"/>
  <c r="BU28" i="9"/>
  <c r="BU214" i="1"/>
  <c r="BU13" i="1"/>
  <c r="BU20" i="9" s="1"/>
  <c r="AW294" i="1"/>
  <c r="AW298" i="1" s="1"/>
  <c r="AV311" i="1"/>
  <c r="AV327" i="1" s="1"/>
  <c r="BE566" i="1"/>
  <c r="BF497" i="1"/>
  <c r="BE498" i="1"/>
  <c r="AN329" i="1"/>
  <c r="AN336" i="1"/>
  <c r="BI160" i="9"/>
  <c r="BI159" i="9"/>
  <c r="BI163" i="9"/>
  <c r="AO719" i="1"/>
  <c r="U283" i="1"/>
  <c r="T284" i="1"/>
  <c r="T286" i="1"/>
  <c r="X571" i="1"/>
  <c r="Y566" i="1"/>
  <c r="Y567" i="1" s="1"/>
  <c r="AU336" i="1"/>
  <c r="AU329" i="1"/>
  <c r="BV24" i="9"/>
  <c r="BV39" i="1"/>
  <c r="BV9" i="1"/>
  <c r="BV16" i="9" s="1"/>
  <c r="BV22" i="1"/>
  <c r="AM719" i="1"/>
  <c r="AP719" i="1"/>
  <c r="AM2" i="9"/>
  <c r="AL714" i="1"/>
  <c r="AN5" i="1"/>
  <c r="M740" i="1"/>
  <c r="N754" i="1"/>
  <c r="N747" i="1"/>
  <c r="M754" i="1"/>
  <c r="N740" i="1"/>
  <c r="M747" i="1"/>
  <c r="O743" i="1"/>
  <c r="O757" i="1"/>
  <c r="N761" i="1"/>
  <c r="O750" i="1"/>
  <c r="M761" i="1"/>
  <c r="O763" i="1" l="1"/>
  <c r="BT90" i="9"/>
  <c r="BT91" i="9"/>
  <c r="K412" i="1"/>
  <c r="K417" i="1"/>
  <c r="K162" i="9"/>
  <c r="K11" i="9"/>
  <c r="L411" i="1"/>
  <c r="L412" i="1" s="1"/>
  <c r="L5" i="9"/>
  <c r="L6" i="9" s="1"/>
  <c r="L11" i="9" s="1"/>
  <c r="N738" i="1"/>
  <c r="N420" i="1" s="1"/>
  <c r="N759" i="1"/>
  <c r="N424" i="1" s="1"/>
  <c r="N745" i="1"/>
  <c r="N421" i="1" s="1"/>
  <c r="N752" i="1"/>
  <c r="N422" i="1" s="1"/>
  <c r="M759" i="1"/>
  <c r="M424" i="1" s="1"/>
  <c r="M738" i="1"/>
  <c r="M420" i="1" s="1"/>
  <c r="M745" i="1"/>
  <c r="M421" i="1" s="1"/>
  <c r="M752" i="1"/>
  <c r="M422" i="1" s="1"/>
  <c r="BT62" i="9"/>
  <c r="BT89" i="9" s="1"/>
  <c r="BT134" i="1"/>
  <c r="BT8" i="9"/>
  <c r="BT658" i="1"/>
  <c r="BU394" i="1"/>
  <c r="BT392" i="1"/>
  <c r="BT624" i="1" s="1"/>
  <c r="BE567" i="1"/>
  <c r="BI566" i="1"/>
  <c r="BI567" i="1" s="1"/>
  <c r="BV28" i="9"/>
  <c r="BV214" i="1"/>
  <c r="BV13" i="1"/>
  <c r="BV20" i="9" s="1"/>
  <c r="T5" i="9"/>
  <c r="T6" i="9" s="1"/>
  <c r="T11" i="9" s="1"/>
  <c r="T411" i="1"/>
  <c r="T412" i="1" s="1"/>
  <c r="AV336" i="1"/>
  <c r="AV329" i="1"/>
  <c r="BT522" i="1"/>
  <c r="AT719" i="1"/>
  <c r="Y571" i="1"/>
  <c r="BU61" i="9"/>
  <c r="BU608" i="1"/>
  <c r="BU522" i="1" s="1"/>
  <c r="BU627" i="1"/>
  <c r="BU524" i="1" s="1"/>
  <c r="BU224" i="1"/>
  <c r="BU67" i="9" s="1"/>
  <c r="BU222" i="1"/>
  <c r="BU65" i="9" s="1"/>
  <c r="BU221" i="1"/>
  <c r="BU64" i="9" s="1"/>
  <c r="BU91" i="9" s="1"/>
  <c r="BU220" i="1"/>
  <c r="BU63" i="9" s="1"/>
  <c r="BU90" i="9" s="1"/>
  <c r="BU218" i="1"/>
  <c r="BU659" i="1"/>
  <c r="AV2" i="9"/>
  <c r="AU714" i="1"/>
  <c r="AW5" i="1"/>
  <c r="O749" i="1"/>
  <c r="O756" i="1"/>
  <c r="O742" i="1"/>
  <c r="X497" i="1"/>
  <c r="W498" i="1"/>
  <c r="W663" i="1" s="1"/>
  <c r="BD2" i="9"/>
  <c r="AY720" i="1"/>
  <c r="AY719" i="1" s="1"/>
  <c r="BB720" i="1"/>
  <c r="BA720" i="1"/>
  <c r="BA719" i="1" s="1"/>
  <c r="AZ720" i="1"/>
  <c r="AX720" i="1"/>
  <c r="AW719" i="1" s="1"/>
  <c r="BE5" i="1"/>
  <c r="BI5" i="1"/>
  <c r="AN2" i="9"/>
  <c r="AM714" i="1"/>
  <c r="AX294" i="1"/>
  <c r="AX298" i="1" s="1"/>
  <c r="AX311" i="1" s="1"/>
  <c r="AX327" i="1" s="1"/>
  <c r="AW311" i="1"/>
  <c r="AW327" i="1" s="1"/>
  <c r="AZ336" i="1"/>
  <c r="AZ329" i="1"/>
  <c r="BJ294" i="1"/>
  <c r="BJ298" i="1" s="1"/>
  <c r="BI311" i="1"/>
  <c r="BI327" i="1" s="1"/>
  <c r="P1" i="9"/>
  <c r="P766" i="1"/>
  <c r="P762" i="1"/>
  <c r="P266" i="1"/>
  <c r="P3" i="1"/>
  <c r="Q4" i="1"/>
  <c r="BV44" i="9"/>
  <c r="BV43" i="1"/>
  <c r="BV48" i="9" s="1"/>
  <c r="U284" i="1"/>
  <c r="U286" i="1"/>
  <c r="V283" i="1"/>
  <c r="BC294" i="1"/>
  <c r="BC298" i="1" s="1"/>
  <c r="BB311" i="1"/>
  <c r="BB327" i="1" s="1"/>
  <c r="BG294" i="1"/>
  <c r="BG298" i="1" s="1"/>
  <c r="BF311" i="1"/>
  <c r="BF327" i="1" s="1"/>
  <c r="AV719" i="1"/>
  <c r="AR2" i="9"/>
  <c r="AQ714" i="1"/>
  <c r="AS5" i="1"/>
  <c r="BG497" i="1"/>
  <c r="BF498" i="1"/>
  <c r="BT92" i="9"/>
  <c r="BT398" i="1"/>
  <c r="AZ2" i="9"/>
  <c r="AY714" i="1"/>
  <c r="AX714" i="1"/>
  <c r="BA5" i="1"/>
  <c r="O747" i="1"/>
  <c r="O740" i="1"/>
  <c r="O754" i="1"/>
  <c r="O761" i="1"/>
  <c r="K160" i="9" l="1"/>
  <c r="K163" i="9"/>
  <c r="K159" i="9"/>
  <c r="K418" i="1"/>
  <c r="K415" i="1"/>
  <c r="O759" i="1"/>
  <c r="O424" i="1" s="1"/>
  <c r="O738" i="1"/>
  <c r="O420" i="1" s="1"/>
  <c r="O745" i="1"/>
  <c r="O421" i="1" s="1"/>
  <c r="O752" i="1"/>
  <c r="O422" i="1" s="1"/>
  <c r="BU102" i="9"/>
  <c r="BU365" i="1"/>
  <c r="BB336" i="1"/>
  <c r="BB329" i="1"/>
  <c r="BT102" i="9"/>
  <c r="BT365" i="1"/>
  <c r="BF336" i="1"/>
  <c r="BF329" i="1"/>
  <c r="BI2" i="9"/>
  <c r="BE720" i="1"/>
  <c r="BC720" i="1"/>
  <c r="BC719" i="1" s="1"/>
  <c r="BG720" i="1"/>
  <c r="BF720" i="1"/>
  <c r="BF719" i="1" s="1"/>
  <c r="BD720" i="1"/>
  <c r="BJ5" i="1"/>
  <c r="BN5" i="1"/>
  <c r="BV61" i="9"/>
  <c r="BV608" i="1"/>
  <c r="BV522" i="1" s="1"/>
  <c r="BV627" i="1"/>
  <c r="BV524" i="1" s="1"/>
  <c r="BV224" i="1"/>
  <c r="BV67" i="9" s="1"/>
  <c r="BV222" i="1"/>
  <c r="BV65" i="9" s="1"/>
  <c r="BV221" i="1"/>
  <c r="BV64" i="9" s="1"/>
  <c r="BV220" i="1"/>
  <c r="BV63" i="9" s="1"/>
  <c r="BV218" i="1"/>
  <c r="BV217" i="1"/>
  <c r="BV659" i="1"/>
  <c r="BU8" i="9"/>
  <c r="BU658" i="1"/>
  <c r="BV394" i="1"/>
  <c r="BU392" i="1"/>
  <c r="BU624" i="1" s="1"/>
  <c r="BK294" i="1"/>
  <c r="BK298" i="1" s="1"/>
  <c r="BJ311" i="1"/>
  <c r="BJ327" i="1" s="1"/>
  <c r="AW2" i="9"/>
  <c r="AV714" i="1"/>
  <c r="AX5" i="1"/>
  <c r="Q1" i="9"/>
  <c r="Q766" i="1"/>
  <c r="Q762" i="1"/>
  <c r="Q266" i="1"/>
  <c r="R4" i="1"/>
  <c r="Q3" i="1"/>
  <c r="BH294" i="1"/>
  <c r="BH298" i="1" s="1"/>
  <c r="BH311" i="1" s="1"/>
  <c r="BH327" i="1" s="1"/>
  <c r="BG311" i="1"/>
  <c r="BG327" i="1" s="1"/>
  <c r="V284" i="1"/>
  <c r="V286" i="1"/>
  <c r="L594" i="1"/>
  <c r="L593" i="1"/>
  <c r="N593" i="1"/>
  <c r="N594" i="1"/>
  <c r="O593" i="1"/>
  <c r="M593" i="1"/>
  <c r="M594" i="1"/>
  <c r="O594" i="1"/>
  <c r="L595" i="1"/>
  <c r="L596" i="1"/>
  <c r="M596" i="1"/>
  <c r="M595" i="1"/>
  <c r="N596" i="1"/>
  <c r="N595" i="1"/>
  <c r="BU92" i="9"/>
  <c r="BU398" i="1"/>
  <c r="AS2" i="9"/>
  <c r="AR714" i="1"/>
  <c r="AX719" i="1"/>
  <c r="O595" i="1"/>
  <c r="BI571" i="1"/>
  <c r="BN566" i="1"/>
  <c r="BA2" i="9"/>
  <c r="AZ714" i="1"/>
  <c r="BB5" i="1"/>
  <c r="BH497" i="1"/>
  <c r="BG498" i="1"/>
  <c r="BE2" i="9"/>
  <c r="BD714" i="1"/>
  <c r="BC714" i="1"/>
  <c r="BF5" i="1"/>
  <c r="U5" i="9"/>
  <c r="U6" i="9" s="1"/>
  <c r="U411" i="1"/>
  <c r="AW336" i="1"/>
  <c r="AW329" i="1"/>
  <c r="P736" i="1"/>
  <c r="BI336" i="1"/>
  <c r="BI329" i="1"/>
  <c r="AX329" i="1"/>
  <c r="AX336" i="1"/>
  <c r="AZ719" i="1"/>
  <c r="Y497" i="1"/>
  <c r="X498" i="1"/>
  <c r="X663" i="1" s="1"/>
  <c r="BU217" i="1"/>
  <c r="O596" i="1"/>
  <c r="BE663" i="1"/>
  <c r="BE571" i="1"/>
  <c r="BF566" i="1"/>
  <c r="BF567" i="1" s="1"/>
  <c r="P750" i="1"/>
  <c r="P757" i="1"/>
  <c r="P743" i="1"/>
  <c r="BV90" i="9" l="1"/>
  <c r="BV91" i="9"/>
  <c r="BV92" i="9"/>
  <c r="BV102" i="9"/>
  <c r="BV365" i="1"/>
  <c r="Z497" i="1"/>
  <c r="Z498" i="1" s="1"/>
  <c r="Z663" i="1" s="1"/>
  <c r="Y498" i="1"/>
  <c r="Y663" i="1" s="1"/>
  <c r="BJ336" i="1"/>
  <c r="BJ329" i="1"/>
  <c r="BV8" i="9"/>
  <c r="BV658" i="1"/>
  <c r="BV392" i="1"/>
  <c r="BV624" i="1" s="1"/>
  <c r="P756" i="1"/>
  <c r="P749" i="1"/>
  <c r="P742" i="1"/>
  <c r="P763" i="1"/>
  <c r="BG336" i="1"/>
  <c r="BG329" i="1"/>
  <c r="BH329" i="1"/>
  <c r="BH336" i="1"/>
  <c r="U412" i="1"/>
  <c r="U417" i="1"/>
  <c r="R1" i="9"/>
  <c r="R766" i="1"/>
  <c r="R762" i="1"/>
  <c r="R266" i="1"/>
  <c r="R3" i="1"/>
  <c r="R736" i="1" s="1"/>
  <c r="S4" i="1"/>
  <c r="BL294" i="1"/>
  <c r="BL298" i="1" s="1"/>
  <c r="BL311" i="1" s="1"/>
  <c r="BL327" i="1" s="1"/>
  <c r="BK311" i="1"/>
  <c r="BK327" i="1" s="1"/>
  <c r="BN2" i="9"/>
  <c r="BK720" i="1"/>
  <c r="BK719" i="1" s="1"/>
  <c r="BI720" i="1"/>
  <c r="BI719" i="1" s="1"/>
  <c r="BN723" i="1"/>
  <c r="BH720" i="1"/>
  <c r="BL720" i="1"/>
  <c r="BL719" i="1" s="1"/>
  <c r="BJ720" i="1"/>
  <c r="BO5" i="1"/>
  <c r="BS5" i="1"/>
  <c r="BE719" i="1"/>
  <c r="BF663" i="1"/>
  <c r="BG566" i="1"/>
  <c r="BG567" i="1" s="1"/>
  <c r="BF571" i="1"/>
  <c r="BU62" i="9"/>
  <c r="BU134" i="1"/>
  <c r="V5" i="9"/>
  <c r="V6" i="9" s="1"/>
  <c r="V11" i="9" s="1"/>
  <c r="V411" i="1"/>
  <c r="V412" i="1" s="1"/>
  <c r="BV62" i="9"/>
  <c r="BV89" i="9" s="1"/>
  <c r="BV134" i="1"/>
  <c r="U11" i="9"/>
  <c r="U162" i="9"/>
  <c r="BI497" i="1"/>
  <c r="BI498" i="1" s="1"/>
  <c r="BH498" i="1"/>
  <c r="BJ2" i="9"/>
  <c r="BH714" i="1"/>
  <c r="BI714" i="1"/>
  <c r="BK5" i="1"/>
  <c r="BF2" i="9"/>
  <c r="BE714" i="1"/>
  <c r="BG5" i="1"/>
  <c r="BB2" i="9"/>
  <c r="BA714" i="1"/>
  <c r="BC5" i="1"/>
  <c r="Q736" i="1"/>
  <c r="AX2" i="9"/>
  <c r="AW714" i="1"/>
  <c r="BV398" i="1"/>
  <c r="BD719" i="1"/>
  <c r="BB719" i="1"/>
  <c r="P747" i="1"/>
  <c r="P754" i="1"/>
  <c r="P740" i="1"/>
  <c r="BN724" i="1"/>
  <c r="P761" i="1"/>
  <c r="R743" i="1"/>
  <c r="R750" i="1"/>
  <c r="Q743" i="1"/>
  <c r="Q757" i="1"/>
  <c r="R757" i="1"/>
  <c r="Q750" i="1"/>
  <c r="P752" i="1" l="1"/>
  <c r="P422" i="1" s="1"/>
  <c r="P745" i="1"/>
  <c r="P421" i="1" s="1"/>
  <c r="P738" i="1"/>
  <c r="P420" i="1" s="1"/>
  <c r="P759" i="1"/>
  <c r="P424" i="1" s="1"/>
  <c r="R756" i="1"/>
  <c r="R749" i="1"/>
  <c r="R742" i="1"/>
  <c r="R763" i="1"/>
  <c r="BK2" i="9"/>
  <c r="BJ714" i="1"/>
  <c r="BL5" i="1"/>
  <c r="U159" i="9"/>
  <c r="U160" i="9"/>
  <c r="U163" i="9"/>
  <c r="BU89" i="9"/>
  <c r="BJ719" i="1"/>
  <c r="Q749" i="1"/>
  <c r="Q756" i="1"/>
  <c r="Q742" i="1"/>
  <c r="Q763" i="1"/>
  <c r="BJ497" i="1"/>
  <c r="BI663" i="1"/>
  <c r="BO2" i="9"/>
  <c r="BO723" i="1"/>
  <c r="BP5" i="1"/>
  <c r="S1" i="9"/>
  <c r="S766" i="1"/>
  <c r="S762" i="1"/>
  <c r="S266" i="1"/>
  <c r="S3" i="1"/>
  <c r="T4" i="1"/>
  <c r="BC2" i="9"/>
  <c r="BB714" i="1"/>
  <c r="BG2" i="9"/>
  <c r="BF714" i="1"/>
  <c r="BH5" i="1"/>
  <c r="BK336" i="1"/>
  <c r="BK329" i="1"/>
  <c r="U415" i="1"/>
  <c r="U418" i="1"/>
  <c r="BG663" i="1"/>
  <c r="BG571" i="1"/>
  <c r="BH566" i="1"/>
  <c r="BH567" i="1" s="1"/>
  <c r="BS2" i="9"/>
  <c r="BS723" i="1"/>
  <c r="BT5" i="1"/>
  <c r="BH719" i="1"/>
  <c r="BL336" i="1"/>
  <c r="BL329" i="1"/>
  <c r="BG719" i="1"/>
  <c r="R754" i="1"/>
  <c r="Q754" i="1"/>
  <c r="Q747" i="1"/>
  <c r="R740" i="1"/>
  <c r="Q740" i="1"/>
  <c r="R747" i="1"/>
  <c r="BS724" i="1"/>
  <c r="BO724" i="1"/>
  <c r="Q761" i="1"/>
  <c r="R761" i="1"/>
  <c r="Q752" i="1" l="1"/>
  <c r="Q422" i="1" s="1"/>
  <c r="R759" i="1"/>
  <c r="R424" i="1" s="1"/>
  <c r="R745" i="1"/>
  <c r="R421" i="1" s="1"/>
  <c r="R738" i="1"/>
  <c r="R420" i="1" s="1"/>
  <c r="Q738" i="1"/>
  <c r="Q420" i="1" s="1"/>
  <c r="R752" i="1"/>
  <c r="R422" i="1" s="1"/>
  <c r="Q759" i="1"/>
  <c r="Q424" i="1" s="1"/>
  <c r="Q745" i="1"/>
  <c r="Q421" i="1" s="1"/>
  <c r="BH571" i="1"/>
  <c r="BH663" i="1"/>
  <c r="BH2" i="9"/>
  <c r="BG714" i="1"/>
  <c r="S736" i="1"/>
  <c r="BT2" i="9"/>
  <c r="BT723" i="1"/>
  <c r="BU5" i="1"/>
  <c r="BL2" i="9"/>
  <c r="BK714" i="1"/>
  <c r="BM5" i="1"/>
  <c r="T1" i="9"/>
  <c r="T766" i="1"/>
  <c r="T762" i="1"/>
  <c r="T736" i="1"/>
  <c r="T266" i="1"/>
  <c r="U4" i="1"/>
  <c r="T3" i="1"/>
  <c r="BP2" i="9"/>
  <c r="BP723" i="1"/>
  <c r="BQ5" i="1"/>
  <c r="BJ566" i="1"/>
  <c r="BJ567" i="1" s="1"/>
  <c r="BK497" i="1"/>
  <c r="BJ498" i="1"/>
  <c r="BP724" i="1"/>
  <c r="BT724" i="1"/>
  <c r="T743" i="1"/>
  <c r="S750" i="1"/>
  <c r="S757" i="1"/>
  <c r="S743" i="1"/>
  <c r="T757" i="1"/>
  <c r="T761" i="1"/>
  <c r="T750" i="1"/>
  <c r="T759" i="1" l="1"/>
  <c r="T424" i="1" s="1"/>
  <c r="BJ663" i="1"/>
  <c r="BJ571" i="1"/>
  <c r="BK566" i="1"/>
  <c r="BK567" i="1" s="1"/>
  <c r="BU2" i="9"/>
  <c r="BU723" i="1"/>
  <c r="BV5" i="1"/>
  <c r="T756" i="1"/>
  <c r="T749" i="1"/>
  <c r="T742" i="1"/>
  <c r="BM2" i="9"/>
  <c r="BL714" i="1"/>
  <c r="BM723" i="1"/>
  <c r="T596" i="1"/>
  <c r="T763" i="1"/>
  <c r="U1" i="9"/>
  <c r="U766" i="1"/>
  <c r="U762" i="1"/>
  <c r="U266" i="1"/>
  <c r="V4" i="1"/>
  <c r="U3" i="1"/>
  <c r="T595" i="1" s="1"/>
  <c r="BL497" i="1"/>
  <c r="BL498" i="1" s="1"/>
  <c r="BK498" i="1"/>
  <c r="BQ2" i="9"/>
  <c r="BQ723" i="1"/>
  <c r="BR5" i="1"/>
  <c r="S756" i="1"/>
  <c r="S749" i="1"/>
  <c r="S742" i="1"/>
  <c r="S763" i="1"/>
  <c r="S747" i="1"/>
  <c r="S740" i="1"/>
  <c r="S754" i="1"/>
  <c r="T754" i="1"/>
  <c r="T747" i="1"/>
  <c r="T740" i="1"/>
  <c r="BM724" i="1"/>
  <c r="BQ724" i="1"/>
  <c r="BU724" i="1"/>
  <c r="S761" i="1"/>
  <c r="S738" i="1" l="1"/>
  <c r="S420" i="1" s="1"/>
  <c r="S745" i="1"/>
  <c r="S421" i="1" s="1"/>
  <c r="T738" i="1"/>
  <c r="T420" i="1" s="1"/>
  <c r="S759" i="1"/>
  <c r="S424" i="1" s="1"/>
  <c r="T745" i="1"/>
  <c r="T421" i="1" s="1"/>
  <c r="T752" i="1"/>
  <c r="T422" i="1" s="1"/>
  <c r="S752" i="1"/>
  <c r="S422" i="1" s="1"/>
  <c r="BQ725" i="1"/>
  <c r="BM725" i="1"/>
  <c r="BN725" i="1"/>
  <c r="BO725" i="1"/>
  <c r="BP725" i="1"/>
  <c r="V1" i="9"/>
  <c r="V766" i="1"/>
  <c r="V762" i="1"/>
  <c r="V266" i="1"/>
  <c r="V3" i="1"/>
  <c r="W4" i="1"/>
  <c r="U736" i="1"/>
  <c r="BR2" i="9"/>
  <c r="BR723" i="1"/>
  <c r="BK663" i="1"/>
  <c r="BL566" i="1"/>
  <c r="BL567" i="1" s="1"/>
  <c r="BK571" i="1"/>
  <c r="BV2" i="9"/>
  <c r="BV723" i="1"/>
  <c r="B782" i="1"/>
  <c r="R594" i="1"/>
  <c r="Q593" i="1"/>
  <c r="R593" i="1"/>
  <c r="S593" i="1"/>
  <c r="S594" i="1"/>
  <c r="T594" i="1"/>
  <c r="T593" i="1"/>
  <c r="Q594" i="1"/>
  <c r="Q596" i="1"/>
  <c r="Q595" i="1"/>
  <c r="R595" i="1"/>
  <c r="R596" i="1"/>
  <c r="S596" i="1"/>
  <c r="S595" i="1"/>
  <c r="BV724" i="1"/>
  <c r="BR724" i="1"/>
  <c r="U750" i="1"/>
  <c r="U757" i="1"/>
  <c r="U743" i="1"/>
  <c r="BV725" i="1" l="1"/>
  <c r="BR725" i="1"/>
  <c r="BU725" i="1"/>
  <c r="BT725" i="1"/>
  <c r="BS725" i="1"/>
  <c r="BL663" i="1"/>
  <c r="BM566" i="1"/>
  <c r="BL571" i="1"/>
  <c r="U749" i="1"/>
  <c r="U756" i="1"/>
  <c r="U742" i="1"/>
  <c r="U763" i="1"/>
  <c r="V736" i="1"/>
  <c r="W1" i="9"/>
  <c r="W766" i="1"/>
  <c r="W762" i="1"/>
  <c r="W266" i="1"/>
  <c r="X4" i="1"/>
  <c r="W3" i="1"/>
  <c r="U747" i="1"/>
  <c r="U754" i="1"/>
  <c r="U740" i="1"/>
  <c r="BN727" i="1"/>
  <c r="BP728" i="1"/>
  <c r="BO728" i="1"/>
  <c r="BN728" i="1"/>
  <c r="BN729" i="1"/>
  <c r="BQ729" i="1"/>
  <c r="BM728" i="1"/>
  <c r="BN732" i="1"/>
  <c r="BM726" i="1"/>
  <c r="BO731" i="1"/>
  <c r="BP729" i="1"/>
  <c r="BQ731" i="1"/>
  <c r="BP730" i="1"/>
  <c r="BM727" i="1"/>
  <c r="BP732" i="1"/>
  <c r="BP731" i="1"/>
  <c r="BO732" i="1"/>
  <c r="BO726" i="1"/>
  <c r="BQ730" i="1"/>
  <c r="BM730" i="1"/>
  <c r="BM729" i="1"/>
  <c r="BO727" i="1"/>
  <c r="BQ726" i="1"/>
  <c r="BQ728" i="1"/>
  <c r="BN726" i="1"/>
  <c r="BQ727" i="1"/>
  <c r="BQ732" i="1"/>
  <c r="BN730" i="1"/>
  <c r="BO729" i="1"/>
  <c r="BN731" i="1"/>
  <c r="BO730" i="1"/>
  <c r="BM731" i="1"/>
  <c r="BP726" i="1"/>
  <c r="BP727" i="1"/>
  <c r="BM732" i="1"/>
  <c r="V750" i="1"/>
  <c r="U761" i="1"/>
  <c r="V757" i="1"/>
  <c r="V743" i="1"/>
  <c r="BP136" i="1" l="1"/>
  <c r="BM215" i="1"/>
  <c r="BN215" i="1"/>
  <c r="BQ215" i="1"/>
  <c r="BN136" i="1"/>
  <c r="BM136" i="1"/>
  <c r="BQ136" i="1"/>
  <c r="U759" i="1"/>
  <c r="U424" i="1" s="1"/>
  <c r="U738" i="1"/>
  <c r="U420" i="1" s="1"/>
  <c r="BP215" i="1"/>
  <c r="U745" i="1"/>
  <c r="U421" i="1" s="1"/>
  <c r="U752" i="1"/>
  <c r="U422" i="1" s="1"/>
  <c r="BO215" i="1"/>
  <c r="BO136" i="1"/>
  <c r="X1" i="9"/>
  <c r="X766" i="1"/>
  <c r="X762" i="1"/>
  <c r="X736" i="1"/>
  <c r="X266" i="1"/>
  <c r="Y4" i="1"/>
  <c r="X3" i="1"/>
  <c r="W736" i="1"/>
  <c r="V756" i="1"/>
  <c r="V749" i="1"/>
  <c r="V742" i="1"/>
  <c r="V763" i="1"/>
  <c r="V740" i="1"/>
  <c r="V754" i="1"/>
  <c r="V747" i="1"/>
  <c r="BV729" i="1"/>
  <c r="BT730" i="1"/>
  <c r="BV730" i="1"/>
  <c r="BU729" i="1"/>
  <c r="BR731" i="1"/>
  <c r="BR728" i="1"/>
  <c r="BV727" i="1"/>
  <c r="BS732" i="1"/>
  <c r="BU730" i="1"/>
  <c r="BS727" i="1"/>
  <c r="BU728" i="1"/>
  <c r="BR732" i="1"/>
  <c r="BV726" i="1"/>
  <c r="BT727" i="1"/>
  <c r="BV731" i="1"/>
  <c r="BT728" i="1"/>
  <c r="BR726" i="1"/>
  <c r="BU726" i="1"/>
  <c r="BR727" i="1"/>
  <c r="BR730" i="1"/>
  <c r="BU732" i="1"/>
  <c r="BV728" i="1"/>
  <c r="BT726" i="1"/>
  <c r="BT729" i="1"/>
  <c r="BS728" i="1"/>
  <c r="BS726" i="1"/>
  <c r="BU731" i="1"/>
  <c r="BU727" i="1"/>
  <c r="BS731" i="1"/>
  <c r="BR729" i="1"/>
  <c r="BS730" i="1"/>
  <c r="BT732" i="1"/>
  <c r="BV732" i="1"/>
  <c r="BS729" i="1"/>
  <c r="BT731" i="1"/>
  <c r="W750" i="1"/>
  <c r="W743" i="1"/>
  <c r="X757" i="1"/>
  <c r="X750" i="1"/>
  <c r="V761" i="1"/>
  <c r="X761" i="1"/>
  <c r="X743" i="1"/>
  <c r="W757" i="1"/>
  <c r="BT136" i="1" l="1"/>
  <c r="BV215" i="1"/>
  <c r="V745" i="1"/>
  <c r="V421" i="1" s="1"/>
  <c r="V759" i="1"/>
  <c r="V424" i="1" s="1"/>
  <c r="V752" i="1"/>
  <c r="V422" i="1" s="1"/>
  <c r="BT215" i="1"/>
  <c r="X759" i="1"/>
  <c r="X424" i="1" s="1"/>
  <c r="BV136" i="1"/>
  <c r="BU136" i="1"/>
  <c r="BR136" i="1"/>
  <c r="BS136" i="1"/>
  <c r="BR215" i="1"/>
  <c r="BS215" i="1"/>
  <c r="V738" i="1"/>
  <c r="V420" i="1" s="1"/>
  <c r="X756" i="1"/>
  <c r="X742" i="1"/>
  <c r="X749" i="1"/>
  <c r="X763" i="1"/>
  <c r="BU215" i="1"/>
  <c r="W749" i="1"/>
  <c r="W742" i="1"/>
  <c r="W756" i="1"/>
  <c r="W763" i="1"/>
  <c r="Y766" i="1"/>
  <c r="Y762" i="1"/>
  <c r="Y1" i="9"/>
  <c r="Y266" i="1"/>
  <c r="Y3" i="1"/>
  <c r="Z4" i="1"/>
  <c r="X747" i="1"/>
  <c r="W740" i="1"/>
  <c r="W747" i="1"/>
  <c r="W754" i="1"/>
  <c r="X740" i="1"/>
  <c r="X754" i="1"/>
  <c r="W761" i="1"/>
  <c r="X752" i="1" l="1"/>
  <c r="X422" i="1" s="1"/>
  <c r="W752" i="1"/>
  <c r="W422" i="1" s="1"/>
  <c r="W738" i="1"/>
  <c r="W420" i="1" s="1"/>
  <c r="W745" i="1"/>
  <c r="W421" i="1" s="1"/>
  <c r="W759" i="1"/>
  <c r="W424" i="1" s="1"/>
  <c r="X738" i="1"/>
  <c r="X420" i="1" s="1"/>
  <c r="X745" i="1"/>
  <c r="X421" i="1" s="1"/>
  <c r="Z766" i="1"/>
  <c r="Z762" i="1"/>
  <c r="Z1" i="9"/>
  <c r="Z736" i="1"/>
  <c r="Z266" i="1"/>
  <c r="AA4" i="1"/>
  <c r="Z3" i="1"/>
  <c r="Y596" i="1"/>
  <c r="Y595" i="1"/>
  <c r="Y736" i="1"/>
  <c r="Z743" i="1"/>
  <c r="Y743" i="1"/>
  <c r="Z757" i="1"/>
  <c r="Z750" i="1"/>
  <c r="Y757" i="1"/>
  <c r="Y750" i="1"/>
  <c r="Z761" i="1"/>
  <c r="Z763" i="1" l="1"/>
  <c r="Z759" i="1"/>
  <c r="Z424" i="1" s="1"/>
  <c r="Y756" i="1"/>
  <c r="Y749" i="1"/>
  <c r="Y742" i="1"/>
  <c r="Y763" i="1"/>
  <c r="Z756" i="1"/>
  <c r="Z749" i="1"/>
  <c r="Z742" i="1"/>
  <c r="W594" i="1"/>
  <c r="X594" i="1"/>
  <c r="Y594" i="1"/>
  <c r="Y593" i="1"/>
  <c r="V593" i="1"/>
  <c r="V594" i="1"/>
  <c r="W593" i="1"/>
  <c r="X593" i="1"/>
  <c r="V596" i="1"/>
  <c r="V595" i="1"/>
  <c r="W596" i="1"/>
  <c r="W595" i="1"/>
  <c r="X595" i="1"/>
  <c r="X596" i="1"/>
  <c r="AA1" i="9"/>
  <c r="AA766" i="1"/>
  <c r="AA762" i="1"/>
  <c r="AA736" i="1"/>
  <c r="AA266" i="1"/>
  <c r="AB4" i="1"/>
  <c r="AA3" i="1"/>
  <c r="Y747" i="1"/>
  <c r="Y754" i="1"/>
  <c r="Z740" i="1"/>
  <c r="Z754" i="1"/>
  <c r="Z747" i="1"/>
  <c r="Y740" i="1"/>
  <c r="AA750" i="1"/>
  <c r="AA743" i="1"/>
  <c r="Y761" i="1"/>
  <c r="AA757" i="1"/>
  <c r="Z745" i="1" l="1"/>
  <c r="Z421" i="1" s="1"/>
  <c r="Z752" i="1"/>
  <c r="Z422" i="1" s="1"/>
  <c r="Y759" i="1"/>
  <c r="Y424" i="1" s="1"/>
  <c r="Y738" i="1"/>
  <c r="Y420" i="1" s="1"/>
  <c r="Y745" i="1"/>
  <c r="Y421" i="1" s="1"/>
  <c r="Y752" i="1"/>
  <c r="Y422" i="1" s="1"/>
  <c r="Z738" i="1"/>
  <c r="Z420" i="1" s="1"/>
  <c r="AB1" i="9"/>
  <c r="AB766" i="1"/>
  <c r="AB762" i="1"/>
  <c r="AB266" i="1"/>
  <c r="AC4" i="1"/>
  <c r="AB3" i="1"/>
  <c r="AB736" i="1" s="1"/>
  <c r="AA749" i="1"/>
  <c r="AA756" i="1"/>
  <c r="AA742" i="1"/>
  <c r="AA763" i="1"/>
  <c r="AA747" i="1"/>
  <c r="AA754" i="1"/>
  <c r="AA740" i="1"/>
  <c r="AB750" i="1"/>
  <c r="AB743" i="1"/>
  <c r="AB757" i="1"/>
  <c r="AA761" i="1"/>
  <c r="AA752" i="1" l="1"/>
  <c r="AA422" i="1" s="1"/>
  <c r="AA738" i="1"/>
  <c r="AA420" i="1" s="1"/>
  <c r="AA759" i="1"/>
  <c r="AA424" i="1" s="1"/>
  <c r="AA745" i="1"/>
  <c r="AA421" i="1" s="1"/>
  <c r="AB756" i="1"/>
  <c r="AB749" i="1"/>
  <c r="AB742" i="1"/>
  <c r="AB763" i="1"/>
  <c r="AC1" i="9"/>
  <c r="AC766" i="1"/>
  <c r="AC762" i="1"/>
  <c r="AC736" i="1"/>
  <c r="AC266" i="1"/>
  <c r="AD4" i="1"/>
  <c r="AC3" i="1"/>
  <c r="AB747" i="1"/>
  <c r="AB740" i="1"/>
  <c r="AB754" i="1"/>
  <c r="AC757" i="1"/>
  <c r="AC750" i="1"/>
  <c r="AC743" i="1"/>
  <c r="AB761" i="1"/>
  <c r="AB759" i="1" l="1"/>
  <c r="AB424" i="1" s="1"/>
  <c r="AB745" i="1"/>
  <c r="AB421" i="1" s="1"/>
  <c r="AB752" i="1"/>
  <c r="AB422" i="1" s="1"/>
  <c r="AB738" i="1"/>
  <c r="AB420" i="1" s="1"/>
  <c r="AD1" i="9"/>
  <c r="AD766" i="1"/>
  <c r="AD762" i="1"/>
  <c r="AD266" i="1"/>
  <c r="AE4" i="1"/>
  <c r="AD3" i="1"/>
  <c r="AD736" i="1" s="1"/>
  <c r="AC749" i="1"/>
  <c r="AC742" i="1"/>
  <c r="AC756" i="1"/>
  <c r="AC763" i="1"/>
  <c r="AC754" i="1"/>
  <c r="AC747" i="1"/>
  <c r="AC740" i="1"/>
  <c r="AD757" i="1"/>
  <c r="AC761" i="1"/>
  <c r="AD743" i="1"/>
  <c r="AD750" i="1"/>
  <c r="AC738" i="1" l="1"/>
  <c r="AC420" i="1" s="1"/>
  <c r="AC745" i="1"/>
  <c r="AC421" i="1" s="1"/>
  <c r="AC752" i="1"/>
  <c r="AC422" i="1" s="1"/>
  <c r="AC759" i="1"/>
  <c r="AC424" i="1" s="1"/>
  <c r="AD756" i="1"/>
  <c r="AD742" i="1"/>
  <c r="AD749" i="1"/>
  <c r="AD763" i="1"/>
  <c r="AD596" i="1"/>
  <c r="AE1" i="9"/>
  <c r="AE766" i="1"/>
  <c r="AE762" i="1"/>
  <c r="AE736" i="1"/>
  <c r="AE266" i="1"/>
  <c r="AE3" i="1"/>
  <c r="AF4" i="1"/>
  <c r="AD754" i="1"/>
  <c r="AD740" i="1"/>
  <c r="AD747" i="1"/>
  <c r="AE750" i="1"/>
  <c r="AD761" i="1"/>
  <c r="AE743" i="1"/>
  <c r="AE757" i="1"/>
  <c r="AD759" i="1" l="1"/>
  <c r="AD424" i="1" s="1"/>
  <c r="AD745" i="1"/>
  <c r="AD421" i="1" s="1"/>
  <c r="AD738" i="1"/>
  <c r="AD420" i="1" s="1"/>
  <c r="AD752" i="1"/>
  <c r="AD422" i="1" s="1"/>
  <c r="AE756" i="1"/>
  <c r="AE749" i="1"/>
  <c r="AE742" i="1"/>
  <c r="AD593" i="1"/>
  <c r="AB594" i="1"/>
  <c r="AA594" i="1"/>
  <c r="AB593" i="1"/>
  <c r="AC593" i="1"/>
  <c r="AD594" i="1"/>
  <c r="AC594" i="1"/>
  <c r="AA593" i="1"/>
  <c r="AA595" i="1"/>
  <c r="AA596" i="1"/>
  <c r="AB596" i="1"/>
  <c r="AB595" i="1"/>
  <c r="AC595" i="1"/>
  <c r="AC596" i="1"/>
  <c r="AD595" i="1"/>
  <c r="AF1" i="9"/>
  <c r="AF766" i="1"/>
  <c r="AF762" i="1"/>
  <c r="AF266" i="1"/>
  <c r="AF3" i="1"/>
  <c r="AG4" i="1"/>
  <c r="AE763" i="1"/>
  <c r="AE754" i="1"/>
  <c r="AE740" i="1"/>
  <c r="AE747" i="1"/>
  <c r="AE761" i="1"/>
  <c r="AE759" i="1" l="1"/>
  <c r="AE424" i="1" s="1"/>
  <c r="AE738" i="1"/>
  <c r="AE420" i="1" s="1"/>
  <c r="AE745" i="1"/>
  <c r="AE421" i="1" s="1"/>
  <c r="AE752" i="1"/>
  <c r="AE422" i="1" s="1"/>
  <c r="AF736" i="1"/>
  <c r="AG1" i="9"/>
  <c r="AG766" i="1"/>
  <c r="AG762" i="1"/>
  <c r="AG266" i="1"/>
  <c r="AH4" i="1"/>
  <c r="AG3" i="1"/>
  <c r="AF757" i="1"/>
  <c r="AF743" i="1"/>
  <c r="AF750" i="1"/>
  <c r="AH1" i="9" l="1"/>
  <c r="AH766" i="1"/>
  <c r="AH762" i="1"/>
  <c r="AH266" i="1"/>
  <c r="AI4" i="1"/>
  <c r="AH3" i="1"/>
  <c r="AG736" i="1"/>
  <c r="AF756" i="1"/>
  <c r="AF749" i="1"/>
  <c r="AF742" i="1"/>
  <c r="AF763" i="1"/>
  <c r="AF747" i="1"/>
  <c r="AF754" i="1"/>
  <c r="AF740" i="1"/>
  <c r="AG743" i="1"/>
  <c r="AG750" i="1"/>
  <c r="AG757" i="1"/>
  <c r="AF761" i="1"/>
  <c r="AF759" i="1" l="1"/>
  <c r="AF424" i="1" s="1"/>
  <c r="AF738" i="1"/>
  <c r="AF420" i="1" s="1"/>
  <c r="AF745" i="1"/>
  <c r="AF421" i="1" s="1"/>
  <c r="AF752" i="1"/>
  <c r="AF422" i="1" s="1"/>
  <c r="AG749" i="1"/>
  <c r="AG756" i="1"/>
  <c r="AG742" i="1"/>
  <c r="AG763" i="1"/>
  <c r="AI1" i="9"/>
  <c r="AI766" i="1"/>
  <c r="AI762" i="1"/>
  <c r="AI736" i="1"/>
  <c r="AI266" i="1"/>
  <c r="AJ4" i="1"/>
  <c r="AI3" i="1"/>
  <c r="AH736" i="1"/>
  <c r="AG754" i="1"/>
  <c r="AG747" i="1"/>
  <c r="AG740" i="1"/>
  <c r="AI750" i="1"/>
  <c r="AG761" i="1"/>
  <c r="AI743" i="1"/>
  <c r="AI757" i="1"/>
  <c r="AH743" i="1"/>
  <c r="AH750" i="1"/>
  <c r="AH757" i="1"/>
  <c r="AG738" i="1" l="1"/>
  <c r="AG420" i="1" s="1"/>
  <c r="AG745" i="1"/>
  <c r="AG421" i="1" s="1"/>
  <c r="AG752" i="1"/>
  <c r="AG422" i="1" s="1"/>
  <c r="AG759" i="1"/>
  <c r="AG424" i="1" s="1"/>
  <c r="AJ1" i="9"/>
  <c r="AJ766" i="1"/>
  <c r="AJ762" i="1"/>
  <c r="AJ736" i="1"/>
  <c r="AJ266" i="1"/>
  <c r="AK4" i="1"/>
  <c r="AJ3" i="1"/>
  <c r="AI749" i="1"/>
  <c r="AI742" i="1"/>
  <c r="AI756" i="1"/>
  <c r="AH756" i="1"/>
  <c r="AH749" i="1"/>
  <c r="AH742" i="1"/>
  <c r="AH763" i="1"/>
  <c r="AI595" i="1"/>
  <c r="AI596" i="1"/>
  <c r="AI763" i="1"/>
  <c r="AH754" i="1"/>
  <c r="AH740" i="1"/>
  <c r="AI754" i="1"/>
  <c r="AH747" i="1"/>
  <c r="AI740" i="1"/>
  <c r="AI747" i="1"/>
  <c r="AJ750" i="1"/>
  <c r="AI761" i="1"/>
  <c r="AJ757" i="1"/>
  <c r="AH761" i="1"/>
  <c r="AJ743" i="1"/>
  <c r="AI745" i="1" l="1"/>
  <c r="AI421" i="1" s="1"/>
  <c r="AH759" i="1"/>
  <c r="AH424" i="1" s="1"/>
  <c r="AH738" i="1"/>
  <c r="AH420" i="1" s="1"/>
  <c r="AI738" i="1"/>
  <c r="AI420" i="1" s="1"/>
  <c r="AH745" i="1"/>
  <c r="AH421" i="1" s="1"/>
  <c r="AH752" i="1"/>
  <c r="AH422" i="1" s="1"/>
  <c r="AI759" i="1"/>
  <c r="AI424" i="1" s="1"/>
  <c r="AI752" i="1"/>
  <c r="AI422" i="1" s="1"/>
  <c r="AJ756" i="1"/>
  <c r="AJ742" i="1"/>
  <c r="AJ749" i="1"/>
  <c r="AI594" i="1"/>
  <c r="AI593" i="1"/>
  <c r="AG593" i="1"/>
  <c r="AH594" i="1"/>
  <c r="AH593" i="1"/>
  <c r="AG594" i="1"/>
  <c r="AF593" i="1"/>
  <c r="AF594" i="1"/>
  <c r="AF596" i="1"/>
  <c r="AF595" i="1"/>
  <c r="AG595" i="1"/>
  <c r="AG596" i="1"/>
  <c r="AH596" i="1"/>
  <c r="AH595" i="1"/>
  <c r="AJ763" i="1"/>
  <c r="AK1" i="9"/>
  <c r="AK766" i="1"/>
  <c r="AK762" i="1"/>
  <c r="AK266" i="1"/>
  <c r="AL4" i="1"/>
  <c r="AK3" i="1"/>
  <c r="AJ754" i="1"/>
  <c r="AJ740" i="1"/>
  <c r="AJ747" i="1"/>
  <c r="AJ761" i="1"/>
  <c r="AJ745" i="1" l="1"/>
  <c r="AJ421" i="1" s="1"/>
  <c r="AJ738" i="1"/>
  <c r="AJ420" i="1" s="1"/>
  <c r="AJ752" i="1"/>
  <c r="AJ422" i="1" s="1"/>
  <c r="AJ759" i="1"/>
  <c r="AJ424" i="1" s="1"/>
  <c r="AL766" i="1"/>
  <c r="AL762" i="1"/>
  <c r="AL1" i="9"/>
  <c r="AL266" i="1"/>
  <c r="AM4" i="1"/>
  <c r="AL3" i="1"/>
  <c r="AL736" i="1" s="1"/>
  <c r="AK736" i="1"/>
  <c r="AK750" i="1"/>
  <c r="AL757" i="1"/>
  <c r="AL743" i="1"/>
  <c r="AL750" i="1"/>
  <c r="AK743" i="1"/>
  <c r="AK757" i="1"/>
  <c r="AL756" i="1" l="1"/>
  <c r="AL749" i="1"/>
  <c r="AL742" i="1"/>
  <c r="AL763" i="1"/>
  <c r="AK756" i="1"/>
  <c r="AK749" i="1"/>
  <c r="AK742" i="1"/>
  <c r="AK763" i="1"/>
  <c r="AM1" i="9"/>
  <c r="AM766" i="1"/>
  <c r="AM762" i="1"/>
  <c r="AM266" i="1"/>
  <c r="AM3" i="1"/>
  <c r="AN4" i="1"/>
  <c r="AL754" i="1"/>
  <c r="AL747" i="1"/>
  <c r="AK747" i="1"/>
  <c r="AL740" i="1"/>
  <c r="AK754" i="1"/>
  <c r="AK740" i="1"/>
  <c r="AK761" i="1"/>
  <c r="AL761" i="1"/>
  <c r="AK759" i="1" l="1"/>
  <c r="AK424" i="1" s="1"/>
  <c r="AK738" i="1"/>
  <c r="AK420" i="1" s="1"/>
  <c r="AK745" i="1"/>
  <c r="AK421" i="1" s="1"/>
  <c r="AK752" i="1"/>
  <c r="AK422" i="1" s="1"/>
  <c r="AL759" i="1"/>
  <c r="AL424" i="1" s="1"/>
  <c r="AL738" i="1"/>
  <c r="AL420" i="1" s="1"/>
  <c r="AL745" i="1"/>
  <c r="AL421" i="1" s="1"/>
  <c r="AL752" i="1"/>
  <c r="AL422" i="1" s="1"/>
  <c r="AM736" i="1"/>
  <c r="AN1" i="9"/>
  <c r="AN766" i="1"/>
  <c r="AN762" i="1"/>
  <c r="AN266" i="1"/>
  <c r="AO4" i="1"/>
  <c r="AN3" i="1"/>
  <c r="AM743" i="1"/>
  <c r="AM757" i="1"/>
  <c r="AM750" i="1"/>
  <c r="AO1" i="9" l="1"/>
  <c r="AO766" i="1"/>
  <c r="AO762" i="1"/>
  <c r="AO266" i="1"/>
  <c r="AP4" i="1"/>
  <c r="AO3" i="1"/>
  <c r="AN736" i="1"/>
  <c r="AM749" i="1"/>
  <c r="AM756" i="1"/>
  <c r="AM742" i="1"/>
  <c r="AM763" i="1"/>
  <c r="AM754" i="1"/>
  <c r="AM747" i="1"/>
  <c r="AM740" i="1"/>
  <c r="AN743" i="1"/>
  <c r="AN757" i="1"/>
  <c r="AM761" i="1"/>
  <c r="AN750" i="1"/>
  <c r="AM759" i="1" l="1"/>
  <c r="AM424" i="1" s="1"/>
  <c r="AM738" i="1"/>
  <c r="AM420" i="1" s="1"/>
  <c r="AM752" i="1"/>
  <c r="AM422" i="1" s="1"/>
  <c r="AM745" i="1"/>
  <c r="AM421" i="1" s="1"/>
  <c r="AN756" i="1"/>
  <c r="AN749" i="1"/>
  <c r="AN742" i="1"/>
  <c r="AN763" i="1"/>
  <c r="AL593" i="1"/>
  <c r="AK594" i="1"/>
  <c r="AM593" i="1"/>
  <c r="AK593" i="1"/>
  <c r="AN594" i="1"/>
  <c r="AL594" i="1"/>
  <c r="AN593" i="1"/>
  <c r="AM594" i="1"/>
  <c r="AK596" i="1"/>
  <c r="AK595" i="1"/>
  <c r="AL596" i="1"/>
  <c r="AL595" i="1"/>
  <c r="AM595" i="1"/>
  <c r="AM596" i="1"/>
  <c r="AP766" i="1"/>
  <c r="AP762" i="1"/>
  <c r="AP1" i="9"/>
  <c r="AP266" i="1"/>
  <c r="AQ4" i="1"/>
  <c r="AP3" i="1"/>
  <c r="AO736" i="1"/>
  <c r="AN596" i="1"/>
  <c r="AN595" i="1"/>
  <c r="AN747" i="1"/>
  <c r="AN754" i="1"/>
  <c r="AN740" i="1"/>
  <c r="AN761" i="1"/>
  <c r="AO750" i="1"/>
  <c r="AO757" i="1"/>
  <c r="AO743" i="1"/>
  <c r="AN759" i="1" l="1"/>
  <c r="AN424" i="1" s="1"/>
  <c r="AN738" i="1"/>
  <c r="AN420" i="1" s="1"/>
  <c r="AN745" i="1"/>
  <c r="AN421" i="1" s="1"/>
  <c r="AN752" i="1"/>
  <c r="AN422" i="1" s="1"/>
  <c r="AO749" i="1"/>
  <c r="AO756" i="1"/>
  <c r="AO742" i="1"/>
  <c r="AO763" i="1"/>
  <c r="AQ1" i="9"/>
  <c r="AQ766" i="1"/>
  <c r="AQ762" i="1"/>
  <c r="AQ266" i="1"/>
  <c r="AQ3" i="1"/>
  <c r="AR4" i="1"/>
  <c r="AP736" i="1"/>
  <c r="AO747" i="1"/>
  <c r="AO754" i="1"/>
  <c r="AO740" i="1"/>
  <c r="AP757" i="1"/>
  <c r="AP750" i="1"/>
  <c r="AP743" i="1"/>
  <c r="AO761" i="1"/>
  <c r="AO738" i="1" l="1"/>
  <c r="AO420" i="1" s="1"/>
  <c r="AO752" i="1"/>
  <c r="AO422" i="1" s="1"/>
  <c r="AO745" i="1"/>
  <c r="AO421" i="1" s="1"/>
  <c r="AO759" i="1"/>
  <c r="AO424" i="1" s="1"/>
  <c r="AP756" i="1"/>
  <c r="AP742" i="1"/>
  <c r="AP749" i="1"/>
  <c r="AP763" i="1"/>
  <c r="AR766" i="1"/>
  <c r="AR762" i="1"/>
  <c r="AR1" i="9"/>
  <c r="AR266" i="1"/>
  <c r="AS4" i="1"/>
  <c r="AR3" i="1"/>
  <c r="AQ736" i="1"/>
  <c r="AP754" i="1"/>
  <c r="AP740" i="1"/>
  <c r="AP747" i="1"/>
  <c r="AQ757" i="1"/>
  <c r="AQ750" i="1"/>
  <c r="AQ743" i="1"/>
  <c r="AP761" i="1"/>
  <c r="AP759" i="1" l="1"/>
  <c r="AP424" i="1" s="1"/>
  <c r="AP738" i="1"/>
  <c r="AP420" i="1" s="1"/>
  <c r="AP745" i="1"/>
  <c r="AP421" i="1" s="1"/>
  <c r="AP752" i="1"/>
  <c r="AP422" i="1" s="1"/>
  <c r="AS1" i="9"/>
  <c r="AS766" i="1"/>
  <c r="AS762" i="1"/>
  <c r="AS736" i="1"/>
  <c r="AS266" i="1"/>
  <c r="AT4" i="1"/>
  <c r="AS3" i="1"/>
  <c r="AQ756" i="1"/>
  <c r="AQ749" i="1"/>
  <c r="AQ742" i="1"/>
  <c r="AQ763" i="1"/>
  <c r="AR736" i="1"/>
  <c r="AQ747" i="1"/>
  <c r="AQ740" i="1"/>
  <c r="AQ754" i="1"/>
  <c r="AS750" i="1"/>
  <c r="AR743" i="1"/>
  <c r="AS757" i="1"/>
  <c r="AS743" i="1"/>
  <c r="AR750" i="1"/>
  <c r="AR757" i="1"/>
  <c r="AQ761" i="1"/>
  <c r="AS763" i="1" l="1"/>
  <c r="AQ745" i="1"/>
  <c r="AQ421" i="1" s="1"/>
  <c r="AQ752" i="1"/>
  <c r="AQ422" i="1" s="1"/>
  <c r="AQ759" i="1"/>
  <c r="AQ424" i="1" s="1"/>
  <c r="AQ738" i="1"/>
  <c r="AQ420" i="1" s="1"/>
  <c r="AS749" i="1"/>
  <c r="AS756" i="1"/>
  <c r="AS742" i="1"/>
  <c r="AR756" i="1"/>
  <c r="AR749" i="1"/>
  <c r="AR742" i="1"/>
  <c r="AR763" i="1"/>
  <c r="AT1" i="9"/>
  <c r="AT766" i="1"/>
  <c r="AT762" i="1"/>
  <c r="AT266" i="1"/>
  <c r="AT3" i="1"/>
  <c r="AU4" i="1"/>
  <c r="AS740" i="1"/>
  <c r="AS754" i="1"/>
  <c r="AR740" i="1"/>
  <c r="AR754" i="1"/>
  <c r="AR747" i="1"/>
  <c r="AS747" i="1"/>
  <c r="AS761" i="1"/>
  <c r="AR761" i="1"/>
  <c r="AR745" i="1" l="1"/>
  <c r="AR421" i="1" s="1"/>
  <c r="AS738" i="1"/>
  <c r="AS420" i="1" s="1"/>
  <c r="AS745" i="1"/>
  <c r="AS421" i="1" s="1"/>
  <c r="AS752" i="1"/>
  <c r="AS422" i="1" s="1"/>
  <c r="AR752" i="1"/>
  <c r="AR422" i="1" s="1"/>
  <c r="AS759" i="1"/>
  <c r="AS424" i="1" s="1"/>
  <c r="AR759" i="1"/>
  <c r="AR424" i="1" s="1"/>
  <c r="AR738" i="1"/>
  <c r="AR420" i="1" s="1"/>
  <c r="AP594" i="1"/>
  <c r="AS594" i="1"/>
  <c r="AR594" i="1"/>
  <c r="AR593" i="1"/>
  <c r="AP593" i="1"/>
  <c r="AQ593" i="1"/>
  <c r="AS593" i="1"/>
  <c r="AQ594" i="1"/>
  <c r="AP595" i="1"/>
  <c r="AP596" i="1"/>
  <c r="AQ596" i="1"/>
  <c r="AQ595" i="1"/>
  <c r="AR596" i="1"/>
  <c r="AR595" i="1"/>
  <c r="AT736" i="1"/>
  <c r="AS595" i="1"/>
  <c r="AU1" i="9"/>
  <c r="AU766" i="1"/>
  <c r="AU762" i="1"/>
  <c r="AU736" i="1"/>
  <c r="AU266" i="1"/>
  <c r="AV4" i="1"/>
  <c r="AU3" i="1"/>
  <c r="AS596" i="1"/>
  <c r="AT750" i="1"/>
  <c r="AU761" i="1"/>
  <c r="AT757" i="1"/>
  <c r="AU750" i="1"/>
  <c r="AT743" i="1"/>
  <c r="AU743" i="1"/>
  <c r="AU757" i="1"/>
  <c r="AU759" i="1" l="1"/>
  <c r="AU424" i="1" s="1"/>
  <c r="AV1" i="9"/>
  <c r="AV766" i="1"/>
  <c r="AV762" i="1"/>
  <c r="AV736" i="1"/>
  <c r="AV266" i="1"/>
  <c r="AV3" i="1"/>
  <c r="AW4" i="1"/>
  <c r="AU749" i="1"/>
  <c r="AU756" i="1"/>
  <c r="AU742" i="1"/>
  <c r="AT756" i="1"/>
  <c r="AT749" i="1"/>
  <c r="AT742" i="1"/>
  <c r="AT763" i="1"/>
  <c r="AU763" i="1"/>
  <c r="AU747" i="1"/>
  <c r="AU754" i="1"/>
  <c r="AU740" i="1"/>
  <c r="AT740" i="1"/>
  <c r="AT754" i="1"/>
  <c r="AT747" i="1"/>
  <c r="AV761" i="1"/>
  <c r="AV750" i="1"/>
  <c r="AV743" i="1"/>
  <c r="AV757" i="1"/>
  <c r="AT761" i="1"/>
  <c r="AU738" i="1" l="1"/>
  <c r="AU420" i="1" s="1"/>
  <c r="AU752" i="1"/>
  <c r="AU422" i="1" s="1"/>
  <c r="AU745" i="1"/>
  <c r="AU421" i="1" s="1"/>
  <c r="AT752" i="1"/>
  <c r="AT422" i="1" s="1"/>
  <c r="AV759" i="1"/>
  <c r="AV424" i="1" s="1"/>
  <c r="AT738" i="1"/>
  <c r="AT420" i="1" s="1"/>
  <c r="AT759" i="1"/>
  <c r="AT424" i="1" s="1"/>
  <c r="AT745" i="1"/>
  <c r="AT421" i="1" s="1"/>
  <c r="AV756" i="1"/>
  <c r="AV749" i="1"/>
  <c r="AV742" i="1"/>
  <c r="AW1" i="9"/>
  <c r="AW766" i="1"/>
  <c r="AW762" i="1"/>
  <c r="AW736" i="1"/>
  <c r="AW266" i="1"/>
  <c r="AW3" i="1"/>
  <c r="AX4" i="1"/>
  <c r="AV763" i="1"/>
  <c r="AV747" i="1"/>
  <c r="AV740" i="1"/>
  <c r="AV754" i="1"/>
  <c r="AW750" i="1"/>
  <c r="AW757" i="1"/>
  <c r="AW743" i="1"/>
  <c r="AV745" i="1" l="1"/>
  <c r="AV421" i="1" s="1"/>
  <c r="AV752" i="1"/>
  <c r="AV422" i="1" s="1"/>
  <c r="AV738" i="1"/>
  <c r="AV420" i="1" s="1"/>
  <c r="AW756" i="1"/>
  <c r="AW749" i="1"/>
  <c r="AW742" i="1"/>
  <c r="AX1" i="9"/>
  <c r="AX766" i="1"/>
  <c r="AX762" i="1"/>
  <c r="AX266" i="1"/>
  <c r="AY4" i="1"/>
  <c r="AX3" i="1"/>
  <c r="AX736" i="1" s="1"/>
  <c r="AW763" i="1"/>
  <c r="AW740" i="1"/>
  <c r="AW754" i="1"/>
  <c r="AW747" i="1"/>
  <c r="AX750" i="1"/>
  <c r="AX757" i="1"/>
  <c r="AW761" i="1"/>
  <c r="AX743" i="1"/>
  <c r="AW759" i="1" l="1"/>
  <c r="AW424" i="1" s="1"/>
  <c r="AW738" i="1"/>
  <c r="AW420" i="1" s="1"/>
  <c r="AW745" i="1"/>
  <c r="AW421" i="1" s="1"/>
  <c r="AW752" i="1"/>
  <c r="AW422" i="1" s="1"/>
  <c r="AX756" i="1"/>
  <c r="AX749" i="1"/>
  <c r="AX742" i="1"/>
  <c r="AX763" i="1"/>
  <c r="AY1" i="9"/>
  <c r="AY766" i="1"/>
  <c r="AY762" i="1"/>
  <c r="AY736" i="1"/>
  <c r="AY266" i="1"/>
  <c r="AZ4" i="1"/>
  <c r="AY3" i="1"/>
  <c r="AX595" i="1"/>
  <c r="AX754" i="1"/>
  <c r="AX740" i="1"/>
  <c r="AX747" i="1"/>
  <c r="AY750" i="1"/>
  <c r="AX761" i="1"/>
  <c r="AY743" i="1"/>
  <c r="AY757" i="1"/>
  <c r="AY763" i="1" l="1"/>
  <c r="AX759" i="1"/>
  <c r="AX424" i="1" s="1"/>
  <c r="AX738" i="1"/>
  <c r="AX420" i="1" s="1"/>
  <c r="AX745" i="1"/>
  <c r="AX421" i="1" s="1"/>
  <c r="AX752" i="1"/>
  <c r="AX422" i="1" s="1"/>
  <c r="AV594" i="1"/>
  <c r="AX594" i="1"/>
  <c r="AX593" i="1"/>
  <c r="AV593" i="1"/>
  <c r="AW593" i="1"/>
  <c r="AU593" i="1"/>
  <c r="AY593" i="1" s="1"/>
  <c r="AU594" i="1"/>
  <c r="AY594" i="1" s="1"/>
  <c r="AW594" i="1"/>
  <c r="AU595" i="1"/>
  <c r="AU596" i="1"/>
  <c r="AV595" i="1"/>
  <c r="AV596" i="1"/>
  <c r="AW596" i="1"/>
  <c r="AW595" i="1"/>
  <c r="AY749" i="1"/>
  <c r="AY756" i="1"/>
  <c r="AY742" i="1"/>
  <c r="AZ1" i="9"/>
  <c r="AZ766" i="1"/>
  <c r="AZ762" i="1"/>
  <c r="AZ736" i="1"/>
  <c r="AZ266" i="1"/>
  <c r="AZ3" i="1"/>
  <c r="BA4" i="1"/>
  <c r="AX596" i="1"/>
  <c r="AY754" i="1"/>
  <c r="AY740" i="1"/>
  <c r="AY747" i="1"/>
  <c r="AY761" i="1"/>
  <c r="AZ743" i="1"/>
  <c r="AZ750" i="1"/>
  <c r="AZ757" i="1"/>
  <c r="AZ763" i="1" l="1"/>
  <c r="AY745" i="1"/>
  <c r="AY421" i="1" s="1"/>
  <c r="AY738" i="1"/>
  <c r="AY420" i="1" s="1"/>
  <c r="AY752" i="1"/>
  <c r="AY422" i="1" s="1"/>
  <c r="AY759" i="1"/>
  <c r="AY424" i="1" s="1"/>
  <c r="BA1" i="9"/>
  <c r="BA766" i="1"/>
  <c r="BA762" i="1"/>
  <c r="BA736" i="1"/>
  <c r="BA266" i="1"/>
  <c r="BB4" i="1"/>
  <c r="BA3" i="1"/>
  <c r="AY596" i="1"/>
  <c r="AY595" i="1"/>
  <c r="AZ756" i="1"/>
  <c r="AZ749" i="1"/>
  <c r="AZ742" i="1"/>
  <c r="AZ754" i="1"/>
  <c r="AZ747" i="1"/>
  <c r="BA757" i="1"/>
  <c r="AZ740" i="1"/>
  <c r="AZ761" i="1"/>
  <c r="BA750" i="1"/>
  <c r="BA743" i="1"/>
  <c r="AZ752" i="1" l="1"/>
  <c r="AZ422" i="1" s="1"/>
  <c r="AZ759" i="1"/>
  <c r="AZ424" i="1" s="1"/>
  <c r="AZ738" i="1"/>
  <c r="AZ420" i="1" s="1"/>
  <c r="AZ745" i="1"/>
  <c r="AZ421" i="1" s="1"/>
  <c r="BA749" i="1"/>
  <c r="BA756" i="1"/>
  <c r="BA742" i="1"/>
  <c r="BA763" i="1"/>
  <c r="BB1" i="9"/>
  <c r="BB766" i="1"/>
  <c r="BB762" i="1"/>
  <c r="BB736" i="1"/>
  <c r="BB266" i="1"/>
  <c r="BC4" i="1"/>
  <c r="BB3" i="1"/>
  <c r="BA740" i="1"/>
  <c r="BA747" i="1"/>
  <c r="BA754" i="1"/>
  <c r="BB757" i="1"/>
  <c r="BA761" i="1"/>
  <c r="BB761" i="1"/>
  <c r="BB743" i="1"/>
  <c r="BB750" i="1"/>
  <c r="BB759" i="1" l="1"/>
  <c r="BB424" i="1" s="1"/>
  <c r="BA759" i="1"/>
  <c r="BA424" i="1" s="1"/>
  <c r="BA738" i="1"/>
  <c r="BA420" i="1" s="1"/>
  <c r="BA752" i="1"/>
  <c r="BA422" i="1" s="1"/>
  <c r="BA745" i="1"/>
  <c r="BA421" i="1" s="1"/>
  <c r="BB756" i="1"/>
  <c r="BB749" i="1"/>
  <c r="BB742" i="1"/>
  <c r="BC1" i="9"/>
  <c r="BC766" i="1"/>
  <c r="BC762" i="1"/>
  <c r="BC736" i="1"/>
  <c r="BC266" i="1"/>
  <c r="BC3" i="1"/>
  <c r="BD4" i="1"/>
  <c r="BB763" i="1"/>
  <c r="BB747" i="1"/>
  <c r="BB754" i="1"/>
  <c r="BB740" i="1"/>
  <c r="BC743" i="1"/>
  <c r="BC757" i="1"/>
  <c r="BC750" i="1"/>
  <c r="BB745" i="1" l="1"/>
  <c r="BB421" i="1" s="1"/>
  <c r="BB738" i="1"/>
  <c r="BB420" i="1" s="1"/>
  <c r="BB752" i="1"/>
  <c r="BB422" i="1" s="1"/>
  <c r="BC756" i="1"/>
  <c r="BC749" i="1"/>
  <c r="BC742" i="1"/>
  <c r="BD766" i="1"/>
  <c r="BD762" i="1"/>
  <c r="BD1" i="9"/>
  <c r="BD736" i="1"/>
  <c r="BD266" i="1"/>
  <c r="BE4" i="1"/>
  <c r="BD3" i="1"/>
  <c r="BC763" i="1"/>
  <c r="BC596" i="1"/>
  <c r="BC595" i="1"/>
  <c r="BC754" i="1"/>
  <c r="BC740" i="1"/>
  <c r="BC747" i="1"/>
  <c r="BC761" i="1"/>
  <c r="BD757" i="1"/>
  <c r="BD750" i="1"/>
  <c r="BD743" i="1"/>
  <c r="BD763" i="1" l="1"/>
  <c r="BC759" i="1"/>
  <c r="BC424" i="1" s="1"/>
  <c r="BC738" i="1"/>
  <c r="BC420" i="1" s="1"/>
  <c r="BC745" i="1"/>
  <c r="BC421" i="1" s="1"/>
  <c r="BC752" i="1"/>
  <c r="BC422" i="1" s="1"/>
  <c r="BB594" i="1"/>
  <c r="AZ594" i="1"/>
  <c r="BC594" i="1"/>
  <c r="BC593" i="1"/>
  <c r="BA594" i="1"/>
  <c r="BA593" i="1"/>
  <c r="AZ593" i="1"/>
  <c r="BB593" i="1"/>
  <c r="AZ595" i="1"/>
  <c r="BD595" i="1" s="1"/>
  <c r="AZ596" i="1"/>
  <c r="BA595" i="1"/>
  <c r="BA596" i="1"/>
  <c r="BB596" i="1"/>
  <c r="BB595" i="1"/>
  <c r="BE1" i="9"/>
  <c r="BE766" i="1"/>
  <c r="BE763" i="1"/>
  <c r="BE762" i="1"/>
  <c r="BE736" i="1"/>
  <c r="BE266" i="1"/>
  <c r="BE3" i="1"/>
  <c r="BF4" i="1"/>
  <c r="BD756" i="1"/>
  <c r="BD749" i="1"/>
  <c r="BD742" i="1"/>
  <c r="BD754" i="1"/>
  <c r="BD747" i="1"/>
  <c r="BD740" i="1"/>
  <c r="BE743" i="1"/>
  <c r="BE750" i="1"/>
  <c r="BE757" i="1"/>
  <c r="BD761" i="1"/>
  <c r="BD745" i="1" l="1"/>
  <c r="BD421" i="1" s="1"/>
  <c r="BD752" i="1"/>
  <c r="BD422" i="1" s="1"/>
  <c r="BD759" i="1"/>
  <c r="BD424" i="1" s="1"/>
  <c r="BD738" i="1"/>
  <c r="BD420" i="1" s="1"/>
  <c r="BF1" i="9"/>
  <c r="BF766" i="1"/>
  <c r="BF762" i="1"/>
  <c r="BF736" i="1"/>
  <c r="BF266" i="1"/>
  <c r="BG4" i="1"/>
  <c r="BF3" i="1"/>
  <c r="BD596" i="1"/>
  <c r="BE749" i="1"/>
  <c r="BE756" i="1"/>
  <c r="BE742" i="1"/>
  <c r="BD594" i="1"/>
  <c r="BD593" i="1"/>
  <c r="BE740" i="1"/>
  <c r="BE754" i="1"/>
  <c r="BE747" i="1"/>
  <c r="BF757" i="1"/>
  <c r="BF743" i="1"/>
  <c r="BF750" i="1"/>
  <c r="BE761" i="1"/>
  <c r="BE759" i="1" l="1"/>
  <c r="BE424" i="1" s="1"/>
  <c r="BE745" i="1"/>
  <c r="BE421" i="1" s="1"/>
  <c r="BE752" i="1"/>
  <c r="BE422" i="1" s="1"/>
  <c r="BE738" i="1"/>
  <c r="BE420" i="1" s="1"/>
  <c r="BF756" i="1"/>
  <c r="BF749" i="1"/>
  <c r="BF742" i="1"/>
  <c r="BF763" i="1"/>
  <c r="BG1" i="9"/>
  <c r="BG766" i="1"/>
  <c r="BG762" i="1"/>
  <c r="BG736" i="1"/>
  <c r="BG266" i="1"/>
  <c r="BH4" i="1"/>
  <c r="BG3" i="1"/>
  <c r="BF754" i="1"/>
  <c r="BF747" i="1"/>
  <c r="BF740" i="1"/>
  <c r="BG757" i="1"/>
  <c r="BF761" i="1"/>
  <c r="BG743" i="1"/>
  <c r="BG750" i="1"/>
  <c r="BG763" i="1" l="1"/>
  <c r="BF759" i="1"/>
  <c r="BF424" i="1" s="1"/>
  <c r="BF738" i="1"/>
  <c r="BF420" i="1" s="1"/>
  <c r="BF745" i="1"/>
  <c r="BF421" i="1" s="1"/>
  <c r="BF752" i="1"/>
  <c r="BF422" i="1" s="1"/>
  <c r="BH766" i="1"/>
  <c r="BH762" i="1"/>
  <c r="BH1" i="9"/>
  <c r="BH266" i="1"/>
  <c r="BI4" i="1"/>
  <c r="BH3" i="1"/>
  <c r="BG749" i="1"/>
  <c r="BG742" i="1"/>
  <c r="BG756" i="1"/>
  <c r="BG754" i="1"/>
  <c r="BG747" i="1"/>
  <c r="BG740" i="1"/>
  <c r="BG761" i="1"/>
  <c r="BG738" i="1" l="1"/>
  <c r="BG420" i="1" s="1"/>
  <c r="BG745" i="1"/>
  <c r="BG421" i="1" s="1"/>
  <c r="BG759" i="1"/>
  <c r="BG424" i="1" s="1"/>
  <c r="BG752" i="1"/>
  <c r="BG422" i="1" s="1"/>
  <c r="BI1" i="9"/>
  <c r="BI766" i="1"/>
  <c r="BI762" i="1"/>
  <c r="BI266" i="1"/>
  <c r="BI3" i="1"/>
  <c r="BJ4" i="1"/>
  <c r="BH736" i="1"/>
  <c r="BH757" i="1"/>
  <c r="BH743" i="1"/>
  <c r="BH750" i="1"/>
  <c r="BJ766" i="1" l="1"/>
  <c r="BJ762" i="1"/>
  <c r="BJ1" i="9"/>
  <c r="BJ736" i="1"/>
  <c r="BJ266" i="1"/>
  <c r="BK4" i="1"/>
  <c r="BJ3" i="1"/>
  <c r="BH594" i="1"/>
  <c r="BG594" i="1"/>
  <c r="BE594" i="1"/>
  <c r="BF593" i="1"/>
  <c r="BF594" i="1"/>
  <c r="BH593" i="1"/>
  <c r="BG593" i="1"/>
  <c r="BE593" i="1"/>
  <c r="BE596" i="1"/>
  <c r="BE595" i="1"/>
  <c r="BF596" i="1"/>
  <c r="BF595" i="1"/>
  <c r="BG595" i="1"/>
  <c r="BG596" i="1"/>
  <c r="BI736" i="1"/>
  <c r="BH595" i="1"/>
  <c r="BH756" i="1"/>
  <c r="BH742" i="1"/>
  <c r="BH749" i="1"/>
  <c r="BH763" i="1"/>
  <c r="BH596" i="1"/>
  <c r="BH754" i="1"/>
  <c r="BH740" i="1"/>
  <c r="BH747" i="1"/>
  <c r="BI750" i="1"/>
  <c r="BI757" i="1"/>
  <c r="BJ750" i="1"/>
  <c r="BH761" i="1"/>
  <c r="BJ761" i="1"/>
  <c r="BJ757" i="1"/>
  <c r="BI743" i="1"/>
  <c r="BJ743" i="1"/>
  <c r="BH759" i="1" l="1"/>
  <c r="BH424" i="1" s="1"/>
  <c r="BH738" i="1"/>
  <c r="BH420" i="1" s="1"/>
  <c r="BH745" i="1"/>
  <c r="BH421" i="1" s="1"/>
  <c r="BH752" i="1"/>
  <c r="BH422" i="1" s="1"/>
  <c r="BJ759" i="1"/>
  <c r="BJ424" i="1" s="1"/>
  <c r="BI756" i="1"/>
  <c r="BI749" i="1"/>
  <c r="BI742" i="1"/>
  <c r="BI763" i="1"/>
  <c r="BI596" i="1"/>
  <c r="BI594" i="1"/>
  <c r="BJ756" i="1"/>
  <c r="BJ749" i="1"/>
  <c r="BJ742" i="1"/>
  <c r="BI593" i="1"/>
  <c r="BK1" i="9"/>
  <c r="BK766" i="1"/>
  <c r="BK762" i="1"/>
  <c r="BK266" i="1"/>
  <c r="BL4" i="1"/>
  <c r="BK3" i="1"/>
  <c r="BJ763" i="1"/>
  <c r="BI595" i="1"/>
  <c r="BJ754" i="1"/>
  <c r="BJ740" i="1"/>
  <c r="BI747" i="1"/>
  <c r="BI740" i="1"/>
  <c r="BI754" i="1"/>
  <c r="BJ747" i="1"/>
  <c r="BI761" i="1"/>
  <c r="BJ738" i="1" l="1"/>
  <c r="BJ420" i="1" s="1"/>
  <c r="BI759" i="1"/>
  <c r="BI424" i="1" s="1"/>
  <c r="BI738" i="1"/>
  <c r="BI420" i="1" s="1"/>
  <c r="BI745" i="1"/>
  <c r="BI421" i="1" s="1"/>
  <c r="BI752" i="1"/>
  <c r="BI422" i="1" s="1"/>
  <c r="BJ745" i="1"/>
  <c r="BJ421" i="1" s="1"/>
  <c r="BJ752" i="1"/>
  <c r="BJ422" i="1" s="1"/>
  <c r="BL1" i="9"/>
  <c r="BL766" i="1"/>
  <c r="BL762" i="1"/>
  <c r="BL266" i="1"/>
  <c r="BL3" i="1"/>
  <c r="BL736" i="1" s="1"/>
  <c r="BM4" i="1"/>
  <c r="BK736" i="1"/>
  <c r="BK743" i="1"/>
  <c r="BK750" i="1"/>
  <c r="BL750" i="1"/>
  <c r="BL743" i="1"/>
  <c r="BL757" i="1"/>
  <c r="BK757" i="1"/>
  <c r="BL756" i="1" l="1"/>
  <c r="BL749" i="1"/>
  <c r="BL742" i="1"/>
  <c r="BL763" i="1"/>
  <c r="BK749" i="1"/>
  <c r="BK756" i="1"/>
  <c r="BK742" i="1"/>
  <c r="BK763" i="1"/>
  <c r="BM1" i="9"/>
  <c r="BM766" i="1"/>
  <c r="BM763" i="1"/>
  <c r="BM762" i="1"/>
  <c r="BN4" i="1"/>
  <c r="BM3" i="1"/>
  <c r="BL754" i="1"/>
  <c r="BL747" i="1"/>
  <c r="BK740" i="1"/>
  <c r="BK747" i="1"/>
  <c r="BL740" i="1"/>
  <c r="BK754" i="1"/>
  <c r="BL761" i="1"/>
  <c r="BM761" i="1"/>
  <c r="BK761" i="1"/>
  <c r="BK759" i="1" l="1"/>
  <c r="BK424" i="1" s="1"/>
  <c r="BK738" i="1"/>
  <c r="BK420" i="1" s="1"/>
  <c r="BK745" i="1"/>
  <c r="BK421" i="1" s="1"/>
  <c r="BK752" i="1"/>
  <c r="BK422" i="1" s="1"/>
  <c r="BL759" i="1"/>
  <c r="BL424" i="1" s="1"/>
  <c r="BL738" i="1"/>
  <c r="BL420" i="1" s="1"/>
  <c r="BM759" i="1"/>
  <c r="BL745" i="1"/>
  <c r="BL421" i="1" s="1"/>
  <c r="BL752" i="1"/>
  <c r="BL422" i="1" s="1"/>
  <c r="BN1" i="9"/>
  <c r="BN766" i="1"/>
  <c r="BN763" i="1"/>
  <c r="BN762" i="1"/>
  <c r="BN736" i="1"/>
  <c r="BO4" i="1"/>
  <c r="BN3" i="1"/>
  <c r="BM582" i="1"/>
  <c r="BM398" i="1"/>
  <c r="BM400" i="1"/>
  <c r="BN400" i="1" s="1"/>
  <c r="BM588" i="1"/>
  <c r="BM736" i="1"/>
  <c r="BN757" i="1"/>
  <c r="BN743" i="1"/>
  <c r="BM750" i="1"/>
  <c r="BN761" i="1"/>
  <c r="BN750" i="1"/>
  <c r="BM743" i="1"/>
  <c r="BM757" i="1"/>
  <c r="BN759" i="1" l="1"/>
  <c r="BN424" i="1" s="1"/>
  <c r="BM424" i="1"/>
  <c r="B780" i="1"/>
  <c r="BN582" i="1"/>
  <c r="BM223" i="1"/>
  <c r="BM208" i="1"/>
  <c r="BM595" i="1"/>
  <c r="BM614" i="1"/>
  <c r="BJ594" i="1"/>
  <c r="BL594" i="1"/>
  <c r="BL593" i="1"/>
  <c r="BK594" i="1"/>
  <c r="BK593" i="1"/>
  <c r="BJ593" i="1"/>
  <c r="BN593" i="1" s="1"/>
  <c r="BJ596" i="1"/>
  <c r="BJ595" i="1"/>
  <c r="BN595" i="1" s="1"/>
  <c r="BK595" i="1"/>
  <c r="BK596" i="1"/>
  <c r="BL595" i="1"/>
  <c r="BL596" i="1"/>
  <c r="BM209" i="1"/>
  <c r="BN209" i="1" s="1"/>
  <c r="BM596" i="1"/>
  <c r="BM617" i="1"/>
  <c r="BN588" i="1"/>
  <c r="BN756" i="1"/>
  <c r="BN742" i="1"/>
  <c r="BN749" i="1"/>
  <c r="BM402" i="1"/>
  <c r="BN398" i="1"/>
  <c r="BN399" i="1" s="1"/>
  <c r="BM749" i="1"/>
  <c r="BM742" i="1"/>
  <c r="BM756" i="1"/>
  <c r="BO1" i="9"/>
  <c r="BO766" i="1"/>
  <c r="BO763" i="1"/>
  <c r="BO762" i="1"/>
  <c r="BO736" i="1"/>
  <c r="BO3" i="1"/>
  <c r="BP4" i="1"/>
  <c r="BM747" i="1"/>
  <c r="BN754" i="1"/>
  <c r="BM740" i="1"/>
  <c r="BM754" i="1"/>
  <c r="BN747" i="1"/>
  <c r="BN740" i="1"/>
  <c r="BO761" i="1"/>
  <c r="BO743" i="1"/>
  <c r="BO750" i="1"/>
  <c r="BO757" i="1"/>
  <c r="BN738" i="1" l="1"/>
  <c r="BO759" i="1"/>
  <c r="BO424" i="1" s="1"/>
  <c r="BN752" i="1"/>
  <c r="BM752" i="1"/>
  <c r="BM738" i="1"/>
  <c r="BM745" i="1"/>
  <c r="BN745" i="1"/>
  <c r="BQ4" i="9"/>
  <c r="BV4" i="9"/>
  <c r="BQ425" i="1"/>
  <c r="BQ410" i="1" s="1"/>
  <c r="BR425" i="1"/>
  <c r="BR410" i="1" s="1"/>
  <c r="BO4" i="9"/>
  <c r="BV425" i="1"/>
  <c r="BV410" i="1" s="1"/>
  <c r="BT4" i="9"/>
  <c r="BM4" i="9"/>
  <c r="BN4" i="9"/>
  <c r="BP425" i="1"/>
  <c r="BP410" i="1" s="1"/>
  <c r="BO425" i="1"/>
  <c r="BO410" i="1" s="1"/>
  <c r="BU4" i="9"/>
  <c r="BU425" i="1"/>
  <c r="BU410" i="1" s="1"/>
  <c r="BM425" i="1"/>
  <c r="BM410" i="1" s="1"/>
  <c r="BS4" i="9"/>
  <c r="BT425" i="1"/>
  <c r="BT410" i="1" s="1"/>
  <c r="BR4" i="9"/>
  <c r="BN425" i="1"/>
  <c r="BN410" i="1" s="1"/>
  <c r="BP4" i="9"/>
  <c r="BS425" i="1"/>
  <c r="BS410" i="1" s="1"/>
  <c r="BM275" i="1"/>
  <c r="BM278" i="1"/>
  <c r="BN596" i="1"/>
  <c r="BN594" i="1"/>
  <c r="BM585" i="1"/>
  <c r="BM584" i="1" s="1"/>
  <c r="BN614" i="1"/>
  <c r="BM620" i="1"/>
  <c r="BM403" i="1"/>
  <c r="BM235" i="1"/>
  <c r="BN402" i="1"/>
  <c r="BN403" i="1" s="1"/>
  <c r="BO756" i="1"/>
  <c r="BO749" i="1"/>
  <c r="BO742" i="1"/>
  <c r="BM211" i="1"/>
  <c r="BN211" i="1" s="1"/>
  <c r="BN208" i="1"/>
  <c r="BP1" i="9"/>
  <c r="BP766" i="1"/>
  <c r="BP763" i="1"/>
  <c r="BP762" i="1"/>
  <c r="BQ4" i="1"/>
  <c r="BP3" i="1"/>
  <c r="BN617" i="1"/>
  <c r="BM591" i="1"/>
  <c r="BM590" i="1" s="1"/>
  <c r="BM66" i="9"/>
  <c r="BM68" i="9" s="1"/>
  <c r="BM183" i="1"/>
  <c r="BN183" i="1" s="1"/>
  <c r="BM141" i="1"/>
  <c r="BM93" i="9" s="1"/>
  <c r="BM229" i="1"/>
  <c r="BN223" i="1"/>
  <c r="BM225" i="1"/>
  <c r="BO740" i="1"/>
  <c r="BO747" i="1"/>
  <c r="BO754" i="1"/>
  <c r="BP761" i="1"/>
  <c r="BO745" i="1" l="1"/>
  <c r="BO738" i="1"/>
  <c r="BP759" i="1"/>
  <c r="BP424" i="1" s="1"/>
  <c r="BO752" i="1"/>
  <c r="BN275" i="1"/>
  <c r="BM273" i="1"/>
  <c r="BM283" i="1"/>
  <c r="BN283" i="1" s="1"/>
  <c r="BM166" i="9"/>
  <c r="BM69" i="9"/>
  <c r="BM71" i="9" s="1"/>
  <c r="BN235" i="1"/>
  <c r="BN69" i="9" s="1"/>
  <c r="BM182" i="1"/>
  <c r="BN585" i="1"/>
  <c r="BN620" i="1"/>
  <c r="BN66" i="9"/>
  <c r="BN68" i="9" s="1"/>
  <c r="BN141" i="1"/>
  <c r="BN93" i="9" s="1"/>
  <c r="BN225" i="1"/>
  <c r="BN591" i="1"/>
  <c r="BM598" i="1"/>
  <c r="BM505" i="1"/>
  <c r="BN505" i="1" s="1"/>
  <c r="BM147" i="1"/>
  <c r="BN229" i="1"/>
  <c r="BN210" i="1"/>
  <c r="BM143" i="9"/>
  <c r="BM144" i="9" s="1"/>
  <c r="BM238" i="1"/>
  <c r="BM226" i="1"/>
  <c r="BM143" i="1"/>
  <c r="BM95" i="9" s="1"/>
  <c r="BQ1" i="9"/>
  <c r="BQ766" i="1"/>
  <c r="BQ763" i="1"/>
  <c r="BQ762" i="1"/>
  <c r="BQ736" i="1"/>
  <c r="BR4" i="1"/>
  <c r="BQ3" i="1"/>
  <c r="BP736" i="1"/>
  <c r="BP750" i="1"/>
  <c r="BQ743" i="1"/>
  <c r="BP743" i="1"/>
  <c r="BQ761" i="1"/>
  <c r="BP757" i="1"/>
  <c r="BQ750" i="1"/>
  <c r="BQ757" i="1"/>
  <c r="BM286" i="1" l="1"/>
  <c r="BQ759" i="1"/>
  <c r="BQ424" i="1" s="1"/>
  <c r="BM261" i="1"/>
  <c r="BM280" i="1"/>
  <c r="BM281" i="1"/>
  <c r="BO278" i="1"/>
  <c r="BN273" i="1"/>
  <c r="BO275" i="1"/>
  <c r="BN286" i="1"/>
  <c r="BN598" i="1"/>
  <c r="BN147" i="1"/>
  <c r="BN143" i="9"/>
  <c r="BN144" i="9" s="1"/>
  <c r="BN238" i="1"/>
  <c r="BN143" i="1"/>
  <c r="BN95" i="9" s="1"/>
  <c r="BN584" i="1"/>
  <c r="BO581" i="1"/>
  <c r="BS581" i="1"/>
  <c r="BP756" i="1"/>
  <c r="BP749" i="1"/>
  <c r="BP742" i="1"/>
  <c r="BM84" i="9"/>
  <c r="BM144" i="1"/>
  <c r="BM96" i="9" s="1"/>
  <c r="BN226" i="1"/>
  <c r="BN166" i="9"/>
  <c r="BN71" i="9"/>
  <c r="BQ749" i="1"/>
  <c r="BQ756" i="1"/>
  <c r="BQ742" i="1"/>
  <c r="BN590" i="1"/>
  <c r="BO587" i="1"/>
  <c r="BS587" i="1"/>
  <c r="BM241" i="1"/>
  <c r="BM240" i="1"/>
  <c r="BM242" i="1" s="1"/>
  <c r="BR1" i="9"/>
  <c r="BR766" i="1"/>
  <c r="BR763" i="1"/>
  <c r="BR762" i="1"/>
  <c r="BR736" i="1"/>
  <c r="BS4" i="1"/>
  <c r="BR3" i="1"/>
  <c r="BN182" i="1"/>
  <c r="BP754" i="1"/>
  <c r="BP740" i="1"/>
  <c r="BP747" i="1"/>
  <c r="BQ754" i="1"/>
  <c r="BQ747" i="1"/>
  <c r="BQ740" i="1"/>
  <c r="BR761" i="1"/>
  <c r="BR743" i="1"/>
  <c r="BR757" i="1"/>
  <c r="BR750" i="1"/>
  <c r="BM411" i="1" l="1"/>
  <c r="BM5" i="9"/>
  <c r="BM6" i="9" s="1"/>
  <c r="BQ745" i="1"/>
  <c r="BP752" i="1"/>
  <c r="BP745" i="1"/>
  <c r="BQ738" i="1"/>
  <c r="BR759" i="1"/>
  <c r="BR424" i="1" s="1"/>
  <c r="BQ752" i="1"/>
  <c r="BP738" i="1"/>
  <c r="BO283" i="1"/>
  <c r="BO286" i="1" s="1"/>
  <c r="BO273" i="1"/>
  <c r="BP275" i="1"/>
  <c r="BN281" i="1"/>
  <c r="BN284" i="1"/>
  <c r="BN5" i="9"/>
  <c r="BN6" i="9" s="1"/>
  <c r="BN411" i="1"/>
  <c r="BM374" i="1"/>
  <c r="BN261" i="1"/>
  <c r="BM504" i="1"/>
  <c r="BM180" i="1"/>
  <c r="BM246" i="1"/>
  <c r="BL661" i="1"/>
  <c r="BM514" i="1"/>
  <c r="BN241" i="1"/>
  <c r="BN254" i="1" s="1"/>
  <c r="BR398" i="1"/>
  <c r="BS1" i="9"/>
  <c r="BS766" i="1"/>
  <c r="BS763" i="1"/>
  <c r="BS762" i="1"/>
  <c r="BS736" i="1"/>
  <c r="BT4" i="1"/>
  <c r="BS3" i="1"/>
  <c r="BO582" i="1" s="1"/>
  <c r="BO596" i="1"/>
  <c r="BO588" i="1"/>
  <c r="BN84" i="9"/>
  <c r="BN144" i="1"/>
  <c r="BN96" i="9" s="1"/>
  <c r="BR756" i="1"/>
  <c r="BR749" i="1"/>
  <c r="BR742" i="1"/>
  <c r="BM72" i="9"/>
  <c r="BN240" i="1"/>
  <c r="BN242" i="1" s="1"/>
  <c r="BM181" i="1"/>
  <c r="BR740" i="1"/>
  <c r="BR747" i="1"/>
  <c r="BR754" i="1"/>
  <c r="BS757" i="1"/>
  <c r="BS750" i="1"/>
  <c r="BS761" i="1"/>
  <c r="BS743" i="1"/>
  <c r="BR738" i="1" l="1"/>
  <c r="BS759" i="1"/>
  <c r="BS424" i="1" s="1"/>
  <c r="BS279" i="1" s="1"/>
  <c r="BR745" i="1"/>
  <c r="BR752" i="1"/>
  <c r="BM668" i="1"/>
  <c r="BM106" i="9"/>
  <c r="BM559" i="1"/>
  <c r="BM647" i="1" s="1"/>
  <c r="BP273" i="1"/>
  <c r="BP283" i="1"/>
  <c r="BP286" i="1" s="1"/>
  <c r="BQ275" i="1"/>
  <c r="BP278" i="1"/>
  <c r="BO280" i="1"/>
  <c r="BO261" i="1"/>
  <c r="BO374" i="1" s="1"/>
  <c r="BO559" i="1" s="1"/>
  <c r="BO281" i="1"/>
  <c r="BO411" i="1"/>
  <c r="BO5" i="9"/>
  <c r="BO6" i="9" s="1"/>
  <c r="BO223" i="1"/>
  <c r="BO208" i="1"/>
  <c r="BO614" i="1"/>
  <c r="BO595" i="1"/>
  <c r="BS749" i="1"/>
  <c r="BS742" i="1"/>
  <c r="BS756" i="1"/>
  <c r="BN181" i="1"/>
  <c r="BM230" i="1"/>
  <c r="BT1" i="9"/>
  <c r="BT766" i="1"/>
  <c r="BT763" i="1"/>
  <c r="BT762" i="1"/>
  <c r="BU4" i="1"/>
  <c r="BT3" i="1"/>
  <c r="BT736" i="1" s="1"/>
  <c r="BM629" i="1"/>
  <c r="BN514" i="1"/>
  <c r="BN669" i="1"/>
  <c r="BN246" i="1"/>
  <c r="BO209" i="1"/>
  <c r="BO617" i="1"/>
  <c r="BM76" i="9"/>
  <c r="BM256" i="1"/>
  <c r="BM248" i="1"/>
  <c r="BM251" i="1"/>
  <c r="BN72" i="9"/>
  <c r="BN253" i="1"/>
  <c r="BM184" i="1"/>
  <c r="BM191" i="1" s="1"/>
  <c r="BM232" i="1" s="1"/>
  <c r="BN180" i="1"/>
  <c r="BN184" i="1" s="1"/>
  <c r="BN191" i="1" s="1"/>
  <c r="BO398" i="1"/>
  <c r="BP398" i="1"/>
  <c r="BQ398" i="1"/>
  <c r="BM521" i="1"/>
  <c r="BN504" i="1"/>
  <c r="BN521" i="1" s="1"/>
  <c r="BS747" i="1"/>
  <c r="BS754" i="1"/>
  <c r="BS740" i="1"/>
  <c r="BT743" i="1"/>
  <c r="BT750" i="1"/>
  <c r="BT757" i="1"/>
  <c r="BT761" i="1"/>
  <c r="BO668" i="1" l="1"/>
  <c r="BO106" i="9"/>
  <c r="BS752" i="1"/>
  <c r="BS738" i="1"/>
  <c r="BS745" i="1"/>
  <c r="BT759" i="1"/>
  <c r="BT424" i="1" s="1"/>
  <c r="BQ273" i="1"/>
  <c r="BQ283" i="1"/>
  <c r="BQ286" i="1" s="1"/>
  <c r="BR275" i="1"/>
  <c r="BP5" i="9"/>
  <c r="BP6" i="9" s="1"/>
  <c r="BP411" i="1"/>
  <c r="BQ278" i="1"/>
  <c r="BP280" i="1"/>
  <c r="BP281" i="1"/>
  <c r="BN559" i="1"/>
  <c r="BM561" i="1"/>
  <c r="BP261" i="1"/>
  <c r="BP374" i="1" s="1"/>
  <c r="BT756" i="1"/>
  <c r="BT742" i="1"/>
  <c r="BT749" i="1"/>
  <c r="BM527" i="1"/>
  <c r="BM364" i="1"/>
  <c r="BN671" i="1"/>
  <c r="BU1" i="9"/>
  <c r="BU766" i="1"/>
  <c r="BU763" i="1"/>
  <c r="BU762" i="1"/>
  <c r="BV4" i="1"/>
  <c r="BU3" i="1"/>
  <c r="BU736" i="1" s="1"/>
  <c r="BO585" i="1"/>
  <c r="BO620" i="1"/>
  <c r="BO561" i="1"/>
  <c r="BN76" i="9"/>
  <c r="BN256" i="1"/>
  <c r="BN248" i="1"/>
  <c r="BN251" i="1"/>
  <c r="BM148" i="1"/>
  <c r="BN230" i="1"/>
  <c r="BM231" i="1"/>
  <c r="BO211" i="1"/>
  <c r="BM85" i="9"/>
  <c r="BM263" i="1"/>
  <c r="BM80" i="9" s="1"/>
  <c r="BM151" i="9" s="1"/>
  <c r="BN670" i="1"/>
  <c r="BN629" i="1"/>
  <c r="BM632" i="1"/>
  <c r="BN527" i="1"/>
  <c r="BN364" i="1"/>
  <c r="BM78" i="9"/>
  <c r="BM262" i="1"/>
  <c r="BM257" i="1" s="1"/>
  <c r="BM79" i="9" s="1"/>
  <c r="BO591" i="1"/>
  <c r="BN647" i="1"/>
  <c r="BM648" i="1"/>
  <c r="BS398" i="1"/>
  <c r="BS399" i="1" s="1"/>
  <c r="BM169" i="9"/>
  <c r="BM134" i="9"/>
  <c r="BM135" i="9" s="1"/>
  <c r="BO66" i="9"/>
  <c r="BO68" i="9" s="1"/>
  <c r="BO183" i="1"/>
  <c r="BO141" i="1"/>
  <c r="BO93" i="9" s="1"/>
  <c r="BO229" i="1"/>
  <c r="BO225" i="1"/>
  <c r="BM83" i="9"/>
  <c r="BM405" i="1"/>
  <c r="BM150" i="1"/>
  <c r="BN232" i="1"/>
  <c r="BT747" i="1"/>
  <c r="BT754" i="1"/>
  <c r="BT740" i="1"/>
  <c r="BU757" i="1"/>
  <c r="BU743" i="1"/>
  <c r="BU750" i="1"/>
  <c r="BU761" i="1"/>
  <c r="BN674" i="1" l="1"/>
  <c r="BT745" i="1"/>
  <c r="BT738" i="1"/>
  <c r="BT752" i="1"/>
  <c r="BU759" i="1"/>
  <c r="BU424" i="1" s="1"/>
  <c r="BP559" i="1"/>
  <c r="BP561" i="1" s="1"/>
  <c r="BP668" i="1"/>
  <c r="BP106" i="9"/>
  <c r="BN374" i="1"/>
  <c r="BN561" i="1"/>
  <c r="BN564" i="1" s="1"/>
  <c r="BN567" i="1" s="1"/>
  <c r="BR273" i="1"/>
  <c r="BS275" i="1"/>
  <c r="BR283" i="1"/>
  <c r="BQ5" i="9"/>
  <c r="BQ6" i="9" s="1"/>
  <c r="BQ411" i="1"/>
  <c r="BQ261" i="1"/>
  <c r="BQ374" i="1" s="1"/>
  <c r="BQ280" i="1"/>
  <c r="BR278" i="1"/>
  <c r="BQ281" i="1"/>
  <c r="BU756" i="1"/>
  <c r="BU749" i="1"/>
  <c r="BU742" i="1"/>
  <c r="BN672" i="1"/>
  <c r="BM564" i="1"/>
  <c r="BO598" i="1"/>
  <c r="BO505" i="1"/>
  <c r="BO147" i="1"/>
  <c r="BM131" i="9"/>
  <c r="BM132" i="9" s="1"/>
  <c r="BM168" i="9"/>
  <c r="BM129" i="9"/>
  <c r="BM130" i="9" s="1"/>
  <c r="BM153" i="9"/>
  <c r="BN85" i="9"/>
  <c r="BN263" i="1"/>
  <c r="BN80" i="9" s="1"/>
  <c r="BN151" i="9" s="1"/>
  <c r="BV766" i="1"/>
  <c r="BV763" i="1"/>
  <c r="BV762" i="1"/>
  <c r="BV1" i="9"/>
  <c r="BV736" i="1"/>
  <c r="BV3" i="1"/>
  <c r="BM167" i="9"/>
  <c r="BM125" i="9"/>
  <c r="BM98" i="9"/>
  <c r="BM152" i="9"/>
  <c r="BN648" i="1"/>
  <c r="BN78" i="9"/>
  <c r="BN262" i="1"/>
  <c r="BN257" i="1" s="1"/>
  <c r="BN79" i="9" s="1"/>
  <c r="BN83" i="9"/>
  <c r="BN405" i="1"/>
  <c r="BN150" i="1"/>
  <c r="BN101" i="9"/>
  <c r="BN103" i="9" s="1"/>
  <c r="BN381" i="1"/>
  <c r="BN366" i="1"/>
  <c r="BN632" i="1"/>
  <c r="BO166" i="9"/>
  <c r="BM149" i="1"/>
  <c r="BM97" i="9" s="1"/>
  <c r="BN169" i="9"/>
  <c r="BN134" i="9"/>
  <c r="BN135" i="9" s="1"/>
  <c r="BP581" i="1"/>
  <c r="BO584" i="1"/>
  <c r="BO143" i="9"/>
  <c r="BO144" i="9" s="1"/>
  <c r="BO226" i="1"/>
  <c r="BO143" i="1"/>
  <c r="BO95" i="9" s="1"/>
  <c r="BP587" i="1"/>
  <c r="BO590" i="1"/>
  <c r="BM145" i="9"/>
  <c r="BM146" i="9" s="1"/>
  <c r="BM639" i="1"/>
  <c r="BM650" i="1" s="1"/>
  <c r="BM258" i="1"/>
  <c r="BM86" i="9" s="1"/>
  <c r="BM119" i="9" s="1"/>
  <c r="BN148" i="1"/>
  <c r="BN231" i="1"/>
  <c r="BN149" i="1" s="1"/>
  <c r="BN97" i="9" s="1"/>
  <c r="BM101" i="9"/>
  <c r="BM103" i="9" s="1"/>
  <c r="BM381" i="1"/>
  <c r="BM382" i="1" s="1"/>
  <c r="BM383" i="1" s="1"/>
  <c r="BM384" i="1" s="1"/>
  <c r="BM367" i="1"/>
  <c r="BM366" i="1"/>
  <c r="BU747" i="1"/>
  <c r="BU740" i="1"/>
  <c r="BU754" i="1"/>
  <c r="BV761" i="1"/>
  <c r="BV750" i="1"/>
  <c r="BV757" i="1"/>
  <c r="BV743" i="1"/>
  <c r="BN382" i="1" l="1"/>
  <c r="BN383" i="1" s="1"/>
  <c r="BN384" i="1" s="1"/>
  <c r="BU752" i="1"/>
  <c r="BU745" i="1"/>
  <c r="BV759" i="1"/>
  <c r="BV424" i="1" s="1"/>
  <c r="BU738" i="1"/>
  <c r="BS566" i="1"/>
  <c r="BO566" i="1"/>
  <c r="BS283" i="1"/>
  <c r="BS286" i="1" s="1"/>
  <c r="BR286" i="1"/>
  <c r="BT275" i="1"/>
  <c r="BS273" i="1"/>
  <c r="BR261" i="1"/>
  <c r="BR374" i="1" s="1"/>
  <c r="BR281" i="1"/>
  <c r="BR280" i="1"/>
  <c r="BN106" i="9"/>
  <c r="BN675" i="1"/>
  <c r="BN668" i="1"/>
  <c r="BQ106" i="9"/>
  <c r="BQ559" i="1"/>
  <c r="BQ561" i="1" s="1"/>
  <c r="BQ668" i="1"/>
  <c r="BN367" i="1"/>
  <c r="BN258" i="1"/>
  <c r="BN414" i="1" s="1"/>
  <c r="BM133" i="9"/>
  <c r="BM126" i="9"/>
  <c r="BM115" i="9"/>
  <c r="BM105" i="9"/>
  <c r="BM154" i="9"/>
  <c r="BP582" i="1"/>
  <c r="BP595" i="1"/>
  <c r="BN385" i="1"/>
  <c r="BN368" i="1"/>
  <c r="BN416" i="1" s="1"/>
  <c r="BN145" i="9"/>
  <c r="BN146" i="9" s="1"/>
  <c r="BN639" i="1"/>
  <c r="BV756" i="1"/>
  <c r="BV749" i="1"/>
  <c r="BV742" i="1"/>
  <c r="BN167" i="9"/>
  <c r="BN125" i="9"/>
  <c r="BN98" i="9"/>
  <c r="BN152" i="9"/>
  <c r="BN131" i="9"/>
  <c r="BN132" i="9" s="1"/>
  <c r="BN650" i="1"/>
  <c r="BM385" i="1"/>
  <c r="BM386" i="1" s="1"/>
  <c r="BM387" i="1" s="1"/>
  <c r="BM388" i="1" s="1"/>
  <c r="BM368" i="1"/>
  <c r="BN168" i="9"/>
  <c r="BN129" i="9"/>
  <c r="BN130" i="9" s="1"/>
  <c r="BN153" i="9"/>
  <c r="BP588" i="1"/>
  <c r="BO84" i="9"/>
  <c r="BO144" i="1"/>
  <c r="BO96" i="9" s="1"/>
  <c r="BN126" i="9"/>
  <c r="BN115" i="9"/>
  <c r="BN161" i="9" s="1"/>
  <c r="BN105" i="9"/>
  <c r="BN154" i="9"/>
  <c r="BM604" i="1"/>
  <c r="BL660" i="1"/>
  <c r="BM567" i="1"/>
  <c r="BV740" i="1"/>
  <c r="BV754" i="1"/>
  <c r="BV747" i="1"/>
  <c r="BN86" i="9" l="1"/>
  <c r="BN119" i="9" s="1"/>
  <c r="BV745" i="1"/>
  <c r="BV752" i="1"/>
  <c r="BV738" i="1"/>
  <c r="BR106" i="9"/>
  <c r="BR668" i="1"/>
  <c r="BR559" i="1"/>
  <c r="BS5" i="9"/>
  <c r="BS6" i="9" s="1"/>
  <c r="BS411" i="1"/>
  <c r="BS284" i="1"/>
  <c r="BT279" i="1"/>
  <c r="BS281" i="1"/>
  <c r="BT283" i="1"/>
  <c r="BT286" i="1" s="1"/>
  <c r="BT281" i="1"/>
  <c r="BT273" i="1"/>
  <c r="BU275" i="1"/>
  <c r="BR5" i="9"/>
  <c r="BR6" i="9" s="1"/>
  <c r="BR411" i="1"/>
  <c r="BS261" i="1"/>
  <c r="BN604" i="1"/>
  <c r="BM610" i="1"/>
  <c r="BM621" i="1" s="1"/>
  <c r="BM391" i="1"/>
  <c r="BN133" i="9"/>
  <c r="BN417" i="1"/>
  <c r="BN386" i="1"/>
  <c r="BN387" i="1" s="1"/>
  <c r="BN388" i="1" s="1"/>
  <c r="BM116" i="9"/>
  <c r="BM118" i="9" s="1"/>
  <c r="BM107" i="9"/>
  <c r="BM113" i="9" s="1"/>
  <c r="BM170" i="9" s="1"/>
  <c r="BM155" i="9"/>
  <c r="BP209" i="1"/>
  <c r="BP617" i="1"/>
  <c r="BN162" i="9"/>
  <c r="BN116" i="9"/>
  <c r="BN118" i="9" s="1"/>
  <c r="BN107" i="9"/>
  <c r="BN113" i="9" s="1"/>
  <c r="BN170" i="9" s="1"/>
  <c r="BN155" i="9"/>
  <c r="BP596" i="1"/>
  <c r="BM571" i="1"/>
  <c r="BP223" i="1"/>
  <c r="BP208" i="1"/>
  <c r="BP614" i="1"/>
  <c r="BN158" i="9" l="1"/>
  <c r="BT261" i="1"/>
  <c r="BT374" i="1" s="1"/>
  <c r="BU279" i="1"/>
  <c r="BU273" i="1"/>
  <c r="BU283" i="1"/>
  <c r="BU286" i="1" s="1"/>
  <c r="BV275" i="1"/>
  <c r="BU281" i="1"/>
  <c r="BT5" i="9"/>
  <c r="BT6" i="9" s="1"/>
  <c r="BT411" i="1"/>
  <c r="BR561" i="1"/>
  <c r="BS559" i="1"/>
  <c r="BM136" i="9"/>
  <c r="BM137" i="9" s="1"/>
  <c r="BM652" i="1"/>
  <c r="BL662" i="1"/>
  <c r="BP591" i="1"/>
  <c r="BN610" i="1"/>
  <c r="BN621" i="1" s="1"/>
  <c r="BN391" i="1"/>
  <c r="BN571" i="1"/>
  <c r="BP211" i="1"/>
  <c r="BM7" i="9"/>
  <c r="BM11" i="9" s="1"/>
  <c r="BM657" i="1"/>
  <c r="BM396" i="1"/>
  <c r="BN401" i="1"/>
  <c r="BP66" i="9"/>
  <c r="BP68" i="9" s="1"/>
  <c r="BP229" i="1"/>
  <c r="BP183" i="1"/>
  <c r="BP141" i="1"/>
  <c r="BP93" i="9" s="1"/>
  <c r="BP225" i="1"/>
  <c r="BP585" i="1"/>
  <c r="BP620" i="1"/>
  <c r="BS674" i="1" l="1"/>
  <c r="BS374" i="1"/>
  <c r="BS561" i="1"/>
  <c r="BV273" i="1"/>
  <c r="BV261" i="1" s="1"/>
  <c r="BV374" i="1" s="1"/>
  <c r="BV283" i="1"/>
  <c r="BV286" i="1" s="1"/>
  <c r="BV281" i="1"/>
  <c r="BU5" i="9"/>
  <c r="BU6" i="9" s="1"/>
  <c r="BU411" i="1"/>
  <c r="BU261" i="1"/>
  <c r="BU374" i="1" s="1"/>
  <c r="BV279" i="1"/>
  <c r="BT106" i="9"/>
  <c r="BT668" i="1"/>
  <c r="BT559" i="1"/>
  <c r="BT561" i="1" s="1"/>
  <c r="BM139" i="9"/>
  <c r="BM140" i="9" s="1"/>
  <c r="BM141" i="9" s="1"/>
  <c r="BM142" i="9" s="1"/>
  <c r="BM124" i="9"/>
  <c r="BM123" i="9"/>
  <c r="BM122" i="9"/>
  <c r="BM412" i="1"/>
  <c r="BQ587" i="1"/>
  <c r="BP590" i="1"/>
  <c r="BP143" i="9"/>
  <c r="BP144" i="9" s="1"/>
  <c r="BP226" i="1"/>
  <c r="BP143" i="1"/>
  <c r="BP95" i="9" s="1"/>
  <c r="BM147" i="9"/>
  <c r="BM148" i="9" s="1"/>
  <c r="BM138" i="9"/>
  <c r="BQ581" i="1"/>
  <c r="BP584" i="1"/>
  <c r="BP598" i="1"/>
  <c r="BP505" i="1"/>
  <c r="BP147" i="1"/>
  <c r="BP166" i="9"/>
  <c r="BN7" i="9"/>
  <c r="BN11" i="9" s="1"/>
  <c r="BN657" i="1"/>
  <c r="BO400" i="1"/>
  <c r="BN396" i="1"/>
  <c r="BN136" i="9"/>
  <c r="BN137" i="9" s="1"/>
  <c r="BN652" i="1"/>
  <c r="BU106" i="9" l="1"/>
  <c r="BU668" i="1"/>
  <c r="BU559" i="1"/>
  <c r="BU561" i="1" s="1"/>
  <c r="BV411" i="1"/>
  <c r="BV5" i="9"/>
  <c r="BV6" i="9" s="1"/>
  <c r="BV559" i="1"/>
  <c r="BV561" i="1" s="1"/>
  <c r="BV106" i="9"/>
  <c r="BV668" i="1"/>
  <c r="BS668" i="1"/>
  <c r="BS675" i="1"/>
  <c r="BS106" i="9"/>
  <c r="BN139" i="9"/>
  <c r="BN140" i="9" s="1"/>
  <c r="BN141" i="9" s="1"/>
  <c r="BN142" i="9" s="1"/>
  <c r="BN124" i="9"/>
  <c r="BN123" i="9"/>
  <c r="BN122" i="9"/>
  <c r="BN406" i="1"/>
  <c r="BN412" i="1"/>
  <c r="BN407" i="1"/>
  <c r="BQ588" i="1"/>
  <c r="BQ596" i="1"/>
  <c r="BO402" i="1"/>
  <c r="BP84" i="9"/>
  <c r="BP144" i="1"/>
  <c r="BP96" i="9" s="1"/>
  <c r="BN160" i="9"/>
  <c r="BN159" i="9"/>
  <c r="BN163" i="9"/>
  <c r="BN147" i="9"/>
  <c r="BN148" i="9" s="1"/>
  <c r="BN138" i="9"/>
  <c r="BQ582" i="1"/>
  <c r="BQ595" i="1"/>
  <c r="BO403" i="1" l="1"/>
  <c r="BO235" i="1"/>
  <c r="BN415" i="1"/>
  <c r="BN418" i="1"/>
  <c r="BQ223" i="1"/>
  <c r="BQ208" i="1"/>
  <c r="BQ614" i="1"/>
  <c r="BQ209" i="1"/>
  <c r="BQ617" i="1"/>
  <c r="BQ66" i="9" l="1"/>
  <c r="BQ68" i="9" s="1"/>
  <c r="BQ229" i="1"/>
  <c r="BQ183" i="1"/>
  <c r="BQ141" i="1"/>
  <c r="BQ93" i="9" s="1"/>
  <c r="BQ225" i="1"/>
  <c r="BQ585" i="1"/>
  <c r="BQ620" i="1"/>
  <c r="BO69" i="9"/>
  <c r="BO71" i="9" s="1"/>
  <c r="BO182" i="1"/>
  <c r="BO238" i="1"/>
  <c r="BQ591" i="1"/>
  <c r="BQ211" i="1"/>
  <c r="BQ143" i="9" l="1"/>
  <c r="BQ144" i="9" s="1"/>
  <c r="BQ143" i="1"/>
  <c r="BQ95" i="9" s="1"/>
  <c r="BQ226" i="1"/>
  <c r="BO241" i="1"/>
  <c r="BO240" i="1"/>
  <c r="BQ590" i="1"/>
  <c r="BR587" i="1"/>
  <c r="BQ598" i="1"/>
  <c r="BQ505" i="1"/>
  <c r="BQ147" i="1"/>
  <c r="BQ584" i="1"/>
  <c r="BR581" i="1"/>
  <c r="BQ166" i="9"/>
  <c r="BO72" i="9" l="1"/>
  <c r="BO181" i="1"/>
  <c r="BO514" i="1"/>
  <c r="BR582" i="1"/>
  <c r="BR595" i="1"/>
  <c r="BS595" i="1" s="1"/>
  <c r="BO242" i="1"/>
  <c r="BQ84" i="9"/>
  <c r="BQ144" i="1"/>
  <c r="BQ96" i="9" s="1"/>
  <c r="BR588" i="1"/>
  <c r="BR596" i="1"/>
  <c r="BS596" i="1" s="1"/>
  <c r="BO629" i="1" l="1"/>
  <c r="BO504" i="1"/>
  <c r="BO180" i="1"/>
  <c r="BO246" i="1"/>
  <c r="BO230" i="1"/>
  <c r="BR209" i="1"/>
  <c r="BS209" i="1" s="1"/>
  <c r="BS588" i="1"/>
  <c r="BR617" i="1"/>
  <c r="BR223" i="1"/>
  <c r="BR208" i="1"/>
  <c r="BS582" i="1"/>
  <c r="BR614" i="1"/>
  <c r="BO76" i="9" l="1"/>
  <c r="BO256" i="1"/>
  <c r="BO248" i="1"/>
  <c r="BO251" i="1"/>
  <c r="BS617" i="1"/>
  <c r="BR591" i="1"/>
  <c r="BR590" i="1" s="1"/>
  <c r="BO184" i="1"/>
  <c r="BO191" i="1" s="1"/>
  <c r="BO232" i="1" s="1"/>
  <c r="BR211" i="1"/>
  <c r="BS211" i="1" s="1"/>
  <c r="BS208" i="1"/>
  <c r="BR66" i="9"/>
  <c r="BR68" i="9" s="1"/>
  <c r="BR183" i="1"/>
  <c r="BS183" i="1" s="1"/>
  <c r="BR141" i="1"/>
  <c r="BR93" i="9" s="1"/>
  <c r="BR229" i="1"/>
  <c r="BR225" i="1"/>
  <c r="BS223" i="1"/>
  <c r="BO521" i="1"/>
  <c r="BO647" i="1"/>
  <c r="BR585" i="1"/>
  <c r="BR584" i="1" s="1"/>
  <c r="BS614" i="1"/>
  <c r="BR620" i="1"/>
  <c r="BO632" i="1"/>
  <c r="BO148" i="1"/>
  <c r="BO231" i="1"/>
  <c r="BR166" i="9" l="1"/>
  <c r="BS591" i="1"/>
  <c r="BO145" i="9"/>
  <c r="BO146" i="9" s="1"/>
  <c r="BO639" i="1"/>
  <c r="BS66" i="9"/>
  <c r="BS141" i="1"/>
  <c r="BS93" i="9" s="1"/>
  <c r="BS225" i="1"/>
  <c r="BO85" i="9"/>
  <c r="BO263" i="1"/>
  <c r="BO80" i="9" s="1"/>
  <c r="BO151" i="9" s="1"/>
  <c r="BO527" i="1"/>
  <c r="BO364" i="1"/>
  <c r="BO149" i="1"/>
  <c r="BO97" i="9" s="1"/>
  <c r="BS585" i="1"/>
  <c r="BS620" i="1"/>
  <c r="BR143" i="9"/>
  <c r="BR144" i="9" s="1"/>
  <c r="BR226" i="1"/>
  <c r="BR143" i="1"/>
  <c r="BR95" i="9" s="1"/>
  <c r="BS210" i="1"/>
  <c r="BO78" i="9"/>
  <c r="BO262" i="1"/>
  <c r="BO257" i="1" s="1"/>
  <c r="BO79" i="9" s="1"/>
  <c r="BR598" i="1"/>
  <c r="BR505" i="1"/>
  <c r="BS505" i="1" s="1"/>
  <c r="BR147" i="1"/>
  <c r="BS229" i="1"/>
  <c r="BO648" i="1"/>
  <c r="BO83" i="9"/>
  <c r="BO405" i="1"/>
  <c r="BO150" i="1"/>
  <c r="BO169" i="9"/>
  <c r="BO134" i="9"/>
  <c r="BO135" i="9" s="1"/>
  <c r="BS68" i="9" l="1"/>
  <c r="H54" i="11"/>
  <c r="BR84" i="9"/>
  <c r="BR144" i="1"/>
  <c r="BR96" i="9" s="1"/>
  <c r="BS226" i="1"/>
  <c r="BS598" i="1"/>
  <c r="BS147" i="1"/>
  <c r="BO101" i="9"/>
  <c r="BO103" i="9" s="1"/>
  <c r="BO381" i="1"/>
  <c r="BO382" i="1" s="1"/>
  <c r="BO383" i="1" s="1"/>
  <c r="BO384" i="1" s="1"/>
  <c r="BO367" i="1"/>
  <c r="BO366" i="1"/>
  <c r="BO168" i="9"/>
  <c r="BO129" i="9"/>
  <c r="BO130" i="9" s="1"/>
  <c r="BO153" i="9"/>
  <c r="BS590" i="1"/>
  <c r="BT587" i="1"/>
  <c r="BO564" i="1"/>
  <c r="BS143" i="9"/>
  <c r="BS144" i="9" s="1"/>
  <c r="BS143" i="1"/>
  <c r="BS95" i="9" s="1"/>
  <c r="BO167" i="9"/>
  <c r="BO125" i="9"/>
  <c r="BO98" i="9"/>
  <c r="BO152" i="9"/>
  <c r="BO131" i="9"/>
  <c r="BO132" i="9" s="1"/>
  <c r="BO650" i="1"/>
  <c r="BS584" i="1"/>
  <c r="BT581" i="1"/>
  <c r="BO258" i="1"/>
  <c r="BO86" i="9" s="1"/>
  <c r="BO119" i="9" s="1"/>
  <c r="BS166" i="9"/>
  <c r="BO133" i="9" l="1"/>
  <c r="BT582" i="1"/>
  <c r="BO567" i="1"/>
  <c r="BO604" i="1"/>
  <c r="BO385" i="1"/>
  <c r="BO386" i="1" s="1"/>
  <c r="BO387" i="1" s="1"/>
  <c r="BO388" i="1" s="1"/>
  <c r="BO368" i="1"/>
  <c r="BS84" i="9"/>
  <c r="BS144" i="1"/>
  <c r="BS96" i="9" s="1"/>
  <c r="BO115" i="9"/>
  <c r="BO126" i="9"/>
  <c r="BO105" i="9"/>
  <c r="BO154" i="9"/>
  <c r="BT588" i="1"/>
  <c r="BT596" i="1"/>
  <c r="BO610" i="1" l="1"/>
  <c r="BO621" i="1" s="1"/>
  <c r="BO391" i="1"/>
  <c r="BO571" i="1"/>
  <c r="BP566" i="1"/>
  <c r="BT223" i="1"/>
  <c r="BT208" i="1"/>
  <c r="BT614" i="1"/>
  <c r="BO116" i="9"/>
  <c r="BO118" i="9" s="1"/>
  <c r="BO107" i="9"/>
  <c r="BO113" i="9" s="1"/>
  <c r="BO170" i="9" s="1"/>
  <c r="BO155" i="9"/>
  <c r="BT209" i="1"/>
  <c r="BT617" i="1"/>
  <c r="BT595" i="1"/>
  <c r="BT66" i="9" l="1"/>
  <c r="BT183" i="1"/>
  <c r="BT141" i="1"/>
  <c r="BT93" i="9" s="1"/>
  <c r="BT229" i="1"/>
  <c r="BT225" i="1"/>
  <c r="BO7" i="9"/>
  <c r="BO11" i="9" s="1"/>
  <c r="BO657" i="1"/>
  <c r="BP400" i="1"/>
  <c r="BO396" i="1"/>
  <c r="BT585" i="1"/>
  <c r="BT620" i="1"/>
  <c r="BO136" i="9"/>
  <c r="BO137" i="9" s="1"/>
  <c r="BO652" i="1"/>
  <c r="BT591" i="1"/>
  <c r="BT211" i="1"/>
  <c r="BT68" i="9" l="1"/>
  <c r="I54" i="11"/>
  <c r="BT143" i="9"/>
  <c r="BT144" i="9" s="1"/>
  <c r="BT226" i="1"/>
  <c r="BT143" i="1"/>
  <c r="BT95" i="9" s="1"/>
  <c r="BT584" i="1"/>
  <c r="BU581" i="1"/>
  <c r="BT590" i="1"/>
  <c r="BU587" i="1"/>
  <c r="BO139" i="9"/>
  <c r="BO140" i="9" s="1"/>
  <c r="BO141" i="9" s="1"/>
  <c r="BO142" i="9" s="1"/>
  <c r="BO123" i="9"/>
  <c r="BO122" i="9"/>
  <c r="BO124" i="9"/>
  <c r="BO412" i="1"/>
  <c r="BT598" i="1"/>
  <c r="BT505" i="1"/>
  <c r="BT147" i="1"/>
  <c r="BP402" i="1"/>
  <c r="BO147" i="9"/>
  <c r="BO148" i="9" s="1"/>
  <c r="BO138" i="9"/>
  <c r="BT166" i="9"/>
  <c r="BP403" i="1" l="1"/>
  <c r="BP235" i="1"/>
  <c r="BU588" i="1"/>
  <c r="BT84" i="9"/>
  <c r="BT144" i="1"/>
  <c r="BT96" i="9" s="1"/>
  <c r="BU582" i="1"/>
  <c r="BU209" i="1" l="1"/>
  <c r="BU617" i="1"/>
  <c r="BU596" i="1"/>
  <c r="BU223" i="1"/>
  <c r="BU208" i="1"/>
  <c r="BU211" i="1" s="1"/>
  <c r="BU614" i="1"/>
  <c r="BU595" i="1"/>
  <c r="BP69" i="9"/>
  <c r="BP71" i="9" s="1"/>
  <c r="BP182" i="1"/>
  <c r="BP238" i="1"/>
  <c r="BU585" i="1" l="1"/>
  <c r="BU620" i="1"/>
  <c r="BP241" i="1"/>
  <c r="BP240" i="1"/>
  <c r="BU66" i="9"/>
  <c r="BU183" i="1"/>
  <c r="BU141" i="1"/>
  <c r="BU93" i="9" s="1"/>
  <c r="BU229" i="1"/>
  <c r="BU225" i="1"/>
  <c r="BU591" i="1"/>
  <c r="BU68" i="9" l="1"/>
  <c r="BU166" i="9" s="1"/>
  <c r="J54" i="11"/>
  <c r="BP72" i="9"/>
  <c r="BP181" i="1"/>
  <c r="BU598" i="1"/>
  <c r="BU505" i="1"/>
  <c r="BU147" i="1"/>
  <c r="BU143" i="9"/>
  <c r="BU144" i="9" s="1"/>
  <c r="BU226" i="1"/>
  <c r="BU143" i="1"/>
  <c r="BU95" i="9" s="1"/>
  <c r="BP514" i="1"/>
  <c r="BP242" i="1"/>
  <c r="BV587" i="1"/>
  <c r="BU590" i="1"/>
  <c r="BV581" i="1"/>
  <c r="BU584" i="1"/>
  <c r="BP629" i="1" l="1"/>
  <c r="BV582" i="1"/>
  <c r="BV595" i="1"/>
  <c r="BV588" i="1"/>
  <c r="BV596" i="1" s="1"/>
  <c r="BP504" i="1"/>
  <c r="BP180" i="1"/>
  <c r="BP246" i="1"/>
  <c r="BU84" i="9"/>
  <c r="BU144" i="1"/>
  <c r="BU96" i="9" s="1"/>
  <c r="BP230" i="1"/>
  <c r="BV223" i="1" l="1"/>
  <c r="BV208" i="1"/>
  <c r="BV614" i="1"/>
  <c r="BP76" i="9"/>
  <c r="BP256" i="1"/>
  <c r="BP248" i="1"/>
  <c r="BP251" i="1"/>
  <c r="BP184" i="1"/>
  <c r="BP191" i="1" s="1"/>
  <c r="BP232" i="1" s="1"/>
  <c r="BP632" i="1"/>
  <c r="BV209" i="1"/>
  <c r="BV617" i="1"/>
  <c r="BV591" i="1" s="1"/>
  <c r="BV590" i="1" s="1"/>
  <c r="BP148" i="1"/>
  <c r="BP231" i="1"/>
  <c r="BP521" i="1"/>
  <c r="BP647" i="1"/>
  <c r="BP145" i="9" l="1"/>
  <c r="BP146" i="9" s="1"/>
  <c r="BP639" i="1"/>
  <c r="BP169" i="9"/>
  <c r="BP134" i="9"/>
  <c r="BP135" i="9" s="1"/>
  <c r="BP78" i="9"/>
  <c r="BP262" i="1"/>
  <c r="BP257" i="1" s="1"/>
  <c r="BP79" i="9" s="1"/>
  <c r="BV585" i="1"/>
  <c r="BV584" i="1" s="1"/>
  <c r="BV620" i="1"/>
  <c r="BP83" i="9"/>
  <c r="BP405" i="1"/>
  <c r="BP150" i="1"/>
  <c r="BV211" i="1"/>
  <c r="BP527" i="1"/>
  <c r="BP364" i="1"/>
  <c r="BP149" i="1"/>
  <c r="BP97" i="9" s="1"/>
  <c r="BP648" i="1"/>
  <c r="BP85" i="9"/>
  <c r="BP263" i="1"/>
  <c r="BP80" i="9" s="1"/>
  <c r="BP151" i="9" s="1"/>
  <c r="BV66" i="9"/>
  <c r="BV229" i="1"/>
  <c r="BV183" i="1"/>
  <c r="BV141" i="1"/>
  <c r="BV93" i="9" s="1"/>
  <c r="BV225" i="1"/>
  <c r="BV68" i="9" l="1"/>
  <c r="K54" i="11"/>
  <c r="BP168" i="9"/>
  <c r="BP129" i="9"/>
  <c r="BP130" i="9" s="1"/>
  <c r="BP153" i="9"/>
  <c r="BP101" i="9"/>
  <c r="BP103" i="9" s="1"/>
  <c r="BP381" i="1"/>
  <c r="BP382" i="1" s="1"/>
  <c r="BP383" i="1" s="1"/>
  <c r="BP384" i="1" s="1"/>
  <c r="BP367" i="1"/>
  <c r="BP366" i="1"/>
  <c r="BP167" i="9"/>
  <c r="BP125" i="9"/>
  <c r="BP98" i="9"/>
  <c r="BP152" i="9"/>
  <c r="BP131" i="9"/>
  <c r="BP132" i="9" s="1"/>
  <c r="BP650" i="1"/>
  <c r="BP564" i="1"/>
  <c r="BV166" i="9"/>
  <c r="BV598" i="1"/>
  <c r="BV505" i="1"/>
  <c r="BV147" i="1"/>
  <c r="BV143" i="9"/>
  <c r="BV144" i="9" s="1"/>
  <c r="BV226" i="1"/>
  <c r="BV143" i="1"/>
  <c r="BV95" i="9" s="1"/>
  <c r="BP258" i="1"/>
  <c r="BP86" i="9" s="1"/>
  <c r="BP119" i="9" s="1"/>
  <c r="BP133" i="9" l="1"/>
  <c r="BP126" i="9"/>
  <c r="BP115" i="9"/>
  <c r="BP105" i="9"/>
  <c r="BP154" i="9"/>
  <c r="BV84" i="9"/>
  <c r="BV144" i="1"/>
  <c r="BV96" i="9" s="1"/>
  <c r="A226" i="1"/>
  <c r="BP604" i="1"/>
  <c r="BP567" i="1"/>
  <c r="BP385" i="1"/>
  <c r="BP386" i="1" s="1"/>
  <c r="BP387" i="1" s="1"/>
  <c r="BP388" i="1" s="1"/>
  <c r="BP368" i="1"/>
  <c r="BP571" i="1" l="1"/>
  <c r="BQ566" i="1"/>
  <c r="BP116" i="9"/>
  <c r="BP118" i="9" s="1"/>
  <c r="BP107" i="9"/>
  <c r="BP113" i="9" s="1"/>
  <c r="BP170" i="9" s="1"/>
  <c r="BP155" i="9"/>
  <c r="BP610" i="1"/>
  <c r="BP621" i="1" s="1"/>
  <c r="BP391" i="1"/>
  <c r="A84" i="9"/>
  <c r="A227" i="1"/>
  <c r="A729" i="1" l="1"/>
  <c r="BP136" i="9"/>
  <c r="BP137" i="9" s="1"/>
  <c r="BP652" i="1"/>
  <c r="BP7" i="9"/>
  <c r="BP11" i="9" s="1"/>
  <c r="BP657" i="1"/>
  <c r="BQ400" i="1"/>
  <c r="BP396" i="1"/>
  <c r="BP139" i="9" l="1"/>
  <c r="BP140" i="9" s="1"/>
  <c r="BP141" i="9" s="1"/>
  <c r="BP142" i="9" s="1"/>
  <c r="BP122" i="9"/>
  <c r="BP124" i="9"/>
  <c r="BP123" i="9"/>
  <c r="BP412" i="1"/>
  <c r="BP147" i="9"/>
  <c r="BP148" i="9" s="1"/>
  <c r="BP138" i="9"/>
  <c r="BQ402" i="1"/>
  <c r="BQ403" i="1" l="1"/>
  <c r="BQ235" i="1"/>
  <c r="BQ69" i="9" l="1"/>
  <c r="BQ71" i="9" s="1"/>
  <c r="BQ182" i="1"/>
  <c r="BQ238" i="1"/>
  <c r="BQ241" i="1" l="1"/>
  <c r="BQ240" i="1"/>
  <c r="BQ514" i="1" l="1"/>
  <c r="BQ72" i="9"/>
  <c r="BQ181" i="1"/>
  <c r="BQ242" i="1"/>
  <c r="BQ504" i="1" l="1"/>
  <c r="BQ246" i="1"/>
  <c r="BQ180" i="1"/>
  <c r="BQ230" i="1"/>
  <c r="BQ629" i="1"/>
  <c r="BQ148" i="1" l="1"/>
  <c r="BQ231" i="1"/>
  <c r="BQ149" i="1" s="1"/>
  <c r="BQ97" i="9" s="1"/>
  <c r="BQ76" i="9"/>
  <c r="BQ251" i="1"/>
  <c r="BQ256" i="1"/>
  <c r="BQ248" i="1"/>
  <c r="BQ184" i="1"/>
  <c r="BQ191" i="1" s="1"/>
  <c r="BQ232" i="1" s="1"/>
  <c r="BQ632" i="1"/>
  <c r="BQ521" i="1"/>
  <c r="BQ647" i="1"/>
  <c r="BQ145" i="9" l="1"/>
  <c r="BQ146" i="9" s="1"/>
  <c r="BQ639" i="1"/>
  <c r="BQ169" i="9"/>
  <c r="BQ134" i="9"/>
  <c r="BQ135" i="9" s="1"/>
  <c r="BQ648" i="1"/>
  <c r="BQ527" i="1"/>
  <c r="BQ364" i="1"/>
  <c r="BQ85" i="9"/>
  <c r="BQ263" i="1"/>
  <c r="BQ80" i="9" s="1"/>
  <c r="BQ151" i="9" s="1"/>
  <c r="BQ83" i="9"/>
  <c r="BQ405" i="1"/>
  <c r="BQ150" i="1"/>
  <c r="BQ78" i="9"/>
  <c r="BQ262" i="1"/>
  <c r="BQ257" i="1" s="1"/>
  <c r="BQ79" i="9" s="1"/>
  <c r="BQ258" i="1" l="1"/>
  <c r="BQ86" i="9" s="1"/>
  <c r="BQ119" i="9" s="1"/>
  <c r="BQ168" i="9"/>
  <c r="BQ129" i="9"/>
  <c r="BQ130" i="9" s="1"/>
  <c r="BQ153" i="9"/>
  <c r="BQ167" i="9"/>
  <c r="BQ125" i="9"/>
  <c r="BQ98" i="9"/>
  <c r="BQ152" i="9"/>
  <c r="BQ101" i="9"/>
  <c r="BQ103" i="9" s="1"/>
  <c r="BQ381" i="1"/>
  <c r="BQ382" i="1" s="1"/>
  <c r="BQ383" i="1" s="1"/>
  <c r="BQ384" i="1" s="1"/>
  <c r="BQ367" i="1"/>
  <c r="BQ366" i="1"/>
  <c r="BQ131" i="9"/>
  <c r="BQ132" i="9" s="1"/>
  <c r="BQ650" i="1"/>
  <c r="BQ564" i="1"/>
  <c r="BQ133" i="9" l="1"/>
  <c r="BQ385" i="1"/>
  <c r="BQ386" i="1" s="1"/>
  <c r="BQ387" i="1" s="1"/>
  <c r="BQ388" i="1" s="1"/>
  <c r="BQ368" i="1"/>
  <c r="BQ604" i="1"/>
  <c r="BQ567" i="1"/>
  <c r="BQ126" i="9"/>
  <c r="BQ115" i="9"/>
  <c r="BQ105" i="9"/>
  <c r="BQ154" i="9"/>
  <c r="BQ610" i="1" l="1"/>
  <c r="BQ621" i="1" s="1"/>
  <c r="BQ391" i="1"/>
  <c r="BR566" i="1"/>
  <c r="BQ571" i="1"/>
  <c r="BQ116" i="9"/>
  <c r="BQ118" i="9" s="1"/>
  <c r="BQ107" i="9"/>
  <c r="BQ113" i="9" s="1"/>
  <c r="BQ170" i="9" s="1"/>
  <c r="BQ155" i="9"/>
  <c r="BQ7" i="9" l="1"/>
  <c r="BQ11" i="9" s="1"/>
  <c r="BQ657" i="1"/>
  <c r="BR400" i="1"/>
  <c r="BQ396" i="1"/>
  <c r="BQ136" i="9"/>
  <c r="BQ137" i="9" s="1"/>
  <c r="BQ652" i="1"/>
  <c r="BQ139" i="9" l="1"/>
  <c r="BQ140" i="9" s="1"/>
  <c r="BQ141" i="9" s="1"/>
  <c r="BQ142" i="9" s="1"/>
  <c r="BQ122" i="9"/>
  <c r="BQ124" i="9"/>
  <c r="BQ123" i="9"/>
  <c r="BQ412" i="1"/>
  <c r="BQ147" i="9"/>
  <c r="BQ148" i="9" s="1"/>
  <c r="BQ138" i="9"/>
  <c r="BR402" i="1"/>
  <c r="BS400" i="1"/>
  <c r="BR403" i="1" l="1"/>
  <c r="BR235" i="1"/>
  <c r="BS402" i="1"/>
  <c r="BS403" i="1" s="1"/>
  <c r="BR69" i="9" l="1"/>
  <c r="BR71" i="9" s="1"/>
  <c r="BR182" i="1"/>
  <c r="BR238" i="1"/>
  <c r="BS235" i="1"/>
  <c r="BS69" i="9" l="1"/>
  <c r="BS71" i="9" s="1"/>
  <c r="BS238" i="1"/>
  <c r="BR241" i="1"/>
  <c r="BR240" i="1"/>
  <c r="BS182" i="1"/>
  <c r="BR242" i="1" l="1"/>
  <c r="BR504" i="1" s="1"/>
  <c r="BR72" i="9"/>
  <c r="BR181" i="1"/>
  <c r="BS240" i="1"/>
  <c r="BR514" i="1"/>
  <c r="BS241" i="1"/>
  <c r="BS254" i="1" s="1"/>
  <c r="BR180" i="1" l="1"/>
  <c r="BR184" i="1" s="1"/>
  <c r="BR191" i="1" s="1"/>
  <c r="BR232" i="1" s="1"/>
  <c r="BR246" i="1"/>
  <c r="BR248" i="1" s="1"/>
  <c r="BS72" i="9"/>
  <c r="BS253" i="1"/>
  <c r="BS181" i="1"/>
  <c r="BR230" i="1"/>
  <c r="BS242" i="1"/>
  <c r="BS514" i="1"/>
  <c r="BR629" i="1"/>
  <c r="BR521" i="1"/>
  <c r="BS504" i="1"/>
  <c r="BR647" i="1"/>
  <c r="BS180" i="1" l="1"/>
  <c r="BS184" i="1" s="1"/>
  <c r="BS191" i="1" s="1"/>
  <c r="BR256" i="1"/>
  <c r="BR251" i="1"/>
  <c r="BR85" i="9" s="1"/>
  <c r="BR76" i="9"/>
  <c r="BR169" i="9" s="1"/>
  <c r="BR148" i="1"/>
  <c r="BR231" i="1"/>
  <c r="BR149" i="1" s="1"/>
  <c r="BR97" i="9" s="1"/>
  <c r="BS230" i="1"/>
  <c r="BS521" i="1"/>
  <c r="BR83" i="9"/>
  <c r="BR405" i="1"/>
  <c r="BR150" i="1"/>
  <c r="BS232" i="1"/>
  <c r="BS647" i="1"/>
  <c r="BR648" i="1"/>
  <c r="BR78" i="9"/>
  <c r="BR262" i="1"/>
  <c r="BR257" i="1" s="1"/>
  <c r="BR79" i="9" s="1"/>
  <c r="BR527" i="1"/>
  <c r="BR364" i="1"/>
  <c r="BS671" i="1"/>
  <c r="BS629" i="1"/>
  <c r="BR632" i="1"/>
  <c r="BS669" i="1"/>
  <c r="BS246" i="1"/>
  <c r="BR263" i="1" l="1"/>
  <c r="BR80" i="9" s="1"/>
  <c r="BR151" i="9" s="1"/>
  <c r="BR134" i="9"/>
  <c r="BR135" i="9" s="1"/>
  <c r="BR168" i="9"/>
  <c r="BR129" i="9"/>
  <c r="BR130" i="9" s="1"/>
  <c r="BR131" i="9"/>
  <c r="BR132" i="9" s="1"/>
  <c r="BS527" i="1"/>
  <c r="BS564" i="1" s="1"/>
  <c r="BS567" i="1" s="1"/>
  <c r="BS364" i="1"/>
  <c r="BR101" i="9"/>
  <c r="BR103" i="9" s="1"/>
  <c r="BR381" i="1"/>
  <c r="BR382" i="1" s="1"/>
  <c r="BR383" i="1" s="1"/>
  <c r="BR384" i="1" s="1"/>
  <c r="BR366" i="1"/>
  <c r="BS648" i="1"/>
  <c r="BS148" i="1"/>
  <c r="BS231" i="1"/>
  <c r="BS149" i="1" s="1"/>
  <c r="BS97" i="9" s="1"/>
  <c r="BS632" i="1"/>
  <c r="BR167" i="9"/>
  <c r="BR125" i="9"/>
  <c r="BR98" i="9"/>
  <c r="BS76" i="9"/>
  <c r="BS256" i="1"/>
  <c r="BS248" i="1"/>
  <c r="BS251" i="1"/>
  <c r="BR564" i="1"/>
  <c r="BS672" i="1"/>
  <c r="BS83" i="9"/>
  <c r="BS405" i="1"/>
  <c r="BS150" i="1"/>
  <c r="BR145" i="9"/>
  <c r="BR146" i="9" s="1"/>
  <c r="BR639" i="1"/>
  <c r="BR650" i="1" s="1"/>
  <c r="BR152" i="9" l="1"/>
  <c r="BR258" i="1"/>
  <c r="BR86" i="9" s="1"/>
  <c r="BR119" i="9" s="1"/>
  <c r="BR367" i="1"/>
  <c r="BR153" i="9"/>
  <c r="BR133" i="9"/>
  <c r="BS78" i="9"/>
  <c r="BS262" i="1"/>
  <c r="BS257" i="1" s="1"/>
  <c r="BS79" i="9" s="1"/>
  <c r="BT566" i="1"/>
  <c r="BS145" i="9"/>
  <c r="BS146" i="9" s="1"/>
  <c r="BS639" i="1"/>
  <c r="BS650" i="1" s="1"/>
  <c r="BR385" i="1"/>
  <c r="BR386" i="1" s="1"/>
  <c r="BR387" i="1" s="1"/>
  <c r="BR388" i="1" s="1"/>
  <c r="BR368" i="1"/>
  <c r="BS167" i="9"/>
  <c r="BS125" i="9"/>
  <c r="BS98" i="9"/>
  <c r="BS169" i="9"/>
  <c r="BS134" i="9"/>
  <c r="BS135" i="9" s="1"/>
  <c r="BR126" i="9"/>
  <c r="BR115" i="9"/>
  <c r="BR105" i="9"/>
  <c r="BR154" i="9"/>
  <c r="BR604" i="1"/>
  <c r="BR567" i="1"/>
  <c r="BS85" i="9"/>
  <c r="BS263" i="1"/>
  <c r="BS80" i="9" s="1"/>
  <c r="BS151" i="9" s="1"/>
  <c r="BS670" i="1"/>
  <c r="BS131" i="9"/>
  <c r="BS132" i="9" s="1"/>
  <c r="BS101" i="9"/>
  <c r="BS103" i="9" s="1"/>
  <c r="BS381" i="1"/>
  <c r="BS382" i="1" s="1"/>
  <c r="BS383" i="1" s="1"/>
  <c r="BS384" i="1" s="1"/>
  <c r="BS366" i="1"/>
  <c r="BS367" i="1" l="1"/>
  <c r="BS258" i="1"/>
  <c r="BS86" i="9" s="1"/>
  <c r="BS152" i="9"/>
  <c r="BR571" i="1"/>
  <c r="BS168" i="9"/>
  <c r="BS129" i="9"/>
  <c r="BS130" i="9" s="1"/>
  <c r="BS133" i="9" s="1"/>
  <c r="BS153" i="9"/>
  <c r="BS604" i="1"/>
  <c r="BR610" i="1"/>
  <c r="BR621" i="1" s="1"/>
  <c r="BR391" i="1"/>
  <c r="BS385" i="1"/>
  <c r="BS368" i="1"/>
  <c r="BS416" i="1" s="1"/>
  <c r="BR116" i="9"/>
  <c r="BR118" i="9" s="1"/>
  <c r="BR107" i="9"/>
  <c r="BR113" i="9" s="1"/>
  <c r="BR170" i="9" s="1"/>
  <c r="BR155" i="9"/>
  <c r="BS126" i="9"/>
  <c r="BS105" i="9"/>
  <c r="BS115" i="9"/>
  <c r="BS161" i="9" s="1"/>
  <c r="BS154" i="9"/>
  <c r="BS414" i="1" l="1"/>
  <c r="BS119" i="9"/>
  <c r="BS158" i="9"/>
  <c r="BR7" i="9"/>
  <c r="BR11" i="9" s="1"/>
  <c r="BR657" i="1"/>
  <c r="BR396" i="1"/>
  <c r="BS401" i="1"/>
  <c r="BS386" i="1"/>
  <c r="BS387" i="1" s="1"/>
  <c r="BS388" i="1" s="1"/>
  <c r="BS417" i="1"/>
  <c r="BR136" i="9"/>
  <c r="BR137" i="9" s="1"/>
  <c r="BR652" i="1"/>
  <c r="BS162" i="9"/>
  <c r="BS116" i="9"/>
  <c r="BS118" i="9" s="1"/>
  <c r="BS107" i="9"/>
  <c r="BS113" i="9" s="1"/>
  <c r="BS170" i="9" s="1"/>
  <c r="BS155" i="9"/>
  <c r="BS610" i="1"/>
  <c r="BS621" i="1" s="1"/>
  <c r="BS391" i="1"/>
  <c r="BS571" i="1"/>
  <c r="BR139" i="9" l="1"/>
  <c r="BR140" i="9" s="1"/>
  <c r="BR141" i="9" s="1"/>
  <c r="BR142" i="9" s="1"/>
  <c r="BR122" i="9"/>
  <c r="BR124" i="9"/>
  <c r="BR123" i="9"/>
  <c r="BR412" i="1"/>
  <c r="BR147" i="9"/>
  <c r="BR148" i="9" s="1"/>
  <c r="BR138" i="9"/>
  <c r="BS7" i="9"/>
  <c r="BS11" i="9" s="1"/>
  <c r="BS657" i="1"/>
  <c r="BT400" i="1"/>
  <c r="BT402" i="1" s="1"/>
  <c r="BS396" i="1"/>
  <c r="BS136" i="9"/>
  <c r="BS137" i="9" s="1"/>
  <c r="BS652" i="1"/>
  <c r="BS139" i="9" l="1"/>
  <c r="BS140" i="9" s="1"/>
  <c r="BS141" i="9" s="1"/>
  <c r="BS142" i="9" s="1"/>
  <c r="BS124" i="9"/>
  <c r="BS123" i="9"/>
  <c r="BS122" i="9"/>
  <c r="BS412" i="1"/>
  <c r="BS407" i="1"/>
  <c r="BS406" i="1"/>
  <c r="BS147" i="9"/>
  <c r="BS148" i="9" s="1"/>
  <c r="BS138" i="9"/>
  <c r="BS160" i="9"/>
  <c r="BS159" i="9"/>
  <c r="BS163" i="9"/>
  <c r="BT403" i="1"/>
  <c r="BT235" i="1"/>
  <c r="BS415" i="1" l="1"/>
  <c r="BS418" i="1"/>
  <c r="BT69" i="9"/>
  <c r="BT71" i="9" s="1"/>
  <c r="BT182" i="1"/>
  <c r="BT238" i="1"/>
  <c r="BT241" i="1" l="1"/>
  <c r="BT514" i="1" s="1"/>
  <c r="BT629" i="1" s="1"/>
  <c r="BT240" i="1"/>
  <c r="BT632" i="1" l="1"/>
  <c r="BT72" i="9"/>
  <c r="BT181" i="1"/>
  <c r="BT230" i="1" s="1"/>
  <c r="BT242" i="1"/>
  <c r="BT504" i="1" l="1"/>
  <c r="BT180" i="1"/>
  <c r="BT184" i="1" s="1"/>
  <c r="BT191" i="1" s="1"/>
  <c r="BT232" i="1" s="1"/>
  <c r="BT246" i="1"/>
  <c r="BT148" i="1"/>
  <c r="BT231" i="1"/>
  <c r="BT149" i="1" s="1"/>
  <c r="BT97" i="9" s="1"/>
  <c r="BT145" i="9"/>
  <c r="BT146" i="9" s="1"/>
  <c r="BT639" i="1"/>
  <c r="BT76" i="9" l="1"/>
  <c r="BT256" i="1"/>
  <c r="BT248" i="1"/>
  <c r="BT251" i="1"/>
  <c r="BT83" i="9"/>
  <c r="BT405" i="1"/>
  <c r="BT150" i="1"/>
  <c r="BT521" i="1"/>
  <c r="BT647" i="1"/>
  <c r="BT648" i="1" l="1"/>
  <c r="BT78" i="9"/>
  <c r="BT262" i="1"/>
  <c r="BT257" i="1" s="1"/>
  <c r="BT79" i="9" s="1"/>
  <c r="BT167" i="9"/>
  <c r="BT125" i="9"/>
  <c r="BT98" i="9"/>
  <c r="BT85" i="9"/>
  <c r="BT263" i="1"/>
  <c r="BT80" i="9" s="1"/>
  <c r="BT151" i="9" s="1"/>
  <c r="BT527" i="1"/>
  <c r="BT564" i="1" s="1"/>
  <c r="BT364" i="1"/>
  <c r="BT169" i="9"/>
  <c r="BT134" i="9"/>
  <c r="BT135" i="9" s="1"/>
  <c r="BT168" i="9" l="1"/>
  <c r="BT129" i="9"/>
  <c r="BT130" i="9" s="1"/>
  <c r="BT153" i="9"/>
  <c r="BT101" i="9"/>
  <c r="BT103" i="9" s="1"/>
  <c r="BT367" i="1"/>
  <c r="BT366" i="1"/>
  <c r="BT381" i="1"/>
  <c r="BT382" i="1" s="1"/>
  <c r="BT383" i="1" s="1"/>
  <c r="BT384" i="1" s="1"/>
  <c r="BT567" i="1"/>
  <c r="BT604" i="1"/>
  <c r="BT131" i="9"/>
  <c r="BT132" i="9" s="1"/>
  <c r="BT650" i="1"/>
  <c r="BT152" i="9"/>
  <c r="BT258" i="1"/>
  <c r="BT133" i="9" l="1"/>
  <c r="BT126" i="9"/>
  <c r="BT115" i="9"/>
  <c r="BT161" i="9" s="1"/>
  <c r="BT105" i="9"/>
  <c r="BT154" i="9"/>
  <c r="BT610" i="1"/>
  <c r="BT621" i="1" s="1"/>
  <c r="BT391" i="1"/>
  <c r="BT571" i="1"/>
  <c r="BU566" i="1"/>
  <c r="BT86" i="9"/>
  <c r="BT414" i="1"/>
  <c r="BT368" i="1"/>
  <c r="BT416" i="1" s="1"/>
  <c r="BT385" i="1"/>
  <c r="BT119" i="9" l="1"/>
  <c r="BT158" i="9"/>
  <c r="BT162" i="9"/>
  <c r="BT116" i="9"/>
  <c r="BT118" i="9" s="1"/>
  <c r="BT107" i="9"/>
  <c r="BT113" i="9" s="1"/>
  <c r="BT170" i="9" s="1"/>
  <c r="BT155" i="9"/>
  <c r="BT7" i="9"/>
  <c r="BT11" i="9" s="1"/>
  <c r="BT163" i="9" s="1"/>
  <c r="BT657" i="1"/>
  <c r="BU400" i="1"/>
  <c r="BU402" i="1" s="1"/>
  <c r="BT396" i="1"/>
  <c r="BT417" i="1"/>
  <c r="BT386" i="1"/>
  <c r="BT387" i="1" s="1"/>
  <c r="BT388" i="1" s="1"/>
  <c r="BT136" i="9"/>
  <c r="BT137" i="9" s="1"/>
  <c r="BT652" i="1"/>
  <c r="BU403" i="1" l="1"/>
  <c r="BU235" i="1"/>
  <c r="BT147" i="9"/>
  <c r="BT148" i="9" s="1"/>
  <c r="BT138" i="9"/>
  <c r="BT160" i="9"/>
  <c r="BT159" i="9"/>
  <c r="BT124" i="9"/>
  <c r="BT139" i="9"/>
  <c r="BT140" i="9" s="1"/>
  <c r="BT141" i="9" s="1"/>
  <c r="BT142" i="9" s="1"/>
  <c r="BT123" i="9"/>
  <c r="BT122" i="9"/>
  <c r="BT412" i="1"/>
  <c r="BT407" i="1"/>
  <c r="BT406" i="1"/>
  <c r="BT415" i="1" l="1"/>
  <c r="BT418" i="1"/>
  <c r="BU69" i="9"/>
  <c r="BU71" i="9" s="1"/>
  <c r="BU182" i="1"/>
  <c r="BU238" i="1"/>
  <c r="BU241" i="1" l="1"/>
  <c r="BU514" i="1" s="1"/>
  <c r="BU629" i="1" s="1"/>
  <c r="BU240" i="1"/>
  <c r="BU632" i="1" l="1"/>
  <c r="BU72" i="9"/>
  <c r="BU181" i="1"/>
  <c r="BU230" i="1" s="1"/>
  <c r="BU242" i="1"/>
  <c r="BU504" i="1" l="1"/>
  <c r="BU180" i="1"/>
  <c r="BU184" i="1" s="1"/>
  <c r="BU191" i="1" s="1"/>
  <c r="BU232" i="1" s="1"/>
  <c r="BU246" i="1"/>
  <c r="BU148" i="1"/>
  <c r="BU231" i="1"/>
  <c r="BU149" i="1" s="1"/>
  <c r="BU97" i="9" s="1"/>
  <c r="BU145" i="9"/>
  <c r="BU146" i="9" s="1"/>
  <c r="BU639" i="1"/>
  <c r="BU83" i="9" l="1"/>
  <c r="BU405" i="1"/>
  <c r="BU150" i="1"/>
  <c r="BU76" i="9"/>
  <c r="BU256" i="1"/>
  <c r="BU248" i="1"/>
  <c r="BU251" i="1"/>
  <c r="BU521" i="1"/>
  <c r="BU647" i="1"/>
  <c r="BU648" i="1" l="1"/>
  <c r="BU527" i="1"/>
  <c r="BU564" i="1" s="1"/>
  <c r="BU364" i="1"/>
  <c r="BU169" i="9"/>
  <c r="BU134" i="9"/>
  <c r="BU135" i="9" s="1"/>
  <c r="BU85" i="9"/>
  <c r="BU263" i="1"/>
  <c r="BU80" i="9" s="1"/>
  <c r="BU151" i="9" s="1"/>
  <c r="BU78" i="9"/>
  <c r="BU262" i="1"/>
  <c r="BU257" i="1" s="1"/>
  <c r="BU79" i="9" s="1"/>
  <c r="BU167" i="9"/>
  <c r="BU125" i="9"/>
  <c r="BU98" i="9"/>
  <c r="BU152" i="9" l="1"/>
  <c r="BU258" i="1"/>
  <c r="BU86" i="9" s="1"/>
  <c r="BU101" i="9"/>
  <c r="BU103" i="9" s="1"/>
  <c r="BU381" i="1"/>
  <c r="BU382" i="1" s="1"/>
  <c r="BU383" i="1" s="1"/>
  <c r="BU384" i="1" s="1"/>
  <c r="BU367" i="1"/>
  <c r="BU366" i="1"/>
  <c r="BU604" i="1"/>
  <c r="BU567" i="1"/>
  <c r="BU131" i="9"/>
  <c r="BU132" i="9" s="1"/>
  <c r="BU650" i="1"/>
  <c r="BU168" i="9"/>
  <c r="BU129" i="9"/>
  <c r="BU130" i="9" s="1"/>
  <c r="BU153" i="9"/>
  <c r="BU414" i="1" l="1"/>
  <c r="BU133" i="9"/>
  <c r="BU119" i="9"/>
  <c r="BU158" i="9"/>
  <c r="BU571" i="1"/>
  <c r="BV566" i="1"/>
  <c r="BU385" i="1"/>
  <c r="BU368" i="1"/>
  <c r="BU416" i="1" s="1"/>
  <c r="BU610" i="1"/>
  <c r="BU621" i="1" s="1"/>
  <c r="BU391" i="1"/>
  <c r="BU115" i="9"/>
  <c r="BU161" i="9" s="1"/>
  <c r="BU126" i="9"/>
  <c r="BU105" i="9"/>
  <c r="BU154" i="9"/>
  <c r="BU417" i="1" l="1"/>
  <c r="BU386" i="1"/>
  <c r="BU387" i="1" s="1"/>
  <c r="BU388" i="1" s="1"/>
  <c r="BU7" i="9"/>
  <c r="BU11" i="9" s="1"/>
  <c r="BU163" i="9" s="1"/>
  <c r="BU657" i="1"/>
  <c r="BV400" i="1"/>
  <c r="BV402" i="1" s="1"/>
  <c r="BU396" i="1"/>
  <c r="BU136" i="9"/>
  <c r="BU137" i="9" s="1"/>
  <c r="BU652" i="1"/>
  <c r="BU162" i="9"/>
  <c r="BU116" i="9"/>
  <c r="BU118" i="9" s="1"/>
  <c r="BU107" i="9"/>
  <c r="BU113" i="9" s="1"/>
  <c r="BU170" i="9" s="1"/>
  <c r="BU155" i="9"/>
  <c r="BU159" i="9" l="1"/>
  <c r="BU160" i="9"/>
  <c r="BU139" i="9"/>
  <c r="BU140" i="9" s="1"/>
  <c r="BU141" i="9" s="1"/>
  <c r="BU142" i="9" s="1"/>
  <c r="BU123" i="9"/>
  <c r="BU122" i="9"/>
  <c r="BU124" i="9"/>
  <c r="BU412" i="1"/>
  <c r="BU407" i="1"/>
  <c r="BU406" i="1"/>
  <c r="BU147" i="9"/>
  <c r="BU148" i="9" s="1"/>
  <c r="BU138" i="9"/>
  <c r="BV403" i="1"/>
  <c r="BV235" i="1"/>
  <c r="BV69" i="9" l="1"/>
  <c r="BV71" i="9" s="1"/>
  <c r="BV182" i="1"/>
  <c r="BV238" i="1"/>
  <c r="BU415" i="1"/>
  <c r="BU418" i="1"/>
  <c r="BV241" i="1" l="1"/>
  <c r="BV514" i="1" s="1"/>
  <c r="BV629" i="1" s="1"/>
  <c r="BV632" i="1" s="1"/>
  <c r="BV240" i="1"/>
  <c r="BV145" i="9" l="1"/>
  <c r="BV146" i="9" s="1"/>
  <c r="BV639" i="1"/>
  <c r="BV72" i="9"/>
  <c r="BV181" i="1"/>
  <c r="BV230" i="1" s="1"/>
  <c r="BV242" i="1"/>
  <c r="BV504" i="1" l="1"/>
  <c r="BV180" i="1"/>
  <c r="BV184" i="1" s="1"/>
  <c r="BV191" i="1" s="1"/>
  <c r="BV232" i="1" s="1"/>
  <c r="BV246" i="1"/>
  <c r="BV148" i="1"/>
  <c r="BV231" i="1"/>
  <c r="BV149" i="1" l="1"/>
  <c r="BV97" i="9" s="1"/>
  <c r="A232" i="1"/>
  <c r="BV76" i="9"/>
  <c r="BV256" i="1"/>
  <c r="BV248" i="1"/>
  <c r="BV251" i="1"/>
  <c r="BV83" i="9"/>
  <c r="BV405" i="1"/>
  <c r="BV150" i="1"/>
  <c r="BV521" i="1"/>
  <c r="BV647" i="1"/>
  <c r="BV648" i="1" s="1"/>
  <c r="BV85" i="9" l="1"/>
  <c r="BV263" i="1"/>
  <c r="BV80" i="9" s="1"/>
  <c r="BV151" i="9" s="1"/>
  <c r="BV78" i="9"/>
  <c r="BV262" i="1"/>
  <c r="BV257" i="1" s="1"/>
  <c r="BV79" i="9" s="1"/>
  <c r="BV527" i="1"/>
  <c r="BV564" i="1" s="1"/>
  <c r="BV364" i="1"/>
  <c r="BV169" i="9"/>
  <c r="BV134" i="9"/>
  <c r="BV135" i="9" s="1"/>
  <c r="A83" i="9"/>
  <c r="A694" i="1"/>
  <c r="A233" i="1"/>
  <c r="BV131" i="9"/>
  <c r="BV132" i="9" s="1"/>
  <c r="BV650" i="1"/>
  <c r="BV167" i="9"/>
  <c r="BV125" i="9"/>
  <c r="BV98" i="9"/>
  <c r="BV152" i="9" l="1"/>
  <c r="BV258" i="1"/>
  <c r="BV86" i="9" s="1"/>
  <c r="BV101" i="9"/>
  <c r="BV103" i="9" s="1"/>
  <c r="BV381" i="1"/>
  <c r="BV382" i="1" s="1"/>
  <c r="BV383" i="1" s="1"/>
  <c r="BV384" i="1" s="1"/>
  <c r="BV367" i="1"/>
  <c r="BV366" i="1"/>
  <c r="A728" i="1"/>
  <c r="BQ233" i="1" s="1"/>
  <c r="BQ151" i="1" s="1"/>
  <c r="BQ665" i="1" s="1"/>
  <c r="BV604" i="1"/>
  <c r="BV567" i="1"/>
  <c r="BV168" i="9"/>
  <c r="BV129" i="9"/>
  <c r="BV130" i="9" s="1"/>
  <c r="BV133" i="9" s="1"/>
  <c r="BV153" i="9"/>
  <c r="BR233" i="1" l="1"/>
  <c r="BR151" i="1" s="1"/>
  <c r="BR665" i="1" s="1"/>
  <c r="BO233" i="1"/>
  <c r="BO151" i="1" s="1"/>
  <c r="BO665" i="1" s="1"/>
  <c r="BM233" i="1"/>
  <c r="BM151" i="1" s="1"/>
  <c r="BM665" i="1" s="1"/>
  <c r="BS233" i="1"/>
  <c r="BS151" i="1" s="1"/>
  <c r="BS665" i="1" s="1"/>
  <c r="BT233" i="1"/>
  <c r="BT151" i="1" s="1"/>
  <c r="BT665" i="1" s="1"/>
  <c r="BP233" i="1"/>
  <c r="BP151" i="1" s="1"/>
  <c r="BP665" i="1" s="1"/>
  <c r="BV414" i="1"/>
  <c r="BU233" i="1"/>
  <c r="BU151" i="1" s="1"/>
  <c r="BU665" i="1" s="1"/>
  <c r="BV233" i="1"/>
  <c r="BV151" i="1" s="1"/>
  <c r="BV665" i="1" s="1"/>
  <c r="BN233" i="1"/>
  <c r="BN151" i="1" s="1"/>
  <c r="BN665" i="1" s="1"/>
  <c r="BV571" i="1"/>
  <c r="BV126" i="9"/>
  <c r="BV115" i="9"/>
  <c r="BV161" i="9" s="1"/>
  <c r="BV105" i="9"/>
  <c r="BV154" i="9"/>
  <c r="BQ369" i="1"/>
  <c r="BM371" i="1"/>
  <c r="BU259" i="1"/>
  <c r="BO259" i="1"/>
  <c r="BS259" i="1"/>
  <c r="BT259" i="1"/>
  <c r="BP371" i="1"/>
  <c r="BV259" i="1"/>
  <c r="BM259" i="1"/>
  <c r="BQ371" i="1"/>
  <c r="BR371" i="1"/>
  <c r="BN259" i="1"/>
  <c r="BO371" i="1"/>
  <c r="BM369" i="1"/>
  <c r="BN371" i="1"/>
  <c r="BS371" i="1"/>
  <c r="BP259" i="1"/>
  <c r="BQ259" i="1"/>
  <c r="BT369" i="1"/>
  <c r="BN369" i="1"/>
  <c r="BP369" i="1"/>
  <c r="BO369" i="1"/>
  <c r="BV371" i="1"/>
  <c r="BV369" i="1"/>
  <c r="BR369" i="1"/>
  <c r="BR259" i="1"/>
  <c r="BS369" i="1"/>
  <c r="BT371" i="1"/>
  <c r="BU369" i="1"/>
  <c r="BU371" i="1"/>
  <c r="BT227" i="1"/>
  <c r="BT145" i="1" s="1"/>
  <c r="BQ227" i="1"/>
  <c r="BQ145" i="1" s="1"/>
  <c r="BN227" i="1"/>
  <c r="BN145" i="1" s="1"/>
  <c r="BV227" i="1"/>
  <c r="BV145" i="1" s="1"/>
  <c r="BS227" i="1"/>
  <c r="BS145" i="1" s="1"/>
  <c r="BR227" i="1"/>
  <c r="BR145" i="1" s="1"/>
  <c r="BP227" i="1"/>
  <c r="BP145" i="1" s="1"/>
  <c r="BM227" i="1"/>
  <c r="BM145" i="1" s="1"/>
  <c r="BO227" i="1"/>
  <c r="BO145" i="1" s="1"/>
  <c r="BU227" i="1"/>
  <c r="BU145" i="1" s="1"/>
  <c r="BV610" i="1"/>
  <c r="BV621" i="1" s="1"/>
  <c r="BV391" i="1"/>
  <c r="BV385" i="1"/>
  <c r="BV368" i="1"/>
  <c r="BV416" i="1" s="1"/>
  <c r="BV119" i="9"/>
  <c r="BV158" i="9"/>
  <c r="BV417" i="1" l="1"/>
  <c r="BV386" i="1"/>
  <c r="BV387" i="1" s="1"/>
  <c r="BV388" i="1" s="1"/>
  <c r="BV7" i="9"/>
  <c r="BV11" i="9" s="1"/>
  <c r="BV657" i="1"/>
  <c r="BV396" i="1"/>
  <c r="BV136" i="9"/>
  <c r="BV137" i="9" s="1"/>
  <c r="BV652" i="1"/>
  <c r="BV162" i="9"/>
  <c r="BV107" i="9"/>
  <c r="BV113" i="9" s="1"/>
  <c r="BV170" i="9" s="1"/>
  <c r="BV116" i="9"/>
  <c r="BV118" i="9" s="1"/>
  <c r="BV155" i="9"/>
  <c r="BV139" i="9" l="1"/>
  <c r="BV140" i="9" s="1"/>
  <c r="BV141" i="9" s="1"/>
  <c r="BV142" i="9" s="1"/>
  <c r="BV122" i="9"/>
  <c r="BV124" i="9"/>
  <c r="BV123" i="9"/>
  <c r="BV412" i="1"/>
  <c r="BV407" i="1"/>
  <c r="BV406" i="1"/>
  <c r="BV159" i="9"/>
  <c r="BV160" i="9"/>
  <c r="BV163" i="9"/>
  <c r="BV147" i="9"/>
  <c r="BV148" i="9" s="1"/>
  <c r="BV138" i="9"/>
  <c r="BV415" i="1" l="1"/>
  <c r="BV418" i="1"/>
  <c r="I27" i="14"/>
  <c r="H45" i="11" s="1"/>
  <c r="J27" i="14"/>
  <c r="I45" i="11" s="1"/>
  <c r="K27" i="14"/>
  <c r="J45" i="11" s="1"/>
  <c r="L27" i="14"/>
  <c r="K45" i="11" s="1"/>
  <c r="M27" i="14"/>
  <c r="L45" i="11" s="1"/>
  <c r="L47" i="11" l="1"/>
  <c r="K47" i="11"/>
  <c r="H47" i="11"/>
  <c r="J47" i="11"/>
  <c r="I47" i="11"/>
  <c r="J48" i="11" l="1"/>
  <c r="H48" i="11"/>
  <c r="I48" i="11"/>
  <c r="K48" i="11"/>
  <c r="L48" i="11"/>
  <c r="L52" i="11" l="1"/>
  <c r="K52" i="11"/>
  <c r="I52" i="11"/>
  <c r="J52" i="11"/>
  <c r="J57" i="11" s="1"/>
  <c r="J60" i="11" s="1"/>
  <c r="H52" i="11"/>
  <c r="H57" i="11" s="1"/>
  <c r="I57" i="11" l="1"/>
  <c r="I60" i="11" s="1"/>
  <c r="K57" i="11"/>
  <c r="K60" i="11" s="1"/>
  <c r="L57" i="11"/>
  <c r="L60" i="11" s="1"/>
  <c r="H60" i="11"/>
  <c r="H61" i="11" l="1"/>
  <c r="Q17" i="11" s="1"/>
  <c r="Q21" i="11" l="1"/>
  <c r="Q25" i="11" s="1"/>
  <c r="Q28" i="11" s="1"/>
  <c r="Q29" i="11" s="1"/>
  <c r="L17" i="11"/>
  <c r="L21" i="11" s="1"/>
  <c r="L25" i="11" s="1"/>
  <c r="L28" i="11" s="1"/>
  <c r="L29" i="11" s="1"/>
  <c r="D68" i="11" s="1"/>
  <c r="Q11" i="11" l="1"/>
  <c r="Q10" i="11"/>
  <c r="Q12" i="11"/>
  <c r="L68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8" authorId="0" shapeId="0" xr:uid="{F30A6D7F-BCB9-4D5E-BCCD-940646A48266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https://filecache.investorroom.com/mr5ir_veralto/196/Veralto%20Analyst%20%26%20Investor%20Day.pdf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Canalyst (HS)</author>
    <author>Tegus (KS)</author>
    <author>Tegus (WW)</author>
    <author>Tegus (BL)</author>
  </authors>
  <commentList>
    <comment ref="AF10" authorId="0" shapeId="0" xr:uid="{00000000-0006-0000-0100-000002000000}">
      <text>
        <r>
          <rPr>
            <b/>
            <sz val="9"/>
            <rFont val="Tahoma"/>
            <family val="2"/>
          </rPr>
          <t>Tegus (VT):</t>
        </r>
        <r>
          <rPr>
            <sz val="9"/>
            <rFont val="Tahoma"/>
            <family val="2"/>
          </rPr>
          <t xml:space="preserve">
Due to sale of Eat24</t>
        </r>
      </text>
    </comment>
    <comment ref="AG10" authorId="0" shapeId="0" xr:uid="{00000000-0006-0000-0100-000003000000}">
      <text>
        <r>
          <rPr>
            <b/>
            <sz val="9"/>
            <rFont val="Tahoma"/>
            <family val="2"/>
          </rPr>
          <t>Tegus (VT):</t>
        </r>
        <r>
          <rPr>
            <sz val="9"/>
            <rFont val="Tahoma"/>
            <family val="2"/>
          </rPr>
          <t xml:space="preserve">
Due to sale of Eat24</t>
        </r>
      </text>
    </comment>
    <comment ref="AH10" authorId="0" shapeId="0" xr:uid="{00000000-0006-0000-0100-000004000000}">
      <text>
        <r>
          <rPr>
            <b/>
            <sz val="9"/>
            <rFont val="Tahoma"/>
            <family val="2"/>
          </rPr>
          <t>Tegus (VT):</t>
        </r>
        <r>
          <rPr>
            <sz val="9"/>
            <rFont val="Tahoma"/>
            <family val="2"/>
          </rPr>
          <t xml:space="preserve">
Due to sale of Eat24</t>
        </r>
      </text>
    </comment>
    <comment ref="AI10" authorId="0" shapeId="0" xr:uid="{00000000-0006-0000-0100-000005000000}">
      <text>
        <r>
          <rPr>
            <b/>
            <sz val="9"/>
            <rFont val="Tahoma"/>
            <family val="2"/>
          </rPr>
          <t>Tegus (VT):</t>
        </r>
        <r>
          <rPr>
            <sz val="9"/>
            <rFont val="Tahoma"/>
            <family val="2"/>
          </rPr>
          <t xml:space="preserve">
Due to sale of Eat24</t>
        </r>
      </text>
    </comment>
    <comment ref="AJ10" authorId="0" shapeId="0" xr:uid="{00000000-0006-0000-0100-000006000000}">
      <text>
        <r>
          <rPr>
            <b/>
            <sz val="9"/>
            <rFont val="Tahoma"/>
            <family val="2"/>
          </rPr>
          <t>Tegus (VT):</t>
        </r>
        <r>
          <rPr>
            <sz val="9"/>
            <rFont val="Tahoma"/>
            <family val="2"/>
          </rPr>
          <t xml:space="preserve">
Due to sale of Eat24</t>
        </r>
      </text>
    </comment>
    <comment ref="BE15" authorId="0" shapeId="0" xr:uid="{00000000-0006-0000-0100-000007000000}">
      <text>
        <r>
          <rPr>
            <b/>
            <sz val="9"/>
            <rFont val="Tahoma"/>
            <family val="2"/>
          </rPr>
          <t>Tegus (DHJ):</t>
        </r>
        <r>
          <rPr>
            <sz val="9"/>
            <rFont val="Tahoma"/>
            <family val="2"/>
          </rPr>
          <t xml:space="preserve">
To be restated upon release of FY2024 report Beginning in the three months ended March 31, 2024, other revenue includes transactions revenue which was separately presented in prior periods.</t>
        </r>
      </text>
    </comment>
    <comment ref="BF15" authorId="0" shapeId="0" xr:uid="{00000000-0006-0000-0100-000008000000}">
      <text>
        <r>
          <rPr>
            <b/>
            <sz val="9"/>
            <rFont val="Tahoma"/>
            <family val="2"/>
          </rPr>
          <t>Tegus (DHJ):</t>
        </r>
        <r>
          <rPr>
            <sz val="9"/>
            <rFont val="Tahoma"/>
            <family val="2"/>
          </rPr>
          <t xml:space="preserve">
To be restated upon release of FY2024 report Beginning in the three months ended March 31, 2024, other revenue includes transactions revenue which was separately presented in prior periods.</t>
        </r>
      </text>
    </comment>
    <comment ref="BG15" authorId="0" shapeId="0" xr:uid="{00000000-0006-0000-0100-000009000000}">
      <text>
        <r>
          <rPr>
            <b/>
            <sz val="9"/>
            <rFont val="Tahoma"/>
            <family val="2"/>
          </rPr>
          <t>Tegus (DHJ):</t>
        </r>
        <r>
          <rPr>
            <sz val="9"/>
            <rFont val="Tahoma"/>
            <family val="2"/>
          </rPr>
          <t xml:space="preserve">
To be restated upon release of FY2024 report Beginning in the three months ended March 31, 2024, other revenue includes transactions revenue which was separately presented in prior periods.</t>
        </r>
      </text>
    </comment>
    <comment ref="BH15" authorId="0" shapeId="0" xr:uid="{00000000-0006-0000-0100-00000A000000}">
      <text>
        <r>
          <rPr>
            <b/>
            <sz val="9"/>
            <rFont val="Tahoma"/>
            <family val="2"/>
          </rPr>
          <t>Tegus (DHJ):</t>
        </r>
        <r>
          <rPr>
            <sz val="9"/>
            <rFont val="Tahoma"/>
            <family val="2"/>
          </rPr>
          <t xml:space="preserve">
To be restated upon release of FY2024 report Beginning in the three months ended March 31, 2024, other revenue includes transactions revenue which was separately presented in prior periods.</t>
        </r>
      </text>
    </comment>
    <comment ref="BI15" authorId="0" shapeId="0" xr:uid="{00000000-0006-0000-0100-00000B000000}">
      <text>
        <r>
          <rPr>
            <b/>
            <sz val="9"/>
            <rFont val="Tahoma"/>
            <family val="2"/>
          </rPr>
          <t>Tegus (DHJ):</t>
        </r>
        <r>
          <rPr>
            <sz val="9"/>
            <rFont val="Tahoma"/>
            <family val="2"/>
          </rPr>
          <t xml:space="preserve">
To be restated upon release of FY2024 report Beginning in the three months ended March 31, 2024, other revenue includes transactions revenue which was separately presented in prior periods.</t>
        </r>
      </text>
    </comment>
    <comment ref="AA18" authorId="0" shapeId="0" xr:uid="{00000000-0006-0000-0100-00000C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backfilled by reports in FY2018 due to adoption of new accounting rules </t>
        </r>
      </text>
    </comment>
    <comment ref="AB18" authorId="0" shapeId="0" xr:uid="{00000000-0006-0000-0100-00000D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backfilled by reports in FY2018 due to adoption of new accounting rules </t>
        </r>
      </text>
    </comment>
    <comment ref="AC18" authorId="0" shapeId="0" xr:uid="{00000000-0006-0000-0100-00000E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backfilled by reports in FY2018 due to adoption of new accounting rules </t>
        </r>
      </text>
    </comment>
    <comment ref="AD18" authorId="0" shapeId="0" xr:uid="{00000000-0006-0000-0100-00000F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backfilled by reports in FY2018 due to adoption of new accounting rules </t>
        </r>
      </text>
    </comment>
    <comment ref="A19" authorId="0" shapeId="0" xr:uid="{00000000-0006-0000-0100-000010000000}">
      <text>
        <r>
          <rPr>
            <b/>
            <sz val="9"/>
            <rFont val="Tahoma"/>
            <family val="2"/>
          </rPr>
          <t>Tegus (TK):</t>
        </r>
        <r>
          <rPr>
            <sz val="9"/>
            <rFont val="Tahoma"/>
            <family val="2"/>
          </rPr>
          <t xml:space="preserve">
Previously classified as "Other services"</t>
        </r>
      </text>
    </comment>
    <comment ref="AA19" authorId="0" shapeId="0" xr:uid="{00000000-0006-0000-0100-000011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backfilled by reports in FY2018 due to adoption of new accounting rules </t>
        </r>
      </text>
    </comment>
    <comment ref="AB19" authorId="0" shapeId="0" xr:uid="{00000000-0006-0000-0100-000012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backfilled by reports in FY2018 due to adoption of new accounting rules </t>
        </r>
      </text>
    </comment>
    <comment ref="AC19" authorId="0" shapeId="0" xr:uid="{00000000-0006-0000-0100-000013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backfilled by reports in FY2018 due to adoption of new accounting rules </t>
        </r>
      </text>
    </comment>
    <comment ref="AD19" authorId="0" shapeId="0" xr:uid="{00000000-0006-0000-0100-000014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backfilled by reports in FY2018 due to adoption of new accounting rules </t>
        </r>
      </text>
    </comment>
    <comment ref="V20" authorId="0" shapeId="0" xr:uid="{00000000-0006-0000-0100-000015000000}">
      <text>
        <r>
          <rPr>
            <b/>
            <sz val="9"/>
            <rFont val="Tahoma"/>
            <family val="2"/>
          </rPr>
          <t>Tegus (TK):</t>
        </r>
        <r>
          <rPr>
            <sz val="9"/>
            <rFont val="Tahoma"/>
            <family val="2"/>
          </rPr>
          <t xml:space="preserve">
Phased out as of 2015</t>
        </r>
      </text>
    </comment>
    <comment ref="AA21" authorId="0" shapeId="0" xr:uid="{00000000-0006-0000-0100-000016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backfilled by reports in FY2018 due to adoption of new accounting rules </t>
        </r>
      </text>
    </comment>
    <comment ref="AB21" authorId="0" shapeId="0" xr:uid="{00000000-0006-0000-0100-000017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backfilled by reports in FY2018 due to adoption of new accounting rules </t>
        </r>
      </text>
    </comment>
    <comment ref="AC21" authorId="0" shapeId="0" xr:uid="{00000000-0006-0000-0100-000018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backfilled by reports in FY2018 due to adoption of new accounting rules </t>
        </r>
      </text>
    </comment>
    <comment ref="AD21" authorId="0" shapeId="0" xr:uid="{00000000-0006-0000-0100-000019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backfilled by reports in FY2018 due to adoption of new accounting rules </t>
        </r>
      </text>
    </comment>
    <comment ref="AF25" authorId="0" shapeId="0" xr:uid="{00000000-0006-0000-0100-00001A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Back filled from Q4 2020 SI</t>
        </r>
      </text>
    </comment>
    <comment ref="AG25" authorId="0" shapeId="0" xr:uid="{00000000-0006-0000-0100-00001B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Back filled from Q4 2020 SI</t>
        </r>
      </text>
    </comment>
    <comment ref="AH25" authorId="0" shapeId="0" xr:uid="{00000000-0006-0000-0100-00001C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Back filled from Q4 2020 SI</t>
        </r>
      </text>
    </comment>
    <comment ref="AI25" authorId="0" shapeId="0" xr:uid="{00000000-0006-0000-0100-00001D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Back filled from Q4 2020 SI</t>
        </r>
      </text>
    </comment>
    <comment ref="AJ25" authorId="0" shapeId="0" xr:uid="{00000000-0006-0000-0100-00001E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Back filled from Q4 2020 SI</t>
        </r>
      </text>
    </comment>
    <comment ref="AK25" authorId="0" shapeId="0" xr:uid="{00000000-0006-0000-0100-00001F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Back filled from Q4 2020 SI</t>
        </r>
      </text>
    </comment>
    <comment ref="AL25" authorId="0" shapeId="0" xr:uid="{00000000-0006-0000-0100-000020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Back filled from Q4 2020 SI</t>
        </r>
      </text>
    </comment>
    <comment ref="AM25" authorId="0" shapeId="0" xr:uid="{00000000-0006-0000-0100-000021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Back filled from Q4 2020 SI</t>
        </r>
      </text>
    </comment>
    <comment ref="AN25" authorId="0" shapeId="0" xr:uid="{00000000-0006-0000-0100-000022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Back filled from Q4 2020 SI</t>
        </r>
      </text>
    </comment>
    <comment ref="AO25" authorId="0" shapeId="0" xr:uid="{00000000-0006-0000-0100-000023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Back filled from Q4 2020 SI</t>
        </r>
      </text>
    </comment>
    <comment ref="AP25" authorId="0" shapeId="0" xr:uid="{00000000-0006-0000-0100-000024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Back filled from Q4 2020 SI</t>
        </r>
      </text>
    </comment>
    <comment ref="AQ25" authorId="0" shapeId="0" xr:uid="{00000000-0006-0000-0100-000025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Back filled from Q4 2020 SI</t>
        </r>
      </text>
    </comment>
    <comment ref="AR25" authorId="0" shapeId="0" xr:uid="{00000000-0006-0000-0100-000026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Back filled from Q4 2020 SI</t>
        </r>
      </text>
    </comment>
    <comment ref="AF26" authorId="0" shapeId="0" xr:uid="{00000000-0006-0000-0100-000027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Back filled from Q4 2020 SI</t>
        </r>
      </text>
    </comment>
    <comment ref="AG26" authorId="0" shapeId="0" xr:uid="{00000000-0006-0000-0100-000028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Back filled from Q4 2020 SI</t>
        </r>
      </text>
    </comment>
    <comment ref="AH26" authorId="0" shapeId="0" xr:uid="{00000000-0006-0000-0100-000029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Back filled from Q4 2020 SI</t>
        </r>
      </text>
    </comment>
    <comment ref="AI26" authorId="0" shapeId="0" xr:uid="{00000000-0006-0000-0100-00002A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Back filled from Q4 2020 SI</t>
        </r>
      </text>
    </comment>
    <comment ref="AJ26" authorId="0" shapeId="0" xr:uid="{00000000-0006-0000-0100-00002B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Back filled from Q4 2020 SI</t>
        </r>
      </text>
    </comment>
    <comment ref="AK26" authorId="0" shapeId="0" xr:uid="{00000000-0006-0000-0100-00002C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Back filled from Q4 2020 SI</t>
        </r>
      </text>
    </comment>
    <comment ref="AL26" authorId="0" shapeId="0" xr:uid="{00000000-0006-0000-0100-00002D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Back filled from Q4 2020 SI</t>
        </r>
      </text>
    </comment>
    <comment ref="AM26" authorId="0" shapeId="0" xr:uid="{00000000-0006-0000-0100-00002E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Back filled from Q4 2020 SI</t>
        </r>
      </text>
    </comment>
    <comment ref="AN26" authorId="0" shapeId="0" xr:uid="{00000000-0006-0000-0100-00002F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Back filled from Q4 2020 SI</t>
        </r>
      </text>
    </comment>
    <comment ref="AO26" authorId="0" shapeId="0" xr:uid="{00000000-0006-0000-0100-000030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Back filled from Q4 2020 SI</t>
        </r>
      </text>
    </comment>
    <comment ref="AP26" authorId="0" shapeId="0" xr:uid="{00000000-0006-0000-0100-000031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Back filled from Q4 2020 SI</t>
        </r>
      </text>
    </comment>
    <comment ref="AQ26" authorId="0" shapeId="0" xr:uid="{00000000-0006-0000-0100-000032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Back filled from Q4 2020 SI</t>
        </r>
      </text>
    </comment>
    <comment ref="AR26" authorId="0" shapeId="0" xr:uid="{00000000-0006-0000-0100-000033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Back filled from Q4 2020 SI</t>
        </r>
      </text>
    </comment>
    <comment ref="AF37" authorId="0" shapeId="0" xr:uid="{00000000-0006-0000-0100-000034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Back filled from Q4 2020 SI</t>
        </r>
      </text>
    </comment>
    <comment ref="AG37" authorId="0" shapeId="0" xr:uid="{00000000-0006-0000-0100-000035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Back filled from Q4 2020 SI</t>
        </r>
      </text>
    </comment>
    <comment ref="AH37" authorId="0" shapeId="0" xr:uid="{00000000-0006-0000-0100-000036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Back filled from Q4 2020 SI</t>
        </r>
      </text>
    </comment>
    <comment ref="AI37" authorId="0" shapeId="0" xr:uid="{00000000-0006-0000-0100-000037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Back filled from Q4 2020 SI</t>
        </r>
      </text>
    </comment>
    <comment ref="AJ37" authorId="0" shapeId="0" xr:uid="{00000000-0006-0000-0100-000038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Back filled from Q4 2020 SI</t>
        </r>
      </text>
    </comment>
    <comment ref="AK37" authorId="0" shapeId="0" xr:uid="{00000000-0006-0000-0100-000039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Back filled from Q4 2020 SI</t>
        </r>
      </text>
    </comment>
    <comment ref="AL37" authorId="0" shapeId="0" xr:uid="{00000000-0006-0000-0100-00003A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Back filled from Q4 2020 SI</t>
        </r>
      </text>
    </comment>
    <comment ref="AM37" authorId="0" shapeId="0" xr:uid="{00000000-0006-0000-0100-00003B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Back filled from Q4 2020 SI</t>
        </r>
      </text>
    </comment>
    <comment ref="AN37" authorId="0" shapeId="0" xr:uid="{00000000-0006-0000-0100-00003C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Back filled from Q4 2020 SI</t>
        </r>
      </text>
    </comment>
    <comment ref="AO37" authorId="0" shapeId="0" xr:uid="{00000000-0006-0000-0100-00003D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Back filled from Q4 2020 SI</t>
        </r>
      </text>
    </comment>
    <comment ref="AP37" authorId="0" shapeId="0" xr:uid="{00000000-0006-0000-0100-00003E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Back filled from Q4 2020 SI</t>
        </r>
      </text>
    </comment>
    <comment ref="AQ37" authorId="0" shapeId="0" xr:uid="{00000000-0006-0000-0100-00003F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Back filled from Q4 2020 SI</t>
        </r>
      </text>
    </comment>
    <comment ref="AR37" authorId="0" shapeId="0" xr:uid="{00000000-0006-0000-0100-000040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Back filled from Q4 2020 SI</t>
        </r>
      </text>
    </comment>
    <comment ref="AF38" authorId="0" shapeId="0" xr:uid="{00000000-0006-0000-0100-000041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Back filled from Q4 2020 SI</t>
        </r>
      </text>
    </comment>
    <comment ref="AG38" authorId="0" shapeId="0" xr:uid="{00000000-0006-0000-0100-000042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Back filled from Q4 2020 SI</t>
        </r>
      </text>
    </comment>
    <comment ref="AH38" authorId="0" shapeId="0" xr:uid="{00000000-0006-0000-0100-000043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Back filled from Q4 2020 SI</t>
        </r>
      </text>
    </comment>
    <comment ref="AI38" authorId="0" shapeId="0" xr:uid="{00000000-0006-0000-0100-000044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Back filled from Q4 2020 SI</t>
        </r>
      </text>
    </comment>
    <comment ref="AJ38" authorId="0" shapeId="0" xr:uid="{00000000-0006-0000-0100-000045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Back filled from Q4 2020 SI</t>
        </r>
      </text>
    </comment>
    <comment ref="AK38" authorId="0" shapeId="0" xr:uid="{00000000-0006-0000-0100-000046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Back filled from Q4 2020 SI</t>
        </r>
      </text>
    </comment>
    <comment ref="AL38" authorId="0" shapeId="0" xr:uid="{00000000-0006-0000-0100-000047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Back filled from Q4 2020 SI</t>
        </r>
      </text>
    </comment>
    <comment ref="AM38" authorId="0" shapeId="0" xr:uid="{00000000-0006-0000-0100-000048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Back filled from Q4 2020 SI</t>
        </r>
      </text>
    </comment>
    <comment ref="AN38" authorId="0" shapeId="0" xr:uid="{00000000-0006-0000-0100-000049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Back filled from Q4 2020 SI</t>
        </r>
      </text>
    </comment>
    <comment ref="AO38" authorId="0" shapeId="0" xr:uid="{00000000-0006-0000-0100-00004A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Back filled from Q4 2020 SI</t>
        </r>
      </text>
    </comment>
    <comment ref="AP38" authorId="0" shapeId="0" xr:uid="{00000000-0006-0000-0100-00004B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Back filled from Q4 2020 SI</t>
        </r>
      </text>
    </comment>
    <comment ref="AQ38" authorId="0" shapeId="0" xr:uid="{00000000-0006-0000-0100-00004C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Back filled from Q4 2020 SI</t>
        </r>
      </text>
    </comment>
    <comment ref="AR38" authorId="0" shapeId="0" xr:uid="{00000000-0006-0000-0100-00004D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Back filled from Q4 2020 SI</t>
        </r>
      </text>
    </comment>
    <comment ref="AU46" authorId="0" shapeId="0" xr:uid="{00000000-0006-0000-0100-00004E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Not reported</t>
        </r>
      </text>
    </comment>
    <comment ref="AV46" authorId="0" shapeId="0" xr:uid="{00000000-0006-0000-0100-00004F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Not reported</t>
        </r>
      </text>
    </comment>
    <comment ref="AW46" authorId="0" shapeId="0" xr:uid="{00000000-0006-0000-0100-000050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Not reported</t>
        </r>
      </text>
    </comment>
    <comment ref="AK47" authorId="0" shapeId="0" xr:uid="{00000000-0006-0000-0100-000051000000}">
      <text>
        <r>
          <rPr>
            <b/>
            <sz val="9"/>
            <rFont val="Tahoma"/>
            <family val="2"/>
          </rPr>
          <t>Tegus (BW):</t>
        </r>
        <r>
          <rPr>
            <sz val="9"/>
            <rFont val="Tahoma"/>
            <family val="2"/>
          </rPr>
          <t xml:space="preserve">
not reported</t>
        </r>
      </text>
    </comment>
    <comment ref="A48" authorId="0" shapeId="0" xr:uid="{00000000-0006-0000-0100-000052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Active claimed local business locations represent the number of active business locations that are associated with an active business owner account as of a given date. </t>
        </r>
      </text>
    </comment>
    <comment ref="AF48" authorId="0" shapeId="0" xr:uid="{00000000-0006-0000-0100-000053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restated using Q4-2019 reports</t>
        </r>
      </text>
    </comment>
    <comment ref="AG48" authorId="0" shapeId="0" xr:uid="{00000000-0006-0000-0100-000054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restated using Q4-2019 reports</t>
        </r>
      </text>
    </comment>
    <comment ref="AH48" authorId="0" shapeId="0" xr:uid="{00000000-0006-0000-0100-000055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restated using Q4-2019 reports</t>
        </r>
      </text>
    </comment>
    <comment ref="AI48" authorId="0" shapeId="0" xr:uid="{00000000-0006-0000-0100-000056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restated using Q4-2019 reports</t>
        </r>
      </text>
    </comment>
    <comment ref="AJ48" authorId="0" shapeId="0" xr:uid="{00000000-0006-0000-0100-000057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restated using Q4-2019 reports</t>
        </r>
      </text>
    </comment>
    <comment ref="AK48" authorId="0" shapeId="0" xr:uid="{00000000-0006-0000-0100-000058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restated using Q4-2019 reports</t>
        </r>
      </text>
    </comment>
    <comment ref="AL48" authorId="0" shapeId="0" xr:uid="{00000000-0006-0000-0100-000059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restated using Q4-2019 reports</t>
        </r>
      </text>
    </comment>
    <comment ref="AM48" authorId="0" shapeId="0" xr:uid="{00000000-0006-0000-0100-00005A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restated using Q4-2019 reports</t>
        </r>
      </text>
    </comment>
    <comment ref="AP48" authorId="0" shapeId="0" xr:uid="{00000000-0006-0000-0100-00005B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Restated to reflect new methodology for calculting. Using data from Q3-2020</t>
        </r>
      </text>
    </comment>
    <comment ref="AQ48" authorId="0" shapeId="0" xr:uid="{00000000-0006-0000-0100-00005C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Restated to reflect new methodology for calculting. Using data from Q3-2020</t>
        </r>
      </text>
    </comment>
    <comment ref="AR48" authorId="0" shapeId="0" xr:uid="{00000000-0006-0000-0100-00005D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Restated to reflect new methodology for calculting. Using data from Q3-2020</t>
        </r>
      </text>
    </comment>
    <comment ref="AU48" authorId="0" shapeId="0" xr:uid="{00000000-0006-0000-0100-00005E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Not reported</t>
        </r>
      </text>
    </comment>
    <comment ref="AV48" authorId="0" shapeId="0" xr:uid="{00000000-0006-0000-0100-00005F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Not reported</t>
        </r>
      </text>
    </comment>
    <comment ref="AW48" authorId="0" shapeId="0" xr:uid="{00000000-0006-0000-0100-000060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Not reported</t>
        </r>
      </text>
    </comment>
    <comment ref="AN49" authorId="0" shapeId="0" xr:uid="{00000000-0006-0000-0100-000061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not reported</t>
        </r>
      </text>
    </comment>
    <comment ref="E51" authorId="0" shapeId="0" xr:uid="{00000000-0006-0000-0100-000062000000}">
      <text>
        <r>
          <rPr>
            <b/>
            <sz val="9"/>
            <rFont val="Tahoma"/>
            <family val="2"/>
          </rPr>
          <t>Tegus (AP):</t>
        </r>
        <r>
          <rPr>
            <sz val="9"/>
            <rFont val="Tahoma"/>
            <family val="2"/>
          </rPr>
          <t xml:space="preserve">
Backfilled from FY2015 10-K</t>
        </r>
      </text>
    </comment>
    <comment ref="F51" authorId="0" shapeId="0" xr:uid="{00000000-0006-0000-0100-000063000000}">
      <text>
        <r>
          <rPr>
            <b/>
            <sz val="9"/>
            <rFont val="Tahoma"/>
            <family val="2"/>
          </rPr>
          <t>Tegus (AP):</t>
        </r>
        <r>
          <rPr>
            <sz val="9"/>
            <rFont val="Tahoma"/>
            <family val="2"/>
          </rPr>
          <t xml:space="preserve">
Backfilled from FY2015 10-K</t>
        </r>
      </text>
    </comment>
    <comment ref="AU51" authorId="0" shapeId="0" xr:uid="{00000000-0006-0000-0100-000064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Only rounded number is provided in Q1 2021</t>
        </r>
      </text>
    </comment>
    <comment ref="AV51" authorId="0" shapeId="0" xr:uid="{00000000-0006-0000-0100-000065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Not reported</t>
        </r>
      </text>
    </comment>
    <comment ref="AW51" authorId="0" shapeId="0" xr:uid="{00000000-0006-0000-0100-000066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Not reported</t>
        </r>
      </text>
    </comment>
    <comment ref="AU52" authorId="0" shapeId="0" xr:uid="{00000000-0006-0000-0100-000067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Not reported</t>
        </r>
      </text>
    </comment>
    <comment ref="AV52" authorId="0" shapeId="0" xr:uid="{00000000-0006-0000-0100-000068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Not reported</t>
        </r>
      </text>
    </comment>
    <comment ref="AW52" authorId="0" shapeId="0" xr:uid="{00000000-0006-0000-0100-000069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Not reported</t>
        </r>
      </text>
    </comment>
    <comment ref="AU53" authorId="0" shapeId="0" xr:uid="{00000000-0006-0000-0100-00006A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Not reported</t>
        </r>
      </text>
    </comment>
    <comment ref="AV53" authorId="0" shapeId="0" xr:uid="{00000000-0006-0000-0100-00006B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Not reported</t>
        </r>
      </text>
    </comment>
    <comment ref="AW53" authorId="0" shapeId="0" xr:uid="{00000000-0006-0000-0100-00006C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Not reported</t>
        </r>
      </text>
    </comment>
    <comment ref="AU54" authorId="0" shapeId="0" xr:uid="{00000000-0006-0000-0100-00006D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Not reported</t>
        </r>
      </text>
    </comment>
    <comment ref="AV54" authorId="0" shapeId="0" xr:uid="{00000000-0006-0000-0100-00006E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Not reported</t>
        </r>
      </text>
    </comment>
    <comment ref="AW54" authorId="0" shapeId="0" xr:uid="{00000000-0006-0000-0100-00006F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Not reported</t>
        </r>
      </text>
    </comment>
    <comment ref="A56" authorId="0" shapeId="0" xr:uid="{00000000-0006-0000-0100-000070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Ad clicks represent user interactions with pay-for-performance advertising products, including clicks on advertisements on website and mobile app, clicks on syndicated advertisements on third-party plat forms, and Request-A-Quote submissions. Ad clicks do not include user interactions with ads sold through our advertising partnerships.</t>
        </r>
      </text>
    </comment>
    <comment ref="A57" authorId="0" shapeId="0" xr:uid="{00000000-0006-0000-0100-000071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define average CPC as revenue from our performance-based ad products, excluding revenue from advertising partnerships, divided by the total number of ad clicks for a given three-month period.</t>
        </r>
      </text>
    </comment>
    <comment ref="A59" authorId="0" shapeId="0" xr:uid="{00000000-0006-0000-0100-000072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Defined as the percentage of existing paying advertising accounts from which the firm recognized advertising revenue at some point in the immediately preceding 12-month period</t>
        </r>
      </text>
    </comment>
    <comment ref="AN59" authorId="0" shapeId="0" xr:uid="{00000000-0006-0000-0100-000073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Not reported</t>
        </r>
      </text>
    </comment>
    <comment ref="AU61" authorId="0" shapeId="0" xr:uid="{00000000-0006-0000-0100-000074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No longer reported</t>
        </r>
      </text>
    </comment>
    <comment ref="AV61" authorId="0" shapeId="0" xr:uid="{00000000-0006-0000-0100-000075000000}">
      <text>
        <r>
          <rPr>
            <b/>
            <sz val="9"/>
            <rFont val="Tahoma"/>
            <family val="2"/>
          </rPr>
          <t>Tegus (SK):</t>
        </r>
        <r>
          <rPr>
            <sz val="9"/>
            <rFont val="Tahoma"/>
            <family val="2"/>
          </rPr>
          <t xml:space="preserve">
No longer reported</t>
        </r>
      </text>
    </comment>
    <comment ref="AW61" authorId="0" shapeId="0" xr:uid="{00000000-0006-0000-0100-000076000000}">
      <text>
        <r>
          <rPr>
            <b/>
            <sz val="9"/>
            <rFont val="Tahoma"/>
            <family val="2"/>
          </rPr>
          <t>Tegus (SK):</t>
        </r>
        <r>
          <rPr>
            <sz val="9"/>
            <rFont val="Tahoma"/>
            <family val="2"/>
          </rPr>
          <t xml:space="preserve">
No longer reported</t>
        </r>
      </text>
    </comment>
    <comment ref="F62" authorId="0" shapeId="0" xr:uid="{00000000-0006-0000-0100-000077000000}">
      <text>
        <r>
          <rPr>
            <b/>
            <sz val="9"/>
            <rFont val="Tahoma"/>
            <family val="2"/>
          </rPr>
          <t>Tegus (YK):</t>
        </r>
        <r>
          <rPr>
            <sz val="9"/>
            <rFont val="Tahoma"/>
            <family val="2"/>
          </rPr>
          <t xml:space="preserve">
No available IP</t>
        </r>
      </text>
    </comment>
    <comment ref="AD81" authorId="0" shapeId="0" xr:uid="{00000000-0006-0000-0100-000079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un-restated due to 10-K being not available</t>
        </r>
      </text>
    </comment>
    <comment ref="AD82" authorId="0" shapeId="0" xr:uid="{00000000-0006-0000-0100-00007A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un-restated due to 10-K's being unavailable</t>
        </r>
      </text>
    </comment>
    <comment ref="AD83" authorId="0" shapeId="0" xr:uid="{00000000-0006-0000-0100-00007B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un-restated</t>
        </r>
      </text>
    </comment>
    <comment ref="V85" authorId="0" shapeId="0" xr:uid="{00000000-0006-0000-0100-00007C000000}">
      <text>
        <r>
          <rPr>
            <b/>
            <sz val="9"/>
            <rFont val="Tahoma"/>
            <family val="2"/>
          </rPr>
          <t>Tegus (AP):</t>
        </r>
        <r>
          <rPr>
            <sz val="9"/>
            <rFont val="Tahoma"/>
            <family val="2"/>
          </rPr>
          <t xml:space="preserve">
Backfilled using FY2018 shareholder letters</t>
        </r>
      </text>
    </comment>
    <comment ref="W85" authorId="0" shapeId="0" xr:uid="{00000000-0006-0000-0100-00007D000000}">
      <text>
        <r>
          <rPr>
            <b/>
            <sz val="9"/>
            <rFont val="Tahoma"/>
            <family val="2"/>
          </rPr>
          <t>Tegus (AP):</t>
        </r>
        <r>
          <rPr>
            <sz val="9"/>
            <rFont val="Tahoma"/>
            <family val="2"/>
          </rPr>
          <t xml:space="preserve">
Backfilled using FY2018 shareholder letters</t>
        </r>
      </text>
    </comment>
    <comment ref="X85" authorId="0" shapeId="0" xr:uid="{00000000-0006-0000-0100-00007E000000}">
      <text>
        <r>
          <rPr>
            <b/>
            <sz val="9"/>
            <rFont val="Tahoma"/>
            <family val="2"/>
          </rPr>
          <t>Tegus (AP):</t>
        </r>
        <r>
          <rPr>
            <sz val="9"/>
            <rFont val="Tahoma"/>
            <family val="2"/>
          </rPr>
          <t xml:space="preserve">
-Backfilled using FY12018 shareholder letters -Sales headcount includes Local Client Partners as of 3Q16</t>
        </r>
      </text>
    </comment>
    <comment ref="Y85" authorId="0" shapeId="0" xr:uid="{00000000-0006-0000-0100-00007F000000}">
      <text>
        <r>
          <rPr>
            <b/>
            <sz val="9"/>
            <rFont val="Tahoma"/>
            <family val="2"/>
          </rPr>
          <t>Tegus (AP):</t>
        </r>
        <r>
          <rPr>
            <sz val="9"/>
            <rFont val="Tahoma"/>
            <family val="2"/>
          </rPr>
          <t xml:space="preserve">
Backfilled using FY2018 shareholder letters</t>
        </r>
      </text>
    </comment>
    <comment ref="Z85" authorId="0" shapeId="0" xr:uid="{00000000-0006-0000-0100-000080000000}">
      <text>
        <r>
          <rPr>
            <b/>
            <sz val="9"/>
            <rFont val="Tahoma"/>
            <family val="2"/>
          </rPr>
          <t>Tegus (AP):</t>
        </r>
        <r>
          <rPr>
            <sz val="9"/>
            <rFont val="Tahoma"/>
            <family val="2"/>
          </rPr>
          <t xml:space="preserve">
Backfilled using FY2018 shareholder letters</t>
        </r>
      </text>
    </comment>
    <comment ref="AU85" authorId="0" shapeId="0" xr:uid="{00000000-0006-0000-0100-000081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Not reported</t>
        </r>
      </text>
    </comment>
    <comment ref="AV85" authorId="0" shapeId="0" xr:uid="{00000000-0006-0000-0100-000082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Not reported</t>
        </r>
      </text>
    </comment>
    <comment ref="AW85" authorId="0" shapeId="0" xr:uid="{00000000-0006-0000-0100-000083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Not reported</t>
        </r>
      </text>
    </comment>
    <comment ref="A87" authorId="0" shapeId="0" xr:uid="{00000000-0006-0000-0100-000084000000}">
      <text>
        <r>
          <rPr>
            <b/>
            <sz val="9"/>
            <rFont val="Tahoma"/>
            <family val="2"/>
          </rPr>
          <t>Tegus (AP):</t>
        </r>
        <r>
          <rPr>
            <sz val="9"/>
            <rFont val="Tahoma"/>
            <family val="2"/>
          </rPr>
          <t xml:space="preserve">
Backed out</t>
        </r>
      </text>
    </comment>
    <comment ref="BI88" authorId="0" shapeId="0" xr:uid="{00000000-0006-0000-0100-000085000000}">
      <text>
        <r>
          <rPr>
            <b/>
            <sz val="9"/>
            <rFont val="Tahoma"/>
            <family val="2"/>
          </rPr>
          <t>Tegus (BL):</t>
        </r>
        <r>
          <rPr>
            <sz val="9"/>
            <rFont val="Tahoma"/>
            <family val="2"/>
          </rPr>
          <t xml:space="preserve">
Excludes employees on leave as of December 31, 2023. Including employees on leave, there were 4,872 employees globally as of December 31, 2023.</t>
        </r>
      </text>
    </comment>
    <comment ref="P98" authorId="0" shapeId="0" xr:uid="{00000000-0006-0000-0100-000087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4.3 of hosting fee and 0.4 of website infrastructure</t>
        </r>
      </text>
    </comment>
    <comment ref="U98" authorId="0" shapeId="0" xr:uid="{00000000-0006-0000-0100-000088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11.8 of hosting fee and 0.3 of website infrastructure</t>
        </r>
      </text>
    </comment>
    <comment ref="P101" authorId="0" shapeId="0" xr:uid="{00000000-0006-0000-0100-000089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0.7 of creative design and 0.4 of set up costs</t>
        </r>
      </text>
    </comment>
    <comment ref="U101" authorId="0" shapeId="0" xr:uid="{00000000-0006-0000-0100-00008A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2.2 of creative design and 0.2 of set up costs</t>
        </r>
      </text>
    </comment>
    <comment ref="AL102" authorId="0" shapeId="0" xr:uid="{00000000-0006-0000-0100-00008B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primarily due to website infrastructure expense</t>
        </r>
      </text>
    </comment>
    <comment ref="AU102" authorId="0" shapeId="0" xr:uid="{00000000-0006-0000-0100-00008C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due to a decline in website infrastructure expense as a result of reduced traffic and cost-cutting measures as well as lower merchant credit card fees due to fewer transactions associated with the decline in advertising revenue</t>
        </r>
      </text>
    </comment>
    <comment ref="BL103" authorId="1" shapeId="0" xr:uid="{19A94303-52C1-4E30-B3C8-3697E48197FF}">
      <text>
        <r>
          <rPr>
            <b/>
            <sz val="9"/>
            <rFont val="Tahoma"/>
            <family val="2"/>
            <charset val="1"/>
          </rPr>
          <t>Tegus (KS):</t>
        </r>
        <r>
          <rPr>
            <sz val="9"/>
            <rFont val="Tahoma"/>
            <family val="2"/>
            <charset val="1"/>
          </rPr>
          <t xml:space="preserve">
Primarily due to increases in website infrastructure expense of $2.8 million</t>
        </r>
      </text>
    </comment>
    <comment ref="BK110" authorId="2" shapeId="0" xr:uid="{00000000-0006-0000-0100-00008D000000}">
      <text>
        <r>
          <rPr>
            <b/>
            <sz val="9"/>
            <rFont val="Tahoma"/>
            <family val="2"/>
          </rPr>
          <t>Tegus (WW):</t>
        </r>
        <r>
          <rPr>
            <sz val="9"/>
            <rFont val="Tahoma"/>
            <family val="2"/>
          </rPr>
          <t xml:space="preserve">
Marketing spend</t>
        </r>
      </text>
    </comment>
    <comment ref="BL110" authorId="2" shapeId="0" xr:uid="{8BA506D8-5134-4ED5-93E7-9D3ACA2DC343}">
      <text>
        <r>
          <rPr>
            <b/>
            <sz val="9"/>
            <rFont val="Tahoma"/>
            <family val="2"/>
          </rPr>
          <t>Tegus (KS):</t>
        </r>
        <r>
          <rPr>
            <sz val="9"/>
            <rFont val="Tahoma"/>
            <family val="2"/>
          </rPr>
          <t xml:space="preserve">
Marketing spend</t>
        </r>
      </text>
    </comment>
    <comment ref="AP111" authorId="0" shapeId="0" xr:uid="{00000000-0006-0000-0100-00008E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The increase in sales and marketing expenses was primarily attributable to $12.9 million in additional employee costs, primarily driven by higher sales commission expenses as sales team productivity improved, and higher salary costs due to growth in multi-location sales teams headcount. The increase in additional employee costs is also attributable to accelerated amortized commission expenses</t>
        </r>
      </text>
    </comment>
    <comment ref="AC112" authorId="0" shapeId="0" xr:uid="{00000000-0006-0000-0100-00008F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hardcoded due to restatement</t>
        </r>
      </text>
    </comment>
    <comment ref="AE112" authorId="0" shapeId="0" xr:uid="{00000000-0006-0000-0100-000090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hardcoded due to restatement</t>
        </r>
      </text>
    </comment>
    <comment ref="BL112" authorId="1" shapeId="0" xr:uid="{865C1FC0-EADB-4AE7-8FA2-43423529DC61}">
      <text>
        <r>
          <rPr>
            <b/>
            <sz val="9"/>
            <rFont val="Tahoma"/>
            <family val="2"/>
            <charset val="1"/>
          </rPr>
          <t>Tegus (KS):</t>
        </r>
        <r>
          <rPr>
            <sz val="9"/>
            <rFont val="Tahoma"/>
            <family val="2"/>
            <charset val="1"/>
          </rPr>
          <t xml:space="preserve">
Increases in marketing spend of $5.0 million,
increases in employee costs of $5.0 million,
partially offset by decreases in workplace operating costs of $3.0 million.</t>
        </r>
      </text>
    </comment>
    <comment ref="BA115" authorId="0" shapeId="0" xr:uid="{00000000-0006-0000-0100-000091000000}">
      <text>
        <r>
          <rPr>
            <b/>
            <sz val="9"/>
            <rFont val="Tahoma"/>
            <family val="2"/>
          </rPr>
          <t>Tegus (BL):</t>
        </r>
        <r>
          <rPr>
            <sz val="9"/>
            <rFont val="Tahoma"/>
            <family val="2"/>
          </rPr>
          <t xml:space="preserve">
include bonuses and stock-based compensation, as a result of higher average headcount.</t>
        </r>
      </text>
    </comment>
    <comment ref="AL117" authorId="0" shapeId="0" xr:uid="{00000000-0006-0000-0100-000092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derived from 6-months cumulative number</t>
        </r>
      </text>
    </comment>
    <comment ref="AM117" authorId="0" shapeId="0" xr:uid="{00000000-0006-0000-0100-000093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derived from 9-months cumulative number</t>
        </r>
      </text>
    </comment>
    <comment ref="AQ119" authorId="0" shapeId="0" xr:uid="{00000000-0006-0000-0100-000094000000}">
      <text>
        <r>
          <rPr>
            <b/>
            <sz val="9"/>
            <rFont val="Tahoma"/>
            <family val="2"/>
          </rPr>
          <t>Tegus (AP):</t>
        </r>
        <r>
          <rPr>
            <sz val="9"/>
            <rFont val="Tahoma"/>
            <family val="2"/>
          </rPr>
          <t xml:space="preserve">
Product development expenses remained relatively consistent as the impact of increased headcount was offset by the impact of reduced-hour work weeks as part of the restructuring plan. </t>
        </r>
      </text>
    </comment>
    <comment ref="AT119" authorId="0" shapeId="0" xr:uid="{00000000-0006-0000-0100-000095000000}">
      <text>
        <r>
          <rPr>
            <b/>
            <sz val="9"/>
            <rFont val="Tahoma"/>
            <family val="2"/>
          </rPr>
          <t>Tegus (SK):</t>
        </r>
        <r>
          <rPr>
            <sz val="9"/>
            <rFont val="Tahoma"/>
            <family val="2"/>
          </rPr>
          <t xml:space="preserve">
Partially offset by the impact of reduced-hour work weeks as part of the Restructuring Plan in the second and third quarters and lower headcount in the fourth quarter</t>
        </r>
      </text>
    </comment>
    <comment ref="AU119" authorId="0" shapeId="0" xr:uid="{00000000-0006-0000-0100-000096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remained relatively consistent with the prior-year period, reflecting our continued investments in product initiatives to support long-term growth</t>
        </r>
      </text>
    </comment>
    <comment ref="BL120" authorId="1" shapeId="0" xr:uid="{BF1AC05D-ED06-44F3-8620-96E2B9ECA2C1}">
      <text>
        <r>
          <rPr>
            <b/>
            <sz val="9"/>
            <rFont val="Tahoma"/>
            <family val="2"/>
            <charset val="1"/>
          </rPr>
          <t>Tegus (KS):</t>
        </r>
        <r>
          <rPr>
            <sz val="9"/>
            <rFont val="Tahoma"/>
            <family val="2"/>
            <charset val="1"/>
          </rPr>
          <t xml:space="preserve">
Decreases in employee costs of $3.0 million,
decreases in workplace operating costs of $0.6 million,partially offset by increases in consulting costs of $0.4 million.</t>
        </r>
      </text>
    </comment>
    <comment ref="P124" authorId="0" shapeId="0" xr:uid="{00000000-0006-0000-0100-000097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8.3 of compensation costs and 2.4 of consultant costs</t>
        </r>
      </text>
    </comment>
    <comment ref="U124" authorId="0" shapeId="0" xr:uid="{00000000-0006-0000-0100-000098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11.7 of compensation expenses, 4.7 of consultant costs</t>
        </r>
      </text>
    </comment>
    <comment ref="Z124" authorId="0" shapeId="0" xr:uid="{00000000-0006-0000-0100-000099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12.1 employee compensation expenses, (2.6) consultant costs</t>
        </r>
      </text>
    </comment>
    <comment ref="AE124" authorId="0" shapeId="0" xr:uid="{00000000-0006-0000-0100-00009A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5.7 employee compensation expenses, 1.4 of consultant costs</t>
        </r>
      </text>
    </comment>
    <comment ref="AJ124" authorId="0" shapeId="0" xr:uid="{00000000-0006-0000-0100-00009B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4.8 of employee costs, 1.4 of consultant costs</t>
        </r>
      </text>
    </comment>
    <comment ref="AM125" authorId="0" shapeId="0" xr:uid="{00000000-0006-0000-0100-00009C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derived from 9-months cumulative number</t>
        </r>
      </text>
    </comment>
    <comment ref="BD130" authorId="0" shapeId="0" xr:uid="{00000000-0006-0000-0100-00009D000000}">
      <text>
        <r>
          <rPr>
            <b/>
            <sz val="9"/>
            <rFont val="Tahoma"/>
            <family val="2"/>
          </rPr>
          <t>Tegus (HZ):</t>
        </r>
        <r>
          <rPr>
            <sz val="9"/>
            <rFont val="Tahoma"/>
            <family val="2"/>
          </rPr>
          <t xml:space="preserve">
Primarily due to a net gain of $3.7 million recognized in 2021 as a result of the termination of an office lease, which did not recur in 2022</t>
        </r>
      </text>
    </comment>
    <comment ref="AA131" authorId="0" shapeId="0" xr:uid="{00000000-0006-0000-0100-00009E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hardcoded due to restatement</t>
        </r>
      </text>
    </comment>
    <comment ref="AB131" authorId="0" shapeId="0" xr:uid="{00000000-0006-0000-0100-00009F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hardcoded due to restatement</t>
        </r>
      </text>
    </comment>
    <comment ref="AC131" authorId="0" shapeId="0" xr:uid="{00000000-0006-0000-0100-0000A0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hardcoded due to restatement</t>
        </r>
      </text>
    </comment>
    <comment ref="AE131" authorId="0" shapeId="0" xr:uid="{00000000-0006-0000-0100-0000A1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hardcoded due to restatement</t>
        </r>
      </text>
    </comment>
    <comment ref="BL131" authorId="1" shapeId="0" xr:uid="{3E7725C2-A67D-4D3C-825F-7CA9B6605291}">
      <text>
        <r>
          <rPr>
            <b/>
            <sz val="9"/>
            <rFont val="Tahoma"/>
            <family val="2"/>
            <charset val="1"/>
          </rPr>
          <t>Tegus (KS):</t>
        </r>
        <r>
          <rPr>
            <sz val="9"/>
            <rFont val="Tahoma"/>
            <family val="2"/>
            <charset val="1"/>
          </rPr>
          <t xml:space="preserve">
Primarily due to the $5.9 million impairment charge related to the subleases of certain office space in Toronto and San Francisco, partially offset by a decrease in our provision for doubtful accounts of $0.9 million and a decrease in employee costs of $0.8 million.</t>
        </r>
      </text>
    </comment>
    <comment ref="AM158" authorId="0" shapeId="0" xr:uid="{00000000-0006-0000-0100-0000A3000000}">
      <text>
        <r>
          <rPr>
            <b/>
            <sz val="9"/>
            <rFont val="Tahoma"/>
            <family val="2"/>
          </rPr>
          <t>Tegus (PA):</t>
        </r>
        <r>
          <rPr>
            <sz val="9"/>
            <rFont val="Tahoma"/>
            <family val="2"/>
          </rPr>
          <t xml:space="preserve">
Includes one time expense of fees related to shareholder activism of $7.116mm</t>
        </r>
      </text>
    </comment>
    <comment ref="K165" authorId="0" shapeId="0" xr:uid="{00000000-0006-0000-0100-0000A4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Interest Income net is not reported</t>
        </r>
      </text>
    </comment>
    <comment ref="K166" authorId="0" shapeId="0" xr:uid="{00000000-0006-0000-0100-0000A6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Interest Income net is not reported</t>
        </r>
      </text>
    </comment>
    <comment ref="K167" authorId="0" shapeId="0" xr:uid="{00000000-0006-0000-0100-0000A8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Interest Income net is not reported</t>
        </r>
      </text>
    </comment>
    <comment ref="BK167" authorId="2" shapeId="0" xr:uid="{00000000-0006-0000-0100-0000A9000000}">
      <text>
        <r>
          <rPr>
            <b/>
            <sz val="9"/>
            <rFont val="Tahoma"/>
            <family val="2"/>
          </rPr>
          <t>Tegus (WW):</t>
        </r>
        <r>
          <rPr>
            <sz val="9"/>
            <rFont val="Tahoma"/>
            <family val="2"/>
          </rPr>
          <t xml:space="preserve">
Including 3,102 of release of nonrecrring tax reserve</t>
        </r>
      </text>
    </comment>
    <comment ref="AB177" authorId="0" shapeId="0" xr:uid="{00000000-0006-0000-0100-0000AB00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as reported </t>
        </r>
      </text>
    </comment>
    <comment ref="AC177" authorId="0" shapeId="0" xr:uid="{00000000-0006-0000-0100-0000AC000000}">
      <text>
        <r>
          <rPr>
            <b/>
            <sz val="9"/>
            <rFont val="Tahoma"/>
            <family val="2"/>
          </rPr>
          <t>Tegus (AH):</t>
        </r>
        <r>
          <rPr>
            <sz val="9"/>
            <rFont val="Tahoma"/>
            <family val="2"/>
          </rPr>
          <t xml:space="preserve">
Cumulative net income in the cash flow statement is as reported</t>
        </r>
      </text>
    </comment>
    <comment ref="AD177" authorId="0" shapeId="0" xr:uid="{00000000-0006-0000-0100-0000AD000000}">
      <text>
        <r>
          <rPr>
            <b/>
            <sz val="9"/>
            <rFont val="Tahoma"/>
            <family val="2"/>
          </rPr>
          <t>Tegus (GJ):</t>
        </r>
        <r>
          <rPr>
            <sz val="9"/>
            <rFont val="Tahoma"/>
            <family val="2"/>
          </rPr>
          <t xml:space="preserve">
Rounding error; IS numbers are as reported.</t>
        </r>
      </text>
    </comment>
    <comment ref="E182" authorId="0" shapeId="0" xr:uid="{00000000-0006-0000-0100-0000AF000000}">
      <text>
        <r>
          <rPr>
            <b/>
            <sz val="9"/>
            <rFont val="Tahoma"/>
            <family val="2"/>
          </rPr>
          <t>Tegus (TK):</t>
        </r>
        <r>
          <rPr>
            <sz val="9"/>
            <rFont val="Tahoma"/>
            <family val="2"/>
          </rPr>
          <t xml:space="preserve">
+ Contribution to Yelp Foundation</t>
        </r>
      </text>
    </comment>
    <comment ref="K182" authorId="0" shapeId="0" xr:uid="{00000000-0006-0000-0100-0000B0000000}">
      <text>
        <r>
          <rPr>
            <b/>
            <sz val="9"/>
            <rFont val="Tahoma"/>
            <family val="2"/>
          </rPr>
          <t>Tegus (TK):</t>
        </r>
        <r>
          <rPr>
            <sz val="9"/>
            <rFont val="Tahoma"/>
            <family val="2"/>
          </rPr>
          <t xml:space="preserve">
+ Restructuring and integration </t>
        </r>
      </text>
    </comment>
    <comment ref="U184" authorId="0" shapeId="0" xr:uid="{00000000-0006-0000-0100-0000B1000000}">
      <text>
        <r>
          <rPr>
            <b/>
            <sz val="9"/>
            <rFont val="Tahoma"/>
            <family val="2"/>
          </rPr>
          <t>Tegus (SH):</t>
        </r>
        <r>
          <rPr>
            <sz val="9"/>
            <rFont val="Tahoma"/>
            <family val="2"/>
          </rPr>
          <t xml:space="preserve">
EBITDA not explicitly reported for periods prior to this period. Estimated</t>
        </r>
      </text>
    </comment>
    <comment ref="AM186" authorId="0" shapeId="0" xr:uid="{00000000-0006-0000-0100-0000B2000000}">
      <text>
        <r>
          <rPr>
            <b/>
            <sz val="9"/>
            <rFont val="Tahoma"/>
            <family val="2"/>
          </rPr>
          <t>Tegus (PA):</t>
        </r>
        <r>
          <rPr>
            <sz val="9"/>
            <rFont val="Tahoma"/>
            <family val="2"/>
          </rPr>
          <t xml:space="preserve">
This one time expense is included in G&amp;A.</t>
        </r>
      </text>
    </comment>
    <comment ref="AO186" authorId="0" shapeId="0" xr:uid="{00000000-0006-0000-0100-0000B3000000}">
      <text>
        <r>
          <rPr>
            <b/>
            <sz val="9"/>
            <rFont val="Tahoma"/>
            <family val="2"/>
          </rPr>
          <t>Tegus (PA):</t>
        </r>
        <r>
          <rPr>
            <sz val="9"/>
            <rFont val="Tahoma"/>
            <family val="2"/>
          </rPr>
          <t xml:space="preserve">
This one time expense is included in G&amp;A.</t>
        </r>
      </text>
    </comment>
    <comment ref="AF193" authorId="0" shapeId="0" xr:uid="{00000000-0006-0000-0100-0000B4000000}">
      <text>
        <r>
          <rPr>
            <b/>
            <sz val="9"/>
            <rFont val="Tahoma"/>
            <family val="2"/>
          </rPr>
          <t>Tegus (AY):</t>
        </r>
        <r>
          <rPr>
            <sz val="9"/>
            <rFont val="Tahoma"/>
            <family val="2"/>
          </rPr>
          <t xml:space="preserve">
Not reported</t>
        </r>
      </text>
    </comment>
    <comment ref="BL208" authorId="1" shapeId="0" xr:uid="{FE7BF5BD-F229-49C6-9005-E10AAED66B91}">
      <text>
        <r>
          <rPr>
            <b/>
            <sz val="9"/>
            <rFont val="Tahoma"/>
            <family val="2"/>
          </rPr>
          <t>Tegus (KS):</t>
        </r>
        <r>
          <rPr>
            <sz val="9"/>
            <rFont val="Tahoma"/>
            <family val="2"/>
          </rPr>
          <t xml:space="preserve">
Depreciation and amortization expense related to property, equipment and software was $9.0 million and $10.2 million for the three months ended September 30, 2024 and 2023, respectively</t>
        </r>
      </text>
    </comment>
    <comment ref="BL209" authorId="1" shapeId="0" xr:uid="{0049F209-BAFA-40BC-A388-36F2DEA4BDCE}">
      <text>
        <r>
          <rPr>
            <b/>
            <sz val="9"/>
            <rFont val="Tahoma"/>
            <family val="2"/>
          </rPr>
          <t>Tegus (KS):</t>
        </r>
        <r>
          <rPr>
            <sz val="9"/>
            <rFont val="Tahoma"/>
            <family val="2"/>
          </rPr>
          <t xml:space="preserve">
Amortization expense related to intangible assets was $0.3 million for each of the three months ended September 30, 2024 and 2023</t>
        </r>
      </text>
    </comment>
    <comment ref="A210" authorId="0" shapeId="0" xr:uid="{00000000-0006-0000-0100-0000B7000000}">
      <text>
        <r>
          <rPr>
            <b/>
            <sz val="9"/>
            <rFont val="Tahoma"/>
            <family val="2"/>
          </rPr>
          <t>Tegus (DH):</t>
        </r>
        <r>
          <rPr>
            <sz val="9"/>
            <rFont val="Tahoma"/>
            <family val="2"/>
          </rPr>
          <t xml:space="preserve">
Backed out</t>
        </r>
      </text>
    </comment>
    <comment ref="AM222" authorId="0" shapeId="0" xr:uid="{00000000-0006-0000-0100-0000B9000000}">
      <text>
        <r>
          <rPr>
            <b/>
            <sz val="9"/>
            <rFont val="Tahoma"/>
            <family val="2"/>
          </rPr>
          <t>Tegus (PA):</t>
        </r>
        <r>
          <rPr>
            <sz val="9"/>
            <rFont val="Tahoma"/>
            <family val="2"/>
          </rPr>
          <t xml:space="preserve">
One time expense of fees related to shareholder activism of $7.116mm included in G&amp;A</t>
        </r>
      </text>
    </comment>
    <comment ref="AV222" authorId="0" shapeId="0" xr:uid="{00000000-0006-0000-0100-0000BA000000}">
      <text>
        <r>
          <rPr>
            <b/>
            <sz val="9"/>
            <rFont val="Tahoma"/>
            <family val="2"/>
          </rPr>
          <t>Tegus (SK):</t>
        </r>
        <r>
          <rPr>
            <sz val="9"/>
            <rFont val="Tahoma"/>
            <family val="2"/>
          </rPr>
          <t xml:space="preserve">
Adj. for asset impairment</t>
        </r>
      </text>
    </comment>
    <comment ref="L235" authorId="0" shapeId="0" xr:uid="{00000000-0006-0000-0100-0000BB000000}">
      <text>
        <r>
          <rPr>
            <b/>
            <sz val="9"/>
            <rFont val="Tahoma"/>
            <family val="2"/>
          </rPr>
          <t>Tegus (SH):</t>
        </r>
        <r>
          <rPr>
            <sz val="9"/>
            <rFont val="Tahoma"/>
            <family val="2"/>
          </rPr>
          <t xml:space="preserve">
Interest Income net is not reported prior to this period.</t>
        </r>
      </text>
    </comment>
    <comment ref="AM237" authorId="0" shapeId="0" xr:uid="{00000000-0006-0000-0100-0000BC000000}">
      <text>
        <r>
          <rPr>
            <b/>
            <sz val="9"/>
            <rFont val="Tahoma"/>
            <family val="2"/>
          </rPr>
          <t>Tegus (PA):</t>
        </r>
        <r>
          <rPr>
            <sz val="9"/>
            <rFont val="Tahoma"/>
            <family val="2"/>
          </rPr>
          <t xml:space="preserve">
One time expense of fees related to shareholder activism of $7.116mm included in G&amp;A</t>
        </r>
      </text>
    </comment>
    <comment ref="G240" authorId="0" shapeId="0" xr:uid="{00000000-0006-0000-0100-0000BD000000}">
      <text>
        <r>
          <rPr>
            <b/>
            <sz val="9"/>
            <rFont val="Tahoma"/>
            <family val="2"/>
          </rPr>
          <t>Tegus (SH):</t>
        </r>
        <r>
          <rPr>
            <sz val="9"/>
            <rFont val="Tahoma"/>
            <family val="2"/>
          </rPr>
          <t xml:space="preserve">
Includes deferred tax</t>
        </r>
      </text>
    </comment>
    <comment ref="H240" authorId="0" shapeId="0" xr:uid="{00000000-0006-0000-0100-0000BE000000}">
      <text>
        <r>
          <rPr>
            <b/>
            <sz val="9"/>
            <rFont val="Tahoma"/>
            <family val="2"/>
          </rPr>
          <t>Tegus (SH):</t>
        </r>
        <r>
          <rPr>
            <sz val="9"/>
            <rFont val="Tahoma"/>
            <family val="2"/>
          </rPr>
          <t xml:space="preserve">
Includes deferred tax</t>
        </r>
      </text>
    </comment>
    <comment ref="I240" authorId="0" shapeId="0" xr:uid="{00000000-0006-0000-0100-0000BF000000}">
      <text>
        <r>
          <rPr>
            <b/>
            <sz val="9"/>
            <rFont val="Tahoma"/>
            <family val="2"/>
          </rPr>
          <t>Tegus (SH):</t>
        </r>
        <r>
          <rPr>
            <sz val="9"/>
            <rFont val="Tahoma"/>
            <family val="2"/>
          </rPr>
          <t xml:space="preserve">
Includes deferred tax</t>
        </r>
      </text>
    </comment>
    <comment ref="J240" authorId="0" shapeId="0" xr:uid="{00000000-0006-0000-0100-0000C0000000}">
      <text>
        <r>
          <rPr>
            <b/>
            <sz val="9"/>
            <rFont val="Tahoma"/>
            <family val="2"/>
          </rPr>
          <t>Tegus (SH):</t>
        </r>
        <r>
          <rPr>
            <sz val="9"/>
            <rFont val="Tahoma"/>
            <family val="2"/>
          </rPr>
          <t xml:space="preserve">
Includes deferred tax</t>
        </r>
      </text>
    </comment>
    <comment ref="L240" authorId="0" shapeId="0" xr:uid="{00000000-0006-0000-0100-0000C1000000}">
      <text>
        <r>
          <rPr>
            <b/>
            <sz val="9"/>
            <rFont val="Tahoma"/>
            <family val="2"/>
          </rPr>
          <t>Tegus (SH):</t>
        </r>
        <r>
          <rPr>
            <sz val="9"/>
            <rFont val="Tahoma"/>
            <family val="2"/>
          </rPr>
          <t xml:space="preserve">
Includes deferred tax</t>
        </r>
      </text>
    </comment>
    <comment ref="M240" authorId="0" shapeId="0" xr:uid="{00000000-0006-0000-0100-0000C2000000}">
      <text>
        <r>
          <rPr>
            <b/>
            <sz val="9"/>
            <rFont val="Tahoma"/>
            <family val="2"/>
          </rPr>
          <t>Tegus (SH):</t>
        </r>
        <r>
          <rPr>
            <sz val="9"/>
            <rFont val="Tahoma"/>
            <family val="2"/>
          </rPr>
          <t xml:space="preserve">
Includes deferred tax</t>
        </r>
      </text>
    </comment>
    <comment ref="N240" authorId="0" shapeId="0" xr:uid="{00000000-0006-0000-0100-0000C3000000}">
      <text>
        <r>
          <rPr>
            <b/>
            <sz val="9"/>
            <rFont val="Tahoma"/>
            <family val="2"/>
          </rPr>
          <t>Tegus (SH):</t>
        </r>
        <r>
          <rPr>
            <sz val="9"/>
            <rFont val="Tahoma"/>
            <family val="2"/>
          </rPr>
          <t xml:space="preserve">
Includes deferred tax</t>
        </r>
      </text>
    </comment>
    <comment ref="O240" authorId="0" shapeId="0" xr:uid="{00000000-0006-0000-0100-0000C4000000}">
      <text>
        <r>
          <rPr>
            <b/>
            <sz val="9"/>
            <rFont val="Tahoma"/>
            <family val="2"/>
          </rPr>
          <t>Tegus (SH):</t>
        </r>
        <r>
          <rPr>
            <sz val="9"/>
            <rFont val="Tahoma"/>
            <family val="2"/>
          </rPr>
          <t xml:space="preserve">
Includes deferred tax</t>
        </r>
      </text>
    </comment>
    <comment ref="Q240" authorId="0" shapeId="0" xr:uid="{00000000-0006-0000-0100-0000C5000000}">
      <text>
        <r>
          <rPr>
            <b/>
            <sz val="9"/>
            <rFont val="Tahoma"/>
            <family val="2"/>
          </rPr>
          <t>Tegus (SH):</t>
        </r>
        <r>
          <rPr>
            <sz val="9"/>
            <rFont val="Tahoma"/>
            <family val="2"/>
          </rPr>
          <t xml:space="preserve">
Includes deferred tax</t>
        </r>
      </text>
    </comment>
    <comment ref="R240" authorId="0" shapeId="0" xr:uid="{00000000-0006-0000-0100-0000C6000000}">
      <text>
        <r>
          <rPr>
            <b/>
            <sz val="9"/>
            <rFont val="Tahoma"/>
            <family val="2"/>
          </rPr>
          <t>Tegus (SH):</t>
        </r>
        <r>
          <rPr>
            <sz val="9"/>
            <rFont val="Tahoma"/>
            <family val="2"/>
          </rPr>
          <t xml:space="preserve">
Includes deferred tax</t>
        </r>
      </text>
    </comment>
    <comment ref="S240" authorId="0" shapeId="0" xr:uid="{00000000-0006-0000-0100-0000C7000000}">
      <text>
        <r>
          <rPr>
            <b/>
            <sz val="9"/>
            <rFont val="Tahoma"/>
            <family val="2"/>
          </rPr>
          <t>Tegus (SH):</t>
        </r>
        <r>
          <rPr>
            <sz val="9"/>
            <rFont val="Tahoma"/>
            <family val="2"/>
          </rPr>
          <t xml:space="preserve">
Includes deferred tax</t>
        </r>
      </text>
    </comment>
    <comment ref="T240" authorId="0" shapeId="0" xr:uid="{00000000-0006-0000-0100-0000C8000000}">
      <text>
        <r>
          <rPr>
            <b/>
            <sz val="9"/>
            <rFont val="Tahoma"/>
            <family val="2"/>
          </rPr>
          <t>Tegus (SH):</t>
        </r>
        <r>
          <rPr>
            <sz val="9"/>
            <rFont val="Tahoma"/>
            <family val="2"/>
          </rPr>
          <t xml:space="preserve">
Includes deferred tax</t>
        </r>
      </text>
    </comment>
    <comment ref="V240" authorId="0" shapeId="0" xr:uid="{00000000-0006-0000-0100-0000C9000000}">
      <text>
        <r>
          <rPr>
            <b/>
            <sz val="9"/>
            <rFont val="Tahoma"/>
            <family val="2"/>
          </rPr>
          <t>Tegus (SH):</t>
        </r>
        <r>
          <rPr>
            <sz val="9"/>
            <rFont val="Tahoma"/>
            <family val="2"/>
          </rPr>
          <t xml:space="preserve">
Includes deferred tax</t>
        </r>
      </text>
    </comment>
    <comment ref="W240" authorId="0" shapeId="0" xr:uid="{00000000-0006-0000-0100-0000CA000000}">
      <text>
        <r>
          <rPr>
            <b/>
            <sz val="9"/>
            <rFont val="Tahoma"/>
            <family val="2"/>
          </rPr>
          <t>Tegus (SH):</t>
        </r>
        <r>
          <rPr>
            <sz val="9"/>
            <rFont val="Tahoma"/>
            <family val="2"/>
          </rPr>
          <t xml:space="preserve">
Includes deferred tax</t>
        </r>
      </text>
    </comment>
    <comment ref="X240" authorId="0" shapeId="0" xr:uid="{00000000-0006-0000-0100-0000CB000000}">
      <text>
        <r>
          <rPr>
            <b/>
            <sz val="9"/>
            <rFont val="Tahoma"/>
            <family val="2"/>
          </rPr>
          <t>Tegus (SH):</t>
        </r>
        <r>
          <rPr>
            <sz val="9"/>
            <rFont val="Tahoma"/>
            <family val="2"/>
          </rPr>
          <t xml:space="preserve">
Includes deferred tax</t>
        </r>
      </text>
    </comment>
    <comment ref="Y240" authorId="0" shapeId="0" xr:uid="{00000000-0006-0000-0100-0000CC000000}">
      <text>
        <r>
          <rPr>
            <b/>
            <sz val="9"/>
            <rFont val="Tahoma"/>
            <family val="2"/>
          </rPr>
          <t>Tegus (SH):</t>
        </r>
        <r>
          <rPr>
            <sz val="9"/>
            <rFont val="Tahoma"/>
            <family val="2"/>
          </rPr>
          <t xml:space="preserve">
Includes deferred tax</t>
        </r>
      </text>
    </comment>
    <comment ref="Z240" authorId="0" shapeId="0" xr:uid="{00000000-0006-0000-0100-0000CD000000}">
      <text>
        <r>
          <rPr>
            <b/>
            <sz val="9"/>
            <rFont val="Tahoma"/>
            <family val="2"/>
          </rPr>
          <t>Tegus (SH):</t>
        </r>
        <r>
          <rPr>
            <sz val="9"/>
            <rFont val="Tahoma"/>
            <family val="2"/>
          </rPr>
          <t xml:space="preserve">
Includes deferred tax</t>
        </r>
      </text>
    </comment>
    <comment ref="AA240" authorId="0" shapeId="0" xr:uid="{00000000-0006-0000-0100-0000CE000000}">
      <text>
        <r>
          <rPr>
            <b/>
            <sz val="9"/>
            <rFont val="Tahoma"/>
            <family val="2"/>
          </rPr>
          <t>Tegus (SH):</t>
        </r>
        <r>
          <rPr>
            <sz val="9"/>
            <rFont val="Tahoma"/>
            <family val="2"/>
          </rPr>
          <t xml:space="preserve">
Includes deferred tax</t>
        </r>
      </text>
    </comment>
    <comment ref="AB240" authorId="0" shapeId="0" xr:uid="{00000000-0006-0000-0100-0000CF000000}">
      <text>
        <r>
          <rPr>
            <b/>
            <sz val="9"/>
            <rFont val="Tahoma"/>
            <family val="2"/>
          </rPr>
          <t>Tegus (SH):</t>
        </r>
        <r>
          <rPr>
            <sz val="9"/>
            <rFont val="Tahoma"/>
            <family val="2"/>
          </rPr>
          <t xml:space="preserve">
Includes deferred tax</t>
        </r>
      </text>
    </comment>
    <comment ref="AC240" authorId="0" shapeId="0" xr:uid="{00000000-0006-0000-0100-0000D0000000}">
      <text>
        <r>
          <rPr>
            <b/>
            <sz val="9"/>
            <rFont val="Tahoma"/>
            <family val="2"/>
          </rPr>
          <t>Tegus (SH):</t>
        </r>
        <r>
          <rPr>
            <sz val="9"/>
            <rFont val="Tahoma"/>
            <family val="2"/>
          </rPr>
          <t xml:space="preserve">
Includes deferred tax</t>
        </r>
      </text>
    </comment>
    <comment ref="AD240" authorId="0" shapeId="0" xr:uid="{00000000-0006-0000-0100-0000D1000000}">
      <text>
        <r>
          <rPr>
            <b/>
            <sz val="9"/>
            <rFont val="Tahoma"/>
            <family val="2"/>
          </rPr>
          <t>Tegus (SH):</t>
        </r>
        <r>
          <rPr>
            <sz val="9"/>
            <rFont val="Tahoma"/>
            <family val="2"/>
          </rPr>
          <t xml:space="preserve">
Includes deferred tax</t>
        </r>
      </text>
    </comment>
    <comment ref="AE240" authorId="0" shapeId="0" xr:uid="{00000000-0006-0000-0100-0000D2000000}">
      <text>
        <r>
          <rPr>
            <b/>
            <sz val="9"/>
            <rFont val="Tahoma"/>
            <family val="2"/>
          </rPr>
          <t>Tegus (SH):</t>
        </r>
        <r>
          <rPr>
            <sz val="9"/>
            <rFont val="Tahoma"/>
            <family val="2"/>
          </rPr>
          <t xml:space="preserve">
Includes deferred tax</t>
        </r>
      </text>
    </comment>
    <comment ref="AF240" authorId="0" shapeId="0" xr:uid="{00000000-0006-0000-0100-0000D3000000}">
      <text>
        <r>
          <rPr>
            <b/>
            <sz val="9"/>
            <rFont val="Tahoma"/>
            <family val="2"/>
          </rPr>
          <t>Tegus (SH):</t>
        </r>
        <r>
          <rPr>
            <sz val="9"/>
            <rFont val="Tahoma"/>
            <family val="2"/>
          </rPr>
          <t xml:space="preserve">
Includes deferred tax</t>
        </r>
      </text>
    </comment>
    <comment ref="AG240" authorId="0" shapeId="0" xr:uid="{00000000-0006-0000-0100-0000D4000000}">
      <text>
        <r>
          <rPr>
            <b/>
            <sz val="9"/>
            <rFont val="Tahoma"/>
            <family val="2"/>
          </rPr>
          <t>Tegus (SH):</t>
        </r>
        <r>
          <rPr>
            <sz val="9"/>
            <rFont val="Tahoma"/>
            <family val="2"/>
          </rPr>
          <t xml:space="preserve">
Includes deferred tax</t>
        </r>
      </text>
    </comment>
    <comment ref="AH240" authorId="0" shapeId="0" xr:uid="{00000000-0006-0000-0100-0000D5000000}">
      <text>
        <r>
          <rPr>
            <b/>
            <sz val="9"/>
            <rFont val="Tahoma"/>
            <family val="2"/>
          </rPr>
          <t>Tegus (SH):</t>
        </r>
        <r>
          <rPr>
            <sz val="9"/>
            <rFont val="Tahoma"/>
            <family val="2"/>
          </rPr>
          <t xml:space="preserve">
Includes deferred tax</t>
        </r>
      </text>
    </comment>
    <comment ref="AI240" authorId="0" shapeId="0" xr:uid="{00000000-0006-0000-0100-0000D6000000}">
      <text>
        <r>
          <rPr>
            <b/>
            <sz val="9"/>
            <rFont val="Tahoma"/>
            <family val="2"/>
          </rPr>
          <t>Tegus (SH):</t>
        </r>
        <r>
          <rPr>
            <sz val="9"/>
            <rFont val="Tahoma"/>
            <family val="2"/>
          </rPr>
          <t xml:space="preserve">
Includes deferred tax</t>
        </r>
      </text>
    </comment>
    <comment ref="AJ240" authorId="0" shapeId="0" xr:uid="{00000000-0006-0000-0100-0000D7000000}">
      <text>
        <r>
          <rPr>
            <b/>
            <sz val="9"/>
            <rFont val="Tahoma"/>
            <family val="2"/>
          </rPr>
          <t>Tegus (SH):</t>
        </r>
        <r>
          <rPr>
            <sz val="9"/>
            <rFont val="Tahoma"/>
            <family val="2"/>
          </rPr>
          <t xml:space="preserve">
Includes deferred tax</t>
        </r>
      </text>
    </comment>
    <comment ref="V241" authorId="0" shapeId="0" xr:uid="{00000000-0006-0000-0100-0000D8000000}">
      <text>
        <r>
          <rPr>
            <b/>
            <sz val="9"/>
            <rFont val="Tahoma"/>
            <family val="2"/>
          </rPr>
          <t>Tegus (SH):</t>
        </r>
        <r>
          <rPr>
            <sz val="9"/>
            <rFont val="Tahoma"/>
            <family val="2"/>
          </rPr>
          <t xml:space="preserve">
Formula adjusted</t>
        </r>
      </text>
    </comment>
    <comment ref="AF249" authorId="0" shapeId="0" xr:uid="{00000000-0006-0000-0100-0000D9000000}">
      <text>
        <r>
          <rPr>
            <b/>
            <sz val="9"/>
            <rFont val="Tahoma"/>
            <family val="2"/>
          </rPr>
          <t>Tegus (VT):</t>
        </r>
        <r>
          <rPr>
            <sz val="9"/>
            <rFont val="Tahoma"/>
            <family val="2"/>
          </rPr>
          <t xml:space="preserve">
Adjustments no longer reported</t>
        </r>
      </text>
    </comment>
    <comment ref="X265" authorId="0" shapeId="0" xr:uid="{00000000-0006-0000-0100-0000DA000000}">
      <text>
        <r>
          <rPr>
            <b/>
            <sz val="9"/>
            <rFont val="Tahoma"/>
            <family val="2"/>
          </rPr>
          <t>Tegus (DT):</t>
        </r>
        <r>
          <rPr>
            <sz val="9"/>
            <rFont val="Tahoma"/>
            <family val="2"/>
          </rPr>
          <t xml:space="preserve">
Effective September 2016, all Class A and Class B shares are converted into a single class of common stock. All Class A and B shares are retired and cancelled.</t>
        </r>
      </text>
    </comment>
    <comment ref="A283" authorId="0" shapeId="0" xr:uid="{00000000-0006-0000-0100-0000DD000000}">
      <text>
        <r>
          <rPr>
            <b/>
            <sz val="9"/>
            <rFont val="Tahoma"/>
            <family val="2"/>
          </rPr>
          <t>Tegus:</t>
        </r>
        <r>
          <rPr>
            <sz val="9"/>
            <rFont val="Tahoma"/>
            <family val="2"/>
          </rPr>
          <t xml:space="preserve">
In periods where EPS is negative, this amount is calculated using the closest prior period where EPS was positive.</t>
        </r>
      </text>
    </comment>
    <comment ref="L283" authorId="0" shapeId="0" xr:uid="{00000000-0006-0000-0100-0000DE000000}">
      <text>
        <r>
          <rPr>
            <b/>
            <sz val="9"/>
            <rFont val="Tahoma"/>
            <family val="2"/>
          </rPr>
          <t>Tegus (DT):</t>
        </r>
        <r>
          <rPr>
            <sz val="9"/>
            <rFont val="Tahoma"/>
            <family val="2"/>
          </rPr>
          <t xml:space="preserve">
All previous periods: all dilutive securities were anti-dilutive for EPS.</t>
        </r>
      </text>
    </comment>
    <comment ref="G316" authorId="0" shapeId="0" xr:uid="{00000000-0006-0000-0100-0000DF000000}">
      <text>
        <r>
          <rPr>
            <b/>
            <sz val="9"/>
            <rFont val="Tahoma"/>
            <family val="2"/>
          </rPr>
          <t>Tegus (UC):</t>
        </r>
        <r>
          <rPr>
            <sz val="9"/>
            <rFont val="Tahoma"/>
            <family val="2"/>
          </rPr>
          <t xml:space="preserve">
Weighted-average for the quarter.</t>
        </r>
      </text>
    </comment>
    <comment ref="H316" authorId="0" shapeId="0" xr:uid="{00000000-0006-0000-0100-0000E0000000}">
      <text>
        <r>
          <rPr>
            <b/>
            <sz val="9"/>
            <rFont val="Tahoma"/>
            <family val="2"/>
          </rPr>
          <t>Tegus (UC):</t>
        </r>
        <r>
          <rPr>
            <sz val="9"/>
            <rFont val="Tahoma"/>
            <family val="2"/>
          </rPr>
          <t xml:space="preserve">
Weighted-average for the quarter.</t>
        </r>
      </text>
    </comment>
    <comment ref="I316" authorId="0" shapeId="0" xr:uid="{00000000-0006-0000-0100-0000E1000000}">
      <text>
        <r>
          <rPr>
            <b/>
            <sz val="9"/>
            <rFont val="Tahoma"/>
            <family val="2"/>
          </rPr>
          <t>Tegus (UC):</t>
        </r>
        <r>
          <rPr>
            <sz val="9"/>
            <rFont val="Tahoma"/>
            <family val="2"/>
          </rPr>
          <t xml:space="preserve">
Weighted-average for the quarter.</t>
        </r>
      </text>
    </comment>
    <comment ref="AP316" authorId="0" shapeId="0" xr:uid="{00000000-0006-0000-0100-0000E2000000}">
      <text>
        <r>
          <rPr>
            <b/>
            <sz val="9"/>
            <rFont val="Tahoma"/>
            <family val="2"/>
          </rPr>
          <t>Tegus (UC):</t>
        </r>
        <r>
          <rPr>
            <sz val="9"/>
            <rFont val="Tahoma"/>
            <family val="2"/>
          </rPr>
          <t xml:space="preserve">
going forward includes PRSUs</t>
        </r>
      </text>
    </comment>
    <comment ref="J319" authorId="3" shapeId="0" xr:uid="{00000000-0006-0000-0100-0000DD000000}">
      <text>
        <r>
          <rPr>
            <b/>
            <sz val="9"/>
            <rFont val="Tahoma"/>
            <family val="2"/>
          </rPr>
          <t>Canalyst:</t>
        </r>
        <r>
          <rPr>
            <sz val="9"/>
            <rFont val="Tahoma"/>
            <family val="2"/>
          </rPr>
          <t xml:space="preserve">
Assumption by Canalyst</t>
        </r>
      </text>
    </comment>
    <comment ref="O319" authorId="3" shapeId="0" xr:uid="{00000000-0006-0000-0100-0000DE000000}">
      <text>
        <r>
          <rPr>
            <b/>
            <sz val="9"/>
            <rFont val="Tahoma"/>
            <family val="2"/>
          </rPr>
          <t>Canalyst:</t>
        </r>
        <r>
          <rPr>
            <sz val="9"/>
            <rFont val="Tahoma"/>
            <family val="2"/>
          </rPr>
          <t xml:space="preserve">
Assumption by Canalyst</t>
        </r>
      </text>
    </comment>
    <comment ref="T319" authorId="3" shapeId="0" xr:uid="{00000000-0006-0000-0100-0000DF000000}">
      <text>
        <r>
          <rPr>
            <b/>
            <sz val="9"/>
            <rFont val="Tahoma"/>
            <family val="2"/>
          </rPr>
          <t>Canalyst:</t>
        </r>
        <r>
          <rPr>
            <sz val="9"/>
            <rFont val="Tahoma"/>
            <family val="2"/>
          </rPr>
          <t xml:space="preserve">
Assumption by Canalyst</t>
        </r>
      </text>
    </comment>
    <comment ref="Y319" authorId="3" shapeId="0" xr:uid="{00000000-0006-0000-0100-0000E0000000}">
      <text>
        <r>
          <rPr>
            <b/>
            <sz val="9"/>
            <rFont val="Tahoma"/>
            <family val="2"/>
          </rPr>
          <t>Canalyst:</t>
        </r>
        <r>
          <rPr>
            <sz val="9"/>
            <rFont val="Tahoma"/>
            <family val="2"/>
          </rPr>
          <t xml:space="preserve">
Assumption by Canalyst</t>
        </r>
      </text>
    </comment>
    <comment ref="Z319" authorId="3" shapeId="0" xr:uid="{00000000-0006-0000-0100-0000E1000000}">
      <text>
        <r>
          <rPr>
            <b/>
            <sz val="9"/>
            <rFont val="Tahoma"/>
            <family val="2"/>
          </rPr>
          <t>Canalyst:</t>
        </r>
        <r>
          <rPr>
            <sz val="9"/>
            <rFont val="Tahoma"/>
            <family val="2"/>
          </rPr>
          <t xml:space="preserve">
Assumption by Canalyst</t>
        </r>
      </text>
    </comment>
    <comment ref="AI319" authorId="3" shapeId="0" xr:uid="{00000000-0006-0000-0100-0000E2000000}">
      <text>
        <r>
          <rPr>
            <b/>
            <sz val="9"/>
            <rFont val="Tahoma"/>
            <family val="2"/>
          </rPr>
          <t>Canalyst:</t>
        </r>
        <r>
          <rPr>
            <sz val="9"/>
            <rFont val="Tahoma"/>
            <family val="2"/>
          </rPr>
          <t xml:space="preserve">
Assumption by Canalyst</t>
        </r>
      </text>
    </comment>
    <comment ref="AS319" authorId="0" shapeId="0" xr:uid="{00000000-0006-0000-0100-0000E3000000}">
      <text>
        <r>
          <rPr>
            <b/>
            <sz val="9"/>
            <rFont val="Tahoma"/>
            <family val="2"/>
          </rPr>
          <t>Tegus (UC):</t>
        </r>
        <r>
          <rPr>
            <sz val="9"/>
            <rFont val="Tahoma"/>
            <family val="2"/>
          </rPr>
          <t xml:space="preserve">
Equal to Q3 to prevent the subtotal from being negative</t>
        </r>
      </text>
    </comment>
    <comment ref="AI320" authorId="0" shapeId="0" xr:uid="{00000000-0006-0000-0100-0000E4000000}">
      <text>
        <r>
          <rPr>
            <b/>
            <sz val="9"/>
            <rFont val="Tahoma"/>
            <family val="2"/>
          </rPr>
          <t>Tegus (UC):</t>
        </r>
        <r>
          <rPr>
            <sz val="9"/>
            <rFont val="Tahoma"/>
            <family val="2"/>
          </rPr>
          <t xml:space="preserve">
Equal to Q3 to prevent the subtotal from being negative</t>
        </r>
      </text>
    </comment>
    <comment ref="AN320" authorId="0" shapeId="0" xr:uid="{00000000-0006-0000-0100-0000E5000000}">
      <text>
        <r>
          <rPr>
            <b/>
            <sz val="9"/>
            <rFont val="Tahoma"/>
            <family val="2"/>
          </rPr>
          <t>Tegus (UC):</t>
        </r>
        <r>
          <rPr>
            <sz val="9"/>
            <rFont val="Tahoma"/>
            <family val="2"/>
          </rPr>
          <t xml:space="preserve">
Equal to Q3 to prevent the subtotal from being negative</t>
        </r>
      </text>
    </comment>
    <comment ref="AX320" authorId="0" shapeId="0" xr:uid="{00000000-0006-0000-0100-0000E6000000}">
      <text>
        <r>
          <rPr>
            <b/>
            <sz val="9"/>
            <rFont val="Tahoma"/>
            <family val="2"/>
          </rPr>
          <t>Tegus (UC):</t>
        </r>
        <r>
          <rPr>
            <sz val="9"/>
            <rFont val="Tahoma"/>
            <family val="2"/>
          </rPr>
          <t xml:space="preserve">
Equal to Q3 to prevent the subtotal from being negative</t>
        </r>
      </text>
    </comment>
    <comment ref="BC320" authorId="0" shapeId="0" xr:uid="{00000000-0006-0000-0100-0000E7000000}">
      <text>
        <r>
          <rPr>
            <b/>
            <sz val="9"/>
            <rFont val="Tahoma"/>
            <family val="2"/>
          </rPr>
          <t>Tegus (UC):</t>
        </r>
        <r>
          <rPr>
            <sz val="9"/>
            <rFont val="Tahoma"/>
            <family val="2"/>
          </rPr>
          <t xml:space="preserve">
Equal to Q3 to prevent the subtotal from being negative</t>
        </r>
      </text>
    </comment>
    <comment ref="BH320" authorId="0" shapeId="0" xr:uid="{00000000-0006-0000-0100-0000E8000000}">
      <text>
        <r>
          <rPr>
            <b/>
            <sz val="9"/>
            <rFont val="Tahoma"/>
            <family val="2"/>
          </rPr>
          <t>Tegus:</t>
        </r>
        <r>
          <rPr>
            <sz val="9"/>
            <rFont val="Tahoma"/>
            <family val="2"/>
          </rPr>
          <t xml:space="preserve">
Estimated</t>
        </r>
      </text>
    </comment>
    <comment ref="G323" authorId="0" shapeId="0" xr:uid="{00000000-0006-0000-0100-0000E9000000}">
      <text>
        <r>
          <rPr>
            <b/>
            <sz val="9"/>
            <rFont val="Tahoma"/>
            <family val="2"/>
          </rPr>
          <t>Tegus (UC):</t>
        </r>
        <r>
          <rPr>
            <sz val="9"/>
            <rFont val="Tahoma"/>
            <family val="2"/>
          </rPr>
          <t xml:space="preserve">
Weighted-average for the quarter.</t>
        </r>
      </text>
    </comment>
    <comment ref="H323" authorId="0" shapeId="0" xr:uid="{00000000-0006-0000-0100-0000EA000000}">
      <text>
        <r>
          <rPr>
            <b/>
            <sz val="9"/>
            <rFont val="Tahoma"/>
            <family val="2"/>
          </rPr>
          <t>Tegus (UC):</t>
        </r>
        <r>
          <rPr>
            <sz val="9"/>
            <rFont val="Tahoma"/>
            <family val="2"/>
          </rPr>
          <t xml:space="preserve">
Weighted-average for the quarter.</t>
        </r>
      </text>
    </comment>
    <comment ref="I323" authorId="0" shapeId="0" xr:uid="{00000000-0006-0000-0100-0000EB000000}">
      <text>
        <r>
          <rPr>
            <b/>
            <sz val="9"/>
            <rFont val="Tahoma"/>
            <family val="2"/>
          </rPr>
          <t>Tegus (UC):</t>
        </r>
        <r>
          <rPr>
            <sz val="9"/>
            <rFont val="Tahoma"/>
            <family val="2"/>
          </rPr>
          <t xml:space="preserve">
Weighted-average for the quarter.</t>
        </r>
      </text>
    </comment>
    <comment ref="A333" authorId="0" shapeId="0" xr:uid="{00000000-0006-0000-0100-0000EC000000}">
      <text>
        <r>
          <rPr>
            <b/>
            <sz val="9"/>
            <rFont val="Tahoma"/>
            <family val="2"/>
          </rPr>
          <t>Tegus (DT):</t>
        </r>
        <r>
          <rPr>
            <sz val="9"/>
            <rFont val="Tahoma"/>
            <family val="2"/>
          </rPr>
          <t xml:space="preserve">
Effective September 2016, all Class A and Class B shares are converted into a single class of common stock. All Class A and B shares are retired and cancelled.</t>
        </r>
      </text>
    </comment>
    <comment ref="L339" authorId="0" shapeId="0" xr:uid="{00000000-0006-0000-0100-0000ED000000}">
      <text>
        <r>
          <rPr>
            <b/>
            <sz val="9"/>
            <rFont val="Tahoma"/>
            <family val="2"/>
          </rPr>
          <t>Tegus (TZ):</t>
        </r>
        <r>
          <rPr>
            <sz val="9"/>
            <rFont val="Tahoma"/>
            <family val="2"/>
          </rPr>
          <t xml:space="preserve">
Represents shares withheld to satisfy tax withholding obligations in connection with the vesting of employee restricted stock awards under our 2012 Equity Incentive Plan, as amended</t>
        </r>
      </text>
    </comment>
    <comment ref="M339" authorId="0" shapeId="0" xr:uid="{00000000-0006-0000-0100-0000EE000000}">
      <text>
        <r>
          <rPr>
            <b/>
            <sz val="9"/>
            <rFont val="Tahoma"/>
            <family val="2"/>
          </rPr>
          <t>Tegus (TZ):</t>
        </r>
        <r>
          <rPr>
            <sz val="9"/>
            <rFont val="Tahoma"/>
            <family val="2"/>
          </rPr>
          <t xml:space="preserve">
Represents shares withheld to satisfy tax withholding obligations in connection with the vesting of employee restricted stock awards under our 2012 Equity Incentive Plan, as amended</t>
        </r>
      </text>
    </comment>
    <comment ref="N339" authorId="0" shapeId="0" xr:uid="{00000000-0006-0000-0100-0000EF000000}">
      <text>
        <r>
          <rPr>
            <b/>
            <sz val="9"/>
            <rFont val="Tahoma"/>
            <family val="2"/>
          </rPr>
          <t>Tegus (TZ):</t>
        </r>
        <r>
          <rPr>
            <sz val="9"/>
            <rFont val="Tahoma"/>
            <family val="2"/>
          </rPr>
          <t xml:space="preserve">
Represents shares withheld to satisfy tax withholding obligations in connection with the vesting of employee restricted stock awards under our 2012 Equity Incentive Plan, as amended</t>
        </r>
      </text>
    </comment>
    <comment ref="O339" authorId="0" shapeId="0" xr:uid="{00000000-0006-0000-0100-0000F0000000}">
      <text>
        <r>
          <rPr>
            <b/>
            <sz val="9"/>
            <rFont val="Tahoma"/>
            <family val="2"/>
          </rPr>
          <t>Tegus (TZ):</t>
        </r>
        <r>
          <rPr>
            <sz val="9"/>
            <rFont val="Tahoma"/>
            <family val="2"/>
          </rPr>
          <t xml:space="preserve">
Represents shares withheld to satisfy tax withholding obligations in connection with the vesting of employee restricted stock awards under our 2012 Equity Incentive Plan, as amended</t>
        </r>
      </text>
    </comment>
    <comment ref="Q339" authorId="0" shapeId="0" xr:uid="{00000000-0006-0000-0100-0000F1000000}">
      <text>
        <r>
          <rPr>
            <b/>
            <sz val="9"/>
            <rFont val="Tahoma"/>
            <family val="2"/>
          </rPr>
          <t>Tegus (TZ):</t>
        </r>
        <r>
          <rPr>
            <sz val="9"/>
            <rFont val="Tahoma"/>
            <family val="2"/>
          </rPr>
          <t xml:space="preserve">
Represents shares withheld to satisfy tax withholding obligations in connection with the vesting of employee restricted stock awards under our 2012 Equity Incentive Plan, as amended</t>
        </r>
      </text>
    </comment>
    <comment ref="R339" authorId="0" shapeId="0" xr:uid="{00000000-0006-0000-0100-0000F2000000}">
      <text>
        <r>
          <rPr>
            <b/>
            <sz val="9"/>
            <rFont val="Tahoma"/>
            <family val="2"/>
          </rPr>
          <t>Tegus (TZ):</t>
        </r>
        <r>
          <rPr>
            <sz val="9"/>
            <rFont val="Tahoma"/>
            <family val="2"/>
          </rPr>
          <t xml:space="preserve">
Represents shares withheld to satisfy tax withholding obligations in connection with the vesting of employee restricted stock awards under our 2012 Equity Incentive Plan, as amended</t>
        </r>
      </text>
    </comment>
    <comment ref="S339" authorId="0" shapeId="0" xr:uid="{00000000-0006-0000-0100-0000F3000000}">
      <text>
        <r>
          <rPr>
            <b/>
            <sz val="9"/>
            <rFont val="Tahoma"/>
            <family val="2"/>
          </rPr>
          <t>Tegus (TZ):</t>
        </r>
        <r>
          <rPr>
            <sz val="9"/>
            <rFont val="Tahoma"/>
            <family val="2"/>
          </rPr>
          <t xml:space="preserve">
Represents shares withheld to satisfy tax withholding obligations in connection with the vesting of employee restricted stock awards under our 2012 Equity Incentive Plan, as amended</t>
        </r>
      </text>
    </comment>
    <comment ref="AC353" authorId="0" shapeId="0" xr:uid="{00000000-0006-0000-0100-0000F4000000}">
      <text>
        <r>
          <rPr>
            <b/>
            <sz val="9"/>
            <rFont val="Tahoma"/>
            <family val="2"/>
          </rPr>
          <t>Tegus (AG):</t>
        </r>
        <r>
          <rPr>
            <sz val="9"/>
            <rFont val="Tahoma"/>
            <family val="2"/>
          </rPr>
          <t xml:space="preserve">
In July 2017, our board of directions authorized a stock repurchase program under which we may repurchase up to $200 million of our outstanding common stock</t>
        </r>
      </text>
    </comment>
    <comment ref="AP353" authorId="0" shapeId="0" xr:uid="{00000000-0006-0000-0100-0000F5000000}">
      <text>
        <r>
          <rPr>
            <b/>
            <sz val="9"/>
            <rFont val="Tahoma"/>
            <family val="2"/>
          </rPr>
          <t>Tegus (AG):</t>
        </r>
        <r>
          <rPr>
            <sz val="9"/>
            <rFont val="Tahoma"/>
            <family val="2"/>
          </rPr>
          <t xml:space="preserve">
The Company's board of directors authorized the Company to repurchase up to an additional $250.0 million of its outstanding common stock in each of November 2018, February 2019 and January 2020, bringing the total amount of authorized repurchases to $950.0 million as of March 31, 2020, $269.0 million of which remains available</t>
        </r>
      </text>
    </comment>
    <comment ref="AI354" authorId="0" shapeId="0" xr:uid="{00000000-0006-0000-0100-0000F6000000}">
      <text>
        <r>
          <rPr>
            <b/>
            <sz val="9"/>
            <rFont val="Tahoma"/>
            <family val="2"/>
          </rPr>
          <t>Tegus (AG):</t>
        </r>
        <r>
          <rPr>
            <sz val="9"/>
            <rFont val="Tahoma"/>
            <family val="2"/>
          </rPr>
          <t xml:space="preserve">
On November 27, 2018, our board of directors authorized us to repurchase up to an additional $250 million of our outstanding stock</t>
        </r>
      </text>
    </comment>
    <comment ref="AK354" authorId="0" shapeId="0" xr:uid="{00000000-0006-0000-0100-0000F7000000}">
      <text>
        <r>
          <rPr>
            <b/>
            <sz val="9"/>
            <rFont val="Tahoma"/>
            <family val="2"/>
          </rPr>
          <t>Tegus (AG):</t>
        </r>
        <r>
          <rPr>
            <sz val="9"/>
            <rFont val="Tahoma"/>
            <family val="2"/>
          </rPr>
          <t xml:space="preserve">
On February 11, 2019, our board of directors authorized a $250 million increase to our stock repurchase program,</t>
        </r>
      </text>
    </comment>
    <comment ref="AW354" authorId="0" shapeId="0" xr:uid="{00000000-0006-0000-0100-0000F8000000}">
      <text>
        <r>
          <rPr>
            <b/>
            <sz val="9"/>
            <rFont val="Tahoma"/>
            <family val="2"/>
          </rPr>
          <t>Tegus (AG):</t>
        </r>
        <r>
          <rPr>
            <sz val="9"/>
            <rFont val="Tahoma"/>
            <family val="2"/>
          </rPr>
          <t xml:space="preserve">
Additional $250mm share repurchase approved in Aug 2021 by Board</t>
        </r>
      </text>
    </comment>
    <comment ref="BC354" authorId="0" shapeId="0" xr:uid="{00000000-0006-0000-0100-0000F9000000}">
      <text>
        <r>
          <rPr>
            <b/>
            <sz val="9"/>
            <rFont val="Tahoma"/>
            <family val="2"/>
          </rPr>
          <t>Tegus (AG):</t>
        </r>
        <r>
          <rPr>
            <sz val="9"/>
            <rFont val="Tahoma"/>
            <family val="2"/>
          </rPr>
          <t xml:space="preserve">
PR: Board authorized increase of $250mm share repurchase</t>
        </r>
      </text>
    </comment>
    <comment ref="BJ354" authorId="0" shapeId="0" xr:uid="{00000000-0006-0000-0100-0000FA000000}">
      <text>
        <r>
          <rPr>
            <b/>
            <sz val="9"/>
            <rFont val="Tahoma"/>
            <family val="2"/>
          </rPr>
          <t>Tegus (WW):</t>
        </r>
        <r>
          <rPr>
            <sz val="9"/>
            <rFont val="Tahoma"/>
            <family val="2"/>
          </rPr>
          <t xml:space="preserve">
500 million authorized in Feb 2024</t>
        </r>
      </text>
    </comment>
    <comment ref="AP358" authorId="0" shapeId="0" xr:uid="{00000000-0006-0000-0100-0000FB000000}">
      <text>
        <r>
          <rPr>
            <b/>
            <sz val="9"/>
            <rFont val="Tahoma"/>
            <family val="2"/>
          </rPr>
          <t>Tegus (AG):</t>
        </r>
        <r>
          <rPr>
            <sz val="9"/>
            <rFont val="Tahoma"/>
            <family val="2"/>
          </rPr>
          <t xml:space="preserve">
The Company's board of directors authorized the Company to repurchase up to an additional $250.0 million of its outstanding common stock in each of November 2018, February 2019 and January 2020, bringing the total amount of authorized repurchases to $950.0 million as of March 31, 2020, $269.0 million of which remains available</t>
        </r>
      </text>
    </comment>
    <comment ref="AQ358" authorId="0" shapeId="0" xr:uid="{00000000-0006-0000-0100-0000FC000000}">
      <text>
        <r>
          <rPr>
            <b/>
            <sz val="9"/>
            <rFont val="Tahoma"/>
            <family val="2"/>
          </rPr>
          <t>Tegus (AG):</t>
        </r>
        <r>
          <rPr>
            <sz val="9"/>
            <rFont val="Tahoma"/>
            <family val="2"/>
          </rPr>
          <t xml:space="preserve">
Not reported, estimated to not change as company mentioned they did not conduct share repurchase for the period</t>
        </r>
      </text>
    </comment>
    <comment ref="AR358" authorId="0" shapeId="0" xr:uid="{00000000-0006-0000-0100-0000FD000000}">
      <text>
        <r>
          <rPr>
            <b/>
            <sz val="9"/>
            <rFont val="Tahoma"/>
            <family val="2"/>
          </rPr>
          <t>Tegus (AG):</t>
        </r>
        <r>
          <rPr>
            <sz val="9"/>
            <rFont val="Tahoma"/>
            <family val="2"/>
          </rPr>
          <t xml:space="preserve">
Not reported, estimated to not change as company mentioned they did not conduct share repurchase for the period</t>
        </r>
      </text>
    </comment>
    <comment ref="AP359" authorId="0" shapeId="0" xr:uid="{00000000-0006-0000-0100-0000FE000000}">
      <text>
        <r>
          <rPr>
            <b/>
            <sz val="9"/>
            <rFont val="Tahoma"/>
            <family val="2"/>
          </rPr>
          <t>Tegus (AG):</t>
        </r>
        <r>
          <rPr>
            <sz val="9"/>
            <rFont val="Tahoma"/>
            <family val="2"/>
          </rPr>
          <t xml:space="preserve">
The Company's board of directors authorized the Company to repurchase up to an additional $250.0 million of its outstanding common stock in each of November 2018, February 2019 and January 2020, bringing the total amount of authorized repurchases to $950.0 million as of March 31, 2020, $269.0 million of which remains available</t>
        </r>
      </text>
    </comment>
    <comment ref="AQ359" authorId="0" shapeId="0" xr:uid="{00000000-0006-0000-0100-0000FF000000}">
      <text>
        <r>
          <rPr>
            <b/>
            <sz val="9"/>
            <rFont val="Tahoma"/>
            <family val="2"/>
          </rPr>
          <t>Tegus (AG):</t>
        </r>
        <r>
          <rPr>
            <sz val="9"/>
            <rFont val="Tahoma"/>
            <family val="2"/>
          </rPr>
          <t xml:space="preserve">
Not reported, estimated to not change as company mentioned they did not conduct share repurchase for the period</t>
        </r>
      </text>
    </comment>
    <comment ref="AR359" authorId="0" shapeId="0" xr:uid="{00000000-0006-0000-0100-000000010000}">
      <text>
        <r>
          <rPr>
            <b/>
            <sz val="9"/>
            <rFont val="Tahoma"/>
            <family val="2"/>
          </rPr>
          <t>Tegus (AG):</t>
        </r>
        <r>
          <rPr>
            <sz val="9"/>
            <rFont val="Tahoma"/>
            <family val="2"/>
          </rPr>
          <t xml:space="preserve">
Not reported, estimated to not change as company mentioned they did not conduct share repurchase for the period</t>
        </r>
      </text>
    </comment>
    <comment ref="AP360" authorId="0" shapeId="0" xr:uid="{00000000-0006-0000-0100-000001010000}">
      <text>
        <r>
          <rPr>
            <b/>
            <sz val="9"/>
            <rFont val="Tahoma"/>
            <family val="2"/>
          </rPr>
          <t>Tegus (AG):</t>
        </r>
        <r>
          <rPr>
            <sz val="9"/>
            <rFont val="Tahoma"/>
            <family val="2"/>
          </rPr>
          <t xml:space="preserve">
The Company's board of directors authorized the Company to repurchase up to an additional $250.0 million of its outstanding common stock in each of November 2018, February 2019 and January 2020, bringing the total amount of authorized repurchases to $950.0 million as of March 31, 2020, $269.0 million of which remains available</t>
        </r>
      </text>
    </comment>
    <comment ref="AQ360" authorId="0" shapeId="0" xr:uid="{00000000-0006-0000-0100-000002010000}">
      <text>
        <r>
          <rPr>
            <b/>
            <sz val="9"/>
            <rFont val="Tahoma"/>
            <family val="2"/>
          </rPr>
          <t>Tegus (AG):</t>
        </r>
        <r>
          <rPr>
            <sz val="9"/>
            <rFont val="Tahoma"/>
            <family val="2"/>
          </rPr>
          <t xml:space="preserve">
Not reported, estimated to not change as company mentioned they did not conduct share repurchase for the period</t>
        </r>
      </text>
    </comment>
    <comment ref="AR360" authorId="0" shapeId="0" xr:uid="{00000000-0006-0000-0100-000003010000}">
      <text>
        <r>
          <rPr>
            <b/>
            <sz val="9"/>
            <rFont val="Tahoma"/>
            <family val="2"/>
          </rPr>
          <t>Tegus (AG):</t>
        </r>
        <r>
          <rPr>
            <sz val="9"/>
            <rFont val="Tahoma"/>
            <family val="2"/>
          </rPr>
          <t xml:space="preserve">
Not reported, estimated to not change as company mentioned they did not conduct share repurchase for the period</t>
        </r>
      </text>
    </comment>
    <comment ref="AP361" authorId="0" shapeId="0" xr:uid="{00000000-0006-0000-0100-000004010000}">
      <text>
        <r>
          <rPr>
            <b/>
            <sz val="9"/>
            <rFont val="Tahoma"/>
            <family val="2"/>
          </rPr>
          <t>Tegus (AG):</t>
        </r>
        <r>
          <rPr>
            <sz val="9"/>
            <rFont val="Tahoma"/>
            <family val="2"/>
          </rPr>
          <t xml:space="preserve">
The Company's board of directors authorized the Company to repurchase up to an additional $250.0 million of its outstanding common stock in each of November 2018, February 2019 and January 2020, bringing the total amount of authorized repurchases to $950.0 million as of March 31, 2020, $269.0 million of which remains available</t>
        </r>
      </text>
    </comment>
    <comment ref="AQ361" authorId="0" shapeId="0" xr:uid="{00000000-0006-0000-0100-000005010000}">
      <text>
        <r>
          <rPr>
            <b/>
            <sz val="9"/>
            <rFont val="Tahoma"/>
            <family val="2"/>
          </rPr>
          <t>Tegus (AG):</t>
        </r>
        <r>
          <rPr>
            <sz val="9"/>
            <rFont val="Tahoma"/>
            <family val="2"/>
          </rPr>
          <t xml:space="preserve">
Not reported, estimated to not change as company mentioned they did not conduct share repurchase for the period</t>
        </r>
      </text>
    </comment>
    <comment ref="AR361" authorId="0" shapeId="0" xr:uid="{00000000-0006-0000-0100-000006010000}">
      <text>
        <r>
          <rPr>
            <b/>
            <sz val="9"/>
            <rFont val="Tahoma"/>
            <family val="2"/>
          </rPr>
          <t>Tegus (AG):</t>
        </r>
        <r>
          <rPr>
            <sz val="9"/>
            <rFont val="Tahoma"/>
            <family val="2"/>
          </rPr>
          <t xml:space="preserve">
Not reported, estimated to not change as company mentioned they did not conduct share repurchase for the period</t>
        </r>
      </text>
    </comment>
    <comment ref="AA372" authorId="0" shapeId="0" xr:uid="{00000000-0006-0000-0100-000007010000}">
      <text>
        <r>
          <rPr>
            <b/>
            <sz val="9"/>
            <rFont val="Tahoma"/>
            <family val="2"/>
          </rPr>
          <t>Tegus (YY):</t>
        </r>
        <r>
          <rPr>
            <sz val="9"/>
            <rFont val="Tahoma"/>
            <family val="2"/>
          </rPr>
          <t xml:space="preserve">
Acquires Wi-Fi Marketing Company and Nowait system in cash</t>
        </r>
      </text>
    </comment>
    <comment ref="AD373" authorId="0" shapeId="0" xr:uid="{00000000-0006-0000-0100-000008010000}">
      <text>
        <r>
          <rPr>
            <b/>
            <sz val="9"/>
            <rFont val="Tahoma"/>
            <family val="2"/>
          </rPr>
          <t>Tegus (VT):</t>
        </r>
        <r>
          <rPr>
            <sz val="9"/>
            <rFont val="Tahoma"/>
            <family val="2"/>
          </rPr>
          <t xml:space="preserve">
Sale of Eat24</t>
        </r>
      </text>
    </comment>
    <comment ref="AJ437" authorId="0" shapeId="0" xr:uid="{00000000-0006-0000-0100-00000A01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The company adopted ASC 606 as of January 1 2018. The previous periods would be restated</t>
        </r>
      </text>
    </comment>
    <comment ref="BJ440" authorId="0" shapeId="0" xr:uid="{00000000-0006-0000-0100-00000B010000}">
      <text>
        <r>
          <rPr>
            <b/>
            <sz val="9"/>
            <rFont val="Tahoma"/>
            <family val="2"/>
          </rPr>
          <t>Tegus (DHJ):</t>
        </r>
        <r>
          <rPr>
            <sz val="9"/>
            <rFont val="Tahoma"/>
            <family val="2"/>
          </rPr>
          <t xml:space="preserve">
Amortization of right-of-use assets</t>
        </r>
      </text>
    </comment>
    <comment ref="BK440" authorId="0" shapeId="0" xr:uid="{00000000-0006-0000-0100-00000C010000}">
      <text>
        <r>
          <rPr>
            <b/>
            <sz val="9"/>
            <rFont val="Tahoma"/>
            <family val="2"/>
          </rPr>
          <t>Tegus (DHJ):</t>
        </r>
        <r>
          <rPr>
            <sz val="9"/>
            <rFont val="Tahoma"/>
            <family val="2"/>
          </rPr>
          <t xml:space="preserve">
Amortization of right-of-use assets</t>
        </r>
      </text>
    </comment>
    <comment ref="BL440" authorId="0" shapeId="0" xr:uid="{00000000-0006-0000-0100-00000D010000}">
      <text>
        <r>
          <rPr>
            <b/>
            <sz val="9"/>
            <rFont val="Tahoma"/>
            <family val="2"/>
          </rPr>
          <t>Tegus (DHJ):</t>
        </r>
        <r>
          <rPr>
            <sz val="9"/>
            <rFont val="Tahoma"/>
            <family val="2"/>
          </rPr>
          <t xml:space="preserve">
Amortization of right-of-use assets</t>
        </r>
      </text>
    </comment>
    <comment ref="AL464" authorId="0" shapeId="0" xr:uid="{00000000-0006-0000-0100-00000E01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represented as Release of escrow deposit</t>
        </r>
      </text>
    </comment>
    <comment ref="AM464" authorId="0" shapeId="0" xr:uid="{00000000-0006-0000-0100-00000F01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represented as Release of escrow deposit</t>
        </r>
      </text>
    </comment>
    <comment ref="AO464" authorId="0" shapeId="0" xr:uid="{00000000-0006-0000-0100-00001001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represented as 'Release of escrow deposit'</t>
        </r>
      </text>
    </comment>
    <comment ref="BI475" authorId="0" shapeId="0" xr:uid="{00000000-0006-0000-0100-000011010000}">
      <text>
        <r>
          <rPr>
            <b/>
            <sz val="9"/>
            <rFont val="Tahoma"/>
            <family val="2"/>
          </rPr>
          <t>Tegus (WW):</t>
        </r>
        <r>
          <rPr>
            <sz val="9"/>
            <rFont val="Tahoma"/>
            <family val="2"/>
          </rPr>
          <t xml:space="preserve">
Maturity of other investments</t>
        </r>
      </text>
    </comment>
    <comment ref="AA497" authorId="0" shapeId="0" xr:uid="{00000000-0006-0000-0100-00001201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hardcode</t>
        </r>
      </text>
    </comment>
    <comment ref="AF497" authorId="0" shapeId="0" xr:uid="{00000000-0006-0000-0100-000013010000}">
      <text>
        <r>
          <rPr>
            <b/>
            <sz val="9"/>
            <rFont val="Tahoma"/>
            <family val="2"/>
          </rPr>
          <t>Tegus (AY):</t>
        </r>
        <r>
          <rPr>
            <sz val="9"/>
            <rFont val="Tahoma"/>
            <family val="2"/>
          </rPr>
          <t xml:space="preserve">
Hardcoded as reported</t>
        </r>
      </text>
    </comment>
    <comment ref="AF566" authorId="0" shapeId="0" xr:uid="{00000000-0006-0000-0100-000015010000}">
      <text>
        <r>
          <rPr>
            <b/>
            <sz val="9"/>
            <rFont val="Tahoma"/>
            <family val="2"/>
          </rPr>
          <t>Tegus (AY):</t>
        </r>
        <r>
          <rPr>
            <sz val="9"/>
            <rFont val="Tahoma"/>
            <family val="2"/>
          </rPr>
          <t xml:space="preserve">
Hardcoded as reported</t>
        </r>
      </text>
    </comment>
    <comment ref="AJ566" authorId="0" shapeId="0" xr:uid="{00000000-0006-0000-0100-000016010000}">
      <text>
        <r>
          <rPr>
            <b/>
            <sz val="9"/>
            <rFont val="Tahoma"/>
            <family val="2"/>
          </rPr>
          <t>Tegus (AY):</t>
        </r>
        <r>
          <rPr>
            <sz val="9"/>
            <rFont val="Tahoma"/>
            <family val="2"/>
          </rPr>
          <t xml:space="preserve">
Adjusted formula</t>
        </r>
      </text>
    </comment>
    <comment ref="BG619" authorId="0" shapeId="0" xr:uid="{00000000-0006-0000-0100-000019010000}">
      <text>
        <r>
          <rPr>
            <b/>
            <sz val="9"/>
            <rFont val="Tahoma"/>
            <family val="2"/>
          </rPr>
          <t>Tegus (DHJ):</t>
        </r>
        <r>
          <rPr>
            <sz val="9"/>
            <rFont val="Tahoma"/>
            <family val="2"/>
          </rPr>
          <t xml:space="preserve">
Adjustment for restricted cash</t>
        </r>
      </text>
    </comment>
    <comment ref="BI619" authorId="0" shapeId="0" xr:uid="{00000000-0006-0000-0100-00001A010000}">
      <text>
        <r>
          <rPr>
            <b/>
            <sz val="9"/>
            <rFont val="Tahoma"/>
            <family val="2"/>
          </rPr>
          <t>Tegus (WW):</t>
        </r>
        <r>
          <rPr>
            <sz val="9"/>
            <rFont val="Tahoma"/>
            <family val="2"/>
          </rPr>
          <t xml:space="preserve">
Adjusted for restricted cash.</t>
        </r>
      </text>
    </comment>
    <comment ref="BJ619" authorId="0" shapeId="0" xr:uid="{00000000-0006-0000-0100-00001B010000}">
      <text>
        <r>
          <rPr>
            <b/>
            <sz val="9"/>
            <rFont val="Tahoma"/>
            <family val="2"/>
          </rPr>
          <t>Tegus (DHJ):</t>
        </r>
        <r>
          <rPr>
            <sz val="9"/>
            <rFont val="Tahoma"/>
            <family val="2"/>
          </rPr>
          <t xml:space="preserve">
Adjustment for restricted cash</t>
        </r>
      </text>
    </comment>
    <comment ref="BK619" authorId="2" shapeId="0" xr:uid="{00000000-0006-0000-0100-00001C010000}">
      <text>
        <r>
          <rPr>
            <b/>
            <sz val="9"/>
            <rFont val="Tahoma"/>
            <family val="2"/>
          </rPr>
          <t>Tegus (WW):</t>
        </r>
        <r>
          <rPr>
            <sz val="9"/>
            <rFont val="Tahoma"/>
            <family val="2"/>
          </rPr>
          <t xml:space="preserve">
Adjusted for restricted cash</t>
        </r>
      </text>
    </comment>
    <comment ref="BL619" authorId="2" shapeId="0" xr:uid="{00000000-0006-0000-0100-00001D010000}">
      <text>
        <r>
          <rPr>
            <b/>
            <sz val="9"/>
            <rFont val="Tahoma"/>
            <family val="2"/>
          </rPr>
          <t>Tegus (AR):</t>
        </r>
        <r>
          <rPr>
            <sz val="9"/>
            <rFont val="Tahoma"/>
            <family val="2"/>
          </rPr>
          <t xml:space="preserve">
Adjusted for restricted cash</t>
        </r>
      </text>
    </comment>
    <comment ref="BJ627" authorId="0" shapeId="0" xr:uid="{00000000-0006-0000-0100-00001E010000}">
      <text>
        <r>
          <rPr>
            <b/>
            <sz val="9"/>
            <rFont val="Tahoma"/>
            <family val="2"/>
          </rPr>
          <t>Tegus (WW):</t>
        </r>
        <r>
          <rPr>
            <sz val="9"/>
            <rFont val="Tahoma"/>
            <family val="2"/>
          </rPr>
          <t xml:space="preserve">
Accounts payable and accrual liability</t>
        </r>
      </text>
    </comment>
    <comment ref="BK627" authorId="0" shapeId="0" xr:uid="{00000000-0006-0000-0100-00001F010000}">
      <text>
        <r>
          <rPr>
            <b/>
            <sz val="9"/>
            <rFont val="Tahoma"/>
            <family val="2"/>
          </rPr>
          <t>Tegus (WW):</t>
        </r>
        <r>
          <rPr>
            <sz val="9"/>
            <rFont val="Tahoma"/>
            <family val="2"/>
          </rPr>
          <t xml:space="preserve">
Accounts payable and accrual liability</t>
        </r>
      </text>
    </comment>
    <comment ref="BL627" authorId="0" shapeId="0" xr:uid="{00000000-0006-0000-0100-000020010000}">
      <text>
        <r>
          <rPr>
            <b/>
            <sz val="9"/>
            <rFont val="Tahoma"/>
            <family val="2"/>
          </rPr>
          <t>Tegus (WW):</t>
        </r>
        <r>
          <rPr>
            <sz val="9"/>
            <rFont val="Tahoma"/>
            <family val="2"/>
          </rPr>
          <t xml:space="preserve">
Accounts payable and accrual liability</t>
        </r>
      </text>
    </comment>
    <comment ref="AB655" authorId="0" shapeId="0" xr:uid="{00000000-0006-0000-0100-000021010000}">
      <text>
        <r>
          <rPr>
            <b/>
            <sz val="9"/>
            <rFont val="Tahoma"/>
            <family val="2"/>
          </rPr>
          <t>Tegus (DL):</t>
        </r>
        <r>
          <rPr>
            <sz val="9"/>
            <rFont val="Tahoma"/>
            <family val="2"/>
          </rPr>
          <t xml:space="preserve">
backfilled as reported</t>
        </r>
      </text>
    </comment>
    <comment ref="AC655" authorId="0" shapeId="0" xr:uid="{00000000-0006-0000-0100-000022010000}">
      <text>
        <r>
          <rPr>
            <b/>
            <sz val="9"/>
            <rFont val="Tahoma"/>
            <family val="2"/>
          </rPr>
          <t>Tegus (AH):</t>
        </r>
        <r>
          <rPr>
            <sz val="9"/>
            <rFont val="Tahoma"/>
            <family val="2"/>
          </rPr>
          <t xml:space="preserve">
Cumulative net income in the cash flow statement is as reported</t>
        </r>
      </text>
    </comment>
    <comment ref="AD655" authorId="0" shapeId="0" xr:uid="{00000000-0006-0000-0100-000023010000}">
      <text>
        <r>
          <rPr>
            <b/>
            <sz val="9"/>
            <rFont val="Tahoma"/>
            <family val="2"/>
          </rPr>
          <t>Tegus (GJ):</t>
        </r>
        <r>
          <rPr>
            <sz val="9"/>
            <rFont val="Tahoma"/>
            <family val="2"/>
          </rPr>
          <t xml:space="preserve">
Rounding error; numbers are as reported.</t>
        </r>
      </text>
    </comment>
    <comment ref="Y659" authorId="0" shapeId="0" xr:uid="{00000000-0006-0000-0100-000024010000}">
      <text>
        <r>
          <rPr>
            <b/>
            <sz val="9"/>
            <rFont val="Tahoma"/>
            <family val="2"/>
          </rPr>
          <t>Tegus (AJ):</t>
        </r>
        <r>
          <rPr>
            <sz val="9"/>
            <rFont val="Tahoma"/>
            <family val="2"/>
          </rPr>
          <t xml:space="preserve">
reported to 1 decimal</t>
        </r>
      </text>
    </comment>
    <comment ref="K667" authorId="0" shapeId="0" xr:uid="{00000000-0006-0000-0100-000025010000}">
      <text>
        <r>
          <rPr>
            <b/>
            <sz val="9"/>
            <rFont val="Tahoma"/>
            <family val="2"/>
          </rPr>
          <t>Tegus (TK):</t>
        </r>
        <r>
          <rPr>
            <sz val="9"/>
            <rFont val="Tahoma"/>
            <family val="2"/>
          </rPr>
          <t xml:space="preserve">
Begins reporting non-GAAP net income in 2014</t>
        </r>
      </text>
    </comment>
    <comment ref="P667" authorId="0" shapeId="0" xr:uid="{00000000-0006-0000-0100-000026010000}">
      <text>
        <r>
          <rPr>
            <b/>
            <sz val="9"/>
            <rFont val="Tahoma"/>
            <family val="2"/>
          </rPr>
          <t>Tegus (TK):</t>
        </r>
        <r>
          <rPr>
            <sz val="9"/>
            <rFont val="Tahoma"/>
            <family val="2"/>
          </rPr>
          <t xml:space="preserve">
Begins reporting non-GAAP net income in 2014</t>
        </r>
      </text>
    </comment>
    <comment ref="Z667" authorId="0" shapeId="0" xr:uid="{00000000-0006-0000-0100-000027010000}">
      <text>
        <r>
          <rPr>
            <b/>
            <sz val="9"/>
            <rFont val="Tahoma"/>
            <family val="2"/>
          </rPr>
          <t>Tegus (KY):</t>
        </r>
        <r>
          <rPr>
            <sz val="9"/>
            <rFont val="Tahoma"/>
            <family val="2"/>
          </rPr>
          <t xml:space="preserve">
As reported </t>
        </r>
      </text>
    </comment>
    <comment ref="AE667" authorId="0" shapeId="0" xr:uid="{00000000-0006-0000-0100-000028010000}">
      <text>
        <r>
          <rPr>
            <b/>
            <sz val="9"/>
            <rFont val="Tahoma"/>
            <family val="2"/>
          </rPr>
          <t>Tegus (GJ):</t>
        </r>
        <r>
          <rPr>
            <sz val="9"/>
            <rFont val="Tahoma"/>
            <family val="2"/>
          </rPr>
          <t xml:space="preserve">
Rounding error; numbers are as reported.</t>
        </r>
      </text>
    </comment>
    <comment ref="K670" authorId="0" shapeId="0" xr:uid="{00000000-0006-0000-0100-000029010000}">
      <text>
        <r>
          <rPr>
            <b/>
            <sz val="9"/>
            <rFont val="Tahoma"/>
            <family val="2"/>
          </rPr>
          <t>Tegus (TK):</t>
        </r>
        <r>
          <rPr>
            <sz val="9"/>
            <rFont val="Tahoma"/>
            <family val="2"/>
          </rPr>
          <t xml:space="preserve">
Begins reporting non-GAAP net income in 2014</t>
        </r>
      </text>
    </comment>
    <comment ref="P670" authorId="0" shapeId="0" xr:uid="{00000000-0006-0000-0100-00002A010000}">
      <text>
        <r>
          <rPr>
            <b/>
            <sz val="9"/>
            <rFont val="Tahoma"/>
            <family val="2"/>
          </rPr>
          <t>Tegus (TK):</t>
        </r>
        <r>
          <rPr>
            <sz val="9"/>
            <rFont val="Tahoma"/>
            <family val="2"/>
          </rPr>
          <t xml:space="preserve">
Begins reporting non-GAAP net income in 2014</t>
        </r>
      </text>
    </comment>
    <comment ref="Z670" authorId="0" shapeId="0" xr:uid="{00000000-0006-0000-0100-00002B010000}">
      <text>
        <r>
          <rPr>
            <b/>
            <sz val="9"/>
            <rFont val="Tahoma"/>
            <family val="2"/>
          </rPr>
          <t>Tegus (KY):</t>
        </r>
        <r>
          <rPr>
            <sz val="9"/>
            <rFont val="Tahoma"/>
            <family val="2"/>
          </rPr>
          <t xml:space="preserve">
As reported </t>
        </r>
      </text>
    </comment>
    <comment ref="AE670" authorId="0" shapeId="0" xr:uid="{00000000-0006-0000-0100-00002C010000}">
      <text>
        <r>
          <rPr>
            <b/>
            <sz val="9"/>
            <rFont val="Tahoma"/>
            <family val="2"/>
          </rPr>
          <t>Tegus (GJ):</t>
        </r>
        <r>
          <rPr>
            <sz val="9"/>
            <rFont val="Tahoma"/>
            <family val="2"/>
          </rPr>
          <t xml:space="preserve">
Rounding error; numbers are as reported.</t>
        </r>
      </text>
    </comment>
  </commentList>
</comments>
</file>

<file path=xl/sharedStrings.xml><?xml version="1.0" encoding="utf-8"?>
<sst xmlns="http://schemas.openxmlformats.org/spreadsheetml/2006/main" count="808" uniqueCount="685">
  <si>
    <t xml:space="preserve">Company: </t>
  </si>
  <si>
    <t>Yelp Inc.</t>
  </si>
  <si>
    <t xml:space="preserve">Date of Analysis: </t>
  </si>
  <si>
    <t>Class:</t>
  </si>
  <si>
    <t>INSY 442 - Data Analysis and Visualization</t>
  </si>
  <si>
    <t>Yelp - Assumptions</t>
  </si>
  <si>
    <t>Forecasted</t>
  </si>
  <si>
    <t>Income Statement</t>
  </si>
  <si>
    <t>Revenues</t>
  </si>
  <si>
    <t>Operating Revenues</t>
  </si>
  <si>
    <t>Bear</t>
  </si>
  <si>
    <t>Base</t>
  </si>
  <si>
    <t>Bull</t>
  </si>
  <si>
    <t>EBIT</t>
  </si>
  <si>
    <t>EBIT as % of revenue</t>
  </si>
  <si>
    <t>Recommendation</t>
  </si>
  <si>
    <t>EBIT as % of Current EBIT</t>
  </si>
  <si>
    <t>EBIT Incremental Increase</t>
  </si>
  <si>
    <t>-</t>
  </si>
  <si>
    <t>Note:</t>
  </si>
  <si>
    <t xml:space="preserve">Base case assumes that Yelp can double the amount of "power businesses" from its baseline in 2024. We assume this happens in 5 years, with steady increments. </t>
  </si>
  <si>
    <t>Bull case assumes that Yelp can 2.5x the amount of "power businesses" from its baseline in 2024. We assume this happens in 5 years, with steady increments.</t>
  </si>
  <si>
    <t>Bear case assumes that Yelp can only convert a 1/3 of the amount of "power businesses" from its baseline in 2024. We assume this happens in 5 years, with steady increments.</t>
  </si>
  <si>
    <t>Table for Reference</t>
  </si>
  <si>
    <t>#of Users</t>
  </si>
  <si>
    <t>% of Total</t>
  </si>
  <si>
    <t>Cluster Label 0 - Power Users</t>
  </si>
  <si>
    <t>Cluster Label 1 - Average Business</t>
  </si>
  <si>
    <t>Cluster Label 2 - Lower Quality</t>
  </si>
  <si>
    <t>Total</t>
  </si>
  <si>
    <t>--&gt; from dashboard analysis</t>
  </si>
  <si>
    <t>Yelp - Schedule</t>
  </si>
  <si>
    <t>Historical</t>
  </si>
  <si>
    <t>Operating Revenue</t>
  </si>
  <si>
    <t>YoY Growth</t>
  </si>
  <si>
    <t>Total Revenues</t>
  </si>
  <si>
    <t>Operating Income</t>
  </si>
  <si>
    <t>% of Revenue</t>
  </si>
  <si>
    <t>Recommendation Tab</t>
  </si>
  <si>
    <t>FCF</t>
  </si>
  <si>
    <t>Current EBIT</t>
  </si>
  <si>
    <t>New EBIT</t>
  </si>
  <si>
    <t>% of current FCF</t>
  </si>
  <si>
    <t>Yelp Inc. - DCF</t>
  </si>
  <si>
    <t>Outputs</t>
  </si>
  <si>
    <t>Case Running</t>
  </si>
  <si>
    <t>Recommendation Switch</t>
  </si>
  <si>
    <t>For Reference</t>
  </si>
  <si>
    <t>Upside</t>
  </si>
  <si>
    <t>Case Switch</t>
  </si>
  <si>
    <t>Recommendation On?</t>
  </si>
  <si>
    <t>On</t>
  </si>
  <si>
    <t>Recommendation Off</t>
  </si>
  <si>
    <t>Recommendation On</t>
  </si>
  <si>
    <t>Recommendation Incremental Growth</t>
  </si>
  <si>
    <t>General Assumptions</t>
  </si>
  <si>
    <t>Bridge to Equity</t>
  </si>
  <si>
    <t>Valuation Date</t>
  </si>
  <si>
    <t>Exit Multiple Method</t>
  </si>
  <si>
    <t>Gordon Growth Method</t>
  </si>
  <si>
    <t>Ticker</t>
  </si>
  <si>
    <t>YELP</t>
  </si>
  <si>
    <t>Discount Rate</t>
  </si>
  <si>
    <t>Share Price</t>
  </si>
  <si>
    <t xml:space="preserve">Sum of PV of Cash Flow </t>
  </si>
  <si>
    <t>FD Shares Outstanding</t>
  </si>
  <si>
    <t xml:space="preserve">Terminal Multiple </t>
  </si>
  <si>
    <t>Terminal Growth Rate</t>
  </si>
  <si>
    <t>Cash</t>
  </si>
  <si>
    <t>Terminal Value</t>
  </si>
  <si>
    <t>Debt</t>
  </si>
  <si>
    <t>PV of Terminal Value:</t>
  </si>
  <si>
    <t>PV of Terminal Value</t>
  </si>
  <si>
    <t>Implied Terminal Enterprise Value</t>
  </si>
  <si>
    <t>DCF Assumptions</t>
  </si>
  <si>
    <t>(+) Cash</t>
  </si>
  <si>
    <t>Tax Rate</t>
  </si>
  <si>
    <t>(-) Debt</t>
  </si>
  <si>
    <t>WACC</t>
  </si>
  <si>
    <t>Implied Equity Value</t>
  </si>
  <si>
    <t>Exit Multiple</t>
  </si>
  <si>
    <t>Perpetuity Growth Rate</t>
  </si>
  <si>
    <t>Shares Outstanding</t>
  </si>
  <si>
    <t>Implied Share Price</t>
  </si>
  <si>
    <t>WACC from Bloomberg</t>
  </si>
  <si>
    <t>Implied Upside/Downside</t>
  </si>
  <si>
    <t>End of Period</t>
  </si>
  <si>
    <t>DCF</t>
  </si>
  <si>
    <t>Current Business Model</t>
  </si>
  <si>
    <t>Revenue</t>
  </si>
  <si>
    <t>% Growth</t>
  </si>
  <si>
    <t>(-) Taxes</t>
  </si>
  <si>
    <t>NOPAT</t>
  </si>
  <si>
    <t>Addition of Our Recommendation</t>
  </si>
  <si>
    <t>EBIT from recommendation</t>
  </si>
  <si>
    <t>% of Current EBIT</t>
  </si>
  <si>
    <t>Total NOPAT</t>
  </si>
  <si>
    <t>(+) Depreciation &amp; Amortization</t>
  </si>
  <si>
    <t>(-) Capital Expenditures</t>
  </si>
  <si>
    <t>(-) Change in Net Working Capital</t>
  </si>
  <si>
    <t>Unlevered Free Cash Flow</t>
  </si>
  <si>
    <t>Discount Factor</t>
  </si>
  <si>
    <t>Discounted Free Cash Flow</t>
  </si>
  <si>
    <t>Sum of PV of UFCF</t>
  </si>
  <si>
    <t>Senstivity Analysis</t>
  </si>
  <si>
    <t>Terminal Value Multiple</t>
  </si>
  <si>
    <t>Case</t>
  </si>
  <si>
    <t>FY2009</t>
  </si>
  <si>
    <t>Growth Analysis</t>
  </si>
  <si>
    <t>Services Advertising revenue growth, %</t>
  </si>
  <si>
    <t>Restaurants, retail &amp; other revenue growth, %</t>
  </si>
  <si>
    <t>Local advertising revenue growth, %</t>
  </si>
  <si>
    <t>Transactions revenue growth, %</t>
  </si>
  <si>
    <t>Brand advertising revenue growth, %</t>
  </si>
  <si>
    <t>Other services revenue growth, %</t>
  </si>
  <si>
    <t>Total Revenue Growth, %</t>
  </si>
  <si>
    <t>Segmented Results - Revenue Breakdown (FS)</t>
  </si>
  <si>
    <t xml:space="preserve">Unrestated </t>
  </si>
  <si>
    <t>Services Advertising revenue, mm</t>
  </si>
  <si>
    <t>Restaurants, retail &amp; other revenue, mm</t>
  </si>
  <si>
    <t>Advertising revenue, mm</t>
  </si>
  <si>
    <t>Transactions revenue, mm</t>
  </si>
  <si>
    <t>Brand advertising revenue, mm</t>
  </si>
  <si>
    <t>Other services revenue, mm</t>
  </si>
  <si>
    <t>Total revenue, mm</t>
  </si>
  <si>
    <t>Operating Stats - Paying Advertising Locations (MD&amp;A)</t>
  </si>
  <si>
    <t>Services Advertising Locations, 000s locations</t>
  </si>
  <si>
    <t>Restaurants, Retail &amp; Other Advertising Locations, 000s locations</t>
  </si>
  <si>
    <t>Paying Advertising Locations, 000s locations</t>
  </si>
  <si>
    <t>Services Advertising Locations growth, %</t>
  </si>
  <si>
    <t>Restaurants, Retail &amp; Other Advertising Locations growth, %</t>
  </si>
  <si>
    <t>Paying Advertising Locations growth, %</t>
  </si>
  <si>
    <t>Average Services Advertising Locations, 000s locations</t>
  </si>
  <si>
    <t>Average Restaurants, Retail &amp; Other Advertising Locations, 000s locations</t>
  </si>
  <si>
    <t>Average Paying Advertising Locations, 000s locations</t>
  </si>
  <si>
    <t>Services Revenue per Location per month, $/location</t>
  </si>
  <si>
    <t>Restaurants, Retail &amp; Other Revenue per Location per month, $/location</t>
  </si>
  <si>
    <t>Advertising Revenue per Location per month, $/location</t>
  </si>
  <si>
    <t>Services Revenue per Location per month growth, %</t>
  </si>
  <si>
    <t>Restaurants, Retail &amp; Other Revenue per Location per month growth, %</t>
  </si>
  <si>
    <t>Advertising Revenue per Location per month growth, %</t>
  </si>
  <si>
    <t>Key Metrics - Other (MD&amp;A)</t>
  </si>
  <si>
    <t>Reviews cumulative, mm reviews</t>
  </si>
  <si>
    <t>Claimed Local Business Locations (Cumulative), 000s locations</t>
  </si>
  <si>
    <t>Active Claimed Local Business Locations (Cumulative), 000s locations</t>
  </si>
  <si>
    <t>Paying Advertising Accounts, 000's accounts</t>
  </si>
  <si>
    <t>App unique devices, mm</t>
  </si>
  <si>
    <t>Desktop unique visitors, mm</t>
  </si>
  <si>
    <t>Mobile website unique visitors, mm</t>
  </si>
  <si>
    <t>Unique Traffic visitors, mm</t>
  </si>
  <si>
    <t>Ad clicks YoY growth, %</t>
  </si>
  <si>
    <t>Average CPC YoY growth, %</t>
  </si>
  <si>
    <t>Repeat Rate, %</t>
  </si>
  <si>
    <t>Key Metrics -Vertical Revenue Breakdown (Supplemental Data Sheet)</t>
  </si>
  <si>
    <t>Home &amp; Local revenue, %</t>
  </si>
  <si>
    <t>Restaurants revenue, %</t>
  </si>
  <si>
    <t>Beauty &amp; Fitness revenue, %</t>
  </si>
  <si>
    <t>Health revenue, %</t>
  </si>
  <si>
    <t>Shopping revenue, %</t>
  </si>
  <si>
    <t>Other revenue, %</t>
  </si>
  <si>
    <t>Discrepancies due to the rounding, %</t>
  </si>
  <si>
    <t>Total revenue, %</t>
  </si>
  <si>
    <t>Home &amp; Local revenue, mm</t>
  </si>
  <si>
    <t>Restaurants revenue, mm</t>
  </si>
  <si>
    <t>Beauty &amp; Fitness revenue, mm</t>
  </si>
  <si>
    <t>Health revenue, mm</t>
  </si>
  <si>
    <t>Shopping revenue, mm</t>
  </si>
  <si>
    <t>Other revenue, mm</t>
  </si>
  <si>
    <t>Discrepancies due to the rounding, mm</t>
  </si>
  <si>
    <t>Segmented Results - Geographic Breakdown (FS)</t>
  </si>
  <si>
    <t>Unites States revenue, mm</t>
  </si>
  <si>
    <t>All other countries revenue, mm</t>
  </si>
  <si>
    <t>Key Metrics - Employees (PR)</t>
  </si>
  <si>
    <t>Sales employees, # of employees</t>
  </si>
  <si>
    <t>Other employees, # of employees</t>
  </si>
  <si>
    <t>Total employees, # of employees</t>
  </si>
  <si>
    <t>Key Metrics - Dashboard Metrics (FS)</t>
  </si>
  <si>
    <t>Advertising expense, mm</t>
  </si>
  <si>
    <t>Y/Y growth in Advertising expense, %</t>
  </si>
  <si>
    <t>Advertising expenses as a % of SM, %</t>
  </si>
  <si>
    <t>Key Metrics - Y/Y Cost Granularity (FS)</t>
  </si>
  <si>
    <t>Previous COGS, mm</t>
  </si>
  <si>
    <t>COGS Change Advertising fulfillment, mm</t>
  </si>
  <si>
    <t>COGS Change Website infrastructure expenses, mm</t>
  </si>
  <si>
    <t>COGS Change Merchant fees, mm</t>
  </si>
  <si>
    <t>COGS Change Confirmation services and 3rd party delivery costs, mm</t>
  </si>
  <si>
    <t>COGS Change Set up and creative design costs, mm</t>
  </si>
  <si>
    <t>COGS Change Discrepancy, mm</t>
  </si>
  <si>
    <t>Current COGS, mm</t>
  </si>
  <si>
    <t>Previous S&amp;M, mm</t>
  </si>
  <si>
    <t>S&amp;M Change Employees costs, mm</t>
  </si>
  <si>
    <t>S&amp;M Change Workplace operating costs, mm</t>
  </si>
  <si>
    <t>S&amp;M Change Facilities costs, mm</t>
  </si>
  <si>
    <t>S&amp;M Change Commission expenses, mm</t>
  </si>
  <si>
    <t>S&amp;M Change Advertising costs, mm</t>
  </si>
  <si>
    <t>S&amp;M Change Discrepancy, mm</t>
  </si>
  <si>
    <t>Current S&amp;M, mm</t>
  </si>
  <si>
    <t>Previous R&amp;D, mm</t>
  </si>
  <si>
    <t>R&amp;D Change Employee costs, mm</t>
  </si>
  <si>
    <t>R&amp;D Change Workplace operating costs, mm</t>
  </si>
  <si>
    <t>R&amp;D Change Facilities insurance, business taxes, mm</t>
  </si>
  <si>
    <t>R&amp;D Change Outside consultant costs, mm</t>
  </si>
  <si>
    <t>R&amp;D Change Discrepancy, mm</t>
  </si>
  <si>
    <t>Current R&amp;D, mm</t>
  </si>
  <si>
    <t>Previous G&amp;A, mm</t>
  </si>
  <si>
    <t>G&amp;A Change Fees related to shareholders activism, mm</t>
  </si>
  <si>
    <t>G&amp;A Change Employees costs, consulting costs, and facilities, mm</t>
  </si>
  <si>
    <t>G&amp;A Change Provision for doubtful accounts, mm</t>
  </si>
  <si>
    <t>G&amp;A Change Impairment charges, mm</t>
  </si>
  <si>
    <t>G&amp;A Change legal fees, mm</t>
  </si>
  <si>
    <t>G&amp;A Change Facilities, mm</t>
  </si>
  <si>
    <t>G&amp;A Change Litigation settlement expense, mm</t>
  </si>
  <si>
    <t>G&amp;A Change Discrepancy, mm</t>
  </si>
  <si>
    <t>Current G&amp;A, mm</t>
  </si>
  <si>
    <t>Margin Analysis</t>
  </si>
  <si>
    <t>COGS Margin, %</t>
  </si>
  <si>
    <t>Gross Margin, %</t>
  </si>
  <si>
    <t>Consensus Estimates - Gross Margin, %</t>
  </si>
  <si>
    <t>R&amp;D Margin, %</t>
  </si>
  <si>
    <t>S&amp;M Margin, %</t>
  </si>
  <si>
    <t>G&amp;A Margin, %</t>
  </si>
  <si>
    <t>D&amp;A Margin, %</t>
  </si>
  <si>
    <t>Other Margin, %</t>
  </si>
  <si>
    <t>EBIT Margin, %</t>
  </si>
  <si>
    <t>Adjusted EBIT Margin (No Adjustments), %</t>
  </si>
  <si>
    <t>Consensus Estimates - Adjusted EBIT Margin, %</t>
  </si>
  <si>
    <t>Add back: D&amp;A Margin, %</t>
  </si>
  <si>
    <t>Add back: Other Margin, %</t>
  </si>
  <si>
    <t>EBITDA Margin, %</t>
  </si>
  <si>
    <t>Adjusted EBITDA Margin, %</t>
  </si>
  <si>
    <t>Consensus Estimates - Adjusted EBITDA Margin, %</t>
  </si>
  <si>
    <t>Income Statement - As Reported</t>
  </si>
  <si>
    <t>Net revenue</t>
  </si>
  <si>
    <t>Cost of revenue (exclusive of depreciation and amortization shown separately below)</t>
  </si>
  <si>
    <t>Sales and marketing</t>
  </si>
  <si>
    <t>Product development</t>
  </si>
  <si>
    <t>General and administrative</t>
  </si>
  <si>
    <t>Depreciation and amortization</t>
  </si>
  <si>
    <t>Restructuring and integration</t>
  </si>
  <si>
    <t>Gain on disposal of business</t>
  </si>
  <si>
    <t>Contribution to The Yelp Foundation</t>
  </si>
  <si>
    <t>Total costs and expenses</t>
  </si>
  <si>
    <t>Income (loss) from operations</t>
  </si>
  <si>
    <t>Interest income, net</t>
  </si>
  <si>
    <t>Transaction (loss) gain on foreign exchange</t>
  </si>
  <si>
    <t>Other non-operating income, net</t>
  </si>
  <si>
    <t>Other income (expense), net</t>
  </si>
  <si>
    <t>Income (loss) before income taxes</t>
  </si>
  <si>
    <t>Current tax</t>
  </si>
  <si>
    <t>Deferred tax</t>
  </si>
  <si>
    <t>Benefit (provision) for income taxes</t>
  </si>
  <si>
    <t>Net income (loss)</t>
  </si>
  <si>
    <t>Accretion of redeemable convertible preferred stock</t>
  </si>
  <si>
    <t>Net income (loss) attributable to common stockholders (Class A and B)</t>
  </si>
  <si>
    <t>IS Check</t>
  </si>
  <si>
    <t>Adjusted Numbers - As Reported</t>
  </si>
  <si>
    <t>Unrestated</t>
  </si>
  <si>
    <t>Net Income</t>
  </si>
  <si>
    <t>(Benefit) provision for income taxes</t>
  </si>
  <si>
    <t>Other income, net</t>
  </si>
  <si>
    <t>EBITDA</t>
  </si>
  <si>
    <t>Stock-based compensation</t>
  </si>
  <si>
    <t>Fees related to shareholder activism</t>
  </si>
  <si>
    <t>Gain on disposal of a business unit</t>
  </si>
  <si>
    <t>Litigation settlement expense</t>
  </si>
  <si>
    <t>Asset impairment</t>
  </si>
  <si>
    <t>Adjusted EBITDA</t>
  </si>
  <si>
    <t>GAAP net loss</t>
  </si>
  <si>
    <t>Amortization of intangible assets</t>
  </si>
  <si>
    <t>Tax adjustments</t>
  </si>
  <si>
    <t>Non-GAAP net income</t>
  </si>
  <si>
    <t>Cost of revenue</t>
  </si>
  <si>
    <t>Restructuring</t>
  </si>
  <si>
    <t>Total SBC</t>
  </si>
  <si>
    <t>Depreciation of PPE</t>
  </si>
  <si>
    <t>Amortization of intangibles</t>
  </si>
  <si>
    <t>Other D&amp;A</t>
  </si>
  <si>
    <t>Total D&amp;A</t>
  </si>
  <si>
    <t>Revised Income Statement</t>
  </si>
  <si>
    <t>Net Revenue</t>
  </si>
  <si>
    <t>COGS</t>
  </si>
  <si>
    <t>Gross Profit</t>
  </si>
  <si>
    <t>R&amp;D</t>
  </si>
  <si>
    <t>S&amp;M</t>
  </si>
  <si>
    <t>G&amp;A</t>
  </si>
  <si>
    <t>D&amp;A</t>
  </si>
  <si>
    <t>Other</t>
  </si>
  <si>
    <t>Add back: D&amp;A</t>
  </si>
  <si>
    <t>Add back: Other</t>
  </si>
  <si>
    <t>Interest expense, net</t>
  </si>
  <si>
    <t>Other items</t>
  </si>
  <si>
    <t>One-time item</t>
  </si>
  <si>
    <t>EBT</t>
  </si>
  <si>
    <t>Net Income from Continued Operation</t>
  </si>
  <si>
    <t>Discontinued Operations</t>
  </si>
  <si>
    <t>Net Income to NCI</t>
  </si>
  <si>
    <t>Preferred stock dividends</t>
  </si>
  <si>
    <t>Net Income to Common Shareholders</t>
  </si>
  <si>
    <t>Adjustments for Convertible Securities</t>
  </si>
  <si>
    <t>Diluted Net Income to Common Shareholders</t>
  </si>
  <si>
    <t>Non-GAAP Adjustments</t>
  </si>
  <si>
    <t>Non-GAAP Adjustments for Dilutive Securities</t>
  </si>
  <si>
    <t>Adjusted Net Income</t>
  </si>
  <si>
    <t>Current tax rate</t>
  </si>
  <si>
    <t>Deferred tax rate</t>
  </si>
  <si>
    <t>Earnings Per Share - WAB</t>
  </si>
  <si>
    <t>Earnings Per Share - WAD</t>
  </si>
  <si>
    <t>Adjusted Earnings Per Share - WAD</t>
  </si>
  <si>
    <t>Shares Outstanding - WAB</t>
  </si>
  <si>
    <t>Shares Outstanding - WAD</t>
  </si>
  <si>
    <t>Adjusted Shares Outstanding - WAD</t>
  </si>
  <si>
    <t>Share Count Analysis</t>
  </si>
  <si>
    <t>Last Working Day, date</t>
  </si>
  <si>
    <t>End of Period Stock Price, $/share</t>
  </si>
  <si>
    <t>Class B to Class A conversion ratio, x</t>
  </si>
  <si>
    <t>EoP Class A Common Stock Outstanding, mm shares</t>
  </si>
  <si>
    <t>EoP Class B Common Stock Outstanding, mm shares</t>
  </si>
  <si>
    <t>EoP Class A Equivalent Common Stock Outstanding, mm shares</t>
  </si>
  <si>
    <t>EoP Class A Equivalent Common Stock Outstanding excl. unvested RSAs, mm shares</t>
  </si>
  <si>
    <t>Q/Q basic share expansion from dilutive securities, %</t>
  </si>
  <si>
    <t>Y/Y basic share expansion from dilutive securities, %</t>
  </si>
  <si>
    <t>Q/Q basic share expansion from share issuance (buyback), %</t>
  </si>
  <si>
    <t>Y/Y basic share expansion from share issuance (buyback), %</t>
  </si>
  <si>
    <t>Q/Q basic share expansion - EoP, %</t>
  </si>
  <si>
    <t>Y/Y basic share expansion - EoP, %</t>
  </si>
  <si>
    <t>Dilutive Shares, mm shares</t>
  </si>
  <si>
    <t>Diluted share count to basic share count ratio, x</t>
  </si>
  <si>
    <t>EoP Total Diluted Common Stock Outstanding, mm shares</t>
  </si>
  <si>
    <t>Cumulative BoP Total Stock Options Outstanding, mm options</t>
  </si>
  <si>
    <t>Cumulative Granted Stock Options, mm options</t>
  </si>
  <si>
    <t>Cumulative Exercised Stock Options, mm options</t>
  </si>
  <si>
    <t>Cumulative Canceled, Expired or Forfeited Stock Options, mm options</t>
  </si>
  <si>
    <t>Cumulative EoP Total Stock Options Outstanding, mm options</t>
  </si>
  <si>
    <t>BoP Total Stock Options Outstanding, mm options</t>
  </si>
  <si>
    <t>Granted Stock Options, mm options</t>
  </si>
  <si>
    <t>Exercised Stock Options, mm options</t>
  </si>
  <si>
    <t>Canceled, Expired or Forfeited Stock Options, mm options</t>
  </si>
  <si>
    <t>EoP Total Stock Options Outstanding, mm options</t>
  </si>
  <si>
    <t>Cumulative BoP Weighted Average Exercise Price, $/share</t>
  </si>
  <si>
    <t>Cumulative Granted Average Exercise Price, $/share</t>
  </si>
  <si>
    <t>Cumulative Exercised Average Exercise Price, $/share</t>
  </si>
  <si>
    <t>Cumulative Canceled, Expired or Forfeited Stock Options, $/share</t>
  </si>
  <si>
    <t>Cumulative EoP Weighted Average Exercise Price, $/share</t>
  </si>
  <si>
    <t>BoP Weighted Average Exercise Price, $/share</t>
  </si>
  <si>
    <t>Granted Average Exercise Price, $/share</t>
  </si>
  <si>
    <t>Exercised Average Exercise Price, $/share</t>
  </si>
  <si>
    <t>Canceled, Expired or Forfeited Average Exercise Price, $/share</t>
  </si>
  <si>
    <t>EoP Weighted Average Exercise Price, $/share</t>
  </si>
  <si>
    <t>Dilutive Shares From Exercised Options (treasury method), mm shares</t>
  </si>
  <si>
    <t>EoP Total Stock Options Exercisable, mm options</t>
  </si>
  <si>
    <t>EoP Weighted Average Exercisable Option Exercise Price, $/share</t>
  </si>
  <si>
    <t>EoP Unvested RSUs, mm shares</t>
  </si>
  <si>
    <t>EoP Unvested RSUs Price, $/share</t>
  </si>
  <si>
    <t>Weighted-Average ESPP Obligations (antidilutive), mm shares</t>
  </si>
  <si>
    <t>Weighted-Average ESPP Obligations (dilutive), mm shares</t>
  </si>
  <si>
    <t>Weighted-Average ESPP Obligations, mm shares</t>
  </si>
  <si>
    <t>EoP Unvested RSAs, mm shares</t>
  </si>
  <si>
    <t>EoP Unvested RSAs Price, $/share</t>
  </si>
  <si>
    <t>EoP Others, mm shares</t>
  </si>
  <si>
    <t>EoP Potentially Dilutive Securities, mm shares</t>
  </si>
  <si>
    <t>Canalyst EoP Fully Diluted Shares Outstanding, mm shares</t>
  </si>
  <si>
    <t>Cover Page Class A Common Stock Outstanding, mm shares</t>
  </si>
  <si>
    <t>Cover Page Class B Common Stock Outstanding, mm shares</t>
  </si>
  <si>
    <t>Cover Page Class A Equivalent Common Stock Outstanding (calculated), mm shares</t>
  </si>
  <si>
    <t>Date of Cover Page Share Count, date</t>
  </si>
  <si>
    <t>Canalyst Cover Page Fully Diluted Shares Outstanding, mm shares</t>
  </si>
  <si>
    <t>Number of shares repurchased - month1, 000s of shares</t>
  </si>
  <si>
    <t>Number of shares repurchased - month2, 000s of shares</t>
  </si>
  <si>
    <t>Number of shares repurchased - month3, 000s of shares</t>
  </si>
  <si>
    <t>Number of shares repurchased, 000s of shares</t>
  </si>
  <si>
    <t>Average price of shares repurchased - month1, $/share</t>
  </si>
  <si>
    <t>Average price of shares repurchased - month2, $/share</t>
  </si>
  <si>
    <t>Average price of shares repurchased - month3, $/share</t>
  </si>
  <si>
    <t>Average price of shares repurchased (calculated), $/share</t>
  </si>
  <si>
    <t>Repurchase dollar value - month1, mm</t>
  </si>
  <si>
    <t>Repurchase dollar value - month2, mm</t>
  </si>
  <si>
    <t>Repurchase dollar value - month3, mm</t>
  </si>
  <si>
    <t>Repurchase dollar value, mm</t>
  </si>
  <si>
    <t>Addition of repurchases authorized - month1, mm</t>
  </si>
  <si>
    <t>Addition of repurchases authorized - month2, mm</t>
  </si>
  <si>
    <t>Addition of repurchases authorized - month3, mm</t>
  </si>
  <si>
    <t>Addition of repurchases authorized, mm</t>
  </si>
  <si>
    <t>Remaining dollar value under repurchase program - month1, mm</t>
  </si>
  <si>
    <t>Remaining dollar value under repurchase program - month2, mm</t>
  </si>
  <si>
    <t>Remaining dollar value under repurchase program - month3, mm</t>
  </si>
  <si>
    <t>Remaining dollar value under repurchase program, mm</t>
  </si>
  <si>
    <t>Cash Flow Summary</t>
  </si>
  <si>
    <t>Operating Cash Flow before WC</t>
  </si>
  <si>
    <t>Change in Working Capital</t>
  </si>
  <si>
    <t>Operating Cash Flow after WC</t>
  </si>
  <si>
    <t>Cash Flow Per Diluted Share before WC</t>
  </si>
  <si>
    <t>Cash Flow Per Diluted Share</t>
  </si>
  <si>
    <t>Consensus Estimates - Cash Flow Per Diluted Share</t>
  </si>
  <si>
    <t>Capex</t>
  </si>
  <si>
    <t>Acquisitions</t>
  </si>
  <si>
    <t>Divestiture</t>
  </si>
  <si>
    <t>Dividend Paid</t>
  </si>
  <si>
    <t>Dividend Per Share</t>
  </si>
  <si>
    <t>Net Debt Issuance (Repayment)</t>
  </si>
  <si>
    <t>Net Share Issuance (Buybacks)</t>
  </si>
  <si>
    <t>Estimated Share Price for Issuance/Buybacks, USD</t>
  </si>
  <si>
    <t>FCF (before WC), Pre Div</t>
  </si>
  <si>
    <t>FCF (before WC), Post Div, Pre A/D</t>
  </si>
  <si>
    <t>FCF (before WC), Post Div, Post A/D</t>
  </si>
  <si>
    <t>FCF (before WC), Post Div, Debt, Buyback, A/D</t>
  </si>
  <si>
    <t>FCF, Pre Div</t>
  </si>
  <si>
    <t>FCF, Post Div, Pre A/D</t>
  </si>
  <si>
    <t>FCF, Post Div, Post A/D</t>
  </si>
  <si>
    <t>FCF, Post Div, Debt, Buyback, A/D</t>
  </si>
  <si>
    <t>Balance Sheet Summary</t>
  </si>
  <si>
    <t>ST Debt</t>
  </si>
  <si>
    <t>LT Debt</t>
  </si>
  <si>
    <t>Operating Lease Liabilities</t>
  </si>
  <si>
    <t>Net Debt</t>
  </si>
  <si>
    <t>Interest Expense</t>
  </si>
  <si>
    <t>Effective Interest Rate on Debt</t>
  </si>
  <si>
    <t>Interest Income</t>
  </si>
  <si>
    <t>Effective Interest Rate on Cash</t>
  </si>
  <si>
    <t>Net Interest Expense (Income)</t>
  </si>
  <si>
    <t>Effective Net Interest Rate on Debt</t>
  </si>
  <si>
    <t>EBITDA / Net Interest Expense</t>
  </si>
  <si>
    <t>Net Debt / EBITDA</t>
  </si>
  <si>
    <t>Net Debt / Cash Flow</t>
  </si>
  <si>
    <t>Valuation</t>
  </si>
  <si>
    <t>EoP</t>
  </si>
  <si>
    <t>Enterprise Value Components</t>
  </si>
  <si>
    <t>Noncontrolling Interest</t>
  </si>
  <si>
    <t>Preferred Shares</t>
  </si>
  <si>
    <t>Other EV Components</t>
  </si>
  <si>
    <t>Cumulative Cash Flow Statement</t>
  </si>
  <si>
    <t>CFO</t>
  </si>
  <si>
    <t>Net loss</t>
  </si>
  <si>
    <t>Provision for doubtful accounts and sales returns</t>
  </si>
  <si>
    <t>Noncash lease cost</t>
  </si>
  <si>
    <t>Release of valuation allowance</t>
  </si>
  <si>
    <t>Loss on disposal of assets and website development costs</t>
  </si>
  <si>
    <t>Premium amortization, net, on securities held-to-maturity</t>
  </si>
  <si>
    <t>Excess tax benefit from share-based award activity</t>
  </si>
  <si>
    <t>Deferred income tax</t>
  </si>
  <si>
    <t>Amortization of deferred cost</t>
  </si>
  <si>
    <t>Realized gain on investments</t>
  </si>
  <si>
    <t>Noncash gain on lease termination</t>
  </si>
  <si>
    <t>CFO before WC</t>
  </si>
  <si>
    <t>Accounts receivable</t>
  </si>
  <si>
    <t>Prepaid expenses and other assets</t>
  </si>
  <si>
    <t>Accounts payable, accrued expenses and other liabilities</t>
  </si>
  <si>
    <t>Operating lease liabilities</t>
  </si>
  <si>
    <t>Deferred revenue</t>
  </si>
  <si>
    <t>Net CFO</t>
  </si>
  <si>
    <t>CFI</t>
  </si>
  <si>
    <t>Acquisition, net of cash received</t>
  </si>
  <si>
    <t>Purchases of property, equipment and software</t>
  </si>
  <si>
    <t>Capitalized website and software development costs</t>
  </si>
  <si>
    <t>Changes in restricted cash</t>
  </si>
  <si>
    <t>Purchases of intangible assets</t>
  </si>
  <si>
    <t>Purchase of cost-method investment</t>
  </si>
  <si>
    <t>Proceeds from sale of property and equipment</t>
  </si>
  <si>
    <t>Goodwill measurement period adjustment</t>
  </si>
  <si>
    <t>Other investing activities</t>
  </si>
  <si>
    <t>Sale of a business, net of cash sold</t>
  </si>
  <si>
    <t>Purchases of other investments</t>
  </si>
  <si>
    <t>Sales and maturities of marketable securities - available for sale</t>
  </si>
  <si>
    <t>Purchases of marketable securities</t>
  </si>
  <si>
    <t>Sale of investment prior to maturity</t>
  </si>
  <si>
    <t>Maturities of marketable securities</t>
  </si>
  <si>
    <t>Net CFI</t>
  </si>
  <si>
    <t>CFF</t>
  </si>
  <si>
    <t>Issuance of common stock upon exercise of employee stock options</t>
  </si>
  <si>
    <t>Proceeds from initial public offering, net of underwriter fees</t>
  </si>
  <si>
    <t>Proceeds from follow-on offering, net of offering costs</t>
  </si>
  <si>
    <t>Payments for deferred offering costs</t>
  </si>
  <si>
    <t>Proceeds from issuance of common stock from share-based awards</t>
  </si>
  <si>
    <t>Proceeds from issuance of common stock for Employee Stock Purchase Plan</t>
  </si>
  <si>
    <t>Proceeds from the issuance of Series E preferred stock, net of offering costs</t>
  </si>
  <si>
    <t>Repurchase of common stock</t>
  </si>
  <si>
    <t>Repayment of acquired debt</t>
  </si>
  <si>
    <t>Payment of issuance costs for credit facility</t>
  </si>
  <si>
    <t>Dividends paid</t>
  </si>
  <si>
    <t>Other financing activities</t>
  </si>
  <si>
    <t>Net CFF</t>
  </si>
  <si>
    <t>FX</t>
  </si>
  <si>
    <t>Net Change in Cash Balance</t>
  </si>
  <si>
    <t>Beginning Cash Balance</t>
  </si>
  <si>
    <t>Ending Cash Balance</t>
  </si>
  <si>
    <t>Cash paid (refund received) for income taxes, net</t>
  </si>
  <si>
    <t>Cash Flow Statement</t>
  </si>
  <si>
    <t>CF Check</t>
  </si>
  <si>
    <t>Working Capital Forecasting</t>
  </si>
  <si>
    <t>Accounts receivable, net of allowance for doubtful accounts, % of LTM Sales</t>
  </si>
  <si>
    <t>Accrued liabilities, % of LTM Sales</t>
  </si>
  <si>
    <t>Accounts receivable, net of allowance for doubtful accounts, Y/Y Change, %</t>
  </si>
  <si>
    <t>Accrued liabilities, Y/Y Change, %</t>
  </si>
  <si>
    <t>D&amp;A Forecasting</t>
  </si>
  <si>
    <t>PP&amp;E BoP, mm</t>
  </si>
  <si>
    <t>Depreciation of fixed assets, mm</t>
  </si>
  <si>
    <t>Capex of PP&amp;E, mm</t>
  </si>
  <si>
    <t>Other net additions to PP&amp;E, mm</t>
  </si>
  <si>
    <t>PP&amp;E EoP, mm</t>
  </si>
  <si>
    <t>Intangibles BoP, mm</t>
  </si>
  <si>
    <t>Amortization of intangibles, mm</t>
  </si>
  <si>
    <t>Capex of intangibles, mm</t>
  </si>
  <si>
    <t>Other net additions to intangibles, mm</t>
  </si>
  <si>
    <t>Intangibles EoP, mm</t>
  </si>
  <si>
    <t>Depreciation as percentage of PP&amp;E BoP, %</t>
  </si>
  <si>
    <t>Amortization as percentage of Intangibles BoP, %</t>
  </si>
  <si>
    <t>Implied life of fixed assets, yr</t>
  </si>
  <si>
    <t>Implied life of intangibles, yr</t>
  </si>
  <si>
    <t>D&amp;A of PPE and Intangibles, mm</t>
  </si>
  <si>
    <t>Capex of PPE and Intangibles, mm</t>
  </si>
  <si>
    <t>Percentage of capex allocated to intangible assets, %</t>
  </si>
  <si>
    <t>Balance Sheet</t>
  </si>
  <si>
    <t>Current Assets</t>
  </si>
  <si>
    <t>Cash and cash equivalents</t>
  </si>
  <si>
    <t>Restricted cash</t>
  </si>
  <si>
    <t>Assets held for sale</t>
  </si>
  <si>
    <t>Short-term marketable securities</t>
  </si>
  <si>
    <t>Accounts receivable, net of allowance for doubtful accounts</t>
  </si>
  <si>
    <t>Prepaid expenses and other current assets</t>
  </si>
  <si>
    <t>Total Current Assets</t>
  </si>
  <si>
    <t>Non-Current Assets</t>
  </si>
  <si>
    <t>Long-term marketable securities</t>
  </si>
  <si>
    <t>Property, equipment and software, net</t>
  </si>
  <si>
    <t>Operating lease right-of-use assets</t>
  </si>
  <si>
    <t>Goodwill</t>
  </si>
  <si>
    <t>Intangibles, net</t>
  </si>
  <si>
    <t>Other assets</t>
  </si>
  <si>
    <t>Total Non-Current Assets</t>
  </si>
  <si>
    <t>Total Assets</t>
  </si>
  <si>
    <t>Current Liabilities</t>
  </si>
  <si>
    <t>Short-term debt</t>
  </si>
  <si>
    <t>Accounts payable</t>
  </si>
  <si>
    <t>Accounts payable - merchant share</t>
  </si>
  <si>
    <t>Accrued liabilities</t>
  </si>
  <si>
    <t>Operating lease liabilities - current</t>
  </si>
  <si>
    <t>Liabilities held for sale</t>
  </si>
  <si>
    <t>Total Current Liabilities</t>
  </si>
  <si>
    <t>Non-Current Liabilities</t>
  </si>
  <si>
    <t>Long-term debt</t>
  </si>
  <si>
    <t>Operating lease liabilities - long term</t>
  </si>
  <si>
    <t>Long-term liabilities</t>
  </si>
  <si>
    <t>Total Non-Current liabilities</t>
  </si>
  <si>
    <t>Total Liabilities</t>
  </si>
  <si>
    <t>Shareholders' Equity</t>
  </si>
  <si>
    <t>Redeemable convertible preferred stock</t>
  </si>
  <si>
    <t>Common stock</t>
  </si>
  <si>
    <t>Additional paid-in capital</t>
  </si>
  <si>
    <t>Accumulated other comprehensive loss</t>
  </si>
  <si>
    <t>Treasury stock</t>
  </si>
  <si>
    <t>Accumulated deficit</t>
  </si>
  <si>
    <t>Total SE</t>
  </si>
  <si>
    <t>NCI</t>
  </si>
  <si>
    <t>Total Liabilities &amp; SE</t>
  </si>
  <si>
    <t>BS Check</t>
  </si>
  <si>
    <t>Model Checks</t>
  </si>
  <si>
    <t>Net Income on Revised IS = NI on CF statement</t>
  </si>
  <si>
    <t>Net Income on Reported IS = NI on Revised</t>
  </si>
  <si>
    <t>Cash is Positive</t>
  </si>
  <si>
    <t>Debt is Positive</t>
  </si>
  <si>
    <t>Segmented Revenue = Revenue</t>
  </si>
  <si>
    <t>Cash Flow is not Repeated</t>
  </si>
  <si>
    <t>Income Statement is not Repeated</t>
  </si>
  <si>
    <t>Balance Sheet is not Repeated</t>
  </si>
  <si>
    <t>Ending CF = Ending Cumulative CF</t>
  </si>
  <si>
    <t>Capex is Updated</t>
  </si>
  <si>
    <t>Margin adds up to 100%</t>
  </si>
  <si>
    <t>Margin is Updated</t>
  </si>
  <si>
    <t>Adjusted Numbers FY = Sum of Qs</t>
  </si>
  <si>
    <t>*Cash Flow Summary Signs are Correct</t>
  </si>
  <si>
    <t>*RIS NI FY = Sum of Qs</t>
  </si>
  <si>
    <t>*RIS Adjusted NI FY = Sum of Qs</t>
  </si>
  <si>
    <t>*CFO Before WC subtotal FY = Sum of Qs</t>
  </si>
  <si>
    <t>*CFO subtotal FY = Sum of Qs</t>
  </si>
  <si>
    <t>*CFI subtotal FY = Sum of Qs</t>
  </si>
  <si>
    <t>*CFF subtotal FY = Sum of Qs</t>
  </si>
  <si>
    <t>*CF Summary FY = Sum of Qs</t>
  </si>
  <si>
    <t>Other Tables</t>
  </si>
  <si>
    <t>Ticker Symbol</t>
  </si>
  <si>
    <t>YELP_US</t>
  </si>
  <si>
    <t>YELP US</t>
  </si>
  <si>
    <t>NYSE:YELP</t>
  </si>
  <si>
    <t>YELP-US</t>
  </si>
  <si>
    <t>YELP.N</t>
  </si>
  <si>
    <t>Valuation Toggle Table</t>
  </si>
  <si>
    <t>High</t>
  </si>
  <si>
    <t>Low</t>
  </si>
  <si>
    <t>Avg</t>
  </si>
  <si>
    <t>Key Outputs</t>
  </si>
  <si>
    <t>KPI Data</t>
  </si>
  <si>
    <t>MO_RIS_REV</t>
  </si>
  <si>
    <t>MO_RIS_NI_NONGAAP_Diluted</t>
  </si>
  <si>
    <t>MO_RIS_EPS_WAD_Adj</t>
  </si>
  <si>
    <t>MO_RIS_EBITDA_Adj</t>
  </si>
  <si>
    <t>MO_MA_EBITDA_Adj</t>
  </si>
  <si>
    <t>MO_OS_EmployeeCount</t>
  </si>
  <si>
    <t>MO_KPI_REV_Advertising</t>
  </si>
  <si>
    <t>MO_KPI_AdvertisingExpense</t>
  </si>
  <si>
    <t>MO_KPI_AdvertisingExpense_Growth</t>
  </si>
  <si>
    <t>Quarterly Guidance Table</t>
  </si>
  <si>
    <t>Reporting Date</t>
  </si>
  <si>
    <t>Applicable Period</t>
  </si>
  <si>
    <t>Annual Guidance Table</t>
  </si>
  <si>
    <t>Is Latest</t>
  </si>
  <si>
    <t>Consensus Estimate Table</t>
  </si>
  <si>
    <t>FY or FQ</t>
  </si>
  <si>
    <t>Period</t>
  </si>
  <si>
    <t>Stock Price Table</t>
  </si>
  <si>
    <t>Fiscal Period Start Date</t>
  </si>
  <si>
    <t>Is Historical Period</t>
  </si>
  <si>
    <t>Real-Time Off Source</t>
  </si>
  <si>
    <t>Bloomberg</t>
  </si>
  <si>
    <t>Capital IQ</t>
  </si>
  <si>
    <t>FactSet</t>
  </si>
  <si>
    <t>Refinitiv</t>
  </si>
  <si>
    <t>Last Working Day In Period</t>
  </si>
  <si>
    <t>Stock Price EoP</t>
  </si>
  <si>
    <t>FX EoP</t>
  </si>
  <si>
    <t>General Table</t>
  </si>
  <si>
    <t>Last Price</t>
  </si>
  <si>
    <t>Last Price Date</t>
  </si>
  <si>
    <t>Real-Time Stock Price</t>
  </si>
  <si>
    <t>Last Price Formula</t>
  </si>
  <si>
    <t>Apply Trade Currency Scaling</t>
  </si>
  <si>
    <t>Trade Currency</t>
  </si>
  <si>
    <t>Trade Currency Hardcoded</t>
  </si>
  <si>
    <t>USD</t>
  </si>
  <si>
    <t>Model Sheet Currency Hardcoded</t>
  </si>
  <si>
    <t>Most Recent FX</t>
  </si>
  <si>
    <t>Most Recent FX Hardcoded</t>
  </si>
  <si>
    <t>MRFP Column Number</t>
  </si>
  <si>
    <t>Most Recent Fiscal Period (MRFP)</t>
  </si>
  <si>
    <t>Q3-2024</t>
  </si>
  <si>
    <t>Current Fiscal Year</t>
  </si>
  <si>
    <t>First Forecast Fiscal Year</t>
  </si>
  <si>
    <t>KPI Count</t>
  </si>
  <si>
    <t>Data Source Index</t>
  </si>
  <si>
    <t>Tegus</t>
  </si>
  <si>
    <t>Reports</t>
  </si>
  <si>
    <t>Capitalization Summary</t>
  </si>
  <si>
    <t>Company-Specific Operational Data</t>
  </si>
  <si>
    <t>GAAP Financials</t>
  </si>
  <si>
    <t>Other Items</t>
  </si>
  <si>
    <t>Tax</t>
  </si>
  <si>
    <t>Non-GAAP Financials</t>
  </si>
  <si>
    <t>Cash Flow Analysis</t>
  </si>
  <si>
    <t>Change in WC</t>
  </si>
  <si>
    <t>Core FCF, Pre Div</t>
  </si>
  <si>
    <t>Core FCF, Post Div</t>
  </si>
  <si>
    <t>New Equity Issuance</t>
  </si>
  <si>
    <t>New Debt Issuance</t>
  </si>
  <si>
    <t>Change in Cash Position</t>
  </si>
  <si>
    <t>Operating Cash Flow Per Share</t>
  </si>
  <si>
    <t>Core Free Cash Flow Per Share, Pre Div</t>
  </si>
  <si>
    <t>Dividend Payout Ratio vs Core FCF, Pre Div</t>
  </si>
  <si>
    <t>Dividend Payout Ratio vs Earnings Per Share</t>
  </si>
  <si>
    <t>Balance Sheet Ratios</t>
  </si>
  <si>
    <t>Net Debt / Capital</t>
  </si>
  <si>
    <t>LTM EBITDA</t>
  </si>
  <si>
    <t>LTM Cash Flow</t>
  </si>
  <si>
    <t>Profitability Ratios</t>
  </si>
  <si>
    <t>LTM Net Income</t>
  </si>
  <si>
    <t>Shareholder's Equity</t>
  </si>
  <si>
    <t>Average Shareholder's Equity</t>
  </si>
  <si>
    <t>ROE</t>
  </si>
  <si>
    <t>LTM Net Operating Profit</t>
  </si>
  <si>
    <t>Average Total Assets</t>
  </si>
  <si>
    <t>After-tax ROA</t>
  </si>
  <si>
    <t>Total Debt</t>
  </si>
  <si>
    <t>Average Book Value of Debt</t>
  </si>
  <si>
    <t>Average Invested Capital</t>
  </si>
  <si>
    <t>ROIC</t>
  </si>
  <si>
    <t>LTM EBIT</t>
  </si>
  <si>
    <t>Average Current Liabilities</t>
  </si>
  <si>
    <t>Average Capital Employed</t>
  </si>
  <si>
    <t>ROCE</t>
  </si>
  <si>
    <t>Per-Share Growth Metrics</t>
  </si>
  <si>
    <t>Revenue Per Share Growth</t>
  </si>
  <si>
    <t>Adj. EBITDA Per Share Growth</t>
  </si>
  <si>
    <t>Adj. Earnings Per Share Growth</t>
  </si>
  <si>
    <t>Operating Cash Flow Per Share Growth</t>
  </si>
  <si>
    <t>Free Cash Flow Per Share Growth</t>
  </si>
  <si>
    <t>Valuation Metrics</t>
  </si>
  <si>
    <t>Check</t>
  </si>
  <si>
    <t>Non GAAP NI</t>
  </si>
  <si>
    <t>GAAP NI</t>
  </si>
  <si>
    <t>Change in Cash Summary = Change in Cash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</si>
</sst>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9">
    <numFmt numFmtId="5" formatCode="&quot;$&quot;#,##0_);\(&quot;$&quot;#,##0\)"/>
    <numFmt numFmtId="7" formatCode="&quot;$&quot;#,##0.00_);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&quot;$&quot;* #,##0_);_(&quot;$&quot;* \(#,##0\);_(&quot;$&quot;* &quot;-&quot;??_);_(@_)"/>
    <numFmt numFmtId="166" formatCode="_(* #,##0_);_(* \(#,##0\);_(* &quot;-&quot;??_);_(@_)"/>
    <numFmt numFmtId="167" formatCode="_(* 0.0%_);_(* \-0.0%_);_(* &quot;-&quot;??_);_(@_)"/>
    <numFmt numFmtId="168" formatCode="_(* #,##0.0_);_(* \(#,##0.0\);_(* &quot;-&quot;??_);@"/>
    <numFmt numFmtId="169" formatCode="_(&quot;$&quot;* 0.00_);_(&quot;$&quot;* \(0.00\);_(&quot;$&quot;* &quot;-&quot;??_);_(@_)"/>
    <numFmt numFmtId="170" formatCode="_(* 0.0\ \x_);\ _(* &quot;n/a&quot;_);_(* &quot;-&quot;??_);_(@_)"/>
    <numFmt numFmtId="171" formatCode=";;;"/>
    <numFmt numFmtId="172" formatCode="_(&quot;$&quot;* 0.000_);_(&quot;$&quot;* \(0.000\);_(&quot;$&quot;* &quot;-&quot;??_);_(@_)"/>
    <numFmt numFmtId="173" formatCode="_(&quot;$&quot;* #,##0.000_);_(&quot;$&quot;* \(#,##0.000\);_(&quot;$&quot;* &quot;-&quot;??_);_(@_)"/>
    <numFmt numFmtId="174" formatCode="_(* #,##0.0_);_(* \(#,##0.0\);_(* &quot;-&quot;??_);_(&quot;Bloomberg &gt;&gt; &quot;@_)"/>
    <numFmt numFmtId="175" formatCode="_(* #,##0.0_);_(* \(#,##0.0\);_(* &quot;-&quot;??_);_(&quot;Capital IQ &gt;&gt; &quot;@_)"/>
    <numFmt numFmtId="176" formatCode="_(* #,##0.0_);_(* \(#,##0.0\);_(* &quot;-&quot;??_);_(&quot;FactSet &gt;&gt; &quot;@_)"/>
    <numFmt numFmtId="177" formatCode="_(* #,##0.0_);_(* \(#,##0.0\);_(* &quot;-&quot;??_);_(&quot;Ticker :   &quot;@_)"/>
    <numFmt numFmtId="178" formatCode="_(* 0.0%_);_(* &quot;NMF&quot;_);_(* &quot;-&quot;??_);_(@_)"/>
    <numFmt numFmtId="179" formatCode="_(* 0.0%_);_(* &quot;n/a&quot;_);_(* &quot;-&quot;??_);_(@_)"/>
    <numFmt numFmtId="180" formatCode="_(* #,##0.0_);_(* \(#,##0.0\);_(* &quot;-&quot;??_);_(&quot;Model Sheet Currency :   &quot;@_)"/>
    <numFmt numFmtId="181" formatCode="_(* 0%_);_(* \-0%_);_(* &quot;-&quot;??_);_(@_)"/>
    <numFmt numFmtId="182" formatCode="_(* #,##0.0_);_(* \(#,##0.0\);_(* &quot; - &quot;??_);_(&quot;Last Price (&quot;@&quot;) &quot;_)"/>
    <numFmt numFmtId="183" formatCode="_(* #,##0.0_);_(* \(#,##0.0\);_(* &quot;-&quot;??_);_(&quot;Real-Time Stock Price :   &quot;@_)"/>
    <numFmt numFmtId="184" formatCode="_(&quot;$&quot;* 0.00_);_(&quot;$&quot;* \(0.00\);_(&quot;$&quot;* &quot; - &quot;??_);_(@_)"/>
    <numFmt numFmtId="185" formatCode="_(* #,##0.000_);_(* \(#,##0.000\);_(* &quot;-&quot;??_);_(@_)"/>
    <numFmt numFmtId="186" formatCode="_(&quot;$&quot;* 0.00_);_(&quot;$&quot;* \(0.00\);_(&quot;$&quot;* &quot;-&quot;??_);_(@\ * \ &quot;Toggle  &gt;&gt;&gt;&quot;_)"/>
    <numFmt numFmtId="187" formatCode="_(* #,##0.0_);_(* \(#,##0.0\);_(* &quot; -&quot;??_);_(&quot;Refinitiv &gt;&gt; &quot;@_)"/>
    <numFmt numFmtId="188" formatCode="yyyy\-mm\-dd"/>
    <numFmt numFmtId="189" formatCode="m/d/yy;@"/>
    <numFmt numFmtId="190" formatCode="_(\$* 0.00_);_(\$* \(0.00\);_(\$* &quot; - &quot;??_);_(@_)"/>
    <numFmt numFmtId="191" formatCode="_(\$* 0.00_);_(\$* \(0.00\);_(\$* &quot;-&quot;??_);_(@\ * \ &quot;Toggle  &gt;&gt;&gt;&quot;_)"/>
    <numFmt numFmtId="192" formatCode="_(* 0.00\ \x_);\ _(* &quot;n/a&quot;_);_(* &quot;-&quot;??_);_(@_)"/>
    <numFmt numFmtId="193" formatCode="_(&quot;$&quot;* #,##0.00_);_(&quot;$&quot;* \(#,##0.00\);_(&quot;$&quot;* &quot; - &quot;??_);_(@_)"/>
    <numFmt numFmtId="194" formatCode="m/dd/yy;@"/>
    <numFmt numFmtId="195" formatCode="m/d/yy"/>
    <numFmt numFmtId="196" formatCode="_(* #,##0.0_);_(* \(#,##0.0\);_(* &quot;-&quot;??_);_(&quot;Tegus Ticker &gt;&gt; &quot;@_)"/>
    <numFmt numFmtId="197" formatCode="0.0%"/>
    <numFmt numFmtId="198" formatCode="&quot;$&quot;#,##0.00"/>
    <numFmt numFmtId="199" formatCode="0.0&quot;x&quot;"/>
    <numFmt numFmtId="200" formatCode="0.0%;\(0.0%\)"/>
    <numFmt numFmtId="201" formatCode="0%;\(0%\);&quot;-&quot;"/>
    <numFmt numFmtId="202" formatCode="0&quot;A&quot;"/>
    <numFmt numFmtId="203" formatCode="0&quot;E&quot;"/>
    <numFmt numFmtId="204" formatCode="&quot;$&quot;#,##0"/>
    <numFmt numFmtId="205" formatCode="0.0000000000000000%"/>
    <numFmt numFmtId="206" formatCode="0&quot;x&quot;"/>
  </numFmts>
  <fonts count="67">
    <font>
      <sz val="1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6100"/>
      <name val="Calibri"/>
      <family val="2"/>
      <scheme val="minor"/>
    </font>
    <font>
      <i/>
      <sz val="11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i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i/>
      <sz val="11"/>
      <color rgb="FF000000"/>
      <name val="Calibri"/>
      <family val="2"/>
    </font>
    <font>
      <u/>
      <sz val="22"/>
      <color rgb="FF000000"/>
      <name val="Calibri"/>
      <family val="2"/>
      <scheme val="minor"/>
    </font>
    <font>
      <sz val="11"/>
      <color rgb="FFFFFFFF"/>
      <name val="Calibri"/>
      <family val="2"/>
    </font>
    <font>
      <u/>
      <sz val="26"/>
      <color theme="10"/>
      <name val="Calibri"/>
      <family val="2"/>
      <scheme val="minor"/>
    </font>
    <font>
      <b/>
      <i/>
      <sz val="11"/>
      <name val="Calibri"/>
      <family val="2"/>
    </font>
    <font>
      <b/>
      <sz val="9"/>
      <name val="Tahoma"/>
      <family val="2"/>
    </font>
    <font>
      <sz val="9"/>
      <name val="Tahoma"/>
      <family val="2"/>
    </font>
    <font>
      <b/>
      <i/>
      <sz val="1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i/>
      <sz val="11"/>
      <color rgb="FFFFFFFF"/>
      <name val="Calibri"/>
      <family val="2"/>
    </font>
    <font>
      <i/>
      <sz val="11"/>
      <color rgb="FF0000FC"/>
      <name val="Calibri"/>
      <family val="2"/>
    </font>
    <font>
      <b/>
      <i/>
      <sz val="11"/>
      <color rgb="FF0000FC"/>
      <name val="Calibri"/>
      <family val="2"/>
    </font>
    <font>
      <b/>
      <sz val="11"/>
      <color rgb="FF0000FC"/>
      <name val="Calibri"/>
      <family val="2"/>
    </font>
    <font>
      <sz val="11"/>
      <color rgb="FF0000FC"/>
      <name val="Calibri"/>
      <family val="2"/>
    </font>
    <font>
      <sz val="11"/>
      <color rgb="FF0000FC"/>
      <name val="Calibri"/>
      <family val="2"/>
      <scheme val="minor"/>
    </font>
    <font>
      <sz val="11"/>
      <name val="Calibri"/>
      <family val="2"/>
    </font>
    <font>
      <b/>
      <sz val="9"/>
      <name val="Tahoma"/>
      <family val="2"/>
      <charset val="1"/>
    </font>
    <font>
      <sz val="9"/>
      <name val="Tahoma"/>
      <family val="2"/>
      <charset val="1"/>
    </font>
    <font>
      <b/>
      <sz val="14"/>
      <color rgb="FF000000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sz val="10"/>
      <color rgb="FF32005A"/>
      <name val="Arial"/>
      <family val="2"/>
    </font>
    <font>
      <sz val="10"/>
      <color rgb="FF00B05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b/>
      <sz val="10"/>
      <color rgb="FF0000FF"/>
      <name val="Arial"/>
      <family val="2"/>
    </font>
    <font>
      <b/>
      <sz val="14"/>
      <color theme="1"/>
      <name val="Arial"/>
      <family val="2"/>
    </font>
    <font>
      <i/>
      <sz val="10"/>
      <color rgb="FF00B050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  <font>
      <i/>
      <sz val="10"/>
      <color rgb="FF0000FF"/>
      <name val="Arial"/>
      <family val="2"/>
    </font>
    <font>
      <i/>
      <sz val="10"/>
      <color rgb="FF000000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0"/>
      <color rgb="FF00B05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FF"/>
      <name val="Calibri"/>
      <family val="2"/>
    </font>
    <font>
      <u/>
      <sz val="10"/>
      <name val="Arial"/>
      <family val="2"/>
    </font>
    <font>
      <u/>
      <sz val="9"/>
      <name val="Arial"/>
      <family val="2"/>
    </font>
    <font>
      <i/>
      <sz val="9"/>
      <name val="Arial"/>
      <family val="2"/>
    </font>
    <font>
      <sz val="10"/>
      <name val="Arial"/>
    </font>
    <font>
      <sz val="10"/>
      <color rgb="FF0000FF"/>
      <name val="Arial"/>
    </font>
    <font>
      <sz val="10"/>
      <color theme="0"/>
      <name val="Arial"/>
    </font>
    <font>
      <sz val="10"/>
      <color rgb="FF32005A"/>
      <name val="Arial"/>
    </font>
    <font>
      <sz val="10"/>
      <color rgb="FF000000"/>
      <name val="Arial"/>
    </font>
    <font>
      <i/>
      <u/>
      <sz val="9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6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960000"/>
        <bgColor rgb="FF000000"/>
      </patternFill>
    </fill>
    <fill>
      <patternFill patternType="solid">
        <fgColor theme="0" tint="-4.9989318521683403E-2"/>
        <bgColor indexed="64"/>
      </patternFill>
    </fill>
  </fills>
  <borders count="4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ck">
        <color auto="1"/>
      </right>
      <top style="thin">
        <color rgb="FF000000"/>
      </top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 style="thin">
        <color rgb="FF000000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theme="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9" fontId="34" fillId="0" borderId="0"/>
    <xf numFmtId="44" fontId="34" fillId="0" borderId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2" fillId="0" borderId="0"/>
    <xf numFmtId="44" fontId="34" fillId="0" borderId="0"/>
    <xf numFmtId="44" fontId="2" fillId="0" borderId="0"/>
    <xf numFmtId="0" fontId="9" fillId="2" borderId="0"/>
    <xf numFmtId="0" fontId="4" fillId="0" borderId="0"/>
    <xf numFmtId="0" fontId="8" fillId="0" borderId="0">
      <alignment vertical="top"/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9" fontId="2" fillId="0" borderId="0"/>
    <xf numFmtId="9" fontId="2" fillId="0" borderId="0"/>
    <xf numFmtId="9" fontId="34" fillId="0" borderId="0"/>
  </cellStyleXfs>
  <cellXfs count="957">
    <xf numFmtId="0" fontId="0" fillId="0" borderId="0" xfId="0"/>
    <xf numFmtId="164" fontId="6" fillId="3" borderId="7" xfId="0" applyNumberFormat="1" applyFont="1" applyFill="1" applyBorder="1" applyAlignment="1">
      <alignment horizontal="left"/>
    </xf>
    <xf numFmtId="164" fontId="0" fillId="3" borderId="0" xfId="0" applyNumberFormat="1" applyFill="1" applyAlignment="1">
      <alignment horizontal="left" indent="1"/>
    </xf>
    <xf numFmtId="167" fontId="11" fillId="4" borderId="0" xfId="0" applyNumberFormat="1" applyFont="1" applyFill="1"/>
    <xf numFmtId="0" fontId="14" fillId="3" borderId="0" xfId="0" applyFont="1" applyFill="1" applyAlignment="1">
      <alignment horizontal="center"/>
    </xf>
    <xf numFmtId="167" fontId="12" fillId="3" borderId="7" xfId="0" applyNumberFormat="1" applyFont="1" applyFill="1" applyBorder="1" applyAlignment="1">
      <alignment horizontal="right"/>
    </xf>
    <xf numFmtId="164" fontId="14" fillId="3" borderId="0" xfId="0" applyNumberFormat="1" applyFont="1" applyFill="1"/>
    <xf numFmtId="172" fontId="13" fillId="3" borderId="0" xfId="2" applyNumberFormat="1" applyFont="1" applyFill="1"/>
    <xf numFmtId="1" fontId="12" fillId="3" borderId="0" xfId="0" applyNumberFormat="1" applyFont="1" applyFill="1" applyAlignment="1">
      <alignment horizontal="center"/>
    </xf>
    <xf numFmtId="17" fontId="13" fillId="3" borderId="0" xfId="0" applyNumberFormat="1" applyFont="1" applyFill="1" applyAlignment="1">
      <alignment horizontal="center"/>
    </xf>
    <xf numFmtId="167" fontId="12" fillId="3" borderId="0" xfId="0" applyNumberFormat="1" applyFont="1" applyFill="1" applyAlignment="1">
      <alignment horizontal="right"/>
    </xf>
    <xf numFmtId="169" fontId="12" fillId="3" borderId="0" xfId="2" applyNumberFormat="1" applyFont="1" applyFill="1"/>
    <xf numFmtId="169" fontId="12" fillId="3" borderId="0" xfId="0" applyNumberFormat="1" applyFont="1" applyFill="1"/>
    <xf numFmtId="167" fontId="15" fillId="3" borderId="0" xfId="0" applyNumberFormat="1" applyFont="1" applyFill="1" applyAlignment="1">
      <alignment horizontal="right"/>
    </xf>
    <xf numFmtId="167" fontId="15" fillId="3" borderId="0" xfId="0" applyNumberFormat="1" applyFont="1" applyFill="1" applyAlignment="1">
      <alignment horizontal="left" indent="1"/>
    </xf>
    <xf numFmtId="167" fontId="15" fillId="3" borderId="2" xfId="0" applyNumberFormat="1" applyFont="1" applyFill="1" applyBorder="1" applyAlignment="1">
      <alignment horizontal="left" indent="1"/>
    </xf>
    <xf numFmtId="167" fontId="15" fillId="3" borderId="2" xfId="0" applyNumberFormat="1" applyFont="1" applyFill="1" applyBorder="1" applyAlignment="1">
      <alignment horizontal="right"/>
    </xf>
    <xf numFmtId="167" fontId="14" fillId="3" borderId="0" xfId="2" applyNumberFormat="1" applyFont="1" applyFill="1"/>
    <xf numFmtId="164" fontId="12" fillId="3" borderId="7" xfId="0" applyNumberFormat="1" applyFont="1" applyFill="1" applyBorder="1" applyAlignment="1">
      <alignment horizontal="left"/>
    </xf>
    <xf numFmtId="169" fontId="15" fillId="3" borderId="0" xfId="0" applyNumberFormat="1" applyFont="1" applyFill="1" applyAlignment="1">
      <alignment horizontal="left" indent="4"/>
    </xf>
    <xf numFmtId="166" fontId="14" fillId="3" borderId="0" xfId="2" applyNumberFormat="1" applyFont="1" applyFill="1"/>
    <xf numFmtId="166" fontId="12" fillId="3" borderId="0" xfId="0" applyNumberFormat="1" applyFont="1" applyFill="1"/>
    <xf numFmtId="164" fontId="14" fillId="3" borderId="7" xfId="2" applyNumberFormat="1" applyFont="1" applyFill="1" applyBorder="1"/>
    <xf numFmtId="164" fontId="15" fillId="3" borderId="0" xfId="0" applyNumberFormat="1" applyFont="1" applyFill="1" applyAlignment="1">
      <alignment horizontal="left"/>
    </xf>
    <xf numFmtId="164" fontId="15" fillId="3" borderId="0" xfId="0" applyNumberFormat="1" applyFont="1" applyFill="1" applyAlignment="1">
      <alignment horizontal="left" indent="4"/>
    </xf>
    <xf numFmtId="167" fontId="12" fillId="3" borderId="7" xfId="0" applyNumberFormat="1" applyFont="1" applyFill="1" applyBorder="1" applyAlignment="1">
      <alignment horizontal="left"/>
    </xf>
    <xf numFmtId="167" fontId="15" fillId="3" borderId="0" xfId="0" applyNumberFormat="1" applyFont="1" applyFill="1"/>
    <xf numFmtId="167" fontId="13" fillId="3" borderId="0" xfId="2" applyNumberFormat="1" applyFont="1" applyFill="1"/>
    <xf numFmtId="164" fontId="12" fillId="3" borderId="0" xfId="0" applyNumberFormat="1" applyFont="1" applyFill="1" applyAlignment="1">
      <alignment horizontal="left"/>
    </xf>
    <xf numFmtId="164" fontId="12" fillId="3" borderId="9" xfId="0" applyNumberFormat="1" applyFont="1" applyFill="1" applyBorder="1" applyAlignment="1">
      <alignment horizontal="left"/>
    </xf>
    <xf numFmtId="164" fontId="12" fillId="3" borderId="0" xfId="0" applyNumberFormat="1" applyFont="1" applyFill="1" applyAlignment="1">
      <alignment horizontal="left" indent="3"/>
    </xf>
    <xf numFmtId="164" fontId="15" fillId="3" borderId="0" xfId="0" applyNumberFormat="1" applyFont="1" applyFill="1" applyAlignment="1">
      <alignment horizontal="left" indent="1"/>
    </xf>
    <xf numFmtId="169" fontId="17" fillId="3" borderId="0" xfId="0" applyNumberFormat="1" applyFont="1" applyFill="1" applyAlignment="1">
      <alignment horizontal="left" indent="1"/>
    </xf>
    <xf numFmtId="169" fontId="16" fillId="3" borderId="0" xfId="0" applyNumberFormat="1" applyFont="1" applyFill="1"/>
    <xf numFmtId="167" fontId="12" fillId="3" borderId="0" xfId="0" applyNumberFormat="1" applyFont="1" applyFill="1"/>
    <xf numFmtId="169" fontId="14" fillId="3" borderId="0" xfId="2" applyNumberFormat="1" applyFont="1" applyFill="1"/>
    <xf numFmtId="169" fontId="14" fillId="3" borderId="0" xfId="0" applyNumberFormat="1" applyFont="1" applyFill="1" applyAlignment="1">
      <alignment horizontal="left"/>
    </xf>
    <xf numFmtId="170" fontId="14" fillId="3" borderId="0" xfId="0" applyNumberFormat="1" applyFont="1" applyFill="1"/>
    <xf numFmtId="170" fontId="13" fillId="3" borderId="0" xfId="0" applyNumberFormat="1" applyFont="1" applyFill="1"/>
    <xf numFmtId="167" fontId="15" fillId="3" borderId="0" xfId="0" applyNumberFormat="1" applyFont="1" applyFill="1" applyAlignment="1">
      <alignment horizontal="left"/>
    </xf>
    <xf numFmtId="164" fontId="12" fillId="3" borderId="0" xfId="0" applyNumberFormat="1" applyFont="1" applyFill="1" applyAlignment="1">
      <alignment horizontal="left" indent="1"/>
    </xf>
    <xf numFmtId="164" fontId="15" fillId="3" borderId="0" xfId="0" applyNumberFormat="1" applyFont="1" applyFill="1" applyAlignment="1">
      <alignment horizontal="left" indent="2"/>
    </xf>
    <xf numFmtId="164" fontId="13" fillId="3" borderId="0" xfId="12" applyNumberFormat="1" applyFont="1" applyFill="1" applyAlignment="1">
      <alignment horizontal="left" indent="1"/>
    </xf>
    <xf numFmtId="166" fontId="15" fillId="3" borderId="0" xfId="0" applyNumberFormat="1" applyFont="1" applyFill="1"/>
    <xf numFmtId="0" fontId="12" fillId="3" borderId="0" xfId="0" applyFont="1" applyFill="1"/>
    <xf numFmtId="180" fontId="3" fillId="3" borderId="0" xfId="0" applyNumberFormat="1" applyFont="1" applyFill="1"/>
    <xf numFmtId="167" fontId="16" fillId="3" borderId="0" xfId="0" applyNumberFormat="1" applyFont="1" applyFill="1" applyAlignment="1">
      <alignment horizontal="left" indent="1"/>
    </xf>
    <xf numFmtId="167" fontId="13" fillId="3" borderId="2" xfId="2" applyNumberFormat="1" applyFont="1" applyFill="1" applyBorder="1"/>
    <xf numFmtId="164" fontId="12" fillId="3" borderId="7" xfId="0" applyNumberFormat="1" applyFont="1" applyFill="1" applyBorder="1" applyAlignment="1">
      <alignment horizontal="left" indent="4"/>
    </xf>
    <xf numFmtId="164" fontId="12" fillId="3" borderId="7" xfId="0" applyNumberFormat="1" applyFont="1" applyFill="1" applyBorder="1" applyAlignment="1">
      <alignment horizontal="left" indent="3"/>
    </xf>
    <xf numFmtId="167" fontId="14" fillId="3" borderId="7" xfId="2" applyNumberFormat="1" applyFont="1" applyFill="1" applyBorder="1"/>
    <xf numFmtId="167" fontId="17" fillId="3" borderId="0" xfId="2" applyNumberFormat="1" applyFont="1" applyFill="1" applyAlignment="1">
      <alignment horizontal="left" indent="1"/>
    </xf>
    <xf numFmtId="164" fontId="12" fillId="3" borderId="9" xfId="0" applyNumberFormat="1" applyFont="1" applyFill="1" applyBorder="1" applyAlignment="1">
      <alignment horizontal="left" indent="3"/>
    </xf>
    <xf numFmtId="164" fontId="15" fillId="3" borderId="0" xfId="0" applyNumberFormat="1" applyFont="1" applyFill="1" applyAlignment="1">
      <alignment horizontal="left" indent="3"/>
    </xf>
    <xf numFmtId="167" fontId="16" fillId="3" borderId="0" xfId="0" applyNumberFormat="1" applyFont="1" applyFill="1"/>
    <xf numFmtId="164" fontId="18" fillId="4" borderId="0" xfId="16" applyNumberFormat="1" applyFont="1" applyFill="1"/>
    <xf numFmtId="167" fontId="11" fillId="4" borderId="0" xfId="16" applyNumberFormat="1" applyFont="1" applyFill="1"/>
    <xf numFmtId="164" fontId="14" fillId="3" borderId="0" xfId="16" applyNumberFormat="1" applyFont="1" applyFill="1" applyAlignment="1">
      <alignment horizontal="center"/>
    </xf>
    <xf numFmtId="167" fontId="15" fillId="3" borderId="0" xfId="16" applyNumberFormat="1" applyFont="1" applyFill="1" applyAlignment="1">
      <alignment horizontal="right"/>
    </xf>
    <xf numFmtId="169" fontId="12" fillId="3" borderId="0" xfId="16" applyNumberFormat="1" applyFont="1" applyFill="1"/>
    <xf numFmtId="167" fontId="15" fillId="3" borderId="0" xfId="16" applyNumberFormat="1" applyFont="1" applyFill="1" applyAlignment="1">
      <alignment horizontal="center"/>
    </xf>
    <xf numFmtId="167" fontId="12" fillId="3" borderId="0" xfId="16" applyNumberFormat="1" applyFont="1" applyFill="1" applyAlignment="1">
      <alignment horizontal="right"/>
    </xf>
    <xf numFmtId="178" fontId="12" fillId="3" borderId="0" xfId="16" applyNumberFormat="1" applyFont="1" applyFill="1" applyAlignment="1">
      <alignment horizontal="right"/>
    </xf>
    <xf numFmtId="170" fontId="12" fillId="3" borderId="0" xfId="16" applyNumberFormat="1" applyFont="1" applyFill="1"/>
    <xf numFmtId="170" fontId="15" fillId="3" borderId="0" xfId="16" applyNumberFormat="1" applyFont="1" applyFill="1"/>
    <xf numFmtId="167" fontId="12" fillId="3" borderId="0" xfId="0" applyNumberFormat="1" applyFont="1" applyFill="1" applyAlignment="1">
      <alignment horizontal="left"/>
    </xf>
    <xf numFmtId="169" fontId="15" fillId="3" borderId="0" xfId="0" applyNumberFormat="1" applyFont="1" applyFill="1" applyAlignment="1">
      <alignment horizontal="left"/>
    </xf>
    <xf numFmtId="167" fontId="12" fillId="3" borderId="0" xfId="0" applyNumberFormat="1" applyFont="1" applyFill="1" applyAlignment="1">
      <alignment horizontal="left" indent="2"/>
    </xf>
    <xf numFmtId="167" fontId="12" fillId="3" borderId="0" xfId="0" applyNumberFormat="1" applyFont="1" applyFill="1" applyAlignment="1">
      <alignment horizontal="left" indent="1"/>
    </xf>
    <xf numFmtId="0" fontId="15" fillId="3" borderId="0" xfId="0" applyFont="1" applyFill="1" applyAlignment="1">
      <alignment horizontal="left" indent="3"/>
    </xf>
    <xf numFmtId="166" fontId="12" fillId="3" borderId="0" xfId="0" applyNumberFormat="1" applyFont="1" applyFill="1" applyAlignment="1">
      <alignment horizontal="left" indent="3"/>
    </xf>
    <xf numFmtId="167" fontId="16" fillId="3" borderId="0" xfId="0" applyNumberFormat="1" applyFont="1" applyFill="1" applyAlignment="1">
      <alignment horizontal="left" indent="3"/>
    </xf>
    <xf numFmtId="169" fontId="16" fillId="3" borderId="0" xfId="0" applyNumberFormat="1" applyFont="1" applyFill="1" applyAlignment="1">
      <alignment horizontal="left" indent="3"/>
    </xf>
    <xf numFmtId="167" fontId="12" fillId="3" borderId="0" xfId="0" applyNumberFormat="1" applyFont="1" applyFill="1" applyAlignment="1">
      <alignment horizontal="left" indent="3"/>
    </xf>
    <xf numFmtId="169" fontId="12" fillId="3" borderId="0" xfId="0" applyNumberFormat="1" applyFont="1" applyFill="1" applyAlignment="1">
      <alignment horizontal="left" indent="3"/>
    </xf>
    <xf numFmtId="172" fontId="15" fillId="3" borderId="0" xfId="0" applyNumberFormat="1" applyFont="1" applyFill="1" applyAlignment="1">
      <alignment horizontal="left" indent="3"/>
    </xf>
    <xf numFmtId="170" fontId="12" fillId="3" borderId="0" xfId="0" applyNumberFormat="1" applyFont="1" applyFill="1" applyAlignment="1">
      <alignment horizontal="left" indent="3"/>
    </xf>
    <xf numFmtId="170" fontId="15" fillId="3" borderId="0" xfId="0" applyNumberFormat="1" applyFont="1" applyFill="1" applyAlignment="1">
      <alignment horizontal="left" indent="3"/>
    </xf>
    <xf numFmtId="164" fontId="14" fillId="3" borderId="0" xfId="2" applyNumberFormat="1" applyFont="1" applyFill="1"/>
    <xf numFmtId="164" fontId="12" fillId="3" borderId="0" xfId="0" applyNumberFormat="1" applyFont="1" applyFill="1" applyAlignment="1">
      <alignment horizontal="left" indent="4"/>
    </xf>
    <xf numFmtId="164" fontId="15" fillId="3" borderId="2" xfId="0" applyNumberFormat="1" applyFont="1" applyFill="1" applyBorder="1" applyAlignment="1">
      <alignment horizontal="left" indent="1"/>
    </xf>
    <xf numFmtId="164" fontId="15" fillId="3" borderId="2" xfId="0" applyNumberFormat="1" applyFont="1" applyFill="1" applyBorder="1" applyAlignment="1">
      <alignment horizontal="left" indent="4"/>
    </xf>
    <xf numFmtId="17" fontId="13" fillId="3" borderId="0" xfId="16" applyNumberFormat="1" applyFont="1" applyFill="1" applyAlignment="1">
      <alignment horizontal="center"/>
    </xf>
    <xf numFmtId="172" fontId="0" fillId="3" borderId="0" xfId="0" applyNumberFormat="1" applyFill="1"/>
    <xf numFmtId="167" fontId="6" fillId="3" borderId="0" xfId="0" applyNumberFormat="1" applyFont="1" applyFill="1"/>
    <xf numFmtId="0" fontId="16" fillId="3" borderId="0" xfId="0" applyFont="1" applyFill="1"/>
    <xf numFmtId="168" fontId="20" fillId="3" borderId="0" xfId="10" applyNumberFormat="1" applyFont="1" applyFill="1" applyAlignment="1">
      <alignment horizontal="left"/>
    </xf>
    <xf numFmtId="0" fontId="15" fillId="3" borderId="0" xfId="0" applyFont="1" applyFill="1"/>
    <xf numFmtId="0" fontId="15" fillId="5" borderId="0" xfId="0" applyFont="1" applyFill="1"/>
    <xf numFmtId="164" fontId="15" fillId="5" borderId="0" xfId="0" applyNumberFormat="1" applyFont="1" applyFill="1"/>
    <xf numFmtId="167" fontId="15" fillId="5" borderId="0" xfId="0" applyNumberFormat="1" applyFont="1" applyFill="1"/>
    <xf numFmtId="164" fontId="14" fillId="3" borderId="0" xfId="16" applyNumberFormat="1" applyFont="1" applyFill="1" applyAlignment="1">
      <alignment horizontal="left"/>
    </xf>
    <xf numFmtId="164" fontId="12" fillId="3" borderId="0" xfId="16" applyNumberFormat="1" applyFont="1" applyFill="1" applyAlignment="1">
      <alignment horizontal="left"/>
    </xf>
    <xf numFmtId="164" fontId="15" fillId="3" borderId="0" xfId="16" applyNumberFormat="1" applyFont="1" applyFill="1" applyAlignment="1">
      <alignment horizontal="left" indent="1"/>
    </xf>
    <xf numFmtId="164" fontId="15" fillId="3" borderId="0" xfId="16" applyNumberFormat="1" applyFont="1" applyFill="1" applyAlignment="1">
      <alignment horizontal="left" indent="3"/>
    </xf>
    <xf numFmtId="164" fontId="12" fillId="3" borderId="7" xfId="16" applyNumberFormat="1" applyFont="1" applyFill="1" applyBorder="1" applyAlignment="1">
      <alignment horizontal="left"/>
    </xf>
    <xf numFmtId="164" fontId="12" fillId="3" borderId="7" xfId="16" applyNumberFormat="1" applyFont="1" applyFill="1" applyBorder="1" applyAlignment="1">
      <alignment horizontal="left" indent="3"/>
    </xf>
    <xf numFmtId="164" fontId="12" fillId="3" borderId="0" xfId="16" applyNumberFormat="1" applyFont="1" applyFill="1" applyAlignment="1">
      <alignment horizontal="left" indent="3"/>
    </xf>
    <xf numFmtId="167" fontId="15" fillId="3" borderId="0" xfId="16" applyNumberFormat="1" applyFont="1" applyFill="1" applyAlignment="1">
      <alignment horizontal="left"/>
    </xf>
    <xf numFmtId="167" fontId="13" fillId="3" borderId="0" xfId="7" applyNumberFormat="1" applyFont="1" applyFill="1"/>
    <xf numFmtId="169" fontId="14" fillId="3" borderId="0" xfId="7" applyNumberFormat="1" applyFont="1" applyFill="1"/>
    <xf numFmtId="169" fontId="12" fillId="3" borderId="0" xfId="16" applyNumberFormat="1" applyFont="1" applyFill="1" applyAlignment="1">
      <alignment horizontal="left" indent="3"/>
    </xf>
    <xf numFmtId="167" fontId="15" fillId="3" borderId="0" xfId="16" applyNumberFormat="1" applyFont="1" applyFill="1"/>
    <xf numFmtId="167" fontId="15" fillId="3" borderId="0" xfId="16" applyNumberFormat="1" applyFont="1" applyFill="1" applyAlignment="1">
      <alignment horizontal="left" indent="1"/>
    </xf>
    <xf numFmtId="167" fontId="12" fillId="3" borderId="0" xfId="16" applyNumberFormat="1" applyFont="1" applyFill="1" applyAlignment="1">
      <alignment horizontal="left"/>
    </xf>
    <xf numFmtId="167" fontId="14" fillId="3" borderId="0" xfId="7" applyNumberFormat="1" applyFont="1" applyFill="1"/>
    <xf numFmtId="178" fontId="12" fillId="3" borderId="0" xfId="16" applyNumberFormat="1" applyFont="1" applyFill="1" applyAlignment="1">
      <alignment horizontal="left"/>
    </xf>
    <xf numFmtId="178" fontId="14" fillId="3" borderId="0" xfId="7" applyNumberFormat="1" applyFont="1" applyFill="1"/>
    <xf numFmtId="170" fontId="14" fillId="3" borderId="0" xfId="16" applyNumberFormat="1" applyFont="1" applyFill="1"/>
    <xf numFmtId="170" fontId="12" fillId="3" borderId="0" xfId="16" applyNumberFormat="1" applyFont="1" applyFill="1" applyAlignment="1">
      <alignment horizontal="left" indent="3"/>
    </xf>
    <xf numFmtId="179" fontId="12" fillId="3" borderId="0" xfId="16" applyNumberFormat="1" applyFont="1" applyFill="1" applyAlignment="1">
      <alignment horizontal="left"/>
    </xf>
    <xf numFmtId="179" fontId="14" fillId="3" borderId="0" xfId="7" applyNumberFormat="1" applyFont="1" applyFill="1"/>
    <xf numFmtId="170" fontId="13" fillId="3" borderId="0" xfId="16" applyNumberFormat="1" applyFont="1" applyFill="1"/>
    <xf numFmtId="170" fontId="15" fillId="3" borderId="0" xfId="16" applyNumberFormat="1" applyFont="1" applyFill="1" applyAlignment="1">
      <alignment horizontal="left" indent="3"/>
    </xf>
    <xf numFmtId="0" fontId="15" fillId="3" borderId="0" xfId="16" applyFont="1" applyFill="1"/>
    <xf numFmtId="181" fontId="13" fillId="3" borderId="0" xfId="1" applyNumberFormat="1" applyFont="1" applyFill="1"/>
    <xf numFmtId="181" fontId="13" fillId="3" borderId="2" xfId="1" applyNumberFormat="1" applyFont="1" applyFill="1" applyBorder="1"/>
    <xf numFmtId="181" fontId="15" fillId="3" borderId="2" xfId="1" applyNumberFormat="1" applyFont="1" applyFill="1" applyBorder="1" applyAlignment="1">
      <alignment horizontal="right"/>
    </xf>
    <xf numFmtId="181" fontId="12" fillId="3" borderId="0" xfId="1" applyNumberFormat="1" applyFont="1" applyFill="1" applyAlignment="1">
      <alignment horizontal="left"/>
    </xf>
    <xf numFmtId="181" fontId="12" fillId="3" borderId="0" xfId="1" applyNumberFormat="1" applyFont="1" applyFill="1" applyAlignment="1">
      <alignment horizontal="left" indent="4"/>
    </xf>
    <xf numFmtId="164" fontId="12" fillId="3" borderId="10" xfId="0" applyNumberFormat="1" applyFont="1" applyFill="1" applyBorder="1"/>
    <xf numFmtId="164" fontId="15" fillId="3" borderId="11" xfId="0" applyNumberFormat="1" applyFont="1" applyFill="1" applyBorder="1"/>
    <xf numFmtId="164" fontId="13" fillId="3" borderId="12" xfId="12" applyNumberFormat="1" applyFont="1" applyFill="1" applyBorder="1" applyAlignment="1">
      <alignment horizontal="left" indent="1"/>
    </xf>
    <xf numFmtId="166" fontId="15" fillId="3" borderId="13" xfId="0" applyNumberFormat="1" applyFont="1" applyFill="1" applyBorder="1"/>
    <xf numFmtId="166" fontId="0" fillId="3" borderId="0" xfId="0" applyNumberFormat="1" applyFill="1"/>
    <xf numFmtId="164" fontId="15" fillId="3" borderId="10" xfId="0" applyNumberFormat="1" applyFont="1" applyFill="1" applyBorder="1"/>
    <xf numFmtId="184" fontId="15" fillId="3" borderId="0" xfId="0" applyNumberFormat="1" applyFont="1" applyFill="1" applyAlignment="1">
      <alignment horizontal="left" indent="1"/>
    </xf>
    <xf numFmtId="184" fontId="15" fillId="3" borderId="0" xfId="0" applyNumberFormat="1" applyFont="1" applyFill="1"/>
    <xf numFmtId="184" fontId="0" fillId="3" borderId="0" xfId="0" applyNumberFormat="1" applyFill="1"/>
    <xf numFmtId="0" fontId="0" fillId="3" borderId="0" xfId="0" applyFill="1"/>
    <xf numFmtId="166" fontId="15" fillId="3" borderId="0" xfId="0" applyNumberFormat="1" applyFont="1" applyFill="1" applyAlignment="1">
      <alignment horizontal="left" indent="1"/>
    </xf>
    <xf numFmtId="166" fontId="15" fillId="3" borderId="13" xfId="0" applyNumberFormat="1" applyFont="1" applyFill="1" applyBorder="1" applyAlignment="1">
      <alignment horizontal="left" indent="1"/>
    </xf>
    <xf numFmtId="0" fontId="21" fillId="4" borderId="0" xfId="0" applyFont="1" applyFill="1"/>
    <xf numFmtId="168" fontId="22" fillId="3" borderId="0" xfId="10" applyNumberFormat="1" applyFont="1" applyFill="1" applyAlignment="1">
      <alignment horizontal="left"/>
    </xf>
    <xf numFmtId="0" fontId="6" fillId="3" borderId="0" xfId="0" applyFont="1" applyFill="1"/>
    <xf numFmtId="167" fontId="0" fillId="3" borderId="0" xfId="0" applyNumberFormat="1" applyFill="1"/>
    <xf numFmtId="169" fontId="0" fillId="3" borderId="0" xfId="0" applyNumberFormat="1" applyFill="1"/>
    <xf numFmtId="181" fontId="34" fillId="3" borderId="0" xfId="1" applyNumberFormat="1" applyFill="1"/>
    <xf numFmtId="181" fontId="6" fillId="3" borderId="0" xfId="1" applyNumberFormat="1" applyFont="1" applyFill="1"/>
    <xf numFmtId="166" fontId="6" fillId="3" borderId="0" xfId="0" applyNumberFormat="1" applyFont="1" applyFill="1"/>
    <xf numFmtId="167" fontId="10" fillId="3" borderId="0" xfId="0" applyNumberFormat="1" applyFont="1" applyFill="1" applyAlignment="1">
      <alignment horizontal="left" indent="1"/>
    </xf>
    <xf numFmtId="169" fontId="10" fillId="3" borderId="0" xfId="0" applyNumberFormat="1" applyFont="1" applyFill="1"/>
    <xf numFmtId="164" fontId="10" fillId="3" borderId="0" xfId="0" applyNumberFormat="1" applyFont="1" applyFill="1"/>
    <xf numFmtId="169" fontId="6" fillId="3" borderId="0" xfId="0" applyNumberFormat="1" applyFont="1" applyFill="1"/>
    <xf numFmtId="170" fontId="6" fillId="3" borderId="0" xfId="0" applyNumberFormat="1" applyFont="1" applyFill="1"/>
    <xf numFmtId="170" fontId="0" fillId="3" borderId="0" xfId="0" applyNumberFormat="1" applyFill="1"/>
    <xf numFmtId="167" fontId="12" fillId="3" borderId="0" xfId="16" applyNumberFormat="1" applyFont="1" applyFill="1"/>
    <xf numFmtId="178" fontId="12" fillId="3" borderId="0" xfId="16" applyNumberFormat="1" applyFont="1" applyFill="1"/>
    <xf numFmtId="179" fontId="12" fillId="3" borderId="0" xfId="16" applyNumberFormat="1" applyFont="1" applyFill="1"/>
    <xf numFmtId="164" fontId="11" fillId="4" borderId="0" xfId="0" applyNumberFormat="1" applyFont="1" applyFill="1" applyAlignment="1">
      <alignment horizontal="left"/>
    </xf>
    <xf numFmtId="164" fontId="11" fillId="4" borderId="0" xfId="0" applyNumberFormat="1" applyFont="1" applyFill="1" applyAlignment="1">
      <alignment horizontal="left" indent="3"/>
    </xf>
    <xf numFmtId="167" fontId="19" fillId="3" borderId="0" xfId="0" applyNumberFormat="1" applyFont="1" applyFill="1" applyAlignment="1">
      <alignment horizontal="left" indent="1"/>
    </xf>
    <xf numFmtId="167" fontId="19" fillId="3" borderId="0" xfId="0" applyNumberFormat="1" applyFont="1" applyFill="1" applyAlignment="1">
      <alignment horizontal="left" indent="3"/>
    </xf>
    <xf numFmtId="164" fontId="13" fillId="3" borderId="10" xfId="12" applyNumberFormat="1" applyFont="1" applyFill="1" applyBorder="1"/>
    <xf numFmtId="164" fontId="15" fillId="3" borderId="14" xfId="0" applyNumberFormat="1" applyFont="1" applyFill="1" applyBorder="1"/>
    <xf numFmtId="165" fontId="14" fillId="3" borderId="15" xfId="12" applyNumberFormat="1" applyFont="1" applyFill="1" applyBorder="1" applyAlignment="1">
      <alignment horizontal="left"/>
    </xf>
    <xf numFmtId="165" fontId="13" fillId="3" borderId="12" xfId="12" applyNumberFormat="1" applyFont="1" applyFill="1" applyBorder="1" applyAlignment="1">
      <alignment horizontal="left"/>
    </xf>
    <xf numFmtId="17" fontId="15" fillId="3" borderId="0" xfId="0" applyNumberFormat="1" applyFont="1" applyFill="1"/>
    <xf numFmtId="184" fontId="13" fillId="3" borderId="12" xfId="12" applyNumberFormat="1" applyFont="1" applyFill="1" applyBorder="1" applyAlignment="1">
      <alignment horizontal="left" indent="1"/>
    </xf>
    <xf numFmtId="184" fontId="15" fillId="3" borderId="11" xfId="0" applyNumberFormat="1" applyFont="1" applyFill="1" applyBorder="1"/>
    <xf numFmtId="184" fontId="13" fillId="3" borderId="12" xfId="12" applyNumberFormat="1" applyFont="1" applyFill="1" applyBorder="1" applyAlignment="1">
      <alignment horizontal="left" indent="2"/>
    </xf>
    <xf numFmtId="185" fontId="13" fillId="3" borderId="12" xfId="12" applyNumberFormat="1" applyFont="1" applyFill="1" applyBorder="1" applyAlignment="1">
      <alignment horizontal="left" indent="1"/>
    </xf>
    <xf numFmtId="185" fontId="0" fillId="3" borderId="0" xfId="0" applyNumberFormat="1" applyFill="1"/>
    <xf numFmtId="185" fontId="13" fillId="3" borderId="12" xfId="12" applyNumberFormat="1" applyFont="1" applyFill="1" applyBorder="1" applyAlignment="1">
      <alignment horizontal="left" indent="2"/>
    </xf>
    <xf numFmtId="184" fontId="13" fillId="3" borderId="0" xfId="2" applyNumberFormat="1" applyFont="1" applyFill="1"/>
    <xf numFmtId="185" fontId="15" fillId="3" borderId="0" xfId="0" applyNumberFormat="1" applyFont="1" applyFill="1" applyAlignment="1">
      <alignment horizontal="left" indent="1"/>
    </xf>
    <xf numFmtId="185" fontId="13" fillId="3" borderId="0" xfId="2" applyNumberFormat="1" applyFont="1" applyFill="1"/>
    <xf numFmtId="184" fontId="6" fillId="3" borderId="0" xfId="0" applyNumberFormat="1" applyFont="1" applyFill="1"/>
    <xf numFmtId="164" fontId="15" fillId="3" borderId="16" xfId="0" applyNumberFormat="1" applyFont="1" applyFill="1" applyBorder="1"/>
    <xf numFmtId="184" fontId="15" fillId="3" borderId="17" xfId="0" applyNumberFormat="1" applyFont="1" applyFill="1" applyBorder="1"/>
    <xf numFmtId="167" fontId="12" fillId="5" borderId="0" xfId="0" applyNumberFormat="1" applyFont="1" applyFill="1"/>
    <xf numFmtId="181" fontId="15" fillId="3" borderId="0" xfId="1" applyNumberFormat="1" applyFont="1" applyFill="1" applyAlignment="1">
      <alignment horizontal="left" indent="1"/>
    </xf>
    <xf numFmtId="181" fontId="15" fillId="3" borderId="2" xfId="1" applyNumberFormat="1" applyFont="1" applyFill="1" applyBorder="1" applyAlignment="1">
      <alignment horizontal="left" indent="1"/>
    </xf>
    <xf numFmtId="164" fontId="13" fillId="3" borderId="0" xfId="0" applyNumberFormat="1" applyFont="1" applyFill="1" applyAlignment="1">
      <alignment horizontal="left" indent="1"/>
    </xf>
    <xf numFmtId="169" fontId="15" fillId="3" borderId="0" xfId="0" applyNumberFormat="1" applyFont="1" applyFill="1"/>
    <xf numFmtId="181" fontId="15" fillId="3" borderId="0" xfId="1" applyNumberFormat="1" applyFont="1" applyFill="1" applyAlignment="1">
      <alignment horizontal="right"/>
    </xf>
    <xf numFmtId="181" fontId="12" fillId="3" borderId="0" xfId="1" applyNumberFormat="1" applyFont="1" applyFill="1"/>
    <xf numFmtId="172" fontId="15" fillId="3" borderId="0" xfId="0" applyNumberFormat="1" applyFont="1" applyFill="1"/>
    <xf numFmtId="170" fontId="12" fillId="3" borderId="0" xfId="0" applyNumberFormat="1" applyFont="1" applyFill="1" applyAlignment="1">
      <alignment horizontal="right"/>
    </xf>
    <xf numFmtId="167" fontId="19" fillId="3" borderId="0" xfId="0" applyNumberFormat="1" applyFont="1" applyFill="1"/>
    <xf numFmtId="167" fontId="15" fillId="3" borderId="0" xfId="0" applyNumberFormat="1" applyFont="1" applyFill="1" applyAlignment="1">
      <alignment horizontal="center"/>
    </xf>
    <xf numFmtId="170" fontId="12" fillId="3" borderId="0" xfId="0" applyNumberFormat="1" applyFont="1" applyFill="1"/>
    <xf numFmtId="170" fontId="15" fillId="3" borderId="0" xfId="0" applyNumberFormat="1" applyFont="1" applyFill="1"/>
    <xf numFmtId="184" fontId="15" fillId="3" borderId="0" xfId="0" applyNumberFormat="1" applyFont="1" applyFill="1" applyAlignment="1">
      <alignment horizontal="right"/>
    </xf>
    <xf numFmtId="179" fontId="12" fillId="3" borderId="0" xfId="16" applyNumberFormat="1" applyFont="1" applyFill="1" applyAlignment="1">
      <alignment horizontal="right"/>
    </xf>
    <xf numFmtId="181" fontId="12" fillId="3" borderId="7" xfId="1" applyNumberFormat="1" applyFont="1" applyFill="1" applyBorder="1"/>
    <xf numFmtId="166" fontId="12" fillId="3" borderId="17" xfId="0" applyNumberFormat="1" applyFont="1" applyFill="1" applyBorder="1"/>
    <xf numFmtId="164" fontId="18" fillId="4" borderId="17" xfId="16" applyNumberFormat="1" applyFont="1" applyFill="1" applyBorder="1"/>
    <xf numFmtId="167" fontId="11" fillId="4" borderId="17" xfId="16" applyNumberFormat="1" applyFont="1" applyFill="1" applyBorder="1"/>
    <xf numFmtId="164" fontId="13" fillId="3" borderId="2" xfId="12" applyNumberFormat="1" applyFont="1" applyFill="1" applyBorder="1"/>
    <xf numFmtId="167" fontId="15" fillId="3" borderId="4" xfId="0" applyNumberFormat="1" applyFont="1" applyFill="1" applyBorder="1"/>
    <xf numFmtId="164" fontId="15" fillId="3" borderId="4" xfId="0" applyNumberFormat="1" applyFont="1" applyFill="1" applyBorder="1"/>
    <xf numFmtId="164" fontId="15" fillId="3" borderId="1" xfId="0" applyNumberFormat="1" applyFont="1" applyFill="1" applyBorder="1"/>
    <xf numFmtId="164" fontId="13" fillId="3" borderId="5" xfId="12" applyNumberFormat="1" applyFont="1" applyFill="1" applyBorder="1" applyAlignment="1">
      <alignment horizontal="left" indent="1"/>
    </xf>
    <xf numFmtId="164" fontId="13" fillId="3" borderId="3" xfId="12" applyNumberFormat="1" applyFont="1" applyFill="1" applyBorder="1" applyAlignment="1">
      <alignment horizontal="left" indent="1"/>
    </xf>
    <xf numFmtId="164" fontId="14" fillId="3" borderId="18" xfId="12" applyNumberFormat="1" applyFont="1" applyFill="1" applyBorder="1"/>
    <xf numFmtId="174" fontId="13" fillId="3" borderId="19" xfId="12" applyNumberFormat="1" applyFont="1" applyFill="1" applyBorder="1" applyAlignment="1">
      <alignment horizontal="left" indent="1"/>
    </xf>
    <xf numFmtId="175" fontId="13" fillId="3" borderId="19" xfId="12" applyNumberFormat="1" applyFont="1" applyFill="1" applyBorder="1" applyAlignment="1">
      <alignment horizontal="left" indent="1"/>
    </xf>
    <xf numFmtId="176" fontId="13" fillId="3" borderId="19" xfId="12" applyNumberFormat="1" applyFont="1" applyFill="1" applyBorder="1" applyAlignment="1">
      <alignment horizontal="left" indent="1"/>
    </xf>
    <xf numFmtId="0" fontId="12" fillId="3" borderId="6" xfId="0" applyFont="1" applyFill="1" applyBorder="1"/>
    <xf numFmtId="164" fontId="14" fillId="3" borderId="8" xfId="12" applyNumberFormat="1" applyFont="1" applyFill="1" applyBorder="1"/>
    <xf numFmtId="165" fontId="0" fillId="3" borderId="0" xfId="0" applyNumberFormat="1" applyFill="1"/>
    <xf numFmtId="166" fontId="5" fillId="3" borderId="0" xfId="2" applyNumberFormat="1" applyFont="1" applyFill="1"/>
    <xf numFmtId="167" fontId="0" fillId="3" borderId="0" xfId="0" applyNumberFormat="1" applyFill="1" applyAlignment="1">
      <alignment horizontal="left" indent="1"/>
    </xf>
    <xf numFmtId="167" fontId="10" fillId="3" borderId="0" xfId="0" applyNumberFormat="1" applyFont="1" applyFill="1"/>
    <xf numFmtId="166" fontId="13" fillId="3" borderId="0" xfId="2" applyNumberFormat="1" applyFont="1" applyFill="1"/>
    <xf numFmtId="166" fontId="15" fillId="3" borderId="0" xfId="0" applyNumberFormat="1" applyFont="1" applyFill="1" applyAlignment="1">
      <alignment horizontal="left" indent="3"/>
    </xf>
    <xf numFmtId="166" fontId="15" fillId="3" borderId="17" xfId="0" applyNumberFormat="1" applyFont="1" applyFill="1" applyBorder="1"/>
    <xf numFmtId="164" fontId="11" fillId="4" borderId="0" xfId="0" applyNumberFormat="1" applyFont="1" applyFill="1" applyAlignment="1">
      <alignment horizontal="left" indent="4"/>
    </xf>
    <xf numFmtId="164" fontId="14" fillId="3" borderId="6" xfId="12" applyNumberFormat="1" applyFont="1" applyFill="1" applyBorder="1" applyAlignment="1">
      <alignment horizontal="left"/>
    </xf>
    <xf numFmtId="164" fontId="13" fillId="3" borderId="4" xfId="12" applyNumberFormat="1" applyFont="1" applyFill="1" applyBorder="1" applyAlignment="1">
      <alignment horizontal="left" indent="1"/>
    </xf>
    <xf numFmtId="164" fontId="13" fillId="3" borderId="1" xfId="12" applyNumberFormat="1" applyFont="1" applyFill="1" applyBorder="1" applyAlignment="1">
      <alignment horizontal="left" indent="1"/>
    </xf>
    <xf numFmtId="164" fontId="15" fillId="3" borderId="9" xfId="0" applyNumberFormat="1" applyFont="1" applyFill="1" applyBorder="1" applyAlignment="1">
      <alignment horizontal="left" indent="1"/>
    </xf>
    <xf numFmtId="164" fontId="15" fillId="3" borderId="9" xfId="0" applyNumberFormat="1" applyFont="1" applyFill="1" applyBorder="1" applyAlignment="1">
      <alignment horizontal="left" indent="3"/>
    </xf>
    <xf numFmtId="164" fontId="15" fillId="3" borderId="13" xfId="0" applyNumberFormat="1" applyFont="1" applyFill="1" applyBorder="1" applyAlignment="1">
      <alignment horizontal="left" indent="1"/>
    </xf>
    <xf numFmtId="164" fontId="15" fillId="3" borderId="13" xfId="0" applyNumberFormat="1" applyFont="1" applyFill="1" applyBorder="1" applyAlignment="1">
      <alignment horizontal="left" indent="3"/>
    </xf>
    <xf numFmtId="172" fontId="14" fillId="3" borderId="0" xfId="2" applyNumberFormat="1" applyFont="1" applyFill="1"/>
    <xf numFmtId="172" fontId="12" fillId="3" borderId="0" xfId="0" applyNumberFormat="1" applyFont="1" applyFill="1" applyAlignment="1">
      <alignment horizontal="left" indent="3"/>
    </xf>
    <xf numFmtId="164" fontId="7" fillId="3" borderId="0" xfId="0" applyNumberFormat="1" applyFont="1" applyFill="1" applyAlignment="1">
      <alignment horizontal="left" indent="1"/>
    </xf>
    <xf numFmtId="166" fontId="15" fillId="3" borderId="0" xfId="0" applyNumberFormat="1" applyFont="1" applyFill="1" applyAlignment="1">
      <alignment horizontal="left" indent="4"/>
    </xf>
    <xf numFmtId="166" fontId="12" fillId="3" borderId="7" xfId="0" applyNumberFormat="1" applyFont="1" applyFill="1" applyBorder="1" applyAlignment="1">
      <alignment horizontal="left"/>
    </xf>
    <xf numFmtId="166" fontId="12" fillId="3" borderId="7" xfId="0" applyNumberFormat="1" applyFont="1" applyFill="1" applyBorder="1" applyAlignment="1">
      <alignment horizontal="left" indent="4"/>
    </xf>
    <xf numFmtId="166" fontId="12" fillId="3" borderId="7" xfId="0" applyNumberFormat="1" applyFont="1" applyFill="1" applyBorder="1"/>
    <xf numFmtId="166" fontId="12" fillId="3" borderId="0" xfId="0" applyNumberFormat="1" applyFont="1" applyFill="1" applyAlignment="1">
      <alignment horizontal="left"/>
    </xf>
    <xf numFmtId="166" fontId="12" fillId="3" borderId="0" xfId="0" applyNumberFormat="1" applyFont="1" applyFill="1" applyAlignment="1">
      <alignment horizontal="left" indent="4"/>
    </xf>
    <xf numFmtId="165" fontId="7" fillId="3" borderId="0" xfId="2" applyNumberFormat="1" applyFont="1" applyFill="1" applyAlignment="1">
      <alignment horizontal="left" indent="1"/>
    </xf>
    <xf numFmtId="186" fontId="12" fillId="3" borderId="0" xfId="16" applyNumberFormat="1" applyFont="1" applyFill="1" applyAlignment="1">
      <alignment horizontal="left" indent="1"/>
    </xf>
    <xf numFmtId="184" fontId="12" fillId="3" borderId="0" xfId="16" applyNumberFormat="1" applyFont="1" applyFill="1" applyAlignment="1">
      <alignment horizontal="right"/>
    </xf>
    <xf numFmtId="166" fontId="11" fillId="4" borderId="0" xfId="16" applyNumberFormat="1" applyFont="1" applyFill="1"/>
    <xf numFmtId="167" fontId="21" fillId="4" borderId="0" xfId="16" applyNumberFormat="1" applyFont="1" applyFill="1"/>
    <xf numFmtId="166" fontId="11" fillId="4" borderId="0" xfId="0" applyNumberFormat="1" applyFont="1" applyFill="1"/>
    <xf numFmtId="185" fontId="15" fillId="3" borderId="0" xfId="0" applyNumberFormat="1" applyFont="1" applyFill="1"/>
    <xf numFmtId="166" fontId="12" fillId="3" borderId="0" xfId="16" applyNumberFormat="1" applyFont="1" applyFill="1"/>
    <xf numFmtId="187" fontId="13" fillId="3" borderId="20" xfId="12" applyNumberFormat="1" applyFont="1" applyFill="1" applyBorder="1" applyAlignment="1">
      <alignment horizontal="left" indent="1"/>
    </xf>
    <xf numFmtId="0" fontId="12" fillId="3" borderId="17" xfId="0" applyFont="1" applyFill="1" applyBorder="1"/>
    <xf numFmtId="177" fontId="2" fillId="3" borderId="0" xfId="0" applyNumberFormat="1" applyFont="1" applyFill="1" applyAlignment="1">
      <alignment horizontal="left"/>
    </xf>
    <xf numFmtId="182" fontId="3" fillId="3" borderId="0" xfId="0" applyNumberFormat="1" applyFont="1" applyFill="1" applyAlignment="1">
      <alignment horizontal="left"/>
    </xf>
    <xf numFmtId="169" fontId="5" fillId="3" borderId="0" xfId="2" applyNumberFormat="1" applyFont="1" applyFill="1" applyAlignment="1">
      <alignment horizontal="center"/>
    </xf>
    <xf numFmtId="164" fontId="6" fillId="3" borderId="0" xfId="0" applyNumberFormat="1" applyFont="1" applyFill="1" applyAlignment="1">
      <alignment horizontal="center"/>
    </xf>
    <xf numFmtId="183" fontId="3" fillId="3" borderId="0" xfId="0" applyNumberFormat="1" applyFont="1" applyFill="1"/>
    <xf numFmtId="0" fontId="6" fillId="3" borderId="0" xfId="0" applyFont="1" applyFill="1" applyAlignment="1">
      <alignment horizontal="center"/>
    </xf>
    <xf numFmtId="0" fontId="15" fillId="3" borderId="17" xfId="0" applyFont="1" applyFill="1" applyBorder="1"/>
    <xf numFmtId="168" fontId="13" fillId="3" borderId="0" xfId="0" applyNumberFormat="1" applyFont="1" applyFill="1" applyAlignment="1">
      <alignment horizontal="center"/>
    </xf>
    <xf numFmtId="0" fontId="14" fillId="3" borderId="0" xfId="2" applyNumberFormat="1" applyFont="1" applyFill="1" applyAlignment="1">
      <alignment horizontal="center"/>
    </xf>
    <xf numFmtId="165" fontId="15" fillId="3" borderId="0" xfId="0" applyNumberFormat="1" applyFont="1" applyFill="1" applyAlignment="1">
      <alignment horizontal="left" indent="3"/>
    </xf>
    <xf numFmtId="165" fontId="15" fillId="3" borderId="0" xfId="0" applyNumberFormat="1" applyFont="1" applyFill="1"/>
    <xf numFmtId="166" fontId="7" fillId="3" borderId="0" xfId="2" applyNumberFormat="1" applyFont="1" applyFill="1" applyAlignment="1">
      <alignment horizontal="left" indent="1"/>
    </xf>
    <xf numFmtId="166" fontId="7" fillId="3" borderId="2" xfId="2" applyNumberFormat="1" applyFont="1" applyFill="1" applyBorder="1" applyAlignment="1">
      <alignment horizontal="left" indent="1"/>
    </xf>
    <xf numFmtId="166" fontId="15" fillId="3" borderId="2" xfId="0" applyNumberFormat="1" applyFont="1" applyFill="1" applyBorder="1" applyAlignment="1">
      <alignment horizontal="left" indent="3"/>
    </xf>
    <xf numFmtId="166" fontId="15" fillId="3" borderId="2" xfId="0" applyNumberFormat="1" applyFont="1" applyFill="1" applyBorder="1"/>
    <xf numFmtId="166" fontId="0" fillId="3" borderId="2" xfId="0" applyNumberFormat="1" applyFill="1" applyBorder="1"/>
    <xf numFmtId="164" fontId="15" fillId="3" borderId="2" xfId="0" applyNumberFormat="1" applyFont="1" applyFill="1" applyBorder="1" applyAlignment="1">
      <alignment horizontal="left" indent="2"/>
    </xf>
    <xf numFmtId="167" fontId="15" fillId="3" borderId="0" xfId="0" applyNumberFormat="1" applyFont="1" applyFill="1" applyAlignment="1">
      <alignment horizontal="left" indent="3"/>
    </xf>
    <xf numFmtId="167" fontId="15" fillId="3" borderId="2" xfId="0" applyNumberFormat="1" applyFont="1" applyFill="1" applyBorder="1" applyAlignment="1">
      <alignment horizontal="left" indent="3"/>
    </xf>
    <xf numFmtId="167" fontId="15" fillId="3" borderId="2" xfId="0" applyNumberFormat="1" applyFont="1" applyFill="1" applyBorder="1"/>
    <xf numFmtId="167" fontId="17" fillId="3" borderId="0" xfId="2" applyNumberFormat="1" applyFont="1" applyFill="1" applyAlignment="1">
      <alignment horizontal="left" indent="2"/>
    </xf>
    <xf numFmtId="167" fontId="17" fillId="3" borderId="2" xfId="2" applyNumberFormat="1" applyFont="1" applyFill="1" applyBorder="1" applyAlignment="1">
      <alignment horizontal="left" indent="2"/>
    </xf>
    <xf numFmtId="166" fontId="10" fillId="3" borderId="0" xfId="0" applyNumberFormat="1" applyFont="1" applyFill="1"/>
    <xf numFmtId="165" fontId="7" fillId="3" borderId="2" xfId="2" applyNumberFormat="1" applyFont="1" applyFill="1" applyBorder="1" applyAlignment="1">
      <alignment horizontal="left" indent="1"/>
    </xf>
    <xf numFmtId="165" fontId="15" fillId="3" borderId="2" xfId="0" applyNumberFormat="1" applyFont="1" applyFill="1" applyBorder="1" applyAlignment="1">
      <alignment horizontal="left" indent="3"/>
    </xf>
    <xf numFmtId="165" fontId="15" fillId="3" borderId="2" xfId="0" applyNumberFormat="1" applyFont="1" applyFill="1" applyBorder="1"/>
    <xf numFmtId="165" fontId="0" fillId="3" borderId="2" xfId="0" applyNumberFormat="1" applyFill="1" applyBorder="1"/>
    <xf numFmtId="167" fontId="0" fillId="3" borderId="2" xfId="0" applyNumberFormat="1" applyFill="1" applyBorder="1" applyAlignment="1">
      <alignment horizontal="right"/>
    </xf>
    <xf numFmtId="166" fontId="16" fillId="3" borderId="0" xfId="0" applyNumberFormat="1" applyFont="1" applyFill="1" applyAlignment="1">
      <alignment horizontal="left" indent="3"/>
    </xf>
    <xf numFmtId="166" fontId="16" fillId="3" borderId="0" xfId="0" applyNumberFormat="1" applyFont="1" applyFill="1"/>
    <xf numFmtId="166" fontId="16" fillId="3" borderId="2" xfId="0" applyNumberFormat="1" applyFont="1" applyFill="1" applyBorder="1" applyAlignment="1">
      <alignment horizontal="left" indent="3"/>
    </xf>
    <xf numFmtId="166" fontId="16" fillId="3" borderId="2" xfId="0" applyNumberFormat="1" applyFont="1" applyFill="1" applyBorder="1"/>
    <xf numFmtId="165" fontId="13" fillId="3" borderId="0" xfId="2" applyNumberFormat="1" applyFont="1" applyFill="1" applyAlignment="1">
      <alignment horizontal="left"/>
    </xf>
    <xf numFmtId="167" fontId="15" fillId="3" borderId="0" xfId="0" applyNumberFormat="1" applyFont="1" applyFill="1" applyAlignment="1">
      <alignment horizontal="left" indent="2"/>
    </xf>
    <xf numFmtId="167" fontId="15" fillId="3" borderId="2" xfId="0" applyNumberFormat="1" applyFont="1" applyFill="1" applyBorder="1" applyAlignment="1">
      <alignment horizontal="left" indent="2"/>
    </xf>
    <xf numFmtId="164" fontId="13" fillId="3" borderId="0" xfId="7" applyNumberFormat="1" applyFont="1" applyFill="1"/>
    <xf numFmtId="164" fontId="15" fillId="3" borderId="0" xfId="16" applyNumberFormat="1" applyFont="1" applyFill="1" applyAlignment="1">
      <alignment horizontal="left" indent="2"/>
    </xf>
    <xf numFmtId="164" fontId="15" fillId="3" borderId="2" xfId="16" applyNumberFormat="1" applyFont="1" applyFill="1" applyBorder="1" applyAlignment="1">
      <alignment horizontal="left" indent="2"/>
    </xf>
    <xf numFmtId="164" fontId="13" fillId="3" borderId="2" xfId="7" applyNumberFormat="1" applyFont="1" applyFill="1" applyBorder="1"/>
    <xf numFmtId="165" fontId="5" fillId="3" borderId="0" xfId="2" applyNumberFormat="1" applyFont="1" applyFill="1" applyAlignment="1">
      <alignment horizontal="left"/>
    </xf>
    <xf numFmtId="165" fontId="12" fillId="3" borderId="0" xfId="0" applyNumberFormat="1" applyFont="1" applyFill="1" applyAlignment="1">
      <alignment horizontal="left" indent="3"/>
    </xf>
    <xf numFmtId="165" fontId="12" fillId="3" borderId="0" xfId="0" applyNumberFormat="1" applyFont="1" applyFill="1"/>
    <xf numFmtId="165" fontId="6" fillId="3" borderId="0" xfId="0" applyNumberFormat="1" applyFont="1" applyFill="1"/>
    <xf numFmtId="167" fontId="26" fillId="3" borderId="0" xfId="2" applyNumberFormat="1" applyFont="1" applyFill="1" applyAlignment="1">
      <alignment horizontal="left" indent="1"/>
    </xf>
    <xf numFmtId="167" fontId="23" fillId="3" borderId="0" xfId="0" applyNumberFormat="1" applyFont="1" applyFill="1"/>
    <xf numFmtId="167" fontId="27" fillId="3" borderId="0" xfId="2" applyNumberFormat="1" applyFont="1" applyFill="1" applyAlignment="1">
      <alignment horizontal="left" indent="1"/>
    </xf>
    <xf numFmtId="166" fontId="13" fillId="3" borderId="0" xfId="2" applyNumberFormat="1" applyFont="1" applyFill="1" applyAlignment="1">
      <alignment horizontal="left" indent="1"/>
    </xf>
    <xf numFmtId="166" fontId="13" fillId="3" borderId="2" xfId="2" applyNumberFormat="1" applyFont="1" applyFill="1" applyBorder="1" applyAlignment="1">
      <alignment horizontal="left" indent="1"/>
    </xf>
    <xf numFmtId="165" fontId="13" fillId="3" borderId="0" xfId="2" applyNumberFormat="1" applyFont="1" applyFill="1" applyAlignment="1">
      <alignment horizontal="left" indent="1"/>
    </xf>
    <xf numFmtId="165" fontId="13" fillId="3" borderId="2" xfId="2" applyNumberFormat="1" applyFont="1" applyFill="1" applyBorder="1" applyAlignment="1">
      <alignment horizontal="left" indent="1"/>
    </xf>
    <xf numFmtId="188" fontId="15" fillId="3" borderId="0" xfId="0" applyNumberFormat="1" applyFont="1" applyFill="1"/>
    <xf numFmtId="164" fontId="12" fillId="3" borderId="10" xfId="0" applyNumberFormat="1" applyFont="1" applyFill="1" applyBorder="1" applyAlignment="1">
      <alignment horizontal="left"/>
    </xf>
    <xf numFmtId="164" fontId="12" fillId="3" borderId="10" xfId="0" applyNumberFormat="1" applyFont="1" applyFill="1" applyBorder="1" applyAlignment="1">
      <alignment horizontal="left" indent="3"/>
    </xf>
    <xf numFmtId="164" fontId="16" fillId="3" borderId="0" xfId="0" applyNumberFormat="1" applyFont="1" applyFill="1" applyAlignment="1">
      <alignment horizontal="left"/>
    </xf>
    <xf numFmtId="166" fontId="12" fillId="3" borderId="0" xfId="0" applyNumberFormat="1" applyFont="1" applyFill="1" applyAlignment="1">
      <alignment horizontal="right"/>
    </xf>
    <xf numFmtId="166" fontId="15" fillId="3" borderId="2" xfId="0" applyNumberFormat="1" applyFont="1" applyFill="1" applyBorder="1" applyAlignment="1">
      <alignment horizontal="left" indent="1"/>
    </xf>
    <xf numFmtId="166" fontId="6" fillId="3" borderId="0" xfId="0" applyNumberFormat="1" applyFont="1" applyFill="1" applyAlignment="1">
      <alignment horizontal="left"/>
    </xf>
    <xf numFmtId="164" fontId="15" fillId="3" borderId="2" xfId="0" applyNumberFormat="1" applyFont="1" applyFill="1" applyBorder="1" applyAlignment="1">
      <alignment horizontal="left" indent="3"/>
    </xf>
    <xf numFmtId="189" fontId="15" fillId="3" borderId="0" xfId="0" applyNumberFormat="1" applyFont="1" applyFill="1"/>
    <xf numFmtId="189" fontId="15" fillId="3" borderId="0" xfId="0" applyNumberFormat="1" applyFont="1" applyFill="1" applyAlignment="1">
      <alignment horizontal="left" indent="3"/>
    </xf>
    <xf numFmtId="189" fontId="0" fillId="3" borderId="0" xfId="0" applyNumberFormat="1" applyFill="1"/>
    <xf numFmtId="170" fontId="16" fillId="3" borderId="0" xfId="0" applyNumberFormat="1" applyFont="1" applyFill="1"/>
    <xf numFmtId="170" fontId="16" fillId="3" borderId="0" xfId="0" applyNumberFormat="1" applyFont="1" applyFill="1" applyAlignment="1">
      <alignment horizontal="left" indent="3"/>
    </xf>
    <xf numFmtId="170" fontId="10" fillId="3" borderId="0" xfId="0" applyNumberFormat="1" applyFont="1" applyFill="1"/>
    <xf numFmtId="17" fontId="15" fillId="3" borderId="11" xfId="0" applyNumberFormat="1" applyFont="1" applyFill="1" applyBorder="1"/>
    <xf numFmtId="190" fontId="15" fillId="3" borderId="0" xfId="0" applyNumberFormat="1" applyFont="1" applyFill="1"/>
    <xf numFmtId="190" fontId="15" fillId="3" borderId="11" xfId="0" applyNumberFormat="1" applyFont="1" applyFill="1" applyBorder="1"/>
    <xf numFmtId="185" fontId="15" fillId="3" borderId="17" xfId="0" applyNumberFormat="1" applyFont="1" applyFill="1" applyBorder="1"/>
    <xf numFmtId="185" fontId="15" fillId="3" borderId="11" xfId="0" applyNumberFormat="1" applyFont="1" applyFill="1" applyBorder="1"/>
    <xf numFmtId="164" fontId="13" fillId="3" borderId="21" xfId="12" applyNumberFormat="1" applyFont="1" applyFill="1" applyBorder="1" applyAlignment="1">
      <alignment horizontal="left" indent="1"/>
    </xf>
    <xf numFmtId="185" fontId="13" fillId="3" borderId="2" xfId="12" applyNumberFormat="1" applyFont="1" applyFill="1" applyBorder="1"/>
    <xf numFmtId="185" fontId="15" fillId="3" borderId="2" xfId="0" applyNumberFormat="1" applyFont="1" applyFill="1" applyBorder="1"/>
    <xf numFmtId="185" fontId="15" fillId="3" borderId="22" xfId="0" applyNumberFormat="1" applyFont="1" applyFill="1" applyBorder="1"/>
    <xf numFmtId="185" fontId="15" fillId="3" borderId="23" xfId="0" applyNumberFormat="1" applyFont="1" applyFill="1" applyBorder="1"/>
    <xf numFmtId="190" fontId="15" fillId="3" borderId="0" xfId="0" applyNumberFormat="1" applyFont="1" applyFill="1" applyAlignment="1">
      <alignment horizontal="right"/>
    </xf>
    <xf numFmtId="185" fontId="15" fillId="3" borderId="0" xfId="0" applyNumberFormat="1" applyFont="1" applyFill="1" applyAlignment="1">
      <alignment horizontal="right"/>
    </xf>
    <xf numFmtId="167" fontId="16" fillId="3" borderId="0" xfId="0" applyNumberFormat="1" applyFont="1" applyFill="1" applyAlignment="1">
      <alignment horizontal="left" indent="4"/>
    </xf>
    <xf numFmtId="191" fontId="6" fillId="3" borderId="0" xfId="0" applyNumberFormat="1" applyFont="1" applyFill="1" applyAlignment="1">
      <alignment horizontal="left"/>
    </xf>
    <xf numFmtId="164" fontId="15" fillId="3" borderId="2" xfId="16" applyNumberFormat="1" applyFont="1" applyFill="1" applyBorder="1" applyAlignment="1">
      <alignment horizontal="left" indent="1"/>
    </xf>
    <xf numFmtId="164" fontId="15" fillId="3" borderId="2" xfId="16" applyNumberFormat="1" applyFont="1" applyFill="1" applyBorder="1" applyAlignment="1">
      <alignment horizontal="left" indent="3"/>
    </xf>
    <xf numFmtId="167" fontId="15" fillId="3" borderId="0" xfId="0" applyNumberFormat="1" applyFont="1" applyFill="1" applyAlignment="1">
      <alignment horizontal="left" indent="4"/>
    </xf>
    <xf numFmtId="167" fontId="16" fillId="3" borderId="2" xfId="0" applyNumberFormat="1" applyFont="1" applyFill="1" applyBorder="1" applyAlignment="1">
      <alignment horizontal="left" indent="3"/>
    </xf>
    <xf numFmtId="167" fontId="16" fillId="3" borderId="2" xfId="0" applyNumberFormat="1" applyFont="1" applyFill="1" applyBorder="1"/>
    <xf numFmtId="164" fontId="6" fillId="3" borderId="0" xfId="0" applyNumberFormat="1" applyFont="1" applyFill="1"/>
    <xf numFmtId="184" fontId="12" fillId="3" borderId="0" xfId="0" applyNumberFormat="1" applyFont="1" applyFill="1" applyAlignment="1">
      <alignment horizontal="right"/>
    </xf>
    <xf numFmtId="164" fontId="16" fillId="3" borderId="13" xfId="0" applyNumberFormat="1" applyFont="1" applyFill="1" applyBorder="1" applyAlignment="1">
      <alignment horizontal="left" indent="1"/>
    </xf>
    <xf numFmtId="164" fontId="16" fillId="3" borderId="13" xfId="0" applyNumberFormat="1" applyFont="1" applyFill="1" applyBorder="1" applyAlignment="1">
      <alignment horizontal="left" indent="3"/>
    </xf>
    <xf numFmtId="167" fontId="16" fillId="3" borderId="13" xfId="0" applyNumberFormat="1" applyFont="1" applyFill="1" applyBorder="1"/>
    <xf numFmtId="189" fontId="16" fillId="3" borderId="0" xfId="0" applyNumberFormat="1" applyFont="1" applyFill="1" applyAlignment="1">
      <alignment horizontal="left" indent="3"/>
    </xf>
    <xf numFmtId="192" fontId="16" fillId="3" borderId="0" xfId="0" applyNumberFormat="1" applyFont="1" applyFill="1"/>
    <xf numFmtId="164" fontId="15" fillId="3" borderId="13" xfId="16" applyNumberFormat="1" applyFont="1" applyFill="1" applyBorder="1" applyAlignment="1">
      <alignment horizontal="left" indent="1"/>
    </xf>
    <xf numFmtId="166" fontId="15" fillId="3" borderId="0" xfId="0" applyNumberFormat="1" applyFont="1" applyFill="1" applyAlignment="1">
      <alignment horizontal="left"/>
    </xf>
    <xf numFmtId="193" fontId="12" fillId="3" borderId="0" xfId="0" applyNumberFormat="1" applyFont="1" applyFill="1"/>
    <xf numFmtId="194" fontId="15" fillId="3" borderId="0" xfId="0" applyNumberFormat="1" applyFont="1" applyFill="1" applyAlignment="1">
      <alignment horizontal="left" indent="3"/>
    </xf>
    <xf numFmtId="194" fontId="15" fillId="3" borderId="0" xfId="0" applyNumberFormat="1" applyFont="1" applyFill="1"/>
    <xf numFmtId="193" fontId="12" fillId="3" borderId="0" xfId="0" applyNumberFormat="1" applyFont="1" applyFill="1" applyAlignment="1">
      <alignment horizontal="left" indent="3"/>
    </xf>
    <xf numFmtId="193" fontId="6" fillId="3" borderId="0" xfId="0" applyNumberFormat="1" applyFont="1" applyFill="1"/>
    <xf numFmtId="193" fontId="15" fillId="3" borderId="0" xfId="0" applyNumberFormat="1" applyFont="1" applyFill="1" applyAlignment="1">
      <alignment horizontal="left" indent="1"/>
    </xf>
    <xf numFmtId="193" fontId="15" fillId="3" borderId="0" xfId="0" applyNumberFormat="1" applyFont="1" applyFill="1" applyAlignment="1">
      <alignment horizontal="left" indent="2"/>
    </xf>
    <xf numFmtId="193" fontId="15" fillId="3" borderId="2" xfId="0" applyNumberFormat="1" applyFont="1" applyFill="1" applyBorder="1" applyAlignment="1">
      <alignment horizontal="left" indent="2"/>
    </xf>
    <xf numFmtId="193" fontId="15" fillId="3" borderId="2" xfId="0" applyNumberFormat="1" applyFont="1" applyFill="1" applyBorder="1" applyAlignment="1">
      <alignment horizontal="left" indent="1"/>
    </xf>
    <xf numFmtId="193" fontId="15" fillId="3" borderId="0" xfId="0" applyNumberFormat="1" applyFont="1" applyFill="1" applyAlignment="1">
      <alignment horizontal="left" indent="3"/>
    </xf>
    <xf numFmtId="193" fontId="15" fillId="3" borderId="0" xfId="0" applyNumberFormat="1" applyFont="1" applyFill="1"/>
    <xf numFmtId="193" fontId="0" fillId="3" borderId="0" xfId="0" applyNumberFormat="1" applyFill="1"/>
    <xf numFmtId="193" fontId="15" fillId="3" borderId="2" xfId="0" applyNumberFormat="1" applyFont="1" applyFill="1" applyBorder="1" applyAlignment="1">
      <alignment horizontal="left" indent="3"/>
    </xf>
    <xf numFmtId="193" fontId="15" fillId="3" borderId="2" xfId="0" applyNumberFormat="1" applyFont="1" applyFill="1" applyBorder="1"/>
    <xf numFmtId="193" fontId="12" fillId="3" borderId="0" xfId="0" applyNumberFormat="1" applyFont="1" applyFill="1" applyAlignment="1">
      <alignment horizontal="left"/>
    </xf>
    <xf numFmtId="189" fontId="15" fillId="3" borderId="2" xfId="0" applyNumberFormat="1" applyFont="1" applyFill="1" applyBorder="1" applyAlignment="1">
      <alignment horizontal="left" indent="3"/>
    </xf>
    <xf numFmtId="189" fontId="12" fillId="3" borderId="0" xfId="0" applyNumberFormat="1" applyFont="1" applyFill="1" applyAlignment="1">
      <alignment horizontal="left" indent="3"/>
    </xf>
    <xf numFmtId="189" fontId="6" fillId="3" borderId="0" xfId="0" applyNumberFormat="1" applyFont="1" applyFill="1"/>
    <xf numFmtId="184" fontId="15" fillId="3" borderId="13" xfId="16" applyNumberFormat="1" applyFont="1" applyFill="1" applyBorder="1" applyAlignment="1">
      <alignment horizontal="left"/>
    </xf>
    <xf numFmtId="43" fontId="6" fillId="3" borderId="0" xfId="4" applyFont="1" applyFill="1"/>
    <xf numFmtId="44" fontId="15" fillId="3" borderId="0" xfId="0" applyNumberFormat="1" applyFont="1" applyFill="1" applyAlignment="1">
      <alignment horizontal="left"/>
    </xf>
    <xf numFmtId="44" fontId="15" fillId="3" borderId="0" xfId="0" applyNumberFormat="1" applyFont="1" applyFill="1" applyAlignment="1">
      <alignment horizontal="left" indent="3"/>
    </xf>
    <xf numFmtId="44" fontId="15" fillId="3" borderId="0" xfId="0" applyNumberFormat="1" applyFont="1" applyFill="1"/>
    <xf numFmtId="44" fontId="0" fillId="3" borderId="0" xfId="0" applyNumberFormat="1" applyFill="1"/>
    <xf numFmtId="166" fontId="15" fillId="3" borderId="22" xfId="0" applyNumberFormat="1" applyFont="1" applyFill="1" applyBorder="1"/>
    <xf numFmtId="167" fontId="11" fillId="4" borderId="17" xfId="0" applyNumberFormat="1" applyFont="1" applyFill="1" applyBorder="1"/>
    <xf numFmtId="164" fontId="15" fillId="3" borderId="0" xfId="16" applyNumberFormat="1" applyFont="1" applyFill="1" applyAlignment="1">
      <alignment horizontal="left"/>
    </xf>
    <xf numFmtId="166" fontId="0" fillId="3" borderId="0" xfId="0" applyNumberFormat="1" applyFill="1" applyAlignment="1">
      <alignment horizontal="left" indent="1"/>
    </xf>
    <xf numFmtId="166" fontId="0" fillId="3" borderId="7" xfId="0" applyNumberFormat="1" applyFill="1" applyBorder="1"/>
    <xf numFmtId="166" fontId="15" fillId="3" borderId="7" xfId="0" applyNumberFormat="1" applyFont="1" applyFill="1" applyBorder="1" applyAlignment="1">
      <alignment horizontal="left" indent="3"/>
    </xf>
    <xf numFmtId="166" fontId="15" fillId="3" borderId="7" xfId="0" applyNumberFormat="1" applyFont="1" applyFill="1" applyBorder="1"/>
    <xf numFmtId="166" fontId="15" fillId="3" borderId="24" xfId="0" applyNumberFormat="1" applyFont="1" applyFill="1" applyBorder="1"/>
    <xf numFmtId="164" fontId="15" fillId="3" borderId="7" xfId="0" applyNumberFormat="1" applyFont="1" applyFill="1" applyBorder="1" applyAlignment="1">
      <alignment horizontal="left" indent="3"/>
    </xf>
    <xf numFmtId="166" fontId="0" fillId="3" borderId="7" xfId="0" applyNumberFormat="1" applyFill="1" applyBorder="1" applyAlignment="1">
      <alignment horizontal="left"/>
    </xf>
    <xf numFmtId="164" fontId="0" fillId="3" borderId="7" xfId="0" applyNumberFormat="1" applyFill="1" applyBorder="1"/>
    <xf numFmtId="193" fontId="0" fillId="3" borderId="0" xfId="0" applyNumberFormat="1" applyFill="1" applyAlignment="1">
      <alignment horizontal="left" indent="1"/>
    </xf>
    <xf numFmtId="193" fontId="0" fillId="3" borderId="7" xfId="0" applyNumberFormat="1" applyFill="1" applyBorder="1"/>
    <xf numFmtId="193" fontId="15" fillId="3" borderId="7" xfId="0" applyNumberFormat="1" applyFont="1" applyFill="1" applyBorder="1" applyAlignment="1">
      <alignment horizontal="left" indent="3"/>
    </xf>
    <xf numFmtId="193" fontId="15" fillId="3" borderId="7" xfId="0" applyNumberFormat="1" applyFont="1" applyFill="1" applyBorder="1"/>
    <xf numFmtId="167" fontId="16" fillId="3" borderId="0" xfId="0" applyNumberFormat="1" applyFont="1" applyFill="1" applyAlignment="1">
      <alignment horizontal="right"/>
    </xf>
    <xf numFmtId="166" fontId="13" fillId="3" borderId="7" xfId="12" applyNumberFormat="1" applyFont="1" applyFill="1" applyBorder="1"/>
    <xf numFmtId="166" fontId="15" fillId="3" borderId="6" xfId="0" applyNumberFormat="1" applyFont="1" applyFill="1" applyBorder="1"/>
    <xf numFmtId="166" fontId="13" fillId="3" borderId="2" xfId="12" applyNumberFormat="1" applyFont="1" applyFill="1" applyBorder="1"/>
    <xf numFmtId="166" fontId="15" fillId="3" borderId="1" xfId="0" applyNumberFormat="1" applyFont="1" applyFill="1" applyBorder="1"/>
    <xf numFmtId="164" fontId="14" fillId="3" borderId="7" xfId="12" applyNumberFormat="1" applyFont="1" applyFill="1" applyBorder="1" applyAlignment="1">
      <alignment horizontal="left"/>
    </xf>
    <xf numFmtId="164" fontId="14" fillId="3" borderId="0" xfId="12" applyNumberFormat="1" applyFont="1" applyFill="1" applyAlignment="1">
      <alignment horizontal="left"/>
    </xf>
    <xf numFmtId="164" fontId="14" fillId="3" borderId="2" xfId="12" applyNumberFormat="1" applyFont="1" applyFill="1" applyBorder="1" applyAlignment="1">
      <alignment horizontal="left"/>
    </xf>
    <xf numFmtId="195" fontId="12" fillId="3" borderId="0" xfId="0" applyNumberFormat="1" applyFont="1" applyFill="1" applyAlignment="1">
      <alignment horizontal="right"/>
    </xf>
    <xf numFmtId="195" fontId="12" fillId="3" borderId="4" xfId="0" applyNumberFormat="1" applyFont="1" applyFill="1" applyBorder="1" applyAlignment="1">
      <alignment horizontal="right"/>
    </xf>
    <xf numFmtId="0" fontId="12" fillId="3" borderId="0" xfId="0" applyFont="1" applyFill="1" applyAlignment="1">
      <alignment horizontal="right"/>
    </xf>
    <xf numFmtId="0" fontId="12" fillId="3" borderId="4" xfId="0" applyFont="1" applyFill="1" applyBorder="1" applyAlignment="1">
      <alignment horizontal="right"/>
    </xf>
    <xf numFmtId="167" fontId="17" fillId="3" borderId="0" xfId="0" applyNumberFormat="1" applyFont="1" applyFill="1" applyAlignment="1">
      <alignment horizontal="left" indent="1"/>
    </xf>
    <xf numFmtId="185" fontId="15" fillId="3" borderId="0" xfId="0" applyNumberFormat="1" applyFont="1" applyFill="1" applyAlignment="1">
      <alignment horizontal="left" indent="3"/>
    </xf>
    <xf numFmtId="185" fontId="17" fillId="3" borderId="0" xfId="0" applyNumberFormat="1" applyFont="1" applyFill="1" applyAlignment="1">
      <alignment horizontal="left" indent="1"/>
    </xf>
    <xf numFmtId="185" fontId="16" fillId="3" borderId="0" xfId="0" applyNumberFormat="1" applyFont="1" applyFill="1" applyAlignment="1">
      <alignment horizontal="left" indent="3"/>
    </xf>
    <xf numFmtId="185" fontId="16" fillId="3" borderId="0" xfId="0" applyNumberFormat="1" applyFont="1" applyFill="1"/>
    <xf numFmtId="185" fontId="10" fillId="3" borderId="0" xfId="0" applyNumberFormat="1" applyFont="1" applyFill="1"/>
    <xf numFmtId="167" fontId="17" fillId="3" borderId="0" xfId="2" applyNumberFormat="1" applyFont="1" applyFill="1"/>
    <xf numFmtId="167" fontId="15" fillId="3" borderId="2" xfId="16" applyNumberFormat="1" applyFont="1" applyFill="1" applyBorder="1" applyAlignment="1">
      <alignment horizontal="left" indent="1"/>
    </xf>
    <xf numFmtId="167" fontId="13" fillId="3" borderId="2" xfId="7" applyNumberFormat="1" applyFont="1" applyFill="1" applyBorder="1"/>
    <xf numFmtId="167" fontId="15" fillId="3" borderId="2" xfId="16" applyNumberFormat="1" applyFont="1" applyFill="1" applyBorder="1" applyAlignment="1">
      <alignment horizontal="right"/>
    </xf>
    <xf numFmtId="167" fontId="15" fillId="3" borderId="17" xfId="0" applyNumberFormat="1" applyFont="1" applyFill="1" applyBorder="1" applyAlignment="1">
      <alignment horizontal="right"/>
    </xf>
    <xf numFmtId="167" fontId="15" fillId="3" borderId="22" xfId="0" applyNumberFormat="1" applyFont="1" applyFill="1" applyBorder="1" applyAlignment="1">
      <alignment horizontal="right"/>
    </xf>
    <xf numFmtId="167" fontId="12" fillId="3" borderId="17" xfId="0" applyNumberFormat="1" applyFont="1" applyFill="1" applyBorder="1" applyAlignment="1">
      <alignment horizontal="right"/>
    </xf>
    <xf numFmtId="169" fontId="15" fillId="3" borderId="17" xfId="0" applyNumberFormat="1" applyFont="1" applyFill="1" applyBorder="1"/>
    <xf numFmtId="167" fontId="16" fillId="3" borderId="17" xfId="0" applyNumberFormat="1" applyFont="1" applyFill="1" applyBorder="1"/>
    <xf numFmtId="165" fontId="15" fillId="3" borderId="17" xfId="0" applyNumberFormat="1" applyFont="1" applyFill="1" applyBorder="1"/>
    <xf numFmtId="167" fontId="12" fillId="3" borderId="17" xfId="0" applyNumberFormat="1" applyFont="1" applyFill="1" applyBorder="1"/>
    <xf numFmtId="181" fontId="15" fillId="3" borderId="17" xfId="1" applyNumberFormat="1" applyFont="1" applyFill="1" applyBorder="1" applyAlignment="1">
      <alignment horizontal="right"/>
    </xf>
    <xf numFmtId="181" fontId="15" fillId="3" borderId="22" xfId="1" applyNumberFormat="1" applyFont="1" applyFill="1" applyBorder="1" applyAlignment="1">
      <alignment horizontal="right"/>
    </xf>
    <xf numFmtId="166" fontId="12" fillId="3" borderId="24" xfId="0" applyNumberFormat="1" applyFont="1" applyFill="1" applyBorder="1"/>
    <xf numFmtId="167" fontId="15" fillId="3" borderId="17" xfId="0" applyNumberFormat="1" applyFont="1" applyFill="1" applyBorder="1"/>
    <xf numFmtId="167" fontId="16" fillId="3" borderId="17" xfId="0" applyNumberFormat="1" applyFont="1" applyFill="1" applyBorder="1" applyAlignment="1">
      <alignment horizontal="right"/>
    </xf>
    <xf numFmtId="167" fontId="16" fillId="3" borderId="17" xfId="0" applyNumberFormat="1" applyFont="1" applyFill="1" applyBorder="1" applyAlignment="1">
      <alignment horizontal="left" indent="1"/>
    </xf>
    <xf numFmtId="167" fontId="15" fillId="3" borderId="17" xfId="0" applyNumberFormat="1" applyFont="1" applyFill="1" applyBorder="1" applyAlignment="1">
      <alignment horizontal="center"/>
    </xf>
    <xf numFmtId="185" fontId="16" fillId="3" borderId="17" xfId="0" applyNumberFormat="1" applyFont="1" applyFill="1" applyBorder="1"/>
    <xf numFmtId="170" fontId="16" fillId="3" borderId="17" xfId="0" applyNumberFormat="1" applyFont="1" applyFill="1" applyBorder="1"/>
    <xf numFmtId="167" fontId="16" fillId="3" borderId="26" xfId="0" applyNumberFormat="1" applyFont="1" applyFill="1" applyBorder="1"/>
    <xf numFmtId="189" fontId="15" fillId="3" borderId="17" xfId="0" applyNumberFormat="1" applyFont="1" applyFill="1" applyBorder="1"/>
    <xf numFmtId="192" fontId="16" fillId="3" borderId="17" xfId="0" applyNumberFormat="1" applyFont="1" applyFill="1" applyBorder="1"/>
    <xf numFmtId="193" fontId="15" fillId="3" borderId="17" xfId="0" applyNumberFormat="1" applyFont="1" applyFill="1" applyBorder="1"/>
    <xf numFmtId="193" fontId="15" fillId="3" borderId="22" xfId="0" applyNumberFormat="1" applyFont="1" applyFill="1" applyBorder="1"/>
    <xf numFmtId="172" fontId="15" fillId="3" borderId="17" xfId="0" applyNumberFormat="1" applyFont="1" applyFill="1" applyBorder="1"/>
    <xf numFmtId="184" fontId="12" fillId="3" borderId="17" xfId="0" applyNumberFormat="1" applyFont="1" applyFill="1" applyBorder="1"/>
    <xf numFmtId="17" fontId="13" fillId="3" borderId="17" xfId="16" applyNumberFormat="1" applyFont="1" applyFill="1" applyBorder="1" applyAlignment="1">
      <alignment horizontal="center"/>
    </xf>
    <xf numFmtId="164" fontId="14" fillId="3" borderId="17" xfId="16" applyNumberFormat="1" applyFont="1" applyFill="1" applyBorder="1" applyAlignment="1">
      <alignment horizontal="center"/>
    </xf>
    <xf numFmtId="184" fontId="12" fillId="3" borderId="17" xfId="16" applyNumberFormat="1" applyFont="1" applyFill="1" applyBorder="1" applyAlignment="1">
      <alignment horizontal="right"/>
    </xf>
    <xf numFmtId="167" fontId="15" fillId="3" borderId="17" xfId="16" applyNumberFormat="1" applyFont="1" applyFill="1" applyBorder="1" applyAlignment="1">
      <alignment horizontal="right"/>
    </xf>
    <xf numFmtId="167" fontId="15" fillId="3" borderId="22" xfId="0" applyNumberFormat="1" applyFont="1" applyFill="1" applyBorder="1"/>
    <xf numFmtId="166" fontId="16" fillId="3" borderId="17" xfId="0" applyNumberFormat="1" applyFont="1" applyFill="1" applyBorder="1"/>
    <xf numFmtId="166" fontId="16" fillId="3" borderId="22" xfId="0" applyNumberFormat="1" applyFont="1" applyFill="1" applyBorder="1"/>
    <xf numFmtId="165" fontId="15" fillId="3" borderId="22" xfId="0" applyNumberFormat="1" applyFont="1" applyFill="1" applyBorder="1"/>
    <xf numFmtId="169" fontId="12" fillId="3" borderId="17" xfId="16" applyNumberFormat="1" applyFont="1" applyFill="1" applyBorder="1"/>
    <xf numFmtId="167" fontId="15" fillId="3" borderId="17" xfId="16" applyNumberFormat="1" applyFont="1" applyFill="1" applyBorder="1" applyAlignment="1">
      <alignment horizontal="center"/>
    </xf>
    <xf numFmtId="167" fontId="15" fillId="3" borderId="22" xfId="16" applyNumberFormat="1" applyFont="1" applyFill="1" applyBorder="1" applyAlignment="1">
      <alignment horizontal="right"/>
    </xf>
    <xf numFmtId="167" fontId="12" fillId="3" borderId="17" xfId="16" applyNumberFormat="1" applyFont="1" applyFill="1" applyBorder="1" applyAlignment="1">
      <alignment horizontal="right"/>
    </xf>
    <xf numFmtId="178" fontId="12" fillId="3" borderId="17" xfId="16" applyNumberFormat="1" applyFont="1" applyFill="1" applyBorder="1" applyAlignment="1">
      <alignment horizontal="right"/>
    </xf>
    <xf numFmtId="170" fontId="12" fillId="3" borderId="17" xfId="16" applyNumberFormat="1" applyFont="1" applyFill="1" applyBorder="1"/>
    <xf numFmtId="179" fontId="12" fillId="3" borderId="17" xfId="16" applyNumberFormat="1" applyFont="1" applyFill="1" applyBorder="1" applyAlignment="1">
      <alignment horizontal="right"/>
    </xf>
    <xf numFmtId="170" fontId="15" fillId="3" borderId="17" xfId="16" applyNumberFormat="1" applyFont="1" applyFill="1" applyBorder="1"/>
    <xf numFmtId="167" fontId="15" fillId="3" borderId="17" xfId="16" applyNumberFormat="1" applyFont="1" applyFill="1" applyBorder="1"/>
    <xf numFmtId="167" fontId="16" fillId="3" borderId="0" xfId="0" applyNumberFormat="1" applyFont="1" applyFill="1" applyAlignment="1">
      <alignment horizontal="right" indent="1"/>
    </xf>
    <xf numFmtId="169" fontId="16" fillId="3" borderId="0" xfId="0" applyNumberFormat="1" applyFont="1" applyFill="1" applyAlignment="1">
      <alignment horizontal="right"/>
    </xf>
    <xf numFmtId="196" fontId="13" fillId="3" borderId="19" xfId="12" applyNumberFormat="1" applyFont="1" applyFill="1" applyBorder="1" applyAlignment="1">
      <alignment horizontal="left" indent="1"/>
    </xf>
    <xf numFmtId="181" fontId="12" fillId="3" borderId="17" xfId="1" applyNumberFormat="1" applyFont="1" applyFill="1" applyBorder="1"/>
    <xf numFmtId="167" fontId="17" fillId="3" borderId="17" xfId="0" applyNumberFormat="1" applyFont="1" applyFill="1" applyBorder="1"/>
    <xf numFmtId="169" fontId="17" fillId="3" borderId="17" xfId="0" applyNumberFormat="1" applyFont="1" applyFill="1" applyBorder="1"/>
    <xf numFmtId="169" fontId="17" fillId="3" borderId="17" xfId="2" applyNumberFormat="1" applyFont="1" applyFill="1" applyBorder="1"/>
    <xf numFmtId="170" fontId="12" fillId="3" borderId="17" xfId="0" applyNumberFormat="1" applyFont="1" applyFill="1" applyBorder="1"/>
    <xf numFmtId="170" fontId="15" fillId="3" borderId="17" xfId="0" applyNumberFormat="1" applyFont="1" applyFill="1" applyBorder="1"/>
    <xf numFmtId="0" fontId="16" fillId="3" borderId="17" xfId="0" applyFont="1" applyFill="1" applyBorder="1"/>
    <xf numFmtId="0" fontId="15" fillId="0" borderId="0" xfId="0" applyFont="1"/>
    <xf numFmtId="164" fontId="0" fillId="0" borderId="0" xfId="0" applyNumberFormat="1"/>
    <xf numFmtId="0" fontId="6" fillId="0" borderId="0" xfId="0" applyFont="1"/>
    <xf numFmtId="164" fontId="6" fillId="0" borderId="0" xfId="0" applyNumberFormat="1" applyFont="1" applyAlignment="1">
      <alignment horizontal="center"/>
    </xf>
    <xf numFmtId="167" fontId="6" fillId="0" borderId="0" xfId="0" applyNumberFormat="1" applyFont="1"/>
    <xf numFmtId="167" fontId="0" fillId="0" borderId="0" xfId="0" applyNumberFormat="1"/>
    <xf numFmtId="164" fontId="6" fillId="0" borderId="0" xfId="0" applyNumberFormat="1" applyFont="1"/>
    <xf numFmtId="169" fontId="0" fillId="0" borderId="0" xfId="0" applyNumberFormat="1"/>
    <xf numFmtId="166" fontId="0" fillId="0" borderId="0" xfId="0" applyNumberFormat="1"/>
    <xf numFmtId="166" fontId="6" fillId="0" borderId="0" xfId="0" applyNumberFormat="1" applyFont="1"/>
    <xf numFmtId="167" fontId="23" fillId="0" borderId="0" xfId="0" applyNumberFormat="1" applyFont="1"/>
    <xf numFmtId="167" fontId="10" fillId="0" borderId="0" xfId="0" applyNumberFormat="1" applyFont="1"/>
    <xf numFmtId="166" fontId="10" fillId="0" borderId="0" xfId="0" applyNumberFormat="1" applyFont="1"/>
    <xf numFmtId="165" fontId="0" fillId="0" borderId="0" xfId="0" applyNumberFormat="1"/>
    <xf numFmtId="165" fontId="6" fillId="0" borderId="0" xfId="0" applyNumberFormat="1" applyFont="1"/>
    <xf numFmtId="181" fontId="34" fillId="0" borderId="0" xfId="1" applyNumberFormat="1"/>
    <xf numFmtId="181" fontId="6" fillId="0" borderId="0" xfId="1" applyNumberFormat="1" applyFont="1"/>
    <xf numFmtId="167" fontId="12" fillId="0" borderId="0" xfId="0" applyNumberFormat="1" applyFont="1"/>
    <xf numFmtId="167" fontId="16" fillId="0" borderId="0" xfId="0" applyNumberFormat="1" applyFont="1"/>
    <xf numFmtId="167" fontId="10" fillId="0" borderId="0" xfId="0" applyNumberFormat="1" applyFont="1" applyAlignment="1">
      <alignment horizontal="left" indent="1"/>
    </xf>
    <xf numFmtId="164" fontId="16" fillId="0" borderId="0" xfId="0" applyNumberFormat="1" applyFont="1"/>
    <xf numFmtId="164" fontId="10" fillId="0" borderId="0" xfId="0" applyNumberFormat="1" applyFont="1"/>
    <xf numFmtId="185" fontId="0" fillId="0" borderId="0" xfId="0" applyNumberFormat="1"/>
    <xf numFmtId="169" fontId="10" fillId="0" borderId="0" xfId="0" applyNumberFormat="1" applyFont="1"/>
    <xf numFmtId="185" fontId="10" fillId="0" borderId="0" xfId="0" applyNumberFormat="1" applyFont="1"/>
    <xf numFmtId="169" fontId="6" fillId="0" borderId="0" xfId="0" applyNumberFormat="1" applyFont="1"/>
    <xf numFmtId="169" fontId="16" fillId="0" borderId="0" xfId="0" applyNumberFormat="1" applyFont="1"/>
    <xf numFmtId="194" fontId="15" fillId="0" borderId="0" xfId="0" applyNumberFormat="1" applyFont="1"/>
    <xf numFmtId="193" fontId="6" fillId="0" borderId="0" xfId="0" applyNumberFormat="1" applyFont="1"/>
    <xf numFmtId="189" fontId="0" fillId="0" borderId="0" xfId="0" applyNumberFormat="1"/>
    <xf numFmtId="170" fontId="10" fillId="0" borderId="0" xfId="0" applyNumberFormat="1" applyFont="1"/>
    <xf numFmtId="193" fontId="0" fillId="0" borderId="0" xfId="0" applyNumberFormat="1"/>
    <xf numFmtId="44" fontId="0" fillId="0" borderId="0" xfId="0" applyNumberFormat="1"/>
    <xf numFmtId="189" fontId="6" fillId="0" borderId="0" xfId="0" applyNumberFormat="1" applyFont="1"/>
    <xf numFmtId="172" fontId="0" fillId="0" borderId="0" xfId="0" applyNumberFormat="1"/>
    <xf numFmtId="170" fontId="6" fillId="0" borderId="0" xfId="0" applyNumberFormat="1" applyFont="1"/>
    <xf numFmtId="184" fontId="6" fillId="0" borderId="0" xfId="0" applyNumberFormat="1" applyFont="1"/>
    <xf numFmtId="170" fontId="0" fillId="0" borderId="0" xfId="0" applyNumberFormat="1"/>
    <xf numFmtId="184" fontId="0" fillId="0" borderId="0" xfId="0" applyNumberFormat="1"/>
    <xf numFmtId="0" fontId="34" fillId="0" borderId="0" xfId="16"/>
    <xf numFmtId="164" fontId="6" fillId="0" borderId="0" xfId="16" applyNumberFormat="1" applyFont="1"/>
    <xf numFmtId="0" fontId="6" fillId="0" borderId="0" xfId="16" applyFont="1"/>
    <xf numFmtId="169" fontId="6" fillId="0" borderId="0" xfId="16" applyNumberFormat="1" applyFont="1"/>
    <xf numFmtId="164" fontId="34" fillId="0" borderId="0" xfId="16" applyNumberFormat="1"/>
    <xf numFmtId="167" fontId="34" fillId="0" borderId="0" xfId="16" applyNumberFormat="1"/>
    <xf numFmtId="167" fontId="6" fillId="0" borderId="0" xfId="16" applyNumberFormat="1" applyFont="1"/>
    <xf numFmtId="178" fontId="6" fillId="0" borderId="0" xfId="16" applyNumberFormat="1" applyFont="1"/>
    <xf numFmtId="170" fontId="6" fillId="0" borderId="0" xfId="16" applyNumberFormat="1" applyFont="1"/>
    <xf numFmtId="179" fontId="6" fillId="0" borderId="0" xfId="16" applyNumberFormat="1" applyFont="1"/>
    <xf numFmtId="170" fontId="34" fillId="0" borderId="0" xfId="16" applyNumberFormat="1"/>
    <xf numFmtId="1" fontId="12" fillId="3" borderId="17" xfId="0" applyNumberFormat="1" applyFont="1" applyFill="1" applyBorder="1" applyAlignment="1">
      <alignment horizontal="center"/>
    </xf>
    <xf numFmtId="17" fontId="13" fillId="3" borderId="17" xfId="0" applyNumberFormat="1" applyFont="1" applyFill="1" applyBorder="1" applyAlignment="1">
      <alignment horizontal="center"/>
    </xf>
    <xf numFmtId="0" fontId="14" fillId="3" borderId="17" xfId="0" applyFont="1" applyFill="1" applyBorder="1" applyAlignment="1">
      <alignment horizontal="center"/>
    </xf>
    <xf numFmtId="167" fontId="0" fillId="3" borderId="17" xfId="0" applyNumberFormat="1" applyFill="1" applyBorder="1" applyAlignment="1">
      <alignment horizontal="right"/>
    </xf>
    <xf numFmtId="167" fontId="0" fillId="3" borderId="22" xfId="0" applyNumberFormat="1" applyFill="1" applyBorder="1" applyAlignment="1">
      <alignment horizontal="right"/>
    </xf>
    <xf numFmtId="166" fontId="0" fillId="3" borderId="17" xfId="0" applyNumberFormat="1" applyFill="1" applyBorder="1"/>
    <xf numFmtId="166" fontId="0" fillId="3" borderId="22" xfId="0" applyNumberFormat="1" applyFill="1" applyBorder="1"/>
    <xf numFmtId="166" fontId="6" fillId="3" borderId="17" xfId="0" applyNumberFormat="1" applyFont="1" applyFill="1" applyBorder="1"/>
    <xf numFmtId="167" fontId="16" fillId="3" borderId="22" xfId="0" applyNumberFormat="1" applyFont="1" applyFill="1" applyBorder="1"/>
    <xf numFmtId="167" fontId="19" fillId="3" borderId="17" xfId="0" applyNumberFormat="1" applyFont="1" applyFill="1" applyBorder="1"/>
    <xf numFmtId="165" fontId="0" fillId="3" borderId="17" xfId="0" applyNumberFormat="1" applyFill="1" applyBorder="1"/>
    <xf numFmtId="165" fontId="0" fillId="3" borderId="22" xfId="0" applyNumberFormat="1" applyFill="1" applyBorder="1"/>
    <xf numFmtId="165" fontId="6" fillId="3" borderId="17" xfId="0" applyNumberFormat="1" applyFont="1" applyFill="1" applyBorder="1"/>
    <xf numFmtId="167" fontId="23" fillId="3" borderId="17" xfId="0" applyNumberFormat="1" applyFont="1" applyFill="1" applyBorder="1"/>
    <xf numFmtId="167" fontId="6" fillId="3" borderId="17" xfId="0" applyNumberFormat="1" applyFont="1" applyFill="1" applyBorder="1" applyAlignment="1">
      <alignment horizontal="right"/>
    </xf>
    <xf numFmtId="167" fontId="12" fillId="3" borderId="24" xfId="0" applyNumberFormat="1" applyFont="1" applyFill="1" applyBorder="1" applyAlignment="1">
      <alignment horizontal="right"/>
    </xf>
    <xf numFmtId="194" fontId="15" fillId="3" borderId="17" xfId="0" applyNumberFormat="1" applyFont="1" applyFill="1" applyBorder="1"/>
    <xf numFmtId="193" fontId="12" fillId="3" borderId="17" xfId="0" applyNumberFormat="1" applyFont="1" applyFill="1" applyBorder="1"/>
    <xf numFmtId="193" fontId="15" fillId="3" borderId="24" xfId="0" applyNumberFormat="1" applyFont="1" applyFill="1" applyBorder="1"/>
    <xf numFmtId="169" fontId="12" fillId="3" borderId="17" xfId="2" applyNumberFormat="1" applyFont="1" applyFill="1" applyBorder="1"/>
    <xf numFmtId="170" fontId="12" fillId="3" borderId="17" xfId="0" applyNumberFormat="1" applyFont="1" applyFill="1" applyBorder="1" applyAlignment="1">
      <alignment horizontal="right"/>
    </xf>
    <xf numFmtId="184" fontId="6" fillId="3" borderId="17" xfId="0" applyNumberFormat="1" applyFont="1" applyFill="1" applyBorder="1" applyAlignment="1">
      <alignment horizontal="right"/>
    </xf>
    <xf numFmtId="184" fontId="15" fillId="3" borderId="17" xfId="0" applyNumberFormat="1" applyFont="1" applyFill="1" applyBorder="1" applyAlignment="1">
      <alignment horizontal="right"/>
    </xf>
    <xf numFmtId="190" fontId="15" fillId="3" borderId="17" xfId="0" applyNumberFormat="1" applyFont="1" applyFill="1" applyBorder="1" applyAlignment="1">
      <alignment horizontal="right"/>
    </xf>
    <xf numFmtId="185" fontId="15" fillId="3" borderId="17" xfId="0" applyNumberFormat="1" applyFont="1" applyFill="1" applyBorder="1" applyAlignment="1">
      <alignment horizontal="right"/>
    </xf>
    <xf numFmtId="166" fontId="12" fillId="3" borderId="17" xfId="0" applyNumberFormat="1" applyFont="1" applyFill="1" applyBorder="1" applyAlignment="1">
      <alignment horizontal="right"/>
    </xf>
    <xf numFmtId="195" fontId="12" fillId="3" borderId="17" xfId="0" applyNumberFormat="1" applyFont="1" applyFill="1" applyBorder="1" applyAlignment="1">
      <alignment horizontal="right"/>
    </xf>
    <xf numFmtId="0" fontId="12" fillId="3" borderId="17" xfId="0" applyFont="1" applyFill="1" applyBorder="1" applyAlignment="1">
      <alignment horizontal="right"/>
    </xf>
    <xf numFmtId="17" fontId="15" fillId="3" borderId="17" xfId="0" applyNumberFormat="1" applyFont="1" applyFill="1" applyBorder="1"/>
    <xf numFmtId="164" fontId="11" fillId="4" borderId="0" xfId="0" applyNumberFormat="1" applyFont="1" applyFill="1"/>
    <xf numFmtId="164" fontId="15" fillId="3" borderId="0" xfId="0" applyNumberFormat="1" applyFont="1" applyFill="1"/>
    <xf numFmtId="164" fontId="0" fillId="3" borderId="0" xfId="0" applyNumberFormat="1" applyFill="1"/>
    <xf numFmtId="164" fontId="15" fillId="3" borderId="17" xfId="0" applyNumberFormat="1" applyFont="1" applyFill="1" applyBorder="1"/>
    <xf numFmtId="164" fontId="15" fillId="3" borderId="2" xfId="0" applyNumberFormat="1" applyFont="1" applyFill="1" applyBorder="1"/>
    <xf numFmtId="164" fontId="15" fillId="3" borderId="22" xfId="0" applyNumberFormat="1" applyFont="1" applyFill="1" applyBorder="1"/>
    <xf numFmtId="164" fontId="12" fillId="3" borderId="0" xfId="0" applyNumberFormat="1" applyFont="1" applyFill="1"/>
    <xf numFmtId="164" fontId="16" fillId="3" borderId="0" xfId="0" applyNumberFormat="1" applyFont="1" applyFill="1"/>
    <xf numFmtId="164" fontId="15" fillId="3" borderId="0" xfId="0" applyNumberFormat="1" applyFont="1" applyFill="1" applyAlignment="1">
      <alignment horizontal="right"/>
    </xf>
    <xf numFmtId="164" fontId="18" fillId="4" borderId="0" xfId="0" applyNumberFormat="1" applyFont="1" applyFill="1"/>
    <xf numFmtId="164" fontId="18" fillId="4" borderId="17" xfId="0" applyNumberFormat="1" applyFont="1" applyFill="1" applyBorder="1"/>
    <xf numFmtId="164" fontId="13" fillId="2" borderId="0" xfId="9" applyNumberFormat="1" applyFont="1"/>
    <xf numFmtId="164" fontId="17" fillId="3" borderId="0" xfId="0" applyNumberFormat="1" applyFont="1" applyFill="1" applyAlignment="1">
      <alignment horizontal="left" indent="1"/>
    </xf>
    <xf numFmtId="164" fontId="16" fillId="3" borderId="0" xfId="0" applyNumberFormat="1" applyFont="1" applyFill="1" applyAlignment="1">
      <alignment horizontal="left" indent="3"/>
    </xf>
    <xf numFmtId="164" fontId="16" fillId="3" borderId="0" xfId="0" applyNumberFormat="1" applyFont="1" applyFill="1" applyAlignment="1">
      <alignment horizontal="left" indent="1"/>
    </xf>
    <xf numFmtId="167" fontId="13" fillId="3" borderId="0" xfId="12" applyNumberFormat="1" applyFont="1" applyFill="1"/>
    <xf numFmtId="164" fontId="13" fillId="3" borderId="0" xfId="12" applyNumberFormat="1" applyFont="1" applyFill="1"/>
    <xf numFmtId="173" fontId="13" fillId="3" borderId="0" xfId="2" applyNumberFormat="1" applyFont="1" applyFill="1"/>
    <xf numFmtId="171" fontId="15" fillId="3" borderId="0" xfId="0" applyNumberFormat="1" applyFont="1" applyFill="1"/>
    <xf numFmtId="167" fontId="0" fillId="3" borderId="0" xfId="0" applyNumberFormat="1" applyFill="1" applyAlignment="1">
      <alignment horizontal="right"/>
    </xf>
    <xf numFmtId="167" fontId="6" fillId="3" borderId="0" xfId="0" applyNumberFormat="1" applyFont="1" applyFill="1" applyAlignment="1">
      <alignment horizontal="right"/>
    </xf>
    <xf numFmtId="167" fontId="17" fillId="3" borderId="0" xfId="0" applyNumberFormat="1" applyFont="1" applyFill="1"/>
    <xf numFmtId="169" fontId="17" fillId="3" borderId="0" xfId="0" applyNumberFormat="1" applyFont="1" applyFill="1"/>
    <xf numFmtId="169" fontId="17" fillId="3" borderId="0" xfId="2" applyNumberFormat="1" applyFont="1" applyFill="1"/>
    <xf numFmtId="184" fontId="12" fillId="3" borderId="0" xfId="0" applyNumberFormat="1" applyFont="1" applyFill="1"/>
    <xf numFmtId="184" fontId="6" fillId="3" borderId="0" xfId="0" applyNumberFormat="1" applyFont="1" applyFill="1" applyAlignment="1">
      <alignment horizontal="right"/>
    </xf>
    <xf numFmtId="170" fontId="15" fillId="3" borderId="0" xfId="0" applyNumberFormat="1" applyFont="1" applyFill="1" applyAlignment="1">
      <alignment horizontal="right"/>
    </xf>
    <xf numFmtId="166" fontId="14" fillId="3" borderId="0" xfId="12" applyNumberFormat="1" applyFont="1" applyFill="1"/>
    <xf numFmtId="166" fontId="13" fillId="3" borderId="0" xfId="12" applyNumberFormat="1" applyFont="1" applyFill="1"/>
    <xf numFmtId="195" fontId="14" fillId="3" borderId="0" xfId="12" applyNumberFormat="1" applyFont="1" applyFill="1" applyAlignment="1">
      <alignment horizontal="right"/>
    </xf>
    <xf numFmtId="0" fontId="14" fillId="3" borderId="0" xfId="12" applyFont="1" applyFill="1" applyAlignment="1">
      <alignment horizontal="right"/>
    </xf>
    <xf numFmtId="17" fontId="13" fillId="3" borderId="0" xfId="12" applyNumberFormat="1" applyFont="1" applyFill="1"/>
    <xf numFmtId="184" fontId="13" fillId="3" borderId="0" xfId="12" applyNumberFormat="1" applyFont="1" applyFill="1"/>
    <xf numFmtId="185" fontId="13" fillId="3" borderId="0" xfId="12" applyNumberFormat="1" applyFont="1" applyFill="1"/>
    <xf numFmtId="164" fontId="12" fillId="3" borderId="0" xfId="16" applyNumberFormat="1" applyFont="1" applyFill="1"/>
    <xf numFmtId="164" fontId="15" fillId="3" borderId="0" xfId="16" applyNumberFormat="1" applyFont="1" applyFill="1"/>
    <xf numFmtId="164" fontId="11" fillId="4" borderId="0" xfId="16" applyNumberFormat="1" applyFont="1" applyFill="1"/>
    <xf numFmtId="170" fontId="12" fillId="3" borderId="0" xfId="16" applyNumberFormat="1" applyFont="1" applyFill="1" applyAlignment="1">
      <alignment horizontal="right"/>
    </xf>
    <xf numFmtId="170" fontId="15" fillId="3" borderId="0" xfId="16" applyNumberFormat="1" applyFont="1" applyFill="1" applyAlignment="1">
      <alignment horizontal="right"/>
    </xf>
    <xf numFmtId="169" fontId="12" fillId="3" borderId="17" xfId="0" applyNumberFormat="1" applyFont="1" applyFill="1" applyBorder="1"/>
    <xf numFmtId="164" fontId="28" fillId="4" borderId="0" xfId="0" applyNumberFormat="1" applyFont="1" applyFill="1"/>
    <xf numFmtId="164" fontId="28" fillId="4" borderId="17" xfId="0" applyNumberFormat="1" applyFont="1" applyFill="1" applyBorder="1"/>
    <xf numFmtId="164" fontId="0" fillId="3" borderId="2" xfId="0" applyNumberFormat="1" applyFill="1" applyBorder="1"/>
    <xf numFmtId="164" fontId="12" fillId="3" borderId="7" xfId="0" applyNumberFormat="1" applyFont="1" applyFill="1" applyBorder="1"/>
    <xf numFmtId="164" fontId="12" fillId="3" borderId="24" xfId="0" applyNumberFormat="1" applyFont="1" applyFill="1" applyBorder="1"/>
    <xf numFmtId="164" fontId="11" fillId="4" borderId="17" xfId="0" applyNumberFormat="1" applyFont="1" applyFill="1" applyBorder="1"/>
    <xf numFmtId="164" fontId="12" fillId="3" borderId="17" xfId="0" applyNumberFormat="1" applyFont="1" applyFill="1" applyBorder="1"/>
    <xf numFmtId="164" fontId="0" fillId="3" borderId="17" xfId="0" applyNumberFormat="1" applyFill="1" applyBorder="1"/>
    <xf numFmtId="164" fontId="15" fillId="3" borderId="9" xfId="0" applyNumberFormat="1" applyFont="1" applyFill="1" applyBorder="1"/>
    <xf numFmtId="164" fontId="0" fillId="3" borderId="9" xfId="0" applyNumberFormat="1" applyFill="1" applyBorder="1"/>
    <xf numFmtId="164" fontId="0" fillId="3" borderId="27" xfId="0" applyNumberFormat="1" applyFill="1" applyBorder="1"/>
    <xf numFmtId="164" fontId="6" fillId="3" borderId="7" xfId="0" applyNumberFormat="1" applyFont="1" applyFill="1" applyBorder="1"/>
    <xf numFmtId="164" fontId="12" fillId="3" borderId="9" xfId="0" applyNumberFormat="1" applyFont="1" applyFill="1" applyBorder="1"/>
    <xf numFmtId="164" fontId="12" fillId="3" borderId="27" xfId="0" applyNumberFormat="1" applyFont="1" applyFill="1" applyBorder="1"/>
    <xf numFmtId="164" fontId="6" fillId="3" borderId="24" xfId="0" applyNumberFormat="1" applyFont="1" applyFill="1" applyBorder="1"/>
    <xf numFmtId="164" fontId="6" fillId="3" borderId="17" xfId="0" applyNumberFormat="1" applyFont="1" applyFill="1" applyBorder="1"/>
    <xf numFmtId="164" fontId="17" fillId="3" borderId="0" xfId="0" applyNumberFormat="1" applyFont="1" applyFill="1"/>
    <xf numFmtId="164" fontId="17" fillId="3" borderId="17" xfId="0" applyNumberFormat="1" applyFont="1" applyFill="1" applyBorder="1"/>
    <xf numFmtId="164" fontId="16" fillId="3" borderId="0" xfId="0" applyNumberFormat="1" applyFont="1" applyFill="1" applyAlignment="1">
      <alignment horizontal="right"/>
    </xf>
    <xf numFmtId="164" fontId="16" fillId="3" borderId="17" xfId="0" applyNumberFormat="1" applyFont="1" applyFill="1" applyBorder="1"/>
    <xf numFmtId="164" fontId="15" fillId="3" borderId="7" xfId="0" applyNumberFormat="1" applyFont="1" applyFill="1" applyBorder="1"/>
    <xf numFmtId="164" fontId="15" fillId="3" borderId="24" xfId="0" applyNumberFormat="1" applyFont="1" applyFill="1" applyBorder="1"/>
    <xf numFmtId="164" fontId="15" fillId="3" borderId="13" xfId="0" applyNumberFormat="1" applyFont="1" applyFill="1" applyBorder="1"/>
    <xf numFmtId="164" fontId="15" fillId="3" borderId="26" xfId="0" applyNumberFormat="1" applyFont="1" applyFill="1" applyBorder="1"/>
    <xf numFmtId="164" fontId="15" fillId="3" borderId="17" xfId="0" applyNumberFormat="1" applyFont="1" applyFill="1" applyBorder="1" applyAlignment="1">
      <alignment horizontal="right"/>
    </xf>
    <xf numFmtId="164" fontId="11" fillId="4" borderId="0" xfId="0" applyNumberFormat="1" applyFont="1" applyFill="1" applyAlignment="1">
      <alignment horizontal="right"/>
    </xf>
    <xf numFmtId="164" fontId="11" fillId="4" borderId="17" xfId="0" applyNumberFormat="1" applyFont="1" applyFill="1" applyBorder="1" applyAlignment="1">
      <alignment horizontal="right"/>
    </xf>
    <xf numFmtId="164" fontId="12" fillId="3" borderId="0" xfId="0" applyNumberFormat="1" applyFont="1" applyFill="1" applyAlignment="1">
      <alignment horizontal="right"/>
    </xf>
    <xf numFmtId="164" fontId="12" fillId="3" borderId="17" xfId="0" applyNumberFormat="1" applyFont="1" applyFill="1" applyBorder="1" applyAlignment="1">
      <alignment horizontal="right"/>
    </xf>
    <xf numFmtId="164" fontId="12" fillId="3" borderId="10" xfId="0" applyNumberFormat="1" applyFont="1" applyFill="1" applyBorder="1" applyAlignment="1">
      <alignment horizontal="right"/>
    </xf>
    <xf numFmtId="164" fontId="12" fillId="3" borderId="16" xfId="0" applyNumberFormat="1" applyFont="1" applyFill="1" applyBorder="1" applyAlignment="1">
      <alignment horizontal="right"/>
    </xf>
    <xf numFmtId="164" fontId="13" fillId="2" borderId="0" xfId="9" applyNumberFormat="1" applyFont="1" applyAlignment="1">
      <alignment horizontal="right"/>
    </xf>
    <xf numFmtId="164" fontId="13" fillId="2" borderId="17" xfId="9" applyNumberFormat="1" applyFont="1" applyBorder="1" applyAlignment="1">
      <alignment horizontal="right"/>
    </xf>
    <xf numFmtId="164" fontId="12" fillId="3" borderId="8" xfId="0" applyNumberFormat="1" applyFont="1" applyFill="1" applyBorder="1"/>
    <xf numFmtId="164" fontId="12" fillId="3" borderId="6" xfId="0" applyNumberFormat="1" applyFont="1" applyFill="1" applyBorder="1"/>
    <xf numFmtId="164" fontId="12" fillId="3" borderId="5" xfId="0" applyNumberFormat="1" applyFont="1" applyFill="1" applyBorder="1"/>
    <xf numFmtId="164" fontId="12" fillId="3" borderId="4" xfId="0" applyNumberFormat="1" applyFont="1" applyFill="1" applyBorder="1"/>
    <xf numFmtId="164" fontId="15" fillId="3" borderId="13" xfId="16" applyNumberFormat="1" applyFont="1" applyFill="1" applyBorder="1" applyAlignment="1">
      <alignment horizontal="right"/>
    </xf>
    <xf numFmtId="164" fontId="15" fillId="3" borderId="26" xfId="16" applyNumberFormat="1" applyFont="1" applyFill="1" applyBorder="1" applyAlignment="1">
      <alignment horizontal="right"/>
    </xf>
    <xf numFmtId="164" fontId="12" fillId="3" borderId="17" xfId="16" applyNumberFormat="1" applyFont="1" applyFill="1" applyBorder="1"/>
    <xf numFmtId="164" fontId="15" fillId="3" borderId="17" xfId="16" applyNumberFormat="1" applyFont="1" applyFill="1" applyBorder="1"/>
    <xf numFmtId="164" fontId="12" fillId="3" borderId="7" xfId="16" applyNumberFormat="1" applyFont="1" applyFill="1" applyBorder="1"/>
    <xf numFmtId="164" fontId="12" fillId="3" borderId="24" xfId="16" applyNumberFormat="1" applyFont="1" applyFill="1" applyBorder="1"/>
    <xf numFmtId="164" fontId="11" fillId="4" borderId="17" xfId="16" applyNumberFormat="1" applyFont="1" applyFill="1" applyBorder="1"/>
    <xf numFmtId="164" fontId="15" fillId="3" borderId="0" xfId="16" applyNumberFormat="1" applyFont="1" applyFill="1" applyAlignment="1">
      <alignment horizontal="right"/>
    </xf>
    <xf numFmtId="164" fontId="15" fillId="3" borderId="17" xfId="16" applyNumberFormat="1" applyFont="1" applyFill="1" applyBorder="1" applyAlignment="1">
      <alignment horizontal="right"/>
    </xf>
    <xf numFmtId="164" fontId="15" fillId="3" borderId="2" xfId="16" applyNumberFormat="1" applyFont="1" applyFill="1" applyBorder="1" applyAlignment="1">
      <alignment horizontal="right"/>
    </xf>
    <xf numFmtId="164" fontId="15" fillId="3" borderId="22" xfId="16" applyNumberFormat="1" applyFont="1" applyFill="1" applyBorder="1" applyAlignment="1">
      <alignment horizontal="right"/>
    </xf>
    <xf numFmtId="164" fontId="15" fillId="3" borderId="2" xfId="16" applyNumberFormat="1" applyFont="1" applyFill="1" applyBorder="1"/>
    <xf numFmtId="164" fontId="15" fillId="3" borderId="22" xfId="16" applyNumberFormat="1" applyFont="1" applyFill="1" applyBorder="1"/>
    <xf numFmtId="184" fontId="12" fillId="3" borderId="0" xfId="16" applyNumberFormat="1" applyFont="1" applyFill="1" applyAlignment="1">
      <alignment horizontal="left"/>
    </xf>
    <xf numFmtId="167" fontId="32" fillId="3" borderId="2" xfId="0" applyNumberFormat="1" applyFont="1" applyFill="1" applyBorder="1" applyAlignment="1">
      <alignment horizontal="right"/>
    </xf>
    <xf numFmtId="164" fontId="32" fillId="3" borderId="0" xfId="0" applyNumberFormat="1" applyFont="1" applyFill="1"/>
    <xf numFmtId="164" fontId="32" fillId="3" borderId="17" xfId="0" applyNumberFormat="1" applyFont="1" applyFill="1" applyBorder="1"/>
    <xf numFmtId="164" fontId="32" fillId="3" borderId="2" xfId="0" applyNumberFormat="1" applyFont="1" applyFill="1" applyBorder="1"/>
    <xf numFmtId="164" fontId="32" fillId="3" borderId="22" xfId="0" applyNumberFormat="1" applyFont="1" applyFill="1" applyBorder="1"/>
    <xf numFmtId="166" fontId="32" fillId="3" borderId="0" xfId="0" applyNumberFormat="1" applyFont="1" applyFill="1"/>
    <xf numFmtId="166" fontId="32" fillId="3" borderId="17" xfId="0" applyNumberFormat="1" applyFont="1" applyFill="1" applyBorder="1"/>
    <xf numFmtId="166" fontId="32" fillId="3" borderId="2" xfId="0" applyNumberFormat="1" applyFont="1" applyFill="1" applyBorder="1"/>
    <xf numFmtId="166" fontId="32" fillId="3" borderId="22" xfId="0" applyNumberFormat="1" applyFont="1" applyFill="1" applyBorder="1"/>
    <xf numFmtId="166" fontId="31" fillId="3" borderId="0" xfId="0" applyNumberFormat="1" applyFont="1" applyFill="1"/>
    <xf numFmtId="167" fontId="29" fillId="3" borderId="0" xfId="0" applyNumberFormat="1" applyFont="1" applyFill="1"/>
    <xf numFmtId="167" fontId="29" fillId="3" borderId="2" xfId="0" applyNumberFormat="1" applyFont="1" applyFill="1" applyBorder="1"/>
    <xf numFmtId="164" fontId="31" fillId="3" borderId="7" xfId="0" applyNumberFormat="1" applyFont="1" applyFill="1" applyBorder="1"/>
    <xf numFmtId="167" fontId="32" fillId="3" borderId="0" xfId="0" applyNumberFormat="1" applyFont="1" applyFill="1"/>
    <xf numFmtId="167" fontId="32" fillId="3" borderId="17" xfId="0" applyNumberFormat="1" applyFont="1" applyFill="1" applyBorder="1"/>
    <xf numFmtId="167" fontId="31" fillId="3" borderId="0" xfId="0" applyNumberFormat="1" applyFont="1" applyFill="1"/>
    <xf numFmtId="181" fontId="32" fillId="3" borderId="0" xfId="1" applyNumberFormat="1" applyFont="1" applyFill="1" applyAlignment="1">
      <alignment horizontal="right"/>
    </xf>
    <xf numFmtId="181" fontId="31" fillId="3" borderId="0" xfId="1" applyNumberFormat="1" applyFont="1" applyFill="1"/>
    <xf numFmtId="181" fontId="31" fillId="3" borderId="7" xfId="1" applyNumberFormat="1" applyFont="1" applyFill="1" applyBorder="1"/>
    <xf numFmtId="166" fontId="31" fillId="3" borderId="7" xfId="0" applyNumberFormat="1" applyFont="1" applyFill="1" applyBorder="1"/>
    <xf numFmtId="167" fontId="31" fillId="3" borderId="0" xfId="0" applyNumberFormat="1" applyFont="1" applyFill="1" applyAlignment="1">
      <alignment horizontal="right"/>
    </xf>
    <xf numFmtId="164" fontId="31" fillId="3" borderId="0" xfId="0" applyNumberFormat="1" applyFont="1" applyFill="1"/>
    <xf numFmtId="164" fontId="31" fillId="3" borderId="17" xfId="0" applyNumberFormat="1" applyFont="1" applyFill="1" applyBorder="1"/>
    <xf numFmtId="164" fontId="32" fillId="3" borderId="9" xfId="0" applyNumberFormat="1" applyFont="1" applyFill="1" applyBorder="1"/>
    <xf numFmtId="170" fontId="29" fillId="3" borderId="0" xfId="0" applyNumberFormat="1" applyFont="1" applyFill="1"/>
    <xf numFmtId="192" fontId="29" fillId="3" borderId="0" xfId="0" applyNumberFormat="1" applyFont="1" applyFill="1"/>
    <xf numFmtId="193" fontId="32" fillId="3" borderId="0" xfId="0" applyNumberFormat="1" applyFont="1" applyFill="1"/>
    <xf numFmtId="193" fontId="32" fillId="3" borderId="17" xfId="0" applyNumberFormat="1" applyFont="1" applyFill="1" applyBorder="1"/>
    <xf numFmtId="193" fontId="32" fillId="3" borderId="2" xfId="0" applyNumberFormat="1" applyFont="1" applyFill="1" applyBorder="1"/>
    <xf numFmtId="193" fontId="32" fillId="3" borderId="22" xfId="0" applyNumberFormat="1" applyFont="1" applyFill="1" applyBorder="1"/>
    <xf numFmtId="193" fontId="31" fillId="3" borderId="0" xfId="0" applyNumberFormat="1" applyFont="1" applyFill="1"/>
    <xf numFmtId="193" fontId="31" fillId="3" borderId="17" xfId="0" applyNumberFormat="1" applyFont="1" applyFill="1" applyBorder="1"/>
    <xf numFmtId="44" fontId="32" fillId="3" borderId="0" xfId="0" applyNumberFormat="1" applyFont="1" applyFill="1"/>
    <xf numFmtId="44" fontId="32" fillId="3" borderId="17" xfId="0" applyNumberFormat="1" applyFont="1" applyFill="1" applyBorder="1"/>
    <xf numFmtId="189" fontId="32" fillId="3" borderId="0" xfId="0" applyNumberFormat="1" applyFont="1" applyFill="1"/>
    <xf numFmtId="189" fontId="32" fillId="3" borderId="17" xfId="0" applyNumberFormat="1" applyFont="1" applyFill="1" applyBorder="1"/>
    <xf numFmtId="172" fontId="32" fillId="3" borderId="0" xfId="0" applyNumberFormat="1" applyFont="1" applyFill="1"/>
    <xf numFmtId="172" fontId="32" fillId="3" borderId="17" xfId="0" applyNumberFormat="1" applyFont="1" applyFill="1" applyBorder="1"/>
    <xf numFmtId="184" fontId="31" fillId="3" borderId="0" xfId="0" applyNumberFormat="1" applyFont="1" applyFill="1"/>
    <xf numFmtId="184" fontId="31" fillId="3" borderId="0" xfId="0" applyNumberFormat="1" applyFont="1" applyFill="1" applyAlignment="1">
      <alignment horizontal="left"/>
    </xf>
    <xf numFmtId="167" fontId="30" fillId="3" borderId="0" xfId="0" applyNumberFormat="1" applyFont="1" applyFill="1"/>
    <xf numFmtId="167" fontId="29" fillId="3" borderId="0" xfId="0" applyNumberFormat="1" applyFont="1" applyFill="1" applyAlignment="1">
      <alignment horizontal="right"/>
    </xf>
    <xf numFmtId="166" fontId="33" fillId="3" borderId="4" xfId="12" applyNumberFormat="1" applyFont="1" applyFill="1" applyBorder="1"/>
    <xf numFmtId="166" fontId="33" fillId="3" borderId="1" xfId="12" applyNumberFormat="1" applyFont="1" applyFill="1" applyBorder="1"/>
    <xf numFmtId="195" fontId="31" fillId="3" borderId="0" xfId="0" applyNumberFormat="1" applyFont="1" applyFill="1" applyAlignment="1">
      <alignment horizontal="right"/>
    </xf>
    <xf numFmtId="195" fontId="31" fillId="3" borderId="17" xfId="0" applyNumberFormat="1" applyFont="1" applyFill="1" applyBorder="1" applyAlignment="1">
      <alignment horizontal="right"/>
    </xf>
    <xf numFmtId="184" fontId="33" fillId="3" borderId="0" xfId="12" applyNumberFormat="1" applyFont="1" applyFill="1"/>
    <xf numFmtId="184" fontId="32" fillId="3" borderId="0" xfId="0" applyNumberFormat="1" applyFont="1" applyFill="1"/>
    <xf numFmtId="184" fontId="32" fillId="3" borderId="17" xfId="0" applyNumberFormat="1" applyFont="1" applyFill="1" applyBorder="1"/>
    <xf numFmtId="185" fontId="33" fillId="3" borderId="0" xfId="12" applyNumberFormat="1" applyFont="1" applyFill="1"/>
    <xf numFmtId="185" fontId="32" fillId="3" borderId="0" xfId="0" applyNumberFormat="1" applyFont="1" applyFill="1"/>
    <xf numFmtId="185" fontId="32" fillId="3" borderId="17" xfId="0" applyNumberFormat="1" applyFont="1" applyFill="1" applyBorder="1"/>
    <xf numFmtId="190" fontId="33" fillId="3" borderId="0" xfId="12" applyNumberFormat="1" applyFont="1" applyFill="1"/>
    <xf numFmtId="190" fontId="32" fillId="3" borderId="0" xfId="0" applyNumberFormat="1" applyFont="1" applyFill="1"/>
    <xf numFmtId="190" fontId="32" fillId="3" borderId="17" xfId="0" applyNumberFormat="1" applyFont="1" applyFill="1" applyBorder="1"/>
    <xf numFmtId="1" fontId="12" fillId="5" borderId="0" xfId="0" applyNumberFormat="1" applyFont="1" applyFill="1" applyAlignment="1">
      <alignment horizontal="center"/>
    </xf>
    <xf numFmtId="17" fontId="32" fillId="5" borderId="0" xfId="0" applyNumberFormat="1" applyFont="1" applyFill="1" applyAlignment="1">
      <alignment horizontal="center"/>
    </xf>
    <xf numFmtId="17" fontId="13" fillId="5" borderId="0" xfId="0" applyNumberFormat="1" applyFont="1" applyFill="1" applyAlignment="1">
      <alignment horizontal="center"/>
    </xf>
    <xf numFmtId="0" fontId="31" fillId="5" borderId="0" xfId="0" applyFont="1" applyFill="1" applyAlignment="1">
      <alignment horizontal="center"/>
    </xf>
    <xf numFmtId="0" fontId="14" fillId="5" borderId="0" xfId="0" applyFont="1" applyFill="1" applyAlignment="1">
      <alignment horizontal="center"/>
    </xf>
    <xf numFmtId="167" fontId="15" fillId="5" borderId="0" xfId="0" applyNumberFormat="1" applyFont="1" applyFill="1" applyAlignment="1">
      <alignment horizontal="right"/>
    </xf>
    <xf numFmtId="167" fontId="0" fillId="5" borderId="0" xfId="0" applyNumberFormat="1" applyFill="1" applyAlignment="1">
      <alignment horizontal="right"/>
    </xf>
    <xf numFmtId="167" fontId="15" fillId="5" borderId="2" xfId="0" applyNumberFormat="1" applyFont="1" applyFill="1" applyBorder="1" applyAlignment="1">
      <alignment horizontal="right"/>
    </xf>
    <xf numFmtId="167" fontId="0" fillId="5" borderId="2" xfId="0" applyNumberFormat="1" applyFill="1" applyBorder="1" applyAlignment="1">
      <alignment horizontal="right"/>
    </xf>
    <xf numFmtId="167" fontId="32" fillId="5" borderId="2" xfId="0" applyNumberFormat="1" applyFont="1" applyFill="1" applyBorder="1" applyAlignment="1">
      <alignment horizontal="right"/>
    </xf>
    <xf numFmtId="167" fontId="12" fillId="5" borderId="0" xfId="0" applyNumberFormat="1" applyFont="1" applyFill="1" applyAlignment="1">
      <alignment horizontal="right"/>
    </xf>
    <xf numFmtId="164" fontId="15" fillId="5" borderId="2" xfId="0" applyNumberFormat="1" applyFont="1" applyFill="1" applyBorder="1"/>
    <xf numFmtId="164" fontId="32" fillId="5" borderId="0" xfId="0" applyNumberFormat="1" applyFont="1" applyFill="1"/>
    <xf numFmtId="164" fontId="12" fillId="5" borderId="7" xfId="0" applyNumberFormat="1" applyFont="1" applyFill="1" applyBorder="1"/>
    <xf numFmtId="169" fontId="15" fillId="5" borderId="0" xfId="0" applyNumberFormat="1" applyFont="1" applyFill="1"/>
    <xf numFmtId="166" fontId="15" fillId="5" borderId="0" xfId="0" applyNumberFormat="1" applyFont="1" applyFill="1"/>
    <xf numFmtId="166" fontId="0" fillId="5" borderId="0" xfId="0" applyNumberFormat="1" applyFill="1"/>
    <xf numFmtId="166" fontId="15" fillId="5" borderId="2" xfId="0" applyNumberFormat="1" applyFont="1" applyFill="1" applyBorder="1"/>
    <xf numFmtId="166" fontId="0" fillId="5" borderId="2" xfId="0" applyNumberFormat="1" applyFill="1" applyBorder="1"/>
    <xf numFmtId="166" fontId="12" fillId="5" borderId="0" xfId="0" applyNumberFormat="1" applyFont="1" applyFill="1"/>
    <xf numFmtId="166" fontId="31" fillId="5" borderId="0" xfId="0" applyNumberFormat="1" applyFont="1" applyFill="1"/>
    <xf numFmtId="166" fontId="6" fillId="5" borderId="0" xfId="0" applyNumberFormat="1" applyFont="1" applyFill="1"/>
    <xf numFmtId="167" fontId="16" fillId="5" borderId="0" xfId="0" applyNumberFormat="1" applyFont="1" applyFill="1"/>
    <xf numFmtId="167" fontId="29" fillId="5" borderId="0" xfId="0" applyNumberFormat="1" applyFont="1" applyFill="1"/>
    <xf numFmtId="167" fontId="16" fillId="5" borderId="2" xfId="0" applyNumberFormat="1" applyFont="1" applyFill="1" applyBorder="1"/>
    <xf numFmtId="167" fontId="29" fillId="5" borderId="2" xfId="0" applyNumberFormat="1" applyFont="1" applyFill="1" applyBorder="1"/>
    <xf numFmtId="167" fontId="19" fillId="5" borderId="0" xfId="0" applyNumberFormat="1" applyFont="1" applyFill="1"/>
    <xf numFmtId="165" fontId="15" fillId="5" borderId="0" xfId="0" applyNumberFormat="1" applyFont="1" applyFill="1"/>
    <xf numFmtId="165" fontId="0" fillId="5" borderId="0" xfId="0" applyNumberFormat="1" applyFill="1"/>
    <xf numFmtId="165" fontId="15" fillId="5" borderId="2" xfId="0" applyNumberFormat="1" applyFont="1" applyFill="1" applyBorder="1"/>
    <xf numFmtId="165" fontId="0" fillId="5" borderId="2" xfId="0" applyNumberFormat="1" applyFill="1" applyBorder="1"/>
    <xf numFmtId="165" fontId="12" fillId="5" borderId="0" xfId="0" applyNumberFormat="1" applyFont="1" applyFill="1"/>
    <xf numFmtId="165" fontId="6" fillId="5" borderId="0" xfId="0" applyNumberFormat="1" applyFont="1" applyFill="1"/>
    <xf numFmtId="167" fontId="23" fillId="5" borderId="0" xfId="0" applyNumberFormat="1" applyFont="1" applyFill="1"/>
    <xf numFmtId="166" fontId="32" fillId="5" borderId="0" xfId="0" applyNumberFormat="1" applyFont="1" applyFill="1"/>
    <xf numFmtId="164" fontId="31" fillId="5" borderId="7" xfId="0" applyNumberFormat="1" applyFont="1" applyFill="1" applyBorder="1"/>
    <xf numFmtId="164" fontId="6" fillId="5" borderId="7" xfId="0" applyNumberFormat="1" applyFont="1" applyFill="1" applyBorder="1"/>
    <xf numFmtId="164" fontId="12" fillId="5" borderId="0" xfId="0" applyNumberFormat="1" applyFont="1" applyFill="1"/>
    <xf numFmtId="181" fontId="15" fillId="5" borderId="0" xfId="1" applyNumberFormat="1" applyFont="1" applyFill="1" applyAlignment="1">
      <alignment horizontal="right"/>
    </xf>
    <xf numFmtId="181" fontId="15" fillId="5" borderId="2" xfId="1" applyNumberFormat="1" applyFont="1" applyFill="1" applyBorder="1" applyAlignment="1">
      <alignment horizontal="right"/>
    </xf>
    <xf numFmtId="181" fontId="12" fillId="5" borderId="0" xfId="1" applyNumberFormat="1" applyFont="1" applyFill="1"/>
    <xf numFmtId="181" fontId="31" fillId="5" borderId="0" xfId="1" applyNumberFormat="1" applyFont="1" applyFill="1"/>
    <xf numFmtId="166" fontId="12" fillId="5" borderId="7" xfId="0" applyNumberFormat="1" applyFont="1" applyFill="1" applyBorder="1"/>
    <xf numFmtId="166" fontId="31" fillId="5" borderId="7" xfId="0" applyNumberFormat="1" applyFont="1" applyFill="1" applyBorder="1"/>
    <xf numFmtId="167" fontId="6" fillId="5" borderId="0" xfId="0" applyNumberFormat="1" applyFont="1" applyFill="1" applyAlignment="1">
      <alignment horizontal="right"/>
    </xf>
    <xf numFmtId="167" fontId="31" fillId="5" borderId="0" xfId="0" applyNumberFormat="1" applyFont="1" applyFill="1" applyAlignment="1">
      <alignment horizontal="right"/>
    </xf>
    <xf numFmtId="167" fontId="16" fillId="5" borderId="0" xfId="0" applyNumberFormat="1" applyFont="1" applyFill="1" applyAlignment="1">
      <alignment horizontal="right"/>
    </xf>
    <xf numFmtId="167" fontId="12" fillId="5" borderId="7" xfId="0" applyNumberFormat="1" applyFont="1" applyFill="1" applyBorder="1" applyAlignment="1">
      <alignment horizontal="right"/>
    </xf>
    <xf numFmtId="167" fontId="16" fillId="5" borderId="0" xfId="0" applyNumberFormat="1" applyFont="1" applyFill="1" applyAlignment="1">
      <alignment horizontal="left" indent="1"/>
    </xf>
    <xf numFmtId="167" fontId="16" fillId="5" borderId="0" xfId="0" applyNumberFormat="1" applyFont="1" applyFill="1" applyAlignment="1">
      <alignment horizontal="right" indent="1"/>
    </xf>
    <xf numFmtId="167" fontId="15" fillId="5" borderId="0" xfId="0" applyNumberFormat="1" applyFont="1" applyFill="1" applyAlignment="1">
      <alignment horizontal="center"/>
    </xf>
    <xf numFmtId="164" fontId="31" fillId="5" borderId="0" xfId="0" applyNumberFormat="1" applyFont="1" applyFill="1"/>
    <xf numFmtId="164" fontId="32" fillId="5" borderId="9" xfId="0" applyNumberFormat="1" applyFont="1" applyFill="1" applyBorder="1"/>
    <xf numFmtId="164" fontId="15" fillId="5" borderId="9" xfId="0" applyNumberFormat="1" applyFont="1" applyFill="1" applyBorder="1"/>
    <xf numFmtId="164" fontId="0" fillId="5" borderId="9" xfId="0" applyNumberFormat="1" applyFill="1" applyBorder="1"/>
    <xf numFmtId="164" fontId="32" fillId="5" borderId="2" xfId="0" applyNumberFormat="1" applyFont="1" applyFill="1" applyBorder="1"/>
    <xf numFmtId="164" fontId="12" fillId="5" borderId="9" xfId="0" applyNumberFormat="1" applyFont="1" applyFill="1" applyBorder="1"/>
    <xf numFmtId="164" fontId="31" fillId="5" borderId="9" xfId="0" applyNumberFormat="1" applyFont="1" applyFill="1" applyBorder="1"/>
    <xf numFmtId="164" fontId="0" fillId="5" borderId="2" xfId="0" applyNumberFormat="1" applyFill="1" applyBorder="1"/>
    <xf numFmtId="164" fontId="6" fillId="5" borderId="0" xfId="0" applyNumberFormat="1" applyFont="1" applyFill="1"/>
    <xf numFmtId="164" fontId="16" fillId="5" borderId="0" xfId="0" applyNumberFormat="1" applyFont="1" applyFill="1"/>
    <xf numFmtId="164" fontId="16" fillId="5" borderId="0" xfId="0" applyNumberFormat="1" applyFont="1" applyFill="1" applyAlignment="1">
      <alignment horizontal="right"/>
    </xf>
    <xf numFmtId="185" fontId="15" fillId="5" borderId="0" xfId="0" applyNumberFormat="1" applyFont="1" applyFill="1"/>
    <xf numFmtId="169" fontId="16" fillId="5" borderId="0" xfId="0" applyNumberFormat="1" applyFont="1" applyFill="1"/>
    <xf numFmtId="169" fontId="17" fillId="5" borderId="0" xfId="0" applyNumberFormat="1" applyFont="1" applyFill="1"/>
    <xf numFmtId="185" fontId="16" fillId="5" borderId="0" xfId="0" applyNumberFormat="1" applyFont="1" applyFill="1"/>
    <xf numFmtId="167" fontId="31" fillId="5" borderId="0" xfId="0" applyNumberFormat="1" applyFont="1" applyFill="1"/>
    <xf numFmtId="169" fontId="12" fillId="5" borderId="0" xfId="0" applyNumberFormat="1" applyFont="1" applyFill="1"/>
    <xf numFmtId="169" fontId="16" fillId="5" borderId="0" xfId="0" applyNumberFormat="1" applyFont="1" applyFill="1" applyAlignment="1">
      <alignment horizontal="right"/>
    </xf>
    <xf numFmtId="194" fontId="15" fillId="5" borderId="0" xfId="0" applyNumberFormat="1" applyFont="1" applyFill="1"/>
    <xf numFmtId="193" fontId="12" fillId="5" borderId="0" xfId="0" applyNumberFormat="1" applyFont="1" applyFill="1"/>
    <xf numFmtId="170" fontId="16" fillId="5" borderId="0" xfId="0" applyNumberFormat="1" applyFont="1" applyFill="1"/>
    <xf numFmtId="170" fontId="29" fillId="5" borderId="0" xfId="0" applyNumberFormat="1" applyFont="1" applyFill="1"/>
    <xf numFmtId="167" fontId="16" fillId="5" borderId="13" xfId="0" applyNumberFormat="1" applyFont="1" applyFill="1" applyBorder="1"/>
    <xf numFmtId="189" fontId="15" fillId="5" borderId="0" xfId="0" applyNumberFormat="1" applyFont="1" applyFill="1"/>
    <xf numFmtId="192" fontId="16" fillId="5" borderId="0" xfId="0" applyNumberFormat="1" applyFont="1" applyFill="1"/>
    <xf numFmtId="192" fontId="29" fillId="5" borderId="0" xfId="0" applyNumberFormat="1" applyFont="1" applyFill="1"/>
    <xf numFmtId="193" fontId="15" fillId="5" borderId="0" xfId="0" applyNumberFormat="1" applyFont="1" applyFill="1"/>
    <xf numFmtId="193" fontId="32" fillId="5" borderId="0" xfId="0" applyNumberFormat="1" applyFont="1" applyFill="1"/>
    <xf numFmtId="193" fontId="15" fillId="5" borderId="2" xfId="0" applyNumberFormat="1" applyFont="1" applyFill="1" applyBorder="1"/>
    <xf numFmtId="193" fontId="32" fillId="5" borderId="2" xfId="0" applyNumberFormat="1" applyFont="1" applyFill="1" applyBorder="1"/>
    <xf numFmtId="193" fontId="31" fillId="5" borderId="0" xfId="0" applyNumberFormat="1" applyFont="1" applyFill="1"/>
    <xf numFmtId="44" fontId="15" fillId="5" borderId="0" xfId="0" applyNumberFormat="1" applyFont="1" applyFill="1"/>
    <xf numFmtId="44" fontId="32" fillId="5" borderId="0" xfId="0" applyNumberFormat="1" applyFont="1" applyFill="1"/>
    <xf numFmtId="189" fontId="32" fillId="5" borderId="0" xfId="0" applyNumberFormat="1" applyFont="1" applyFill="1"/>
    <xf numFmtId="166" fontId="15" fillId="5" borderId="7" xfId="0" applyNumberFormat="1" applyFont="1" applyFill="1" applyBorder="1"/>
    <xf numFmtId="166" fontId="32" fillId="5" borderId="7" xfId="0" applyNumberFormat="1" applyFont="1" applyFill="1" applyBorder="1"/>
    <xf numFmtId="193" fontId="15" fillId="5" borderId="7" xfId="0" applyNumberFormat="1" applyFont="1" applyFill="1" applyBorder="1"/>
    <xf numFmtId="164" fontId="15" fillId="5" borderId="7" xfId="0" applyNumberFormat="1" applyFont="1" applyFill="1" applyBorder="1"/>
    <xf numFmtId="164" fontId="32" fillId="5" borderId="7" xfId="0" applyNumberFormat="1" applyFont="1" applyFill="1" applyBorder="1"/>
    <xf numFmtId="169" fontId="12" fillId="5" borderId="0" xfId="2" applyNumberFormat="1" applyFont="1" applyFill="1" applyAlignment="1">
      <alignment horizontal="right" indent="1"/>
    </xf>
    <xf numFmtId="169" fontId="12" fillId="5" borderId="0" xfId="2" applyNumberFormat="1" applyFont="1" applyFill="1"/>
    <xf numFmtId="169" fontId="17" fillId="5" borderId="0" xfId="2" applyNumberFormat="1" applyFont="1" applyFill="1" applyAlignment="1">
      <alignment horizontal="right"/>
    </xf>
    <xf numFmtId="164" fontId="17" fillId="5" borderId="0" xfId="0" applyNumberFormat="1" applyFont="1" applyFill="1" applyAlignment="1">
      <alignment horizontal="right"/>
    </xf>
    <xf numFmtId="172" fontId="32" fillId="5" borderId="0" xfId="0" applyNumberFormat="1" applyFont="1" applyFill="1"/>
    <xf numFmtId="172" fontId="15" fillId="5" borderId="0" xfId="0" applyNumberFormat="1" applyFont="1" applyFill="1"/>
    <xf numFmtId="184" fontId="12" fillId="5" borderId="0" xfId="0" applyNumberFormat="1" applyFont="1" applyFill="1"/>
    <xf numFmtId="184" fontId="31" fillId="5" borderId="0" xfId="0" applyNumberFormat="1" applyFont="1" applyFill="1"/>
    <xf numFmtId="164" fontId="15" fillId="5" borderId="13" xfId="0" applyNumberFormat="1" applyFont="1" applyFill="1" applyBorder="1"/>
    <xf numFmtId="164" fontId="15" fillId="5" borderId="0" xfId="0" applyNumberFormat="1" applyFont="1" applyFill="1" applyAlignment="1">
      <alignment horizontal="right"/>
    </xf>
    <xf numFmtId="170" fontId="12" fillId="5" borderId="0" xfId="0" applyNumberFormat="1" applyFont="1" applyFill="1" applyAlignment="1">
      <alignment horizontal="right"/>
    </xf>
    <xf numFmtId="184" fontId="12" fillId="5" borderId="0" xfId="0" applyNumberFormat="1" applyFont="1" applyFill="1" applyAlignment="1">
      <alignment horizontal="right"/>
    </xf>
    <xf numFmtId="184" fontId="6" fillId="5" borderId="0" xfId="0" applyNumberFormat="1" applyFont="1" applyFill="1" applyAlignment="1">
      <alignment horizontal="right"/>
    </xf>
    <xf numFmtId="184" fontId="6" fillId="5" borderId="0" xfId="0" applyNumberFormat="1" applyFont="1" applyFill="1"/>
    <xf numFmtId="164" fontId="0" fillId="5" borderId="0" xfId="0" applyNumberFormat="1" applyFill="1"/>
    <xf numFmtId="170" fontId="15" fillId="5" borderId="0" xfId="0" applyNumberFormat="1" applyFont="1" applyFill="1" applyAlignment="1">
      <alignment horizontal="right"/>
    </xf>
    <xf numFmtId="184" fontId="15" fillId="5" borderId="0" xfId="0" applyNumberFormat="1" applyFont="1" applyFill="1" applyAlignment="1">
      <alignment horizontal="right"/>
    </xf>
    <xf numFmtId="184" fontId="15" fillId="5" borderId="0" xfId="0" applyNumberFormat="1" applyFont="1" applyFill="1"/>
    <xf numFmtId="190" fontId="15" fillId="5" borderId="0" xfId="0" applyNumberFormat="1" applyFont="1" applyFill="1" applyAlignment="1">
      <alignment horizontal="right"/>
    </xf>
    <xf numFmtId="190" fontId="15" fillId="5" borderId="0" xfId="0" applyNumberFormat="1" applyFont="1" applyFill="1"/>
    <xf numFmtId="185" fontId="15" fillId="5" borderId="0" xfId="0" applyNumberFormat="1" applyFont="1" applyFill="1" applyAlignment="1">
      <alignment horizontal="right"/>
    </xf>
    <xf numFmtId="167" fontId="30" fillId="5" borderId="0" xfId="0" applyNumberFormat="1" applyFont="1" applyFill="1"/>
    <xf numFmtId="164" fontId="12" fillId="5" borderId="0" xfId="0" applyNumberFormat="1" applyFont="1" applyFill="1" applyAlignment="1">
      <alignment horizontal="right"/>
    </xf>
    <xf numFmtId="164" fontId="12" fillId="5" borderId="10" xfId="0" applyNumberFormat="1" applyFont="1" applyFill="1" applyBorder="1" applyAlignment="1">
      <alignment horizontal="right"/>
    </xf>
    <xf numFmtId="167" fontId="29" fillId="5" borderId="0" xfId="0" applyNumberFormat="1" applyFont="1" applyFill="1" applyAlignment="1">
      <alignment horizontal="right"/>
    </xf>
    <xf numFmtId="166" fontId="12" fillId="5" borderId="0" xfId="0" applyNumberFormat="1" applyFont="1" applyFill="1" applyAlignment="1">
      <alignment horizontal="right"/>
    </xf>
    <xf numFmtId="17" fontId="15" fillId="5" borderId="0" xfId="16" applyNumberFormat="1" applyFont="1" applyFill="1" applyAlignment="1">
      <alignment horizontal="center"/>
    </xf>
    <xf numFmtId="17" fontId="13" fillId="5" borderId="0" xfId="16" applyNumberFormat="1" applyFont="1" applyFill="1" applyAlignment="1">
      <alignment horizontal="center"/>
    </xf>
    <xf numFmtId="164" fontId="12" fillId="5" borderId="0" xfId="16" applyNumberFormat="1" applyFont="1" applyFill="1" applyAlignment="1">
      <alignment horizontal="center"/>
    </xf>
    <xf numFmtId="164" fontId="14" fillId="5" borderId="0" xfId="16" applyNumberFormat="1" applyFont="1" applyFill="1" applyAlignment="1">
      <alignment horizontal="center"/>
    </xf>
    <xf numFmtId="184" fontId="12" fillId="5" borderId="0" xfId="16" applyNumberFormat="1" applyFont="1" applyFill="1" applyAlignment="1">
      <alignment horizontal="right"/>
    </xf>
    <xf numFmtId="184" fontId="12" fillId="5" borderId="0" xfId="16" applyNumberFormat="1" applyFont="1" applyFill="1"/>
    <xf numFmtId="164" fontId="15" fillId="5" borderId="13" xfId="16" applyNumberFormat="1" applyFont="1" applyFill="1" applyBorder="1" applyAlignment="1">
      <alignment horizontal="right"/>
    </xf>
    <xf numFmtId="164" fontId="15" fillId="5" borderId="13" xfId="16" applyNumberFormat="1" applyFont="1" applyFill="1" applyBorder="1"/>
    <xf numFmtId="164" fontId="12" fillId="5" borderId="0" xfId="16" applyNumberFormat="1" applyFont="1" applyFill="1"/>
    <xf numFmtId="164" fontId="15" fillId="5" borderId="0" xfId="16" applyNumberFormat="1" applyFont="1" applyFill="1"/>
    <xf numFmtId="164" fontId="12" fillId="5" borderId="7" xfId="16" applyNumberFormat="1" applyFont="1" applyFill="1" applyBorder="1"/>
    <xf numFmtId="167" fontId="15" fillId="5" borderId="0" xfId="16" applyNumberFormat="1" applyFont="1" applyFill="1" applyAlignment="1">
      <alignment horizontal="right"/>
    </xf>
    <xf numFmtId="164" fontId="15" fillId="5" borderId="0" xfId="16" applyNumberFormat="1" applyFont="1" applyFill="1" applyAlignment="1">
      <alignment horizontal="right"/>
    </xf>
    <xf numFmtId="164" fontId="15" fillId="5" borderId="2" xfId="16" applyNumberFormat="1" applyFont="1" applyFill="1" applyBorder="1" applyAlignment="1">
      <alignment horizontal="right"/>
    </xf>
    <xf numFmtId="167" fontId="15" fillId="5" borderId="2" xfId="0" applyNumberFormat="1" applyFont="1" applyFill="1" applyBorder="1"/>
    <xf numFmtId="166" fontId="16" fillId="5" borderId="0" xfId="0" applyNumberFormat="1" applyFont="1" applyFill="1"/>
    <xf numFmtId="166" fontId="16" fillId="5" borderId="2" xfId="0" applyNumberFormat="1" applyFont="1" applyFill="1" applyBorder="1"/>
    <xf numFmtId="169" fontId="12" fillId="5" borderId="0" xfId="16" applyNumberFormat="1" applyFont="1" applyFill="1"/>
    <xf numFmtId="167" fontId="15" fillId="5" borderId="0" xfId="16" applyNumberFormat="1" applyFont="1" applyFill="1" applyAlignment="1">
      <alignment horizontal="center"/>
    </xf>
    <xf numFmtId="167" fontId="15" fillId="5" borderId="0" xfId="16" applyNumberFormat="1" applyFont="1" applyFill="1"/>
    <xf numFmtId="167" fontId="15" fillId="5" borderId="2" xfId="16" applyNumberFormat="1" applyFont="1" applyFill="1" applyBorder="1" applyAlignment="1">
      <alignment horizontal="right"/>
    </xf>
    <xf numFmtId="167" fontId="15" fillId="5" borderId="2" xfId="16" applyNumberFormat="1" applyFont="1" applyFill="1" applyBorder="1"/>
    <xf numFmtId="167" fontId="12" fillId="5" borderId="0" xfId="16" applyNumberFormat="1" applyFont="1" applyFill="1" applyAlignment="1">
      <alignment horizontal="right"/>
    </xf>
    <xf numFmtId="164" fontId="15" fillId="5" borderId="2" xfId="16" applyNumberFormat="1" applyFont="1" applyFill="1" applyBorder="1"/>
    <xf numFmtId="178" fontId="12" fillId="5" borderId="0" xfId="16" applyNumberFormat="1" applyFont="1" applyFill="1" applyAlignment="1">
      <alignment horizontal="right"/>
    </xf>
    <xf numFmtId="170" fontId="12" fillId="5" borderId="0" xfId="16" applyNumberFormat="1" applyFont="1" applyFill="1" applyAlignment="1">
      <alignment horizontal="right"/>
    </xf>
    <xf numFmtId="179" fontId="12" fillId="5" borderId="0" xfId="16" applyNumberFormat="1" applyFont="1" applyFill="1" applyAlignment="1">
      <alignment horizontal="right"/>
    </xf>
    <xf numFmtId="170" fontId="15" fillId="5" borderId="0" xfId="16" applyNumberFormat="1" applyFont="1" applyFill="1" applyAlignment="1">
      <alignment horizontal="right"/>
    </xf>
    <xf numFmtId="0" fontId="38" fillId="0" borderId="2" xfId="0" applyFont="1" applyBorder="1"/>
    <xf numFmtId="0" fontId="38" fillId="0" borderId="0" xfId="0" applyFont="1"/>
    <xf numFmtId="0" fontId="39" fillId="6" borderId="28" xfId="0" applyFont="1" applyFill="1" applyBorder="1" applyAlignment="1">
      <alignment horizontal="center"/>
    </xf>
    <xf numFmtId="0" fontId="39" fillId="6" borderId="0" xfId="0" applyFont="1" applyFill="1"/>
    <xf numFmtId="0" fontId="39" fillId="6" borderId="29" xfId="0" applyFont="1" applyFill="1" applyBorder="1"/>
    <xf numFmtId="0" fontId="40" fillId="6" borderId="29" xfId="0" applyFont="1" applyFill="1" applyBorder="1" applyAlignment="1">
      <alignment horizontal="center"/>
    </xf>
    <xf numFmtId="0" fontId="40" fillId="6" borderId="29" xfId="0" applyFont="1" applyFill="1" applyBorder="1"/>
    <xf numFmtId="0" fontId="38" fillId="6" borderId="0" xfId="0" applyFont="1" applyFill="1"/>
    <xf numFmtId="0" fontId="38" fillId="0" borderId="0" xfId="0" applyFont="1" applyAlignment="1">
      <alignment horizontal="center"/>
    </xf>
    <xf numFmtId="0" fontId="42" fillId="0" borderId="0" xfId="0" applyFont="1"/>
    <xf numFmtId="0" fontId="43" fillId="0" borderId="0" xfId="0" applyFont="1"/>
    <xf numFmtId="0" fontId="44" fillId="7" borderId="30" xfId="0" applyFont="1" applyFill="1" applyBorder="1" applyAlignment="1">
      <alignment horizontal="center"/>
    </xf>
    <xf numFmtId="197" fontId="38" fillId="0" borderId="0" xfId="0" applyNumberFormat="1" applyFont="1"/>
    <xf numFmtId="198" fontId="44" fillId="7" borderId="30" xfId="0" applyNumberFormat="1" applyFont="1" applyFill="1" applyBorder="1" applyAlignment="1">
      <alignment horizontal="center"/>
    </xf>
    <xf numFmtId="198" fontId="38" fillId="0" borderId="0" xfId="2" applyNumberFormat="1" applyFont="1" applyAlignment="1">
      <alignment horizontal="right"/>
    </xf>
    <xf numFmtId="2" fontId="44" fillId="7" borderId="30" xfId="0" applyNumberFormat="1" applyFont="1" applyFill="1" applyBorder="1" applyAlignment="1">
      <alignment horizontal="center"/>
    </xf>
    <xf numFmtId="197" fontId="38" fillId="0" borderId="0" xfId="1" applyNumberFormat="1" applyFont="1"/>
    <xf numFmtId="7" fontId="44" fillId="7" borderId="30" xfId="0" applyNumberFormat="1" applyFont="1" applyFill="1" applyBorder="1" applyAlignment="1">
      <alignment horizontal="center"/>
    </xf>
    <xf numFmtId="0" fontId="43" fillId="0" borderId="7" xfId="0" applyFont="1" applyBorder="1"/>
    <xf numFmtId="198" fontId="42" fillId="0" borderId="7" xfId="2" applyNumberFormat="1" applyFont="1" applyBorder="1" applyAlignment="1">
      <alignment horizontal="right"/>
    </xf>
    <xf numFmtId="0" fontId="38" fillId="0" borderId="0" xfId="0" applyFont="1" applyAlignment="1">
      <alignment horizontal="right"/>
    </xf>
    <xf numFmtId="0" fontId="38" fillId="0" borderId="0" xfId="0" applyFont="1" applyAlignment="1">
      <alignment horizontal="left"/>
    </xf>
    <xf numFmtId="7" fontId="38" fillId="0" borderId="0" xfId="2" applyNumberFormat="1" applyFont="1" applyAlignment="1">
      <alignment horizontal="right"/>
    </xf>
    <xf numFmtId="197" fontId="44" fillId="7" borderId="30" xfId="0" applyNumberFormat="1" applyFont="1" applyFill="1" applyBorder="1" applyAlignment="1">
      <alignment horizontal="center"/>
    </xf>
    <xf numFmtId="7" fontId="38" fillId="0" borderId="0" xfId="0" applyNumberFormat="1" applyFont="1" applyAlignment="1">
      <alignment horizontal="right"/>
    </xf>
    <xf numFmtId="7" fontId="38" fillId="0" borderId="0" xfId="0" applyNumberFormat="1" applyFont="1"/>
    <xf numFmtId="2" fontId="38" fillId="0" borderId="0" xfId="0" applyNumberFormat="1" applyFont="1" applyAlignment="1">
      <alignment horizontal="right"/>
    </xf>
    <xf numFmtId="2" fontId="38" fillId="0" borderId="0" xfId="0" applyNumberFormat="1" applyFont="1"/>
    <xf numFmtId="0" fontId="43" fillId="7" borderId="7" xfId="0" applyFont="1" applyFill="1" applyBorder="1"/>
    <xf numFmtId="200" fontId="42" fillId="7" borderId="7" xfId="1" applyNumberFormat="1" applyFont="1" applyFill="1" applyBorder="1" applyAlignment="1">
      <alignment horizontal="right"/>
    </xf>
    <xf numFmtId="5" fontId="38" fillId="0" borderId="0" xfId="0" applyNumberFormat="1" applyFont="1"/>
    <xf numFmtId="0" fontId="38" fillId="0" borderId="0" xfId="0" applyFont="1" applyAlignment="1">
      <alignment horizontal="center" wrapText="1"/>
    </xf>
    <xf numFmtId="197" fontId="39" fillId="0" borderId="0" xfId="0" applyNumberFormat="1" applyFont="1" applyAlignment="1">
      <alignment horizontal="center" wrapText="1"/>
    </xf>
    <xf numFmtId="199" fontId="43" fillId="0" borderId="0" xfId="0" applyNumberFormat="1" applyFont="1" applyAlignment="1">
      <alignment horizontal="center"/>
    </xf>
    <xf numFmtId="199" fontId="45" fillId="0" borderId="0" xfId="0" applyNumberFormat="1" applyFont="1" applyAlignment="1">
      <alignment horizontal="center"/>
    </xf>
    <xf numFmtId="0" fontId="0" fillId="8" borderId="0" xfId="0" applyFill="1"/>
    <xf numFmtId="0" fontId="37" fillId="0" borderId="0" xfId="0" applyFont="1" applyAlignment="1">
      <alignment horizontal="left"/>
    </xf>
    <xf numFmtId="0" fontId="46" fillId="0" borderId="2" xfId="0" applyFont="1" applyBorder="1" applyAlignment="1">
      <alignment horizontal="left"/>
    </xf>
    <xf numFmtId="0" fontId="39" fillId="6" borderId="0" xfId="0" applyFont="1" applyFill="1" applyAlignment="1">
      <alignment horizontal="centerContinuous"/>
    </xf>
    <xf numFmtId="0" fontId="38" fillId="6" borderId="0" xfId="0" applyFont="1" applyFill="1" applyAlignment="1">
      <alignment horizontal="centerContinuous"/>
    </xf>
    <xf numFmtId="0" fontId="39" fillId="6" borderId="31" xfId="0" applyFont="1" applyFill="1" applyBorder="1" applyAlignment="1">
      <alignment horizontal="centerContinuous"/>
    </xf>
    <xf numFmtId="202" fontId="38" fillId="0" borderId="0" xfId="0" applyNumberFormat="1" applyFont="1" applyAlignment="1">
      <alignment horizontal="center"/>
    </xf>
    <xf numFmtId="203" fontId="38" fillId="0" borderId="0" xfId="0" applyNumberFormat="1" applyFont="1" applyAlignment="1">
      <alignment horizontal="center"/>
    </xf>
    <xf numFmtId="0" fontId="39" fillId="9" borderId="28" xfId="0" applyFont="1" applyFill="1" applyBorder="1" applyAlignment="1">
      <alignment horizontal="center"/>
    </xf>
    <xf numFmtId="0" fontId="39" fillId="9" borderId="0" xfId="0" applyFont="1" applyFill="1"/>
    <xf numFmtId="0" fontId="38" fillId="9" borderId="0" xfId="0" applyFont="1" applyFill="1" applyAlignment="1">
      <alignment horizontal="center"/>
    </xf>
    <xf numFmtId="0" fontId="38" fillId="9" borderId="0" xfId="0" applyFont="1" applyFill="1"/>
    <xf numFmtId="0" fontId="44" fillId="10" borderId="25" xfId="0" applyFont="1" applyFill="1" applyBorder="1" applyAlignment="1">
      <alignment horizontal="center"/>
    </xf>
    <xf numFmtId="200" fontId="47" fillId="7" borderId="33" xfId="0" applyNumberFormat="1" applyFont="1" applyFill="1" applyBorder="1"/>
    <xf numFmtId="197" fontId="48" fillId="0" borderId="34" xfId="1" applyNumberFormat="1" applyFont="1" applyBorder="1"/>
    <xf numFmtId="197" fontId="48" fillId="0" borderId="9" xfId="1" applyNumberFormat="1" applyFont="1" applyBorder="1"/>
    <xf numFmtId="0" fontId="49" fillId="0" borderId="0" xfId="0" applyFont="1" applyAlignment="1">
      <alignment horizontal="left" indent="1"/>
    </xf>
    <xf numFmtId="0" fontId="44" fillId="7" borderId="30" xfId="1" applyNumberFormat="1" applyFont="1" applyFill="1" applyBorder="1" applyAlignment="1">
      <alignment horizontal="center"/>
    </xf>
    <xf numFmtId="200" fontId="50" fillId="7" borderId="35" xfId="0" applyNumberFormat="1" applyFont="1" applyFill="1" applyBorder="1"/>
    <xf numFmtId="200" fontId="50" fillId="7" borderId="36" xfId="0" applyNumberFormat="1" applyFont="1" applyFill="1" applyBorder="1"/>
    <xf numFmtId="0" fontId="38" fillId="9" borderId="28" xfId="0" applyFont="1" applyFill="1" applyBorder="1"/>
    <xf numFmtId="0" fontId="51" fillId="0" borderId="0" xfId="0" applyFont="1" applyAlignment="1">
      <alignment horizontal="left" indent="1"/>
    </xf>
    <xf numFmtId="0" fontId="38" fillId="6" borderId="28" xfId="0" applyFont="1" applyFill="1" applyBorder="1"/>
    <xf numFmtId="0" fontId="38" fillId="0" borderId="28" xfId="0" applyFont="1" applyBorder="1"/>
    <xf numFmtId="5" fontId="44" fillId="0" borderId="0" xfId="0" applyNumberFormat="1" applyFont="1"/>
    <xf numFmtId="0" fontId="48" fillId="0" borderId="0" xfId="0" applyFont="1" applyAlignment="1">
      <alignment horizontal="left" indent="1"/>
    </xf>
    <xf numFmtId="200" fontId="48" fillId="0" borderId="0" xfId="0" applyNumberFormat="1" applyFont="1"/>
    <xf numFmtId="200" fontId="47" fillId="0" borderId="0" xfId="0" applyNumberFormat="1" applyFont="1"/>
    <xf numFmtId="10" fontId="38" fillId="0" borderId="0" xfId="1" applyNumberFormat="1" applyFont="1"/>
    <xf numFmtId="204" fontId="43" fillId="0" borderId="7" xfId="0" applyNumberFormat="1" applyFont="1" applyBorder="1"/>
    <xf numFmtId="198" fontId="43" fillId="0" borderId="0" xfId="0" applyNumberFormat="1" applyFont="1"/>
    <xf numFmtId="204" fontId="43" fillId="0" borderId="0" xfId="0" applyNumberFormat="1" applyFont="1"/>
    <xf numFmtId="5" fontId="43" fillId="0" borderId="0" xfId="0" applyNumberFormat="1" applyFont="1"/>
    <xf numFmtId="200" fontId="49" fillId="0" borderId="0" xfId="0" applyNumberFormat="1" applyFont="1"/>
    <xf numFmtId="200" fontId="47" fillId="7" borderId="31" xfId="0" applyNumberFormat="1" applyFont="1" applyFill="1" applyBorder="1"/>
    <xf numFmtId="200" fontId="50" fillId="7" borderId="37" xfId="0" applyNumberFormat="1" applyFont="1" applyFill="1" applyBorder="1"/>
    <xf numFmtId="0" fontId="39" fillId="0" borderId="0" xfId="0" applyFont="1" applyAlignment="1">
      <alignment horizontal="center"/>
    </xf>
    <xf numFmtId="0" fontId="39" fillId="0" borderId="0" xfId="0" applyFont="1"/>
    <xf numFmtId="204" fontId="45" fillId="0" borderId="0" xfId="0" applyNumberFormat="1" applyFont="1"/>
    <xf numFmtId="203" fontId="39" fillId="6" borderId="31" xfId="0" applyNumberFormat="1" applyFont="1" applyFill="1" applyBorder="1" applyAlignment="1">
      <alignment horizontal="centerContinuous"/>
    </xf>
    <xf numFmtId="203" fontId="39" fillId="0" borderId="0" xfId="0" applyNumberFormat="1" applyFont="1" applyAlignment="1">
      <alignment horizontal="centerContinuous"/>
    </xf>
    <xf numFmtId="5" fontId="41" fillId="0" borderId="0" xfId="0" applyNumberFormat="1" applyFont="1"/>
    <xf numFmtId="0" fontId="38" fillId="0" borderId="0" xfId="0" applyFont="1" applyAlignment="1">
      <alignment horizontal="left" indent="1"/>
    </xf>
    <xf numFmtId="5" fontId="38" fillId="0" borderId="2" xfId="0" applyNumberFormat="1" applyFont="1" applyBorder="1"/>
    <xf numFmtId="5" fontId="42" fillId="0" borderId="0" xfId="0" applyNumberFormat="1" applyFont="1"/>
    <xf numFmtId="0" fontId="55" fillId="0" borderId="0" xfId="0" applyFont="1"/>
    <xf numFmtId="5" fontId="41" fillId="0" borderId="2" xfId="0" applyNumberFormat="1" applyFont="1" applyBorder="1"/>
    <xf numFmtId="0" fontId="55" fillId="0" borderId="2" xfId="0" applyFont="1" applyBorder="1"/>
    <xf numFmtId="0" fontId="55" fillId="11" borderId="32" xfId="0" applyFont="1" applyFill="1" applyBorder="1"/>
    <xf numFmtId="0" fontId="38" fillId="7" borderId="32" xfId="0" applyFont="1" applyFill="1" applyBorder="1"/>
    <xf numFmtId="5" fontId="41" fillId="7" borderId="32" xfId="0" applyNumberFormat="1" applyFont="1" applyFill="1" applyBorder="1"/>
    <xf numFmtId="2" fontId="38" fillId="0" borderId="2" xfId="0" applyNumberFormat="1" applyFont="1" applyBorder="1"/>
    <xf numFmtId="14" fontId="44" fillId="7" borderId="30" xfId="0" applyNumberFormat="1" applyFont="1" applyFill="1" applyBorder="1" applyAlignment="1">
      <alignment horizontal="center"/>
    </xf>
    <xf numFmtId="5" fontId="42" fillId="7" borderId="32" xfId="0" applyNumberFormat="1" applyFont="1" applyFill="1" applyBorder="1"/>
    <xf numFmtId="10" fontId="38" fillId="0" borderId="0" xfId="0" applyNumberFormat="1" applyFont="1"/>
    <xf numFmtId="205" fontId="38" fillId="0" borderId="0" xfId="0" applyNumberFormat="1" applyFont="1"/>
    <xf numFmtId="5" fontId="54" fillId="0" borderId="0" xfId="0" applyNumberFormat="1" applyFont="1"/>
    <xf numFmtId="0" fontId="56" fillId="0" borderId="0" xfId="0" applyFont="1"/>
    <xf numFmtId="206" fontId="44" fillId="7" borderId="30" xfId="0" applyNumberFormat="1" applyFont="1" applyFill="1" applyBorder="1" applyAlignment="1">
      <alignment horizontal="center"/>
    </xf>
    <xf numFmtId="206" fontId="38" fillId="0" borderId="0" xfId="0" applyNumberFormat="1" applyFont="1" applyAlignment="1">
      <alignment horizontal="right"/>
    </xf>
    <xf numFmtId="199" fontId="42" fillId="0" borderId="0" xfId="0" applyNumberFormat="1" applyFont="1" applyAlignment="1">
      <alignment horizontal="center"/>
    </xf>
    <xf numFmtId="201" fontId="38" fillId="0" borderId="8" xfId="1" applyNumberFormat="1" applyFont="1" applyBorder="1" applyAlignment="1">
      <alignment horizontal="center" vertical="center" wrapText="1"/>
    </xf>
    <xf numFmtId="201" fontId="38" fillId="0" borderId="7" xfId="1" applyNumberFormat="1" applyFont="1" applyBorder="1" applyAlignment="1">
      <alignment horizontal="center" vertical="center" wrapText="1"/>
    </xf>
    <xf numFmtId="201" fontId="38" fillId="7" borderId="7" xfId="1" applyNumberFormat="1" applyFont="1" applyFill="1" applyBorder="1" applyAlignment="1">
      <alignment horizontal="center" vertical="center" wrapText="1"/>
    </xf>
    <xf numFmtId="201" fontId="38" fillId="0" borderId="6" xfId="1" applyNumberFormat="1" applyFont="1" applyBorder="1" applyAlignment="1">
      <alignment horizontal="center" vertical="center" wrapText="1"/>
    </xf>
    <xf numFmtId="201" fontId="38" fillId="7" borderId="0" xfId="1" applyNumberFormat="1" applyFont="1" applyFill="1" applyAlignment="1">
      <alignment horizontal="center" vertical="center" wrapText="1"/>
    </xf>
    <xf numFmtId="201" fontId="38" fillId="0" borderId="3" xfId="1" applyNumberFormat="1" applyFont="1" applyBorder="1" applyAlignment="1">
      <alignment horizontal="center" vertical="center" wrapText="1"/>
    </xf>
    <xf numFmtId="201" fontId="38" fillId="0" borderId="2" xfId="1" applyNumberFormat="1" applyFont="1" applyBorder="1" applyAlignment="1">
      <alignment horizontal="center" vertical="center" wrapText="1"/>
    </xf>
    <xf numFmtId="201" fontId="38" fillId="0" borderId="1" xfId="1" applyNumberFormat="1" applyFont="1" applyBorder="1" applyAlignment="1">
      <alignment horizontal="center" vertical="center" wrapText="1"/>
    </xf>
    <xf numFmtId="201" fontId="38" fillId="7" borderId="5" xfId="1" applyNumberFormat="1" applyFont="1" applyFill="1" applyBorder="1" applyAlignment="1">
      <alignment horizontal="center" vertical="center" wrapText="1"/>
    </xf>
    <xf numFmtId="201" fontId="39" fillId="6" borderId="0" xfId="1" applyNumberFormat="1" applyFont="1" applyFill="1" applyAlignment="1">
      <alignment horizontal="center" vertical="center" wrapText="1"/>
    </xf>
    <xf numFmtId="201" fontId="38" fillId="7" borderId="4" xfId="1" applyNumberFormat="1" applyFont="1" applyFill="1" applyBorder="1" applyAlignment="1">
      <alignment horizontal="center" vertical="center" wrapText="1"/>
    </xf>
    <xf numFmtId="201" fontId="38" fillId="7" borderId="9" xfId="1" applyNumberFormat="1" applyFont="1" applyFill="1" applyBorder="1" applyAlignment="1">
      <alignment horizontal="center" vertical="center" wrapText="1"/>
    </xf>
    <xf numFmtId="10" fontId="45" fillId="0" borderId="0" xfId="0" applyNumberFormat="1" applyFont="1" applyAlignment="1">
      <alignment horizontal="center"/>
    </xf>
    <xf numFmtId="10" fontId="42" fillId="0" borderId="0" xfId="0" applyNumberFormat="1" applyFont="1" applyAlignment="1">
      <alignment horizontal="center"/>
    </xf>
    <xf numFmtId="200" fontId="49" fillId="7" borderId="33" xfId="0" applyNumberFormat="1" applyFont="1" applyFill="1" applyBorder="1" applyAlignment="1">
      <alignment horizontal="center"/>
    </xf>
    <xf numFmtId="0" fontId="57" fillId="12" borderId="38" xfId="0" applyFont="1" applyFill="1" applyBorder="1" applyAlignment="1">
      <alignment horizontal="center"/>
    </xf>
    <xf numFmtId="0" fontId="38" fillId="13" borderId="0" xfId="0" applyFont="1" applyFill="1"/>
    <xf numFmtId="14" fontId="57" fillId="12" borderId="39" xfId="0" applyNumberFormat="1" applyFont="1" applyFill="1" applyBorder="1" applyAlignment="1">
      <alignment horizontal="center"/>
    </xf>
    <xf numFmtId="0" fontId="57" fillId="0" borderId="38" xfId="0" applyFont="1" applyBorder="1" applyAlignment="1">
      <alignment horizontal="center"/>
    </xf>
    <xf numFmtId="0" fontId="57" fillId="0" borderId="39" xfId="0" applyFont="1" applyBorder="1" applyAlignment="1">
      <alignment horizontal="center"/>
    </xf>
    <xf numFmtId="0" fontId="57" fillId="0" borderId="39" xfId="0" applyFont="1" applyBorder="1" applyAlignment="1">
      <alignment horizontal="center" wrapText="1"/>
    </xf>
    <xf numFmtId="0" fontId="58" fillId="0" borderId="0" xfId="0" applyFont="1"/>
    <xf numFmtId="0" fontId="59" fillId="0" borderId="0" xfId="0" applyFont="1"/>
    <xf numFmtId="0" fontId="60" fillId="0" borderId="0" xfId="0" applyFont="1"/>
    <xf numFmtId="0" fontId="38" fillId="0" borderId="15" xfId="0" applyFont="1" applyBorder="1"/>
    <xf numFmtId="0" fontId="38" fillId="0" borderId="12" xfId="0" applyFont="1" applyBorder="1"/>
    <xf numFmtId="0" fontId="38" fillId="0" borderId="10" xfId="0" applyFont="1" applyBorder="1"/>
    <xf numFmtId="0" fontId="38" fillId="0" borderId="14" xfId="0" applyFont="1" applyBorder="1"/>
    <xf numFmtId="0" fontId="38" fillId="0" borderId="11" xfId="0" applyFont="1" applyBorder="1"/>
    <xf numFmtId="0" fontId="61" fillId="0" borderId="12" xfId="0" applyFont="1" applyBorder="1"/>
    <xf numFmtId="0" fontId="62" fillId="0" borderId="0" xfId="0" applyFont="1" applyAlignment="1">
      <alignment horizontal="center"/>
    </xf>
    <xf numFmtId="10" fontId="62" fillId="0" borderId="11" xfId="0" applyNumberFormat="1" applyFont="1" applyBorder="1" applyAlignment="1">
      <alignment horizontal="center"/>
    </xf>
    <xf numFmtId="0" fontId="61" fillId="0" borderId="40" xfId="0" applyFont="1" applyBorder="1"/>
    <xf numFmtId="0" fontId="61" fillId="0" borderId="13" xfId="0" applyFont="1" applyBorder="1" applyAlignment="1">
      <alignment horizontal="center"/>
    </xf>
    <xf numFmtId="0" fontId="61" fillId="0" borderId="41" xfId="0" applyFont="1" applyBorder="1" applyAlignment="1">
      <alignment horizontal="center"/>
    </xf>
    <xf numFmtId="0" fontId="63" fillId="6" borderId="29" xfId="0" applyFont="1" applyFill="1" applyBorder="1"/>
    <xf numFmtId="0" fontId="64" fillId="6" borderId="29" xfId="0" applyFont="1" applyFill="1" applyBorder="1" applyAlignment="1">
      <alignment horizontal="center"/>
    </xf>
    <xf numFmtId="0" fontId="65" fillId="0" borderId="0" xfId="0" applyFont="1"/>
    <xf numFmtId="0" fontId="62" fillId="7" borderId="30" xfId="0" applyFont="1" applyFill="1" applyBorder="1" applyAlignment="1">
      <alignment horizontal="center"/>
    </xf>
    <xf numFmtId="0" fontId="64" fillId="0" borderId="29" xfId="0" applyFont="1" applyBorder="1"/>
    <xf numFmtId="197" fontId="62" fillId="7" borderId="30" xfId="0" applyNumberFormat="1" applyFont="1" applyFill="1" applyBorder="1" applyAlignment="1">
      <alignment horizontal="center"/>
    </xf>
    <xf numFmtId="0" fontId="64" fillId="0" borderId="0" xfId="0" applyFont="1"/>
    <xf numFmtId="0" fontId="40" fillId="0" borderId="0" xfId="0" applyFont="1" applyAlignment="1">
      <alignment horizontal="center"/>
    </xf>
    <xf numFmtId="0" fontId="40" fillId="0" borderId="0" xfId="0" applyFont="1"/>
    <xf numFmtId="0" fontId="63" fillId="0" borderId="0" xfId="0" applyFont="1"/>
    <xf numFmtId="0" fontId="64" fillId="0" borderId="0" xfId="0" applyFont="1" applyAlignment="1">
      <alignment horizontal="center"/>
    </xf>
    <xf numFmtId="197" fontId="62" fillId="7" borderId="42" xfId="0" applyNumberFormat="1" applyFont="1" applyFill="1" applyBorder="1" applyAlignment="1">
      <alignment horizontal="center"/>
    </xf>
    <xf numFmtId="0" fontId="42" fillId="14" borderId="34" xfId="0" applyFont="1" applyFill="1" applyBorder="1"/>
    <xf numFmtId="0" fontId="42" fillId="14" borderId="9" xfId="0" applyFont="1" applyFill="1" applyBorder="1"/>
    <xf numFmtId="197" fontId="42" fillId="14" borderId="43" xfId="0" applyNumberFormat="1" applyFont="1" applyFill="1" applyBorder="1" applyAlignment="1">
      <alignment horizontal="center"/>
    </xf>
    <xf numFmtId="0" fontId="66" fillId="0" borderId="0" xfId="0" applyFont="1"/>
    <xf numFmtId="0" fontId="43" fillId="0" borderId="0" xfId="0" applyFont="1" applyAlignment="1">
      <alignment horizontal="center" wrapText="1"/>
    </xf>
    <xf numFmtId="0" fontId="43" fillId="0" borderId="0" xfId="0" applyFont="1" applyAlignment="1">
      <alignment horizontal="right" vertical="center" textRotation="90" wrapText="1"/>
    </xf>
    <xf numFmtId="0" fontId="58" fillId="0" borderId="0" xfId="0" applyFont="1" applyAlignment="1">
      <alignment horizontal="center"/>
    </xf>
  </cellXfs>
  <cellStyles count="20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Currency 2" xfId="6" xr:uid="{00000000-0005-0000-0000-000006000000}"/>
    <cellStyle name="Currency 2 2" xfId="7" xr:uid="{00000000-0005-0000-0000-000007000000}"/>
    <cellStyle name="Currency 2 3" xfId="8" xr:uid="{00000000-0005-0000-0000-000008000000}"/>
    <cellStyle name="Good" xfId="9" xr:uid="{00000000-0005-0000-0000-000009000000}"/>
    <cellStyle name="Hyperlink" xfId="10" xr:uid="{00000000-0005-0000-0000-00000A000000}"/>
    <cellStyle name="Hyperlink 2" xfId="11" xr:uid="{00000000-0005-0000-0000-00000B000000}"/>
    <cellStyle name="Normal" xfId="0" builtinId="0"/>
    <cellStyle name="Normal 2" xfId="12" xr:uid="{00000000-0005-0000-0000-00000C000000}"/>
    <cellStyle name="Normal 2 2" xfId="13" xr:uid="{00000000-0005-0000-0000-00000D000000}"/>
    <cellStyle name="Normal 3" xfId="14" xr:uid="{00000000-0005-0000-0000-00000E000000}"/>
    <cellStyle name="Normal 3 2" xfId="15" xr:uid="{00000000-0005-0000-0000-00000F000000}"/>
    <cellStyle name="Normal 4" xfId="16" xr:uid="{00000000-0005-0000-0000-000010000000}"/>
    <cellStyle name="Percent" xfId="1" xr:uid="{00000000-0005-0000-0000-000001000000}"/>
    <cellStyle name="Percent 2" xfId="17" xr:uid="{00000000-0005-0000-0000-000011000000}"/>
    <cellStyle name="Percent 2 2" xfId="18" xr:uid="{00000000-0005-0000-0000-000012000000}"/>
    <cellStyle name="Percent 3" xfId="19" xr:uid="{00000000-0005-0000-0000-000013000000}"/>
  </cellStyles>
  <dxfs count="10"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3</xdr:row>
      <xdr:rowOff>171450</xdr:rowOff>
    </xdr:from>
    <xdr:to>
      <xdr:col>5</xdr:col>
      <xdr:colOff>2705100</xdr:colOff>
      <xdr:row>9</xdr:row>
      <xdr:rowOff>81566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389038-F3EB-CF67-CFF4-1ECBFEC06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742950"/>
          <a:ext cx="2609850" cy="10531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yelp-ir.com/" TargetMode="External"/><Relationship Id="rId4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7EB80-1681-49BF-BF1C-AA0125811E3B}">
  <sheetPr>
    <pageSetUpPr fitToPage="1"/>
  </sheetPr>
  <dimension ref="B3:M16"/>
  <sheetViews>
    <sheetView showGridLines="0" workbookViewId="0">
      <selection activeCell="H45" sqref="H45"/>
    </sheetView>
  </sheetViews>
  <sheetFormatPr defaultRowHeight="15"/>
  <cols>
    <col min="1" max="1" width="3.7109375" customWidth="1"/>
    <col min="6" max="6" width="41.140625" bestFit="1" customWidth="1"/>
    <col min="7" max="7" width="9.140625" customWidth="1"/>
  </cols>
  <sheetData>
    <row r="3" spans="2:13">
      <c r="B3" s="919"/>
      <c r="C3" s="919"/>
      <c r="D3" s="919"/>
      <c r="E3" s="919"/>
      <c r="F3" s="919"/>
      <c r="G3" s="919"/>
      <c r="H3" s="919"/>
      <c r="I3" s="919"/>
      <c r="J3" s="919"/>
      <c r="K3" s="808"/>
      <c r="L3" s="808"/>
      <c r="M3" s="808"/>
    </row>
    <row r="11" spans="2:13" ht="15.75">
      <c r="E11" s="827" t="s">
        <v>0</v>
      </c>
      <c r="F11" s="918" t="s">
        <v>1</v>
      </c>
      <c r="G11" s="921"/>
      <c r="I11" s="921"/>
    </row>
    <row r="12" spans="2:13" ht="15.75">
      <c r="E12" s="827" t="s">
        <v>2</v>
      </c>
      <c r="F12" s="920">
        <f ca="1">TODAY()</f>
        <v>45624</v>
      </c>
      <c r="G12" s="922"/>
      <c r="I12" s="922"/>
    </row>
    <row r="13" spans="2:13" ht="15.75" customHeight="1">
      <c r="E13" s="827" t="s">
        <v>3</v>
      </c>
      <c r="F13" s="920" t="s">
        <v>4</v>
      </c>
      <c r="G13" s="923"/>
      <c r="I13" s="923"/>
    </row>
    <row r="15" spans="2:13">
      <c r="I15" s="808"/>
    </row>
    <row r="16" spans="2:13">
      <c r="B16" s="919"/>
      <c r="C16" s="919"/>
      <c r="D16" s="919"/>
      <c r="E16" s="919"/>
      <c r="F16" s="919"/>
      <c r="G16" s="919"/>
      <c r="H16" s="919"/>
      <c r="I16" s="919"/>
      <c r="J16" s="919"/>
      <c r="K16" s="808"/>
      <c r="L16" s="808"/>
      <c r="M16" s="808"/>
    </row>
  </sheetData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B28E1-5AB4-4C2D-8AF6-B2DF104E9CFE}">
  <sheetPr>
    <tabColor theme="3"/>
  </sheetPr>
  <dimension ref="A1"/>
  <sheetViews>
    <sheetView showGridLines="0" workbookViewId="0">
      <selection activeCell="E20" sqref="E20"/>
    </sheetView>
  </sheetViews>
  <sheetFormatPr defaultRowHeight="15"/>
  <cols>
    <col min="1" max="16384" width="9.140625" style="842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B6DDC-0E18-48A1-95AC-5B3F13E1164C}">
  <sheetPr>
    <pageSetUpPr fitToPage="1"/>
  </sheetPr>
  <dimension ref="B2:R1048460"/>
  <sheetViews>
    <sheetView showGridLines="0" workbookViewId="0">
      <selection activeCell="O19" sqref="O19"/>
    </sheetView>
  </sheetViews>
  <sheetFormatPr defaultColWidth="11.140625" defaultRowHeight="12.75"/>
  <cols>
    <col min="1" max="3" width="3.7109375" style="808" customWidth="1"/>
    <col min="4" max="4" width="30.42578125" style="808" customWidth="1"/>
    <col min="5" max="5" width="11.140625" style="808"/>
    <col min="6" max="6" width="11.140625" style="808" bestFit="1" customWidth="1"/>
    <col min="7" max="17" width="11.140625" style="808"/>
    <col min="18" max="18" width="21.140625" style="808" bestFit="1" customWidth="1"/>
    <col min="19" max="16384" width="11.140625" style="808"/>
  </cols>
  <sheetData>
    <row r="2" spans="2:15" ht="18">
      <c r="B2" s="844" t="s">
        <v>5</v>
      </c>
      <c r="C2" s="807"/>
      <c r="D2" s="807"/>
      <c r="E2" s="807"/>
      <c r="F2" s="807"/>
      <c r="G2" s="807"/>
      <c r="H2" s="807"/>
      <c r="I2" s="807"/>
      <c r="J2" s="807"/>
      <c r="K2" s="807"/>
      <c r="L2" s="807"/>
      <c r="M2" s="807"/>
      <c r="N2" s="807"/>
      <c r="O2" s="807"/>
    </row>
    <row r="4" spans="2:15">
      <c r="G4" s="845"/>
      <c r="H4" s="846"/>
      <c r="I4" s="846"/>
      <c r="J4" s="847" t="s">
        <v>6</v>
      </c>
      <c r="K4" s="845"/>
      <c r="L4" s="845"/>
      <c r="M4" s="845"/>
      <c r="N4" s="845"/>
      <c r="O4" s="845"/>
    </row>
    <row r="5" spans="2:15">
      <c r="G5" s="848">
        <v>2022</v>
      </c>
      <c r="H5" s="848">
        <v>2023</v>
      </c>
      <c r="I5" s="848">
        <v>2024</v>
      </c>
      <c r="J5" s="849">
        <f t="shared" ref="J5:O5" si="0">I5+1</f>
        <v>2025</v>
      </c>
      <c r="K5" s="849">
        <f t="shared" si="0"/>
        <v>2026</v>
      </c>
      <c r="L5" s="849">
        <f t="shared" si="0"/>
        <v>2027</v>
      </c>
      <c r="M5" s="849">
        <f t="shared" si="0"/>
        <v>2028</v>
      </c>
      <c r="N5" s="849">
        <f t="shared" si="0"/>
        <v>2029</v>
      </c>
      <c r="O5" s="849">
        <f t="shared" si="0"/>
        <v>2030</v>
      </c>
    </row>
    <row r="6" spans="2:15">
      <c r="B6" s="809">
        <v>1</v>
      </c>
      <c r="C6" s="810" t="s">
        <v>7</v>
      </c>
      <c r="D6" s="814"/>
      <c r="E6" s="814"/>
      <c r="F6" s="814"/>
      <c r="G6" s="814"/>
      <c r="H6" s="814"/>
      <c r="I6" s="814"/>
      <c r="J6" s="814"/>
      <c r="K6" s="814"/>
      <c r="L6" s="810"/>
      <c r="M6" s="810"/>
      <c r="N6" s="814"/>
      <c r="O6" s="814"/>
    </row>
    <row r="8" spans="2:15">
      <c r="C8" s="850">
        <v>1</v>
      </c>
      <c r="D8" s="851" t="s">
        <v>8</v>
      </c>
      <c r="E8" s="852"/>
      <c r="F8" s="853"/>
      <c r="G8" s="853"/>
      <c r="H8" s="853"/>
      <c r="I8" s="853"/>
      <c r="J8" s="853"/>
      <c r="K8" s="853"/>
      <c r="L8" s="851"/>
      <c r="M8" s="851"/>
      <c r="N8" s="853"/>
      <c r="O8" s="853"/>
    </row>
    <row r="10" spans="2:15">
      <c r="D10" s="808" t="s">
        <v>9</v>
      </c>
      <c r="E10" s="854">
        <f>DCF!$G$11</f>
        <v>2</v>
      </c>
      <c r="G10" s="855">
        <f>'Yelp - Schedule'!F11</f>
        <v>0.15667851283000567</v>
      </c>
      <c r="H10" s="855">
        <f>'Yelp - Schedule'!G11</f>
        <v>0.1202809202467352</v>
      </c>
      <c r="I10" s="855">
        <f>'Yelp - Schedule'!H11</f>
        <v>4.7474290986386558E-2</v>
      </c>
      <c r="J10" s="856">
        <f ca="1">OFFSET(J10,$E10,0)</f>
        <v>8.6494376722719313E-2</v>
      </c>
      <c r="K10" s="857">
        <f t="shared" ref="K10:O10" ca="1" si="1">OFFSET(K10,$E10,0)</f>
        <v>3.5141603890546547E-2</v>
      </c>
      <c r="L10" s="857">
        <f t="shared" ca="1" si="1"/>
        <v>7.5599103104432297E-2</v>
      </c>
      <c r="M10" s="857">
        <f t="shared" ca="1" si="1"/>
        <v>7.5745027905899376E-2</v>
      </c>
      <c r="N10" s="857">
        <f t="shared" ca="1" si="1"/>
        <v>7.2161911633626077E-2</v>
      </c>
      <c r="O10" s="857">
        <f t="shared" ca="1" si="1"/>
        <v>8.4502014214652574E-2</v>
      </c>
    </row>
    <row r="11" spans="2:15">
      <c r="D11" s="858" t="s">
        <v>10</v>
      </c>
      <c r="E11" s="859">
        <v>1</v>
      </c>
      <c r="J11" s="877">
        <f>J12-0.02</f>
        <v>6.6494376722719309E-2</v>
      </c>
      <c r="K11" s="877">
        <f t="shared" ref="K11:O11" si="2">K12-0.02</f>
        <v>1.5141603890546546E-2</v>
      </c>
      <c r="L11" s="877">
        <f t="shared" si="2"/>
        <v>5.5599103104432293E-2</v>
      </c>
      <c r="M11" s="877">
        <f t="shared" si="2"/>
        <v>5.5745027905899372E-2</v>
      </c>
      <c r="N11" s="877">
        <f t="shared" si="2"/>
        <v>5.2161911633626074E-2</v>
      </c>
      <c r="O11" s="877">
        <f t="shared" si="2"/>
        <v>6.450201421465257E-2</v>
      </c>
    </row>
    <row r="12" spans="2:15">
      <c r="D12" s="858" t="s">
        <v>11</v>
      </c>
      <c r="E12" s="859">
        <v>2</v>
      </c>
      <c r="I12" s="827"/>
      <c r="J12" s="860">
        <v>8.6494376722719313E-2</v>
      </c>
      <c r="K12" s="860">
        <v>3.5141603890546547E-2</v>
      </c>
      <c r="L12" s="860">
        <v>7.5599103104432297E-2</v>
      </c>
      <c r="M12" s="860">
        <f>AVERAGE(J12:L12)+0.01</f>
        <v>7.5745027905899376E-2</v>
      </c>
      <c r="N12" s="860">
        <f t="shared" ref="N12:O12" si="3">AVERAGE(K12:M12)+0.01</f>
        <v>7.2161911633626077E-2</v>
      </c>
      <c r="O12" s="860">
        <f t="shared" si="3"/>
        <v>8.4502014214652574E-2</v>
      </c>
    </row>
    <row r="13" spans="2:15">
      <c r="D13" s="858" t="s">
        <v>12</v>
      </c>
      <c r="E13" s="859">
        <v>3</v>
      </c>
      <c r="J13" s="860">
        <f>J12+0.01</f>
        <v>9.6494376722719308E-2</v>
      </c>
      <c r="K13" s="860">
        <f t="shared" ref="K13:O13" si="4">K12+0.01</f>
        <v>4.5141603890546549E-2</v>
      </c>
      <c r="L13" s="860">
        <f t="shared" si="4"/>
        <v>8.5599103104432292E-2</v>
      </c>
      <c r="M13" s="860">
        <f t="shared" si="4"/>
        <v>8.5745027905899371E-2</v>
      </c>
      <c r="N13" s="860">
        <f t="shared" si="4"/>
        <v>8.2161911633626072E-2</v>
      </c>
      <c r="O13" s="860">
        <f t="shared" si="4"/>
        <v>9.4502014214652569E-2</v>
      </c>
    </row>
    <row r="15" spans="2:15">
      <c r="C15" s="850">
        <v>2</v>
      </c>
      <c r="D15" s="851" t="s">
        <v>13</v>
      </c>
      <c r="E15" s="852"/>
      <c r="F15" s="853"/>
      <c r="G15" s="853"/>
      <c r="H15" s="853"/>
      <c r="I15" s="853"/>
      <c r="J15" s="853"/>
      <c r="K15" s="853"/>
      <c r="L15" s="851"/>
      <c r="M15" s="851"/>
      <c r="N15" s="851"/>
      <c r="O15" s="851"/>
    </row>
    <row r="17" spans="2:18">
      <c r="D17" s="808" t="s">
        <v>14</v>
      </c>
      <c r="E17" s="854">
        <f>DCF!$G$11</f>
        <v>2</v>
      </c>
      <c r="G17" s="855">
        <f>'Yelp - Schedule'!F18</f>
        <v>4.8892087681168067E-2</v>
      </c>
      <c r="H17" s="855">
        <f>'Yelp - Schedule'!G18</f>
        <v>5.9116929506634566E-2</v>
      </c>
      <c r="I17" s="876">
        <f>'Yelp - Schedule'!H18</f>
        <v>9.7936543444830049E-2</v>
      </c>
      <c r="J17" s="856">
        <f ca="1">OFFSET(J17,$E17,0)</f>
        <v>0.10193769747870837</v>
      </c>
      <c r="K17" s="857">
        <f t="shared" ref="K17:O17" ca="1" si="5">OFFSET(K17,$E17,0)</f>
        <v>0.10507825150486415</v>
      </c>
      <c r="L17" s="857">
        <f t="shared" ca="1" si="5"/>
        <v>0.11644252058196093</v>
      </c>
      <c r="M17" s="857">
        <f t="shared" ca="1" si="5"/>
        <v>7.8273622583762983E-2</v>
      </c>
      <c r="N17" s="857">
        <f t="shared" ca="1" si="5"/>
        <v>9.9931464890196012E-2</v>
      </c>
      <c r="O17" s="857">
        <f t="shared" ca="1" si="5"/>
        <v>9.8215869351973309E-2</v>
      </c>
    </row>
    <row r="18" spans="2:18">
      <c r="D18" s="858" t="s">
        <v>10</v>
      </c>
      <c r="E18" s="859">
        <v>1</v>
      </c>
      <c r="J18" s="877">
        <f>J19-0.02</f>
        <v>8.1937697478708368E-2</v>
      </c>
      <c r="K18" s="877">
        <f t="shared" ref="K18:O18" si="6">K19-0.02</f>
        <v>8.5078251504864144E-2</v>
      </c>
      <c r="L18" s="877">
        <f t="shared" si="6"/>
        <v>9.6442520581960928E-2</v>
      </c>
      <c r="M18" s="877">
        <f t="shared" si="6"/>
        <v>5.827362258376298E-2</v>
      </c>
      <c r="N18" s="877">
        <f t="shared" si="6"/>
        <v>7.9931464890196008E-2</v>
      </c>
      <c r="O18" s="877">
        <f t="shared" si="6"/>
        <v>7.8215869351973305E-2</v>
      </c>
    </row>
    <row r="19" spans="2:18">
      <c r="D19" s="858" t="s">
        <v>11</v>
      </c>
      <c r="E19" s="859">
        <v>2</v>
      </c>
      <c r="J19" s="860">
        <v>0.10193769747870837</v>
      </c>
      <c r="K19" s="860">
        <v>0.10507825150486415</v>
      </c>
      <c r="L19" s="860">
        <v>0.11644252058196093</v>
      </c>
      <c r="M19" s="860">
        <v>7.8273622583762983E-2</v>
      </c>
      <c r="N19" s="860">
        <f>AVERAGE(K19:M19)</f>
        <v>9.9931464890196012E-2</v>
      </c>
      <c r="O19" s="860">
        <f t="shared" ref="O19" si="7">AVERAGE(L19:N19)</f>
        <v>9.8215869351973309E-2</v>
      </c>
    </row>
    <row r="20" spans="2:18">
      <c r="D20" s="858" t="s">
        <v>12</v>
      </c>
      <c r="E20" s="859">
        <v>3</v>
      </c>
      <c r="J20" s="860">
        <f>J19+0.01</f>
        <v>0.11193769747870837</v>
      </c>
      <c r="K20" s="860">
        <f t="shared" ref="K20:O20" si="8">K19+0.01</f>
        <v>0.11507825150486414</v>
      </c>
      <c r="L20" s="860">
        <f t="shared" si="8"/>
        <v>0.12644252058196093</v>
      </c>
      <c r="M20" s="860">
        <f t="shared" si="8"/>
        <v>8.8273622583762978E-2</v>
      </c>
      <c r="N20" s="860">
        <f t="shared" si="8"/>
        <v>0.10993146489019601</v>
      </c>
      <c r="O20" s="860">
        <f t="shared" si="8"/>
        <v>0.1082158693519733</v>
      </c>
    </row>
    <row r="22" spans="2:18">
      <c r="B22" s="809">
        <v>2</v>
      </c>
      <c r="C22" s="810" t="s">
        <v>15</v>
      </c>
      <c r="D22" s="814"/>
      <c r="E22" s="814"/>
      <c r="F22" s="814"/>
      <c r="G22" s="814"/>
      <c r="H22" s="814"/>
      <c r="I22" s="814"/>
      <c r="J22" s="814"/>
      <c r="K22" s="814"/>
      <c r="L22" s="810"/>
      <c r="M22" s="810"/>
      <c r="N22" s="814"/>
      <c r="O22" s="814"/>
    </row>
    <row r="24" spans="2:18">
      <c r="C24" s="850">
        <v>1</v>
      </c>
      <c r="D24" s="851" t="s">
        <v>16</v>
      </c>
      <c r="E24" s="852"/>
      <c r="F24" s="853"/>
      <c r="G24" s="853"/>
      <c r="H24" s="853"/>
      <c r="I24" s="853"/>
      <c r="J24" s="853"/>
      <c r="K24" s="853"/>
      <c r="L24" s="851"/>
      <c r="M24" s="851"/>
      <c r="N24" s="853"/>
      <c r="O24" s="853"/>
    </row>
    <row r="26" spans="2:18">
      <c r="D26" s="808" t="s">
        <v>17</v>
      </c>
      <c r="E26" s="854">
        <f>DCF!$G$11</f>
        <v>2</v>
      </c>
      <c r="G26" s="917" t="s">
        <v>18</v>
      </c>
      <c r="H26" s="917" t="s">
        <v>18</v>
      </c>
      <c r="I26" s="917" t="s">
        <v>18</v>
      </c>
      <c r="J26" s="856">
        <f ca="1">OFFSET(J26,$E26,0)</f>
        <v>0.03</v>
      </c>
      <c r="K26" s="857">
        <f t="shared" ref="K26:O26" ca="1" si="9">OFFSET(K26,$E26,0)</f>
        <v>3.784025346006336E-2</v>
      </c>
      <c r="L26" s="857">
        <f t="shared" ca="1" si="9"/>
        <v>4.5680506920126721E-2</v>
      </c>
      <c r="M26" s="857">
        <f t="shared" ca="1" si="9"/>
        <v>5.3520760380190081E-2</v>
      </c>
      <c r="N26" s="857">
        <f t="shared" ca="1" si="9"/>
        <v>6.1361013840253442E-2</v>
      </c>
      <c r="O26" s="857">
        <f t="shared" ca="1" si="9"/>
        <v>6.920126730031681E-2</v>
      </c>
    </row>
    <row r="27" spans="2:18">
      <c r="D27" s="858" t="s">
        <v>10</v>
      </c>
      <c r="E27" s="859">
        <v>1</v>
      </c>
      <c r="G27" s="827"/>
      <c r="H27" s="827"/>
      <c r="I27" s="827"/>
      <c r="J27" s="877">
        <v>0.01</v>
      </c>
      <c r="K27" s="877">
        <v>1.2613417820021122E-2</v>
      </c>
      <c r="L27" s="877">
        <v>1.5226835640042242E-2</v>
      </c>
      <c r="M27" s="877">
        <v>1.7840253460063363E-2</v>
      </c>
      <c r="N27" s="877">
        <v>2.0453671280084483E-2</v>
      </c>
      <c r="O27" s="877">
        <v>2.3067089100105603E-2</v>
      </c>
      <c r="R27" s="897"/>
    </row>
    <row r="28" spans="2:18">
      <c r="D28" s="858" t="s">
        <v>11</v>
      </c>
      <c r="E28" s="859">
        <v>2</v>
      </c>
      <c r="G28" s="827"/>
      <c r="H28" s="827"/>
      <c r="I28" s="827"/>
      <c r="J28" s="860">
        <v>0.03</v>
      </c>
      <c r="K28" s="861">
        <v>3.784025346006336E-2</v>
      </c>
      <c r="L28" s="861">
        <v>4.5680506920126721E-2</v>
      </c>
      <c r="M28" s="861">
        <v>5.3520760380190081E-2</v>
      </c>
      <c r="N28" s="861">
        <v>6.1361013840253442E-2</v>
      </c>
      <c r="O28" s="861">
        <v>6.920126730031681E-2</v>
      </c>
    </row>
    <row r="29" spans="2:18">
      <c r="D29" s="858" t="s">
        <v>12</v>
      </c>
      <c r="E29" s="859">
        <v>3</v>
      </c>
      <c r="G29" s="827"/>
      <c r="H29" s="827"/>
      <c r="I29" s="827"/>
      <c r="J29" s="860">
        <v>0.05</v>
      </c>
      <c r="K29" s="860">
        <v>5.7840253460063364E-2</v>
      </c>
      <c r="L29" s="860">
        <v>6.5680506920126724E-2</v>
      </c>
      <c r="M29" s="860">
        <v>7.3520760380190092E-2</v>
      </c>
      <c r="N29" s="860">
        <v>8.136101384025346E-2</v>
      </c>
      <c r="O29" s="860">
        <v>8.9201267300316828E-2</v>
      </c>
    </row>
    <row r="31" spans="2:18">
      <c r="D31" s="925" t="s">
        <v>19</v>
      </c>
    </row>
    <row r="32" spans="2:18">
      <c r="D32" s="926" t="s">
        <v>20</v>
      </c>
    </row>
    <row r="33" spans="4:7">
      <c r="D33" s="926" t="s">
        <v>21</v>
      </c>
    </row>
    <row r="34" spans="4:7">
      <c r="D34" s="926" t="s">
        <v>22</v>
      </c>
    </row>
    <row r="35" spans="4:7">
      <c r="D35" s="896"/>
    </row>
    <row r="36" spans="4:7">
      <c r="D36" s="924" t="s">
        <v>23</v>
      </c>
    </row>
    <row r="37" spans="4:7" ht="3" customHeight="1">
      <c r="D37" s="924"/>
    </row>
    <row r="38" spans="4:7">
      <c r="D38" s="927"/>
      <c r="E38" s="929" t="s">
        <v>24</v>
      </c>
      <c r="F38" s="930" t="s">
        <v>25</v>
      </c>
    </row>
    <row r="39" spans="4:7" ht="3" customHeight="1">
      <c r="D39" s="928"/>
      <c r="F39" s="931"/>
    </row>
    <row r="40" spans="4:7">
      <c r="D40" s="932" t="s">
        <v>26</v>
      </c>
      <c r="E40" s="933">
        <v>415</v>
      </c>
      <c r="F40" s="934">
        <f>E40/$E$43</f>
        <v>6.9201267300316824E-2</v>
      </c>
    </row>
    <row r="41" spans="4:7">
      <c r="D41" s="932" t="s">
        <v>27</v>
      </c>
      <c r="E41" s="933">
        <v>2391</v>
      </c>
      <c r="F41" s="934">
        <f>E41/$E$43</f>
        <v>0.39869934967483744</v>
      </c>
    </row>
    <row r="42" spans="4:7">
      <c r="D42" s="932" t="s">
        <v>28</v>
      </c>
      <c r="E42" s="933">
        <v>3191</v>
      </c>
      <c r="F42" s="934">
        <f>E42/$E$43</f>
        <v>0.53209938302484572</v>
      </c>
    </row>
    <row r="43" spans="4:7">
      <c r="D43" s="935" t="s">
        <v>29</v>
      </c>
      <c r="E43" s="936">
        <f>SUM(E40:E42)</f>
        <v>5997</v>
      </c>
      <c r="F43" s="937">
        <f>SUM(F40:F42)</f>
        <v>1</v>
      </c>
      <c r="G43" s="808" t="s">
        <v>30</v>
      </c>
    </row>
    <row r="1048460" spans="5:5">
      <c r="E1048460" s="815"/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24C46-55AE-48F3-8478-7614B736CA39}">
  <dimension ref="B2:R28"/>
  <sheetViews>
    <sheetView showGridLines="0" workbookViewId="0">
      <selection activeCell="H33" sqref="H33"/>
    </sheetView>
  </sheetViews>
  <sheetFormatPr defaultColWidth="11.140625" defaultRowHeight="12.75"/>
  <cols>
    <col min="1" max="3" width="3.7109375" style="808" customWidth="1"/>
    <col min="4" max="4" width="30.42578125" style="808" customWidth="1"/>
    <col min="5" max="6" width="12.140625" style="808" customWidth="1"/>
    <col min="7" max="8" width="12.140625" style="808" bestFit="1" customWidth="1"/>
    <col min="9" max="9" width="12.5703125" style="808" bestFit="1" customWidth="1"/>
    <col min="10" max="14" width="11.7109375" style="808" bestFit="1" customWidth="1"/>
    <col min="15" max="16384" width="11.140625" style="808"/>
  </cols>
  <sheetData>
    <row r="2" spans="2:16" s="807" customFormat="1" ht="18">
      <c r="B2" s="844" t="s">
        <v>31</v>
      </c>
    </row>
    <row r="4" spans="2:16">
      <c r="E4" s="845" t="s">
        <v>32</v>
      </c>
      <c r="F4" s="845"/>
      <c r="G4" s="846"/>
      <c r="H4" s="846"/>
      <c r="I4" s="847" t="s">
        <v>6</v>
      </c>
      <c r="J4" s="845"/>
      <c r="K4" s="845"/>
      <c r="L4" s="845"/>
      <c r="M4" s="845"/>
      <c r="N4" s="845"/>
    </row>
    <row r="5" spans="2:16">
      <c r="E5" s="848">
        <v>2021</v>
      </c>
      <c r="F5" s="848">
        <f t="shared" ref="F5:N5" si="0">E5+1</f>
        <v>2022</v>
      </c>
      <c r="G5" s="848">
        <f t="shared" si="0"/>
        <v>2023</v>
      </c>
      <c r="H5" s="848">
        <f t="shared" si="0"/>
        <v>2024</v>
      </c>
      <c r="I5" s="849">
        <f t="shared" si="0"/>
        <v>2025</v>
      </c>
      <c r="J5" s="849">
        <f t="shared" si="0"/>
        <v>2026</v>
      </c>
      <c r="K5" s="849">
        <f t="shared" si="0"/>
        <v>2027</v>
      </c>
      <c r="L5" s="849">
        <f t="shared" si="0"/>
        <v>2028</v>
      </c>
      <c r="M5" s="849">
        <f t="shared" si="0"/>
        <v>2029</v>
      </c>
      <c r="N5" s="849">
        <f t="shared" si="0"/>
        <v>2030</v>
      </c>
    </row>
    <row r="6" spans="2:16">
      <c r="B6" s="809">
        <v>1</v>
      </c>
      <c r="C6" s="810" t="s">
        <v>7</v>
      </c>
      <c r="D6" s="814"/>
      <c r="E6" s="814"/>
      <c r="F6" s="814"/>
      <c r="G6" s="814"/>
      <c r="H6" s="864"/>
      <c r="I6" s="814"/>
      <c r="J6" s="814"/>
      <c r="K6" s="810"/>
      <c r="L6" s="810"/>
      <c r="M6" s="810"/>
      <c r="N6" s="810"/>
    </row>
    <row r="7" spans="2:16">
      <c r="H7" s="865"/>
    </row>
    <row r="8" spans="2:16">
      <c r="C8" s="850">
        <v>1</v>
      </c>
      <c r="D8" s="851" t="s">
        <v>8</v>
      </c>
      <c r="E8" s="851"/>
      <c r="F8" s="853"/>
      <c r="G8" s="853"/>
      <c r="H8" s="862"/>
      <c r="I8" s="853"/>
      <c r="J8" s="853"/>
      <c r="K8" s="851"/>
      <c r="L8" s="851"/>
      <c r="M8" s="851"/>
      <c r="N8" s="851"/>
    </row>
    <row r="9" spans="2:16">
      <c r="H9" s="865"/>
    </row>
    <row r="10" spans="2:16">
      <c r="D10" s="808" t="s">
        <v>33</v>
      </c>
      <c r="E10" s="866">
        <v>1031.8389999999999</v>
      </c>
      <c r="F10" s="866">
        <v>1193.5060000000001</v>
      </c>
      <c r="G10" s="866">
        <v>1337.0620000000001</v>
      </c>
      <c r="H10" s="866">
        <v>1400.5380704548402</v>
      </c>
      <c r="I10" s="837">
        <f ca="1">H10*(1+I11)</f>
        <v>1521.6767379352716</v>
      </c>
      <c r="J10" s="837">
        <f t="shared" ref="J10:N10" ca="1" si="1">I10*(1+J11)</f>
        <v>1575.1508991092519</v>
      </c>
      <c r="K10" s="837">
        <f t="shared" ca="1" si="1"/>
        <v>1694.2308943360515</v>
      </c>
      <c r="L10" s="837">
        <f t="shared" ca="1" si="1"/>
        <v>1822.5604607065725</v>
      </c>
      <c r="M10" s="837">
        <f t="shared" ca="1" si="1"/>
        <v>1954.079907619021</v>
      </c>
      <c r="N10" s="837">
        <f t="shared" ca="1" si="1"/>
        <v>2119.2035957492108</v>
      </c>
      <c r="O10" s="832"/>
    </row>
    <row r="11" spans="2:16">
      <c r="D11" s="867" t="s">
        <v>34</v>
      </c>
      <c r="E11" s="867"/>
      <c r="F11" s="868">
        <f>F10/E10-1</f>
        <v>0.15667851283000567</v>
      </c>
      <c r="G11" s="868">
        <f>G10/F10-1</f>
        <v>0.1202809202467352</v>
      </c>
      <c r="H11" s="868">
        <f>H10/G10-1</f>
        <v>4.7474290986386558E-2</v>
      </c>
      <c r="I11" s="869">
        <f ca="1">'Yelp - Assumptions'!J10</f>
        <v>8.6494376722719313E-2</v>
      </c>
      <c r="J11" s="869">
        <f ca="1">'Yelp - Assumptions'!K10</f>
        <v>3.5141603890546547E-2</v>
      </c>
      <c r="K11" s="869">
        <f ca="1">'Yelp - Assumptions'!L10</f>
        <v>7.5599103104432297E-2</v>
      </c>
      <c r="L11" s="869">
        <f ca="1">'Yelp - Assumptions'!M10</f>
        <v>7.5745027905899376E-2</v>
      </c>
      <c r="M11" s="869">
        <f ca="1">'Yelp - Assumptions'!N10</f>
        <v>7.2161911633626077E-2</v>
      </c>
      <c r="N11" s="869">
        <f ca="1">'Yelp - Assumptions'!O10</f>
        <v>8.4502014214652574E-2</v>
      </c>
      <c r="P11" s="870"/>
    </row>
    <row r="12" spans="2:16">
      <c r="H12" s="865"/>
    </row>
    <row r="13" spans="2:16">
      <c r="D13" s="825" t="s">
        <v>35</v>
      </c>
      <c r="E13" s="871">
        <f>E10</f>
        <v>1031.8389999999999</v>
      </c>
      <c r="F13" s="871">
        <f>F10</f>
        <v>1193.5060000000001</v>
      </c>
      <c r="G13" s="871">
        <f t="shared" ref="G13:N13" si="2">G10</f>
        <v>1337.0620000000001</v>
      </c>
      <c r="H13" s="871">
        <f t="shared" si="2"/>
        <v>1400.5380704548402</v>
      </c>
      <c r="I13" s="871">
        <f t="shared" ca="1" si="2"/>
        <v>1521.6767379352716</v>
      </c>
      <c r="J13" s="871">
        <f t="shared" ca="1" si="2"/>
        <v>1575.1508991092519</v>
      </c>
      <c r="K13" s="871">
        <f t="shared" ca="1" si="2"/>
        <v>1694.2308943360515</v>
      </c>
      <c r="L13" s="871">
        <f t="shared" ca="1" si="2"/>
        <v>1822.5604607065725</v>
      </c>
      <c r="M13" s="871">
        <f t="shared" ca="1" si="2"/>
        <v>1954.079907619021</v>
      </c>
      <c r="N13" s="871">
        <f t="shared" ca="1" si="2"/>
        <v>2119.2035957492108</v>
      </c>
    </row>
    <row r="14" spans="2:16">
      <c r="D14" s="817"/>
      <c r="E14" s="817"/>
      <c r="F14" s="872"/>
      <c r="G14" s="872"/>
      <c r="H14" s="872"/>
      <c r="I14" s="872"/>
      <c r="J14" s="872"/>
      <c r="K14" s="872"/>
      <c r="L14" s="872"/>
      <c r="M14" s="872"/>
      <c r="N14" s="872"/>
    </row>
    <row r="15" spans="2:16">
      <c r="C15" s="850">
        <v>2</v>
      </c>
      <c r="D15" s="851" t="s">
        <v>13</v>
      </c>
      <c r="E15" s="851"/>
      <c r="F15" s="853"/>
      <c r="G15" s="853"/>
      <c r="H15" s="862"/>
      <c r="I15" s="853"/>
      <c r="J15" s="853"/>
      <c r="K15" s="851"/>
      <c r="L15" s="851"/>
      <c r="M15" s="851"/>
      <c r="N15" s="851"/>
    </row>
    <row r="16" spans="2:16">
      <c r="H16" s="865"/>
    </row>
    <row r="17" spans="2:18">
      <c r="D17" s="817" t="s">
        <v>36</v>
      </c>
      <c r="E17" s="880">
        <v>31.513999999999953</v>
      </c>
      <c r="F17" s="880">
        <v>58.353000000000179</v>
      </c>
      <c r="G17" s="880">
        <v>79.042999999999836</v>
      </c>
      <c r="H17" s="880">
        <v>137.16385758323889</v>
      </c>
      <c r="I17" s="873">
        <f ca="1">I13*I18</f>
        <v>155.11622297203351</v>
      </c>
      <c r="J17" s="873">
        <f t="shared" ref="J17:N17" ca="1" si="3">J13*J18</f>
        <v>165.51410233471486</v>
      </c>
      <c r="K17" s="873">
        <f t="shared" ca="1" si="3"/>
        <v>197.28051578431976</v>
      </c>
      <c r="L17" s="873">
        <f t="shared" ca="1" si="3"/>
        <v>142.65840963743543</v>
      </c>
      <c r="M17" s="873">
        <f t="shared" ca="1" si="3"/>
        <v>195.27406768086766</v>
      </c>
      <c r="N17" s="873">
        <f t="shared" ca="1" si="3"/>
        <v>208.13942349033655</v>
      </c>
    </row>
    <row r="18" spans="2:18">
      <c r="D18" s="863" t="s">
        <v>37</v>
      </c>
      <c r="E18" s="868">
        <f>E17/E13</f>
        <v>3.0541586429665826E-2</v>
      </c>
      <c r="F18" s="868">
        <f t="shared" ref="F18:H18" si="4">F17/F13</f>
        <v>4.8892087681168067E-2</v>
      </c>
      <c r="G18" s="868">
        <f t="shared" si="4"/>
        <v>5.9116929506634566E-2</v>
      </c>
      <c r="H18" s="868">
        <f t="shared" si="4"/>
        <v>9.7936543444830049E-2</v>
      </c>
      <c r="I18" s="868">
        <f ca="1">'Yelp - Assumptions'!J17</f>
        <v>0.10193769747870837</v>
      </c>
      <c r="J18" s="868">
        <f ca="1">'Yelp - Assumptions'!K17</f>
        <v>0.10507825150486415</v>
      </c>
      <c r="K18" s="868">
        <f ca="1">'Yelp - Assumptions'!L17</f>
        <v>0.11644252058196093</v>
      </c>
      <c r="L18" s="868">
        <f ca="1">'Yelp - Assumptions'!M17</f>
        <v>7.8273622583762983E-2</v>
      </c>
      <c r="M18" s="868">
        <f ca="1">'Yelp - Assumptions'!N17</f>
        <v>9.9931464890196012E-2</v>
      </c>
      <c r="N18" s="868">
        <f ca="1">'Yelp - Assumptions'!O17</f>
        <v>9.8215869351973309E-2</v>
      </c>
      <c r="R18" s="873"/>
    </row>
    <row r="19" spans="2:18">
      <c r="D19" s="867"/>
      <c r="E19" s="867"/>
      <c r="F19" s="868"/>
      <c r="G19" s="868"/>
      <c r="H19" s="868"/>
      <c r="I19" s="868"/>
      <c r="J19" s="868"/>
      <c r="K19" s="868"/>
      <c r="L19" s="868"/>
      <c r="M19" s="868"/>
      <c r="N19" s="868"/>
    </row>
    <row r="20" spans="2:18">
      <c r="D20" s="817"/>
      <c r="E20" s="817"/>
      <c r="F20" s="874"/>
      <c r="G20" s="874"/>
      <c r="H20" s="874"/>
      <c r="I20" s="874"/>
      <c r="J20" s="874"/>
      <c r="K20" s="874"/>
      <c r="L20" s="874"/>
      <c r="M20" s="874"/>
      <c r="N20" s="874"/>
    </row>
    <row r="21" spans="2:18">
      <c r="B21" s="809">
        <v>2</v>
      </c>
      <c r="C21" s="810" t="s">
        <v>38</v>
      </c>
      <c r="D21" s="814"/>
      <c r="E21" s="814"/>
      <c r="F21" s="814"/>
      <c r="G21" s="814"/>
      <c r="H21" s="864"/>
      <c r="I21" s="814"/>
      <c r="J21" s="814"/>
      <c r="K21" s="810"/>
      <c r="L21" s="810"/>
      <c r="M21" s="810"/>
      <c r="N21" s="810"/>
    </row>
    <row r="23" spans="2:18">
      <c r="C23" s="850">
        <v>1</v>
      </c>
      <c r="D23" s="851" t="s">
        <v>39</v>
      </c>
      <c r="E23" s="851"/>
      <c r="F23" s="853"/>
      <c r="G23" s="853"/>
      <c r="H23" s="862"/>
      <c r="I23" s="853"/>
      <c r="J23" s="853"/>
      <c r="K23" s="851"/>
      <c r="L23" s="851"/>
      <c r="M23" s="851"/>
      <c r="N23" s="851"/>
    </row>
    <row r="25" spans="2:18">
      <c r="D25" s="816" t="s">
        <v>40</v>
      </c>
      <c r="E25" s="815" t="s">
        <v>18</v>
      </c>
      <c r="F25" s="815" t="s">
        <v>18</v>
      </c>
      <c r="G25" s="815" t="s">
        <v>18</v>
      </c>
      <c r="H25" s="815" t="s">
        <v>18</v>
      </c>
      <c r="I25" s="898">
        <f ca="1">DCF!H38</f>
        <v>155.11622297203351</v>
      </c>
      <c r="J25" s="898">
        <f ca="1">DCF!I38</f>
        <v>165.51410233471486</v>
      </c>
      <c r="K25" s="898">
        <f ca="1">DCF!J38</f>
        <v>197.28051578431976</v>
      </c>
      <c r="L25" s="898">
        <f ca="1">DCF!K38</f>
        <v>142.65840963743543</v>
      </c>
      <c r="M25" s="898">
        <f ca="1">DCF!L38</f>
        <v>195.27406768086766</v>
      </c>
      <c r="N25" s="898">
        <f ca="1">DCF!M38</f>
        <v>208.13942349033655</v>
      </c>
    </row>
    <row r="26" spans="2:18">
      <c r="E26" s="815"/>
      <c r="F26" s="815"/>
      <c r="G26" s="815"/>
      <c r="H26" s="815"/>
    </row>
    <row r="27" spans="2:18">
      <c r="D27" s="816" t="s">
        <v>41</v>
      </c>
      <c r="E27" s="815" t="s">
        <v>18</v>
      </c>
      <c r="F27" s="815" t="s">
        <v>18</v>
      </c>
      <c r="G27" s="815" t="s">
        <v>18</v>
      </c>
      <c r="H27" s="815" t="s">
        <v>18</v>
      </c>
      <c r="I27" s="837">
        <f ca="1">I25*I28</f>
        <v>4.6534866891610056</v>
      </c>
      <c r="J27" s="837">
        <f t="shared" ref="J27:N27" ca="1" si="5">J25*J28</f>
        <v>6.2630955835604754</v>
      </c>
      <c r="K27" s="837">
        <f t="shared" ca="1" si="5"/>
        <v>9.0118739664917875</v>
      </c>
      <c r="L27" s="837">
        <f t="shared" ca="1" si="5"/>
        <v>7.6351865584241807</v>
      </c>
      <c r="M27" s="837">
        <f t="shared" ca="1" si="5"/>
        <v>11.982214769608309</v>
      </c>
      <c r="N27" s="837">
        <f t="shared" ca="1" si="5"/>
        <v>14.403511880688619</v>
      </c>
    </row>
    <row r="28" spans="2:18">
      <c r="D28" s="884" t="s">
        <v>42</v>
      </c>
      <c r="E28" s="815" t="s">
        <v>18</v>
      </c>
      <c r="F28" s="815" t="s">
        <v>18</v>
      </c>
      <c r="G28" s="815" t="s">
        <v>18</v>
      </c>
      <c r="H28" s="815" t="s">
        <v>18</v>
      </c>
      <c r="I28" s="869">
        <f ca="1">'Yelp - Assumptions'!J26</f>
        <v>0.03</v>
      </c>
      <c r="J28" s="869">
        <f ca="1">'Yelp - Assumptions'!K26</f>
        <v>3.784025346006336E-2</v>
      </c>
      <c r="K28" s="869">
        <f ca="1">'Yelp - Assumptions'!L26</f>
        <v>4.5680506920126721E-2</v>
      </c>
      <c r="L28" s="869">
        <f ca="1">'Yelp - Assumptions'!M26</f>
        <v>5.3520760380190081E-2</v>
      </c>
      <c r="M28" s="869">
        <f ca="1">'Yelp - Assumptions'!N26</f>
        <v>6.1361013840253442E-2</v>
      </c>
      <c r="N28" s="869">
        <f ca="1">'Yelp - Assumptions'!O26</f>
        <v>6.920126730031681E-2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E33-69A0-49EC-B2D9-AC5C932B783E}">
  <sheetPr>
    <tabColor theme="3"/>
  </sheetPr>
  <dimension ref="A1"/>
  <sheetViews>
    <sheetView showGridLines="0" workbookViewId="0">
      <selection activeCell="E25" sqref="E25"/>
    </sheetView>
  </sheetViews>
  <sheetFormatPr defaultRowHeight="15"/>
  <cols>
    <col min="1" max="16384" width="9.140625" style="842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D3A3C-6F4F-467E-8B89-BCE7363D70D1}">
  <sheetPr>
    <pageSetUpPr fitToPage="1"/>
  </sheetPr>
  <dimension ref="B2:Q71"/>
  <sheetViews>
    <sheetView showGridLines="0" tabSelected="1" zoomScaleNormal="100" workbookViewId="0">
      <selection activeCell="S42" sqref="S42"/>
    </sheetView>
  </sheetViews>
  <sheetFormatPr defaultColWidth="11.140625" defaultRowHeight="12.75"/>
  <cols>
    <col min="1" max="1" width="2.7109375" style="808" customWidth="1"/>
    <col min="2" max="2" width="3.140625" style="808" customWidth="1"/>
    <col min="3" max="3" width="5.7109375" style="808" customWidth="1"/>
    <col min="4" max="6" width="11.140625" style="808"/>
    <col min="7" max="7" width="11.85546875" style="808" bestFit="1" customWidth="1"/>
    <col min="8" max="14" width="12" style="808" bestFit="1" customWidth="1"/>
    <col min="15" max="17" width="11.28515625" style="808" bestFit="1" customWidth="1"/>
    <col min="18" max="18" width="11.140625" style="808"/>
    <col min="19" max="19" width="12" style="808" bestFit="1" customWidth="1"/>
    <col min="20" max="21" width="11.140625" style="808"/>
    <col min="22" max="22" width="11.28515625" style="808" bestFit="1" customWidth="1"/>
    <col min="23" max="24" width="11.140625" style="808"/>
    <col min="25" max="30" width="11.28515625" style="808" bestFit="1" customWidth="1"/>
    <col min="31" max="32" width="11.140625" style="808"/>
    <col min="33" max="38" width="11.28515625" style="808" bestFit="1" customWidth="1"/>
    <col min="39" max="44" width="11.140625" style="808"/>
    <col min="45" max="54" width="11.28515625" style="808" bestFit="1" customWidth="1"/>
    <col min="55" max="59" width="11.140625" style="808"/>
    <col min="60" max="60" width="11.28515625" style="808" bestFit="1" customWidth="1"/>
    <col min="61" max="65" width="11.140625" style="808"/>
    <col min="66" max="67" width="11.28515625" style="808" bestFit="1" customWidth="1"/>
    <col min="68" max="16384" width="11.140625" style="808"/>
  </cols>
  <sheetData>
    <row r="2" spans="2:17" ht="18">
      <c r="B2" s="843" t="s">
        <v>43</v>
      </c>
    </row>
    <row r="3" spans="2:17" s="807" customFormat="1"/>
    <row r="5" spans="2:17">
      <c r="B5" s="809">
        <v>0</v>
      </c>
      <c r="C5" s="810" t="s">
        <v>44</v>
      </c>
      <c r="D5" s="810"/>
      <c r="E5" s="810"/>
      <c r="F5" s="810"/>
      <c r="G5" s="810"/>
      <c r="H5" s="810"/>
      <c r="I5" s="810"/>
      <c r="J5" s="810"/>
      <c r="K5" s="810"/>
      <c r="L5" s="810"/>
      <c r="M5" s="810"/>
      <c r="N5" s="810"/>
      <c r="O5" s="810"/>
      <c r="P5" s="810"/>
      <c r="Q5" s="810"/>
    </row>
    <row r="6" spans="2:17" ht="5.0999999999999996" customHeight="1">
      <c r="B6" s="878"/>
      <c r="C6" s="879"/>
      <c r="D6" s="879"/>
      <c r="E6" s="879"/>
      <c r="F6" s="879"/>
      <c r="G6" s="879"/>
      <c r="H6" s="879"/>
      <c r="I6" s="879"/>
      <c r="J6" s="879"/>
      <c r="K6" s="879"/>
      <c r="L6" s="879"/>
      <c r="M6" s="879"/>
      <c r="N6" s="879"/>
      <c r="O6" s="879"/>
      <c r="P6" s="879"/>
      <c r="Q6" s="879"/>
    </row>
    <row r="7" spans="2:17">
      <c r="B7" s="878"/>
      <c r="C7" s="811" t="s">
        <v>45</v>
      </c>
      <c r="D7" s="811"/>
      <c r="E7" s="811"/>
      <c r="F7" s="812"/>
      <c r="G7" s="813"/>
      <c r="H7" s="879"/>
      <c r="I7" s="938" t="s">
        <v>46</v>
      </c>
      <c r="J7" s="938"/>
      <c r="K7" s="938"/>
      <c r="L7" s="939"/>
      <c r="M7" s="942"/>
      <c r="N7" s="938" t="s">
        <v>46</v>
      </c>
      <c r="O7" s="938"/>
      <c r="P7" s="938"/>
      <c r="Q7" s="939"/>
    </row>
    <row r="8" spans="2:17" ht="3" customHeight="1">
      <c r="B8" s="878"/>
      <c r="C8" s="879"/>
      <c r="D8" s="879"/>
      <c r="E8" s="879"/>
      <c r="F8" s="945"/>
      <c r="G8" s="946"/>
      <c r="H8" s="879"/>
      <c r="I8" s="947"/>
      <c r="J8" s="947"/>
      <c r="K8" s="947"/>
      <c r="L8" s="948"/>
      <c r="M8" s="944"/>
      <c r="N8" s="947"/>
      <c r="O8" s="947"/>
      <c r="P8" s="947"/>
      <c r="Q8" s="948"/>
    </row>
    <row r="9" spans="2:17">
      <c r="B9" s="878"/>
      <c r="H9" s="879"/>
      <c r="I9" s="879"/>
      <c r="J9" s="879"/>
      <c r="K9" s="879"/>
      <c r="L9" s="879"/>
      <c r="M9" s="879"/>
      <c r="N9" s="924" t="s">
        <v>47</v>
      </c>
      <c r="Q9" s="815" t="s">
        <v>48</v>
      </c>
    </row>
    <row r="10" spans="2:17">
      <c r="B10" s="878"/>
      <c r="C10" s="808" t="s">
        <v>49</v>
      </c>
      <c r="G10" s="818" t="s">
        <v>11</v>
      </c>
      <c r="H10" s="879"/>
      <c r="I10" s="899" t="s">
        <v>50</v>
      </c>
      <c r="J10" s="879"/>
      <c r="K10" s="879"/>
      <c r="L10" s="941" t="s">
        <v>51</v>
      </c>
      <c r="M10" s="879"/>
      <c r="N10" s="808" t="s">
        <v>52</v>
      </c>
      <c r="Q10" s="943">
        <f ca="1">IF(L10="Off",$Q$29,$Q$10)</f>
        <v>1.3420224284911075E-2</v>
      </c>
    </row>
    <row r="11" spans="2:17">
      <c r="B11" s="878"/>
      <c r="C11" s="808" t="s">
        <v>45</v>
      </c>
      <c r="G11" s="818">
        <f>IF(G10="Bear",1,IF(G10="Base",2,3))</f>
        <v>2</v>
      </c>
      <c r="H11" s="879"/>
      <c r="I11" s="940"/>
      <c r="J11" s="879"/>
      <c r="K11" s="879"/>
      <c r="L11" s="879"/>
      <c r="M11" s="879"/>
      <c r="N11" s="808" t="s">
        <v>53</v>
      </c>
      <c r="O11" s="879"/>
      <c r="P11" s="879"/>
      <c r="Q11" s="949">
        <f ca="1">IF(L10="On",$Q$29,$Q$11)</f>
        <v>0.11951634899994934</v>
      </c>
    </row>
    <row r="12" spans="2:17">
      <c r="B12" s="878"/>
      <c r="H12" s="879"/>
      <c r="I12" s="879"/>
      <c r="J12" s="879"/>
      <c r="K12" s="879"/>
      <c r="L12" s="879"/>
      <c r="M12" s="879"/>
      <c r="N12" s="950" t="s">
        <v>54</v>
      </c>
      <c r="O12" s="951"/>
      <c r="P12" s="951"/>
      <c r="Q12" s="952">
        <f ca="1">Q11-Q10</f>
        <v>0.10609612471503826</v>
      </c>
    </row>
    <row r="14" spans="2:17">
      <c r="C14" s="811" t="s">
        <v>55</v>
      </c>
      <c r="D14" s="811"/>
      <c r="E14" s="811"/>
      <c r="F14" s="812"/>
      <c r="G14" s="813"/>
      <c r="I14" s="810" t="s">
        <v>56</v>
      </c>
      <c r="J14" s="810"/>
      <c r="K14" s="810"/>
      <c r="L14" s="814"/>
      <c r="N14" s="810" t="s">
        <v>56</v>
      </c>
      <c r="O14" s="810"/>
      <c r="P14" s="810"/>
      <c r="Q14" s="814"/>
    </row>
    <row r="15" spans="2:17">
      <c r="C15" s="808" t="s">
        <v>57</v>
      </c>
      <c r="F15" s="815"/>
      <c r="G15" s="894">
        <f ca="1">TODAY()</f>
        <v>45624</v>
      </c>
      <c r="I15" s="816" t="s">
        <v>58</v>
      </c>
      <c r="N15" s="817" t="s">
        <v>59</v>
      </c>
    </row>
    <row r="16" spans="2:17">
      <c r="C16" s="808" t="s">
        <v>60</v>
      </c>
      <c r="F16" s="815"/>
      <c r="G16" s="818" t="s">
        <v>61</v>
      </c>
      <c r="I16" s="808" t="s">
        <v>62</v>
      </c>
      <c r="L16" s="819">
        <f>G25</f>
        <v>9.4E-2</v>
      </c>
      <c r="N16" s="808" t="s">
        <v>62</v>
      </c>
      <c r="Q16" s="819">
        <f>G25</f>
        <v>9.4E-2</v>
      </c>
    </row>
    <row r="17" spans="2:17">
      <c r="C17" s="808" t="s">
        <v>63</v>
      </c>
      <c r="F17" s="815"/>
      <c r="G17" s="820">
        <v>36.46</v>
      </c>
      <c r="I17" s="808" t="s">
        <v>64</v>
      </c>
      <c r="L17" s="821">
        <f ca="1">H61</f>
        <v>705.2197734143333</v>
      </c>
      <c r="N17" s="808" t="s">
        <v>64</v>
      </c>
      <c r="Q17" s="821">
        <f ca="1">H61</f>
        <v>705.2197734143333</v>
      </c>
    </row>
    <row r="18" spans="2:17">
      <c r="C18" s="808" t="s">
        <v>65</v>
      </c>
      <c r="F18" s="815"/>
      <c r="G18" s="822">
        <v>69.162999999999997</v>
      </c>
      <c r="I18" s="808" t="s">
        <v>66</v>
      </c>
      <c r="L18" s="901">
        <f>G26</f>
        <v>10.3</v>
      </c>
      <c r="N18" s="808" t="s">
        <v>67</v>
      </c>
      <c r="Q18" s="823">
        <f>G27</f>
        <v>0.01</v>
      </c>
    </row>
    <row r="19" spans="2:17">
      <c r="C19" s="808" t="s">
        <v>68</v>
      </c>
      <c r="G19" s="824">
        <v>261.58800000000002</v>
      </c>
      <c r="I19" s="808" t="s">
        <v>69</v>
      </c>
      <c r="L19" s="821">
        <f ca="1">(M38+M54)*L18</f>
        <v>2649.1243988432507</v>
      </c>
      <c r="N19" s="808" t="s">
        <v>69</v>
      </c>
      <c r="Q19" s="821">
        <f ca="1">(M57+M45)*(1+Q18)/(Q16-Q18)</f>
        <v>3061.789343141832</v>
      </c>
    </row>
    <row r="20" spans="2:17">
      <c r="C20" s="808" t="s">
        <v>70</v>
      </c>
      <c r="G20" s="820">
        <v>70.299000000000007</v>
      </c>
      <c r="I20" s="808" t="s">
        <v>71</v>
      </c>
      <c r="L20" s="821">
        <f ca="1">L19/(1+L16)^M31</f>
        <v>1545.2488199116619</v>
      </c>
      <c r="N20" s="808" t="s">
        <v>72</v>
      </c>
      <c r="Q20" s="821">
        <f ca="1">Q19/(1+Q16)^M31</f>
        <v>1785.9585496905786</v>
      </c>
    </row>
    <row r="21" spans="2:17">
      <c r="I21" s="825" t="s">
        <v>73</v>
      </c>
      <c r="J21" s="825"/>
      <c r="K21" s="825"/>
      <c r="L21" s="826">
        <f ca="1">L20+L17</f>
        <v>2250.4685933259952</v>
      </c>
      <c r="N21" s="825" t="s">
        <v>73</v>
      </c>
      <c r="O21" s="825"/>
      <c r="P21" s="825"/>
      <c r="Q21" s="826">
        <f ca="1">Q20+Q17</f>
        <v>2491.1783231049121</v>
      </c>
    </row>
    <row r="22" spans="2:17">
      <c r="L22" s="827"/>
    </row>
    <row r="23" spans="2:17">
      <c r="C23" s="811" t="s">
        <v>74</v>
      </c>
      <c r="D23" s="811"/>
      <c r="E23" s="811"/>
      <c r="F23" s="812"/>
      <c r="G23" s="813"/>
      <c r="I23" s="828" t="s">
        <v>75</v>
      </c>
      <c r="L23" s="829">
        <f>G19</f>
        <v>261.58800000000002</v>
      </c>
      <c r="N23" s="828" t="s">
        <v>75</v>
      </c>
      <c r="Q23" s="829">
        <f>G19</f>
        <v>261.58800000000002</v>
      </c>
    </row>
    <row r="24" spans="2:17">
      <c r="C24" s="808" t="s">
        <v>76</v>
      </c>
      <c r="F24" s="815"/>
      <c r="G24" s="830">
        <v>0.2</v>
      </c>
      <c r="I24" s="828" t="s">
        <v>77</v>
      </c>
      <c r="L24" s="829">
        <f>G20</f>
        <v>70.299000000000007</v>
      </c>
      <c r="N24" s="828" t="s">
        <v>77</v>
      </c>
      <c r="Q24" s="829">
        <f>G20</f>
        <v>70.299000000000007</v>
      </c>
    </row>
    <row r="25" spans="2:17">
      <c r="C25" s="808" t="s">
        <v>78</v>
      </c>
      <c r="F25" s="815"/>
      <c r="G25" s="830">
        <v>9.4E-2</v>
      </c>
      <c r="I25" s="825" t="s">
        <v>79</v>
      </c>
      <c r="J25" s="825"/>
      <c r="K25" s="825"/>
      <c r="L25" s="826">
        <f ca="1">L21+L23+L24</f>
        <v>2582.3555933259954</v>
      </c>
      <c r="M25" s="817"/>
      <c r="N25" s="825" t="s">
        <v>79</v>
      </c>
      <c r="O25" s="825"/>
      <c r="P25" s="825"/>
      <c r="Q25" s="826">
        <f ca="1">Q21+Q23+Q24</f>
        <v>2823.0653231049123</v>
      </c>
    </row>
    <row r="26" spans="2:17">
      <c r="C26" s="808" t="s">
        <v>80</v>
      </c>
      <c r="F26" s="815"/>
      <c r="G26" s="900">
        <v>10.3</v>
      </c>
      <c r="I26" s="828"/>
      <c r="L26" s="831"/>
      <c r="N26" s="828"/>
      <c r="Q26" s="832"/>
    </row>
    <row r="27" spans="2:17">
      <c r="C27" s="808" t="s">
        <v>81</v>
      </c>
      <c r="F27" s="815"/>
      <c r="G27" s="830">
        <v>0.01</v>
      </c>
      <c r="I27" s="828" t="s">
        <v>82</v>
      </c>
      <c r="L27" s="833">
        <f>G18</f>
        <v>69.162999999999997</v>
      </c>
      <c r="N27" s="828" t="s">
        <v>82</v>
      </c>
      <c r="Q27" s="834">
        <f>G18</f>
        <v>69.162999999999997</v>
      </c>
    </row>
    <row r="28" spans="2:17">
      <c r="C28" s="953" t="s">
        <v>19</v>
      </c>
      <c r="I28" s="828" t="s">
        <v>83</v>
      </c>
      <c r="L28" s="821">
        <f ca="1">L25/L27</f>
        <v>37.337240913870069</v>
      </c>
      <c r="N28" s="828" t="s">
        <v>83</v>
      </c>
      <c r="Q28" s="821">
        <f ca="1">Q25/Q27</f>
        <v>40.817566084538157</v>
      </c>
    </row>
    <row r="29" spans="2:17">
      <c r="C29" s="926" t="s">
        <v>84</v>
      </c>
      <c r="I29" s="835" t="s">
        <v>85</v>
      </c>
      <c r="J29" s="835"/>
      <c r="K29" s="835"/>
      <c r="L29" s="836">
        <f ca="1">L28/G17-1</f>
        <v>2.4060365163742992E-2</v>
      </c>
      <c r="M29" s="817"/>
      <c r="N29" s="835" t="s">
        <v>85</v>
      </c>
      <c r="O29" s="835"/>
      <c r="P29" s="835"/>
      <c r="Q29" s="836">
        <f ca="1">Q28/G17-1</f>
        <v>0.11951634899994934</v>
      </c>
    </row>
    <row r="31" spans="2:17">
      <c r="C31" s="879" t="s">
        <v>86</v>
      </c>
      <c r="D31" s="879"/>
      <c r="E31" s="879"/>
      <c r="F31" s="878"/>
      <c r="G31" s="879"/>
      <c r="H31" s="878">
        <v>1</v>
      </c>
      <c r="I31" s="878">
        <f>H31+1</f>
        <v>2</v>
      </c>
      <c r="J31" s="878">
        <f t="shared" ref="J31:M32" si="0">I31+1</f>
        <v>3</v>
      </c>
      <c r="K31" s="878">
        <f t="shared" si="0"/>
        <v>4</v>
      </c>
      <c r="L31" s="878">
        <f t="shared" si="0"/>
        <v>5</v>
      </c>
      <c r="M31" s="878">
        <f t="shared" si="0"/>
        <v>6</v>
      </c>
    </row>
    <row r="32" spans="2:17">
      <c r="B32" s="809">
        <v>1</v>
      </c>
      <c r="C32" s="810" t="s">
        <v>87</v>
      </c>
      <c r="D32" s="810"/>
      <c r="E32" s="810"/>
      <c r="F32" s="810"/>
      <c r="G32" s="810"/>
      <c r="H32" s="881">
        <v>2025</v>
      </c>
      <c r="I32" s="881">
        <f>H32+1</f>
        <v>2026</v>
      </c>
      <c r="J32" s="881">
        <f t="shared" si="0"/>
        <v>2027</v>
      </c>
      <c r="K32" s="881">
        <f t="shared" si="0"/>
        <v>2028</v>
      </c>
      <c r="L32" s="881">
        <f t="shared" si="0"/>
        <v>2029</v>
      </c>
      <c r="M32" s="881">
        <f t="shared" si="0"/>
        <v>2030</v>
      </c>
    </row>
    <row r="33" spans="2:13">
      <c r="B33" s="878"/>
      <c r="C33" s="879"/>
      <c r="D33" s="879"/>
      <c r="E33" s="879"/>
      <c r="F33" s="879"/>
      <c r="G33" s="879"/>
      <c r="H33" s="882"/>
      <c r="I33" s="882"/>
      <c r="J33" s="882"/>
      <c r="K33" s="882"/>
      <c r="L33" s="882"/>
      <c r="M33" s="882"/>
    </row>
    <row r="34" spans="2:13">
      <c r="B34" s="878"/>
      <c r="C34" s="850">
        <v>1</v>
      </c>
      <c r="D34" s="851" t="s">
        <v>88</v>
      </c>
      <c r="E34" s="852"/>
      <c r="F34" s="853"/>
      <c r="G34" s="853"/>
      <c r="H34" s="853"/>
      <c r="I34" s="853"/>
      <c r="J34" s="853"/>
      <c r="K34" s="853"/>
      <c r="L34" s="851"/>
      <c r="M34" s="851"/>
    </row>
    <row r="35" spans="2:13">
      <c r="B35" s="878"/>
      <c r="C35" s="879"/>
      <c r="D35" s="879"/>
      <c r="E35" s="879"/>
      <c r="F35" s="879"/>
      <c r="G35" s="879"/>
      <c r="H35" s="882"/>
      <c r="I35" s="882"/>
      <c r="J35" s="882"/>
      <c r="K35" s="882"/>
      <c r="L35" s="882"/>
      <c r="M35" s="882"/>
    </row>
    <row r="36" spans="2:13">
      <c r="B36" s="878"/>
      <c r="D36" s="808" t="s">
        <v>89</v>
      </c>
      <c r="H36" s="883">
        <f ca="1">'Yelp - Schedule'!I10</f>
        <v>1521.6767379352716</v>
      </c>
      <c r="I36" s="883">
        <f ca="1">'Yelp - Schedule'!J10</f>
        <v>1575.1508991092519</v>
      </c>
      <c r="J36" s="883">
        <f ca="1">'Yelp - Schedule'!K10</f>
        <v>1694.2308943360515</v>
      </c>
      <c r="K36" s="883">
        <f ca="1">'Yelp - Schedule'!L10</f>
        <v>1822.5604607065725</v>
      </c>
      <c r="L36" s="883">
        <f ca="1">'Yelp - Schedule'!M10</f>
        <v>1954.079907619021</v>
      </c>
      <c r="M36" s="883">
        <f ca="1">'Yelp - Schedule'!N10</f>
        <v>2119.2035957492108</v>
      </c>
    </row>
    <row r="37" spans="2:13">
      <c r="B37" s="878"/>
      <c r="D37" s="884" t="s">
        <v>90</v>
      </c>
      <c r="H37" s="875">
        <f ca="1">'Yelp - Schedule'!I11</f>
        <v>8.6494376722719313E-2</v>
      </c>
      <c r="I37" s="875">
        <f ca="1">'Yelp - Schedule'!J11</f>
        <v>3.5141603890546547E-2</v>
      </c>
      <c r="J37" s="875">
        <f ca="1">'Yelp - Schedule'!K11</f>
        <v>7.5599103104432297E-2</v>
      </c>
      <c r="K37" s="875">
        <f ca="1">'Yelp - Schedule'!L11</f>
        <v>7.5745027905899376E-2</v>
      </c>
      <c r="L37" s="875">
        <f ca="1">'Yelp - Schedule'!M11</f>
        <v>7.2161911633626077E-2</v>
      </c>
      <c r="M37" s="875">
        <f ca="1">'Yelp - Schedule'!N11</f>
        <v>8.4502014214652574E-2</v>
      </c>
    </row>
    <row r="38" spans="2:13">
      <c r="B38" s="878"/>
      <c r="D38" s="808" t="s">
        <v>13</v>
      </c>
      <c r="H38" s="883">
        <f ca="1">'Yelp - Schedule'!I17</f>
        <v>155.11622297203351</v>
      </c>
      <c r="I38" s="883">
        <f ca="1">'Yelp - Schedule'!J17</f>
        <v>165.51410233471486</v>
      </c>
      <c r="J38" s="883">
        <f ca="1">'Yelp - Schedule'!K17</f>
        <v>197.28051578431976</v>
      </c>
      <c r="K38" s="883">
        <f ca="1">'Yelp - Schedule'!L17</f>
        <v>142.65840963743543</v>
      </c>
      <c r="L38" s="883">
        <f ca="1">'Yelp - Schedule'!M17</f>
        <v>195.27406768086766</v>
      </c>
      <c r="M38" s="883">
        <f ca="1">'Yelp - Schedule'!N17</f>
        <v>208.13942349033655</v>
      </c>
    </row>
    <row r="39" spans="2:13">
      <c r="B39" s="878"/>
      <c r="D39" s="884" t="s">
        <v>37</v>
      </c>
      <c r="H39" s="875">
        <f ca="1">'Yelp - Schedule'!I18</f>
        <v>0.10193769747870837</v>
      </c>
      <c r="I39" s="875">
        <f ca="1">'Yelp - Schedule'!J18</f>
        <v>0.10507825150486415</v>
      </c>
      <c r="J39" s="875">
        <f ca="1">'Yelp - Schedule'!K18</f>
        <v>0.11644252058196093</v>
      </c>
      <c r="K39" s="875">
        <f ca="1">'Yelp - Schedule'!L18</f>
        <v>7.8273622583762983E-2</v>
      </c>
      <c r="L39" s="875">
        <f ca="1">'Yelp - Schedule'!M18</f>
        <v>9.9931464890196012E-2</v>
      </c>
      <c r="M39" s="875">
        <f ca="1">'Yelp - Schedule'!N18</f>
        <v>9.8215869351973309E-2</v>
      </c>
    </row>
    <row r="40" spans="2:13">
      <c r="B40" s="878"/>
      <c r="D40" s="807" t="s">
        <v>91</v>
      </c>
      <c r="E40" s="807"/>
      <c r="F40" s="807"/>
      <c r="G40" s="807"/>
      <c r="H40" s="885">
        <f t="shared" ref="H40:M40" ca="1" si="1">H38*$G$24*-1</f>
        <v>-31.023244594406705</v>
      </c>
      <c r="I40" s="885">
        <f t="shared" ca="1" si="1"/>
        <v>-33.102820466942973</v>
      </c>
      <c r="J40" s="885">
        <f t="shared" ca="1" si="1"/>
        <v>-39.456103156863954</v>
      </c>
      <c r="K40" s="885">
        <f t="shared" ca="1" si="1"/>
        <v>-28.531681927487085</v>
      </c>
      <c r="L40" s="885">
        <f t="shared" ca="1" si="1"/>
        <v>-39.054813536173533</v>
      </c>
      <c r="M40" s="885">
        <f t="shared" ca="1" si="1"/>
        <v>-41.627884698067312</v>
      </c>
    </row>
    <row r="41" spans="2:13">
      <c r="B41" s="878"/>
      <c r="D41" s="816" t="s">
        <v>92</v>
      </c>
      <c r="H41" s="886">
        <f t="shared" ref="H41:M41" ca="1" si="2">H38-H40</f>
        <v>186.1394675664402</v>
      </c>
      <c r="I41" s="886">
        <f t="shared" ca="1" si="2"/>
        <v>198.61692280165784</v>
      </c>
      <c r="J41" s="886">
        <f t="shared" ca="1" si="2"/>
        <v>236.73661894118371</v>
      </c>
      <c r="K41" s="886">
        <f t="shared" ca="1" si="2"/>
        <v>171.19009156492251</v>
      </c>
      <c r="L41" s="886">
        <f t="shared" ca="1" si="2"/>
        <v>234.32888121704119</v>
      </c>
      <c r="M41" s="886">
        <f t="shared" ca="1" si="2"/>
        <v>249.76730818840386</v>
      </c>
    </row>
    <row r="42" spans="2:13">
      <c r="B42" s="878"/>
      <c r="H42" s="883"/>
      <c r="I42" s="883"/>
      <c r="J42" s="883"/>
      <c r="K42" s="883"/>
      <c r="L42" s="883"/>
      <c r="M42" s="883"/>
    </row>
    <row r="43" spans="2:13">
      <c r="B43" s="878"/>
      <c r="C43" s="850">
        <v>2</v>
      </c>
      <c r="D43" s="851" t="s">
        <v>93</v>
      </c>
      <c r="E43" s="852"/>
      <c r="F43" s="853"/>
      <c r="G43" s="853"/>
      <c r="H43" s="853"/>
      <c r="I43" s="853"/>
      <c r="J43" s="853"/>
      <c r="K43" s="853"/>
      <c r="L43" s="851"/>
      <c r="M43" s="851"/>
    </row>
    <row r="44" spans="2:13">
      <c r="B44" s="878"/>
      <c r="H44" s="883"/>
      <c r="I44" s="883"/>
      <c r="J44" s="883"/>
      <c r="K44" s="883"/>
      <c r="L44" s="883"/>
      <c r="M44" s="883"/>
    </row>
    <row r="45" spans="2:13">
      <c r="B45" s="878"/>
      <c r="D45" s="899" t="s">
        <v>94</v>
      </c>
      <c r="H45" s="898">
        <f ca="1">IF($L$10="On", 'Yelp - Schedule'!I27, 0)</f>
        <v>4.6534866891610056</v>
      </c>
      <c r="I45" s="898">
        <f ca="1">IF($L$10="On", 'Yelp - Schedule'!J27, 0)</f>
        <v>6.2630955835604754</v>
      </c>
      <c r="J45" s="898">
        <f ca="1">IF($L$10="On", 'Yelp - Schedule'!K27, 0)</f>
        <v>9.0118739664917875</v>
      </c>
      <c r="K45" s="898">
        <f ca="1">IF($L$10="On", 'Yelp - Schedule'!L27, 0)</f>
        <v>7.6351865584241807</v>
      </c>
      <c r="L45" s="898">
        <f ca="1">IF($L$10="On", 'Yelp - Schedule'!M27, 0)</f>
        <v>11.982214769608309</v>
      </c>
      <c r="M45" s="898">
        <f ca="1">IF($L$10="On", 'Yelp - Schedule'!N27, 0)</f>
        <v>14.403511880688619</v>
      </c>
    </row>
    <row r="46" spans="2:13">
      <c r="D46" s="884" t="s">
        <v>95</v>
      </c>
      <c r="H46" s="869">
        <f ca="1">'Yelp - Schedule'!I28</f>
        <v>0.03</v>
      </c>
      <c r="I46" s="869">
        <f ca="1">'Yelp - Schedule'!J28</f>
        <v>3.784025346006336E-2</v>
      </c>
      <c r="J46" s="869">
        <f ca="1">'Yelp - Schedule'!K28</f>
        <v>4.5680506920126721E-2</v>
      </c>
      <c r="K46" s="869">
        <f ca="1">'Yelp - Schedule'!L28</f>
        <v>5.3520760380190081E-2</v>
      </c>
      <c r="L46" s="869">
        <f ca="1">'Yelp - Schedule'!M28</f>
        <v>6.1361013840253442E-2</v>
      </c>
      <c r="M46" s="869">
        <f ca="1">'Yelp - Schedule'!N28</f>
        <v>6.920126730031681E-2</v>
      </c>
    </row>
    <row r="47" spans="2:13">
      <c r="D47" s="807" t="s">
        <v>91</v>
      </c>
      <c r="E47" s="807"/>
      <c r="F47" s="807"/>
      <c r="G47" s="807"/>
      <c r="H47" s="885">
        <f t="shared" ref="H47:M47" ca="1" si="3">H45*$G$24*-1</f>
        <v>-0.93069733783220121</v>
      </c>
      <c r="I47" s="885">
        <f t="shared" ca="1" si="3"/>
        <v>-1.2526191167120952</v>
      </c>
      <c r="J47" s="885">
        <f t="shared" ca="1" si="3"/>
        <v>-1.8023747932983576</v>
      </c>
      <c r="K47" s="885">
        <f t="shared" ca="1" si="3"/>
        <v>-1.5270373116848361</v>
      </c>
      <c r="L47" s="885">
        <f t="shared" ca="1" si="3"/>
        <v>-2.3964429539216616</v>
      </c>
      <c r="M47" s="885">
        <f t="shared" ca="1" si="3"/>
        <v>-2.880702376137724</v>
      </c>
    </row>
    <row r="48" spans="2:13">
      <c r="D48" s="816" t="s">
        <v>92</v>
      </c>
      <c r="H48" s="886">
        <f t="shared" ref="H48:M48" ca="1" si="4">H45-H47</f>
        <v>5.5841840269932064</v>
      </c>
      <c r="I48" s="886">
        <f t="shared" ca="1" si="4"/>
        <v>7.5157147002725706</v>
      </c>
      <c r="J48" s="886">
        <f t="shared" ca="1" si="4"/>
        <v>10.814248759790145</v>
      </c>
      <c r="K48" s="886">
        <f t="shared" ca="1" si="4"/>
        <v>9.1622238701090168</v>
      </c>
      <c r="L48" s="886">
        <f t="shared" ca="1" si="4"/>
        <v>14.378657723529971</v>
      </c>
      <c r="M48" s="886">
        <f t="shared" ca="1" si="4"/>
        <v>17.284214256826342</v>
      </c>
    </row>
    <row r="49" spans="2:17">
      <c r="D49" s="884"/>
      <c r="H49" s="869"/>
      <c r="I49" s="869"/>
      <c r="J49" s="869"/>
      <c r="K49" s="869"/>
      <c r="L49" s="869"/>
      <c r="M49" s="869"/>
    </row>
    <row r="50" spans="2:17">
      <c r="B50" s="878"/>
      <c r="C50" s="850">
        <v>3</v>
      </c>
      <c r="D50" s="851" t="s">
        <v>39</v>
      </c>
      <c r="E50" s="852"/>
      <c r="F50" s="853"/>
      <c r="G50" s="853"/>
      <c r="H50" s="853"/>
      <c r="I50" s="853"/>
      <c r="J50" s="853"/>
      <c r="K50" s="853"/>
      <c r="L50" s="851"/>
      <c r="M50" s="851"/>
    </row>
    <row r="51" spans="2:17">
      <c r="B51" s="878"/>
      <c r="C51" s="878"/>
      <c r="D51" s="879"/>
      <c r="E51" s="815"/>
      <c r="L51" s="879"/>
      <c r="M51" s="879"/>
    </row>
    <row r="52" spans="2:17">
      <c r="D52" s="816" t="s">
        <v>96</v>
      </c>
      <c r="H52" s="886">
        <f t="shared" ref="H52:M52" ca="1" si="5">H41+H48</f>
        <v>191.7236515934334</v>
      </c>
      <c r="I52" s="886">
        <f t="shared" ca="1" si="5"/>
        <v>206.13263750193042</v>
      </c>
      <c r="J52" s="886">
        <f t="shared" ca="1" si="5"/>
        <v>247.55086770097384</v>
      </c>
      <c r="K52" s="886">
        <f t="shared" ca="1" si="5"/>
        <v>180.35231543503153</v>
      </c>
      <c r="L52" s="886">
        <f t="shared" ca="1" si="5"/>
        <v>248.70753894057117</v>
      </c>
      <c r="M52" s="886">
        <f t="shared" ca="1" si="5"/>
        <v>267.0515224452302</v>
      </c>
    </row>
    <row r="53" spans="2:17">
      <c r="D53" s="816"/>
      <c r="H53" s="886"/>
      <c r="I53" s="886"/>
      <c r="J53" s="886"/>
      <c r="K53" s="886"/>
      <c r="L53" s="886"/>
      <c r="M53" s="886"/>
    </row>
    <row r="54" spans="2:17">
      <c r="B54" s="878"/>
      <c r="D54" s="808" t="s">
        <v>97</v>
      </c>
      <c r="H54" s="883">
        <f>'Summary Page'!BS66</f>
        <v>38.767538436104594</v>
      </c>
      <c r="I54" s="883">
        <f>'Summary Page'!BT66</f>
        <v>39.255514549488026</v>
      </c>
      <c r="J54" s="883">
        <f>'Summary Page'!BU66</f>
        <v>39.911809422727721</v>
      </c>
      <c r="K54" s="883">
        <f>'Summary Page'!BV66</f>
        <v>40.197349037150012</v>
      </c>
      <c r="L54" s="883">
        <v>45.988568001924378</v>
      </c>
      <c r="M54" s="883">
        <v>49.057120086678076</v>
      </c>
    </row>
    <row r="55" spans="2:17">
      <c r="B55" s="878"/>
      <c r="D55" s="808" t="s">
        <v>98</v>
      </c>
      <c r="H55" s="883">
        <v>-40</v>
      </c>
      <c r="I55" s="883">
        <v>-40</v>
      </c>
      <c r="J55" s="883">
        <v>-40</v>
      </c>
      <c r="K55" s="883">
        <v>-40</v>
      </c>
      <c r="L55" s="883">
        <v>-40</v>
      </c>
      <c r="M55" s="883">
        <v>-40</v>
      </c>
    </row>
    <row r="56" spans="2:17">
      <c r="B56" s="878"/>
      <c r="D56" s="807" t="s">
        <v>99</v>
      </c>
      <c r="E56" s="807"/>
      <c r="F56" s="807"/>
      <c r="G56" s="807"/>
      <c r="H56" s="888">
        <f>-SUM(Model!BS522:BS526)</f>
        <v>-195.92941736782416</v>
      </c>
      <c r="I56" s="888">
        <f>-SUM(Model!BT522:BT526)</f>
        <v>-12.300361667062948</v>
      </c>
      <c r="J56" s="888">
        <f>-SUM(Model!BU522:BU526)</f>
        <v>-27.39130406994542</v>
      </c>
      <c r="K56" s="888">
        <f>-SUM(Model!BV522:BV526)</f>
        <v>-35.868288250305923</v>
      </c>
      <c r="L56" s="888">
        <f>K56</f>
        <v>-35.868288250305923</v>
      </c>
      <c r="M56" s="888">
        <f>L56</f>
        <v>-35.868288250305923</v>
      </c>
    </row>
    <row r="57" spans="2:17">
      <c r="B57" s="878"/>
      <c r="D57" s="887" t="s">
        <v>100</v>
      </c>
      <c r="H57" s="883">
        <f ca="1">SUM(H52:H56)</f>
        <v>-5.4382273382861683</v>
      </c>
      <c r="I57" s="883">
        <f t="shared" ref="I57:M57" ca="1" si="6">SUM(I52:I56)</f>
        <v>193.08779038435549</v>
      </c>
      <c r="J57" s="883">
        <f t="shared" ca="1" si="6"/>
        <v>220.07137305375613</v>
      </c>
      <c r="K57" s="883">
        <f t="shared" ca="1" si="6"/>
        <v>144.68137622187561</v>
      </c>
      <c r="L57" s="883">
        <f t="shared" ca="1" si="6"/>
        <v>218.82781869218962</v>
      </c>
      <c r="M57" s="883">
        <f t="shared" ca="1" si="6"/>
        <v>240.24035428160238</v>
      </c>
    </row>
    <row r="58" spans="2:17">
      <c r="B58" s="878"/>
      <c r="H58" s="883"/>
      <c r="I58" s="883"/>
      <c r="J58" s="883"/>
      <c r="K58" s="883"/>
      <c r="L58" s="883"/>
      <c r="M58" s="883"/>
    </row>
    <row r="59" spans="2:17">
      <c r="B59" s="878"/>
      <c r="D59" s="807" t="s">
        <v>101</v>
      </c>
      <c r="E59" s="807"/>
      <c r="F59" s="807"/>
      <c r="G59" s="807"/>
      <c r="H59" s="893">
        <f t="shared" ref="H59:M59" si="7">1/(1+$G$25)^H31</f>
        <v>0.91407678244972568</v>
      </c>
      <c r="I59" s="893">
        <f t="shared" si="7"/>
        <v>0.83553636421364319</v>
      </c>
      <c r="J59" s="893">
        <f t="shared" si="7"/>
        <v>0.76374439142014916</v>
      </c>
      <c r="K59" s="893">
        <f t="shared" si="7"/>
        <v>0.69812101592335374</v>
      </c>
      <c r="L59" s="893">
        <f t="shared" si="7"/>
        <v>0.63813621199575299</v>
      </c>
      <c r="M59" s="893">
        <f t="shared" si="7"/>
        <v>0.58330549542573396</v>
      </c>
    </row>
    <row r="60" spans="2:17">
      <c r="B60" s="878"/>
      <c r="D60" s="889" t="s">
        <v>102</v>
      </c>
      <c r="E60" s="807"/>
      <c r="F60" s="807"/>
      <c r="G60" s="807"/>
      <c r="H60" s="886">
        <f t="shared" ref="H60:M60" ca="1" si="8">H57*H59</f>
        <v>-4.9709573476107565</v>
      </c>
      <c r="I60" s="886">
        <f t="shared" ca="1" si="8"/>
        <v>161.33187035179043</v>
      </c>
      <c r="J60" s="886">
        <f t="shared" ca="1" si="8"/>
        <v>168.0782768819376</v>
      </c>
      <c r="K60" s="886">
        <f t="shared" ca="1" si="8"/>
        <v>101.00510935320476</v>
      </c>
      <c r="L60" s="886">
        <f t="shared" ca="1" si="8"/>
        <v>139.64195529952732</v>
      </c>
      <c r="M60" s="886">
        <f t="shared" ca="1" si="8"/>
        <v>140.13351887548393</v>
      </c>
    </row>
    <row r="61" spans="2:17" ht="13.5" thickBot="1">
      <c r="B61" s="878"/>
      <c r="D61" s="890" t="s">
        <v>103</v>
      </c>
      <c r="E61" s="891"/>
      <c r="F61" s="891"/>
      <c r="G61" s="891"/>
      <c r="H61" s="895">
        <f ca="1">SUM(H60:M60)</f>
        <v>705.2197734143333</v>
      </c>
      <c r="I61" s="892"/>
      <c r="J61" s="892"/>
      <c r="K61" s="892"/>
      <c r="L61" s="892"/>
      <c r="M61" s="892"/>
    </row>
    <row r="62" spans="2:17" ht="13.5" thickTop="1">
      <c r="B62" s="878"/>
      <c r="H62" s="883"/>
      <c r="I62" s="883"/>
      <c r="J62" s="883"/>
      <c r="K62" s="883"/>
      <c r="L62" s="883"/>
      <c r="M62" s="883"/>
    </row>
    <row r="63" spans="2:17">
      <c r="B63" s="809">
        <v>2</v>
      </c>
      <c r="C63" s="810" t="s">
        <v>104</v>
      </c>
      <c r="D63" s="810"/>
      <c r="E63" s="810"/>
      <c r="F63" s="810"/>
      <c r="G63" s="810"/>
      <c r="H63" s="810"/>
      <c r="I63" s="810"/>
      <c r="J63" s="810"/>
      <c r="K63" s="810"/>
      <c r="L63" s="810"/>
      <c r="M63" s="810"/>
      <c r="N63" s="810"/>
      <c r="O63" s="810"/>
      <c r="P63" s="810"/>
      <c r="Q63" s="810"/>
    </row>
    <row r="64" spans="2:17" ht="3" customHeight="1">
      <c r="B64" s="878"/>
      <c r="C64" s="879"/>
      <c r="D64" s="879"/>
      <c r="E64" s="879"/>
      <c r="F64" s="879"/>
      <c r="G64" s="879"/>
      <c r="H64" s="879"/>
      <c r="I64" s="879"/>
      <c r="J64" s="879"/>
      <c r="K64" s="879"/>
      <c r="L64" s="879"/>
      <c r="M64" s="879"/>
      <c r="N64" s="879"/>
      <c r="O64" s="879"/>
      <c r="P64" s="879"/>
      <c r="Q64" s="879"/>
    </row>
    <row r="65" spans="2:17">
      <c r="B65" s="878"/>
      <c r="C65" s="879"/>
      <c r="D65" s="879"/>
      <c r="E65" s="956" t="s">
        <v>54</v>
      </c>
      <c r="F65" s="956"/>
      <c r="G65" s="956"/>
      <c r="H65" s="956"/>
      <c r="I65" s="956"/>
      <c r="J65" s="879"/>
      <c r="K65" s="879"/>
      <c r="L65" s="879"/>
      <c r="M65" s="956" t="s">
        <v>54</v>
      </c>
      <c r="N65" s="956"/>
      <c r="O65" s="956"/>
      <c r="P65" s="956"/>
      <c r="Q65" s="956"/>
    </row>
    <row r="66" spans="2:17" ht="3" customHeight="1"/>
    <row r="67" spans="2:17">
      <c r="E67" s="954" t="s">
        <v>105</v>
      </c>
      <c r="F67" s="954"/>
      <c r="G67" s="954"/>
      <c r="H67" s="954"/>
      <c r="I67" s="954"/>
      <c r="M67" s="954" t="s">
        <v>81</v>
      </c>
      <c r="N67" s="954"/>
      <c r="O67" s="954"/>
      <c r="P67" s="954"/>
      <c r="Q67" s="954"/>
    </row>
    <row r="68" spans="2:17">
      <c r="C68" s="838"/>
      <c r="D68" s="839">
        <f ca="1">L29</f>
        <v>2.4060365163742992E-2</v>
      </c>
      <c r="E68" s="902">
        <f>F68-0.5</f>
        <v>9.3000000000000007</v>
      </c>
      <c r="F68" s="902">
        <f>G68-0.5</f>
        <v>9.8000000000000007</v>
      </c>
      <c r="G68" s="841">
        <v>10.3</v>
      </c>
      <c r="H68" s="902">
        <f>G68+0.5</f>
        <v>10.8</v>
      </c>
      <c r="I68" s="902">
        <f>H68+0.5</f>
        <v>11.3</v>
      </c>
      <c r="K68" s="838"/>
      <c r="L68" s="839">
        <f ca="1">Q12</f>
        <v>0.10609612471503826</v>
      </c>
      <c r="M68" s="916">
        <f>N68-0.005</f>
        <v>0</v>
      </c>
      <c r="N68" s="916">
        <f>O68-0.005</f>
        <v>5.0000000000000001E-3</v>
      </c>
      <c r="O68" s="915">
        <v>0.01</v>
      </c>
      <c r="P68" s="916">
        <f>O68+0.005</f>
        <v>1.4999999999999999E-2</v>
      </c>
      <c r="Q68" s="916">
        <f>P68+0.005</f>
        <v>0.02</v>
      </c>
    </row>
    <row r="69" spans="2:17" ht="12.75" customHeight="1">
      <c r="C69" s="955" t="s">
        <v>106</v>
      </c>
      <c r="D69" s="840" t="s">
        <v>10</v>
      </c>
      <c r="E69" s="903">
        <f t="dataTable" ref="E69:I71" dt2D="1" dtr="1" r1="G26" r2="G10" ca="1"/>
        <v>-0.27010716935434864</v>
      </c>
      <c r="F69" s="904">
        <v>-0.24731198426976564</v>
      </c>
      <c r="G69" s="905">
        <v>-0.22451679918518264</v>
      </c>
      <c r="H69" s="904">
        <v>-0.20172161410059974</v>
      </c>
      <c r="I69" s="906">
        <v>-0.17892642901601663</v>
      </c>
      <c r="K69" s="955" t="s">
        <v>106</v>
      </c>
      <c r="L69" s="840" t="s">
        <v>10</v>
      </c>
      <c r="M69" s="903">
        <f t="dataTable" ref="M69:Q71" dt2D="1" dtr="1" r1="G27" r2="G10" ca="1"/>
        <v>-0.31786790431761847</v>
      </c>
      <c r="N69" s="904">
        <v>-0.29391975681801152</v>
      </c>
      <c r="O69" s="905">
        <v>-0.26712063937797514</v>
      </c>
      <c r="P69" s="904">
        <v>-0.23692922859109877</v>
      </c>
      <c r="Q69" s="906">
        <v>-0.20265789742761731</v>
      </c>
    </row>
    <row r="70" spans="2:17">
      <c r="C70" s="955"/>
      <c r="D70" s="841" t="s">
        <v>11</v>
      </c>
      <c r="E70" s="911">
        <v>-3.5433297783919682E-2</v>
      </c>
      <c r="F70" s="907">
        <v>-5.6864663100882895E-3</v>
      </c>
      <c r="G70" s="912">
        <v>2.4060365163742992E-2</v>
      </c>
      <c r="H70" s="907">
        <v>5.380719663757394E-2</v>
      </c>
      <c r="I70" s="913">
        <v>8.355402811140511E-2</v>
      </c>
      <c r="K70" s="955"/>
      <c r="L70" s="841" t="s">
        <v>11</v>
      </c>
      <c r="M70" s="911">
        <v>2.4485071508417278E-2</v>
      </c>
      <c r="N70" s="907">
        <v>6.2998152796935214E-2</v>
      </c>
      <c r="O70" s="912">
        <v>0.10609612471503826</v>
      </c>
      <c r="P70" s="907">
        <v>0.15464953611644572</v>
      </c>
      <c r="Q70" s="913">
        <v>0.20976421932885403</v>
      </c>
    </row>
    <row r="71" spans="2:17">
      <c r="C71" s="955"/>
      <c r="D71" s="840" t="s">
        <v>12</v>
      </c>
      <c r="E71" s="908">
        <v>9.9325604586199878E-2</v>
      </c>
      <c r="F71" s="909">
        <v>0.1330440443821852</v>
      </c>
      <c r="G71" s="914">
        <v>0.16676248417817097</v>
      </c>
      <c r="H71" s="909">
        <v>0.20048092397415651</v>
      </c>
      <c r="I71" s="910">
        <v>0.2341993637701425</v>
      </c>
      <c r="K71" s="955"/>
      <c r="L71" s="840" t="s">
        <v>12</v>
      </c>
      <c r="M71" s="908">
        <v>0.2258942034626803</v>
      </c>
      <c r="N71" s="909">
        <v>0.27304387047859024</v>
      </c>
      <c r="O71" s="914">
        <v>0.32580659309163207</v>
      </c>
      <c r="P71" s="909">
        <v>0.38524814135189489</v>
      </c>
      <c r="Q71" s="910">
        <v>0.4527223312689499</v>
      </c>
    </row>
  </sheetData>
  <mergeCells count="6">
    <mergeCell ref="E67:I67"/>
    <mergeCell ref="M67:Q67"/>
    <mergeCell ref="C69:C71"/>
    <mergeCell ref="K69:K71"/>
    <mergeCell ref="M65:Q65"/>
    <mergeCell ref="E65:I65"/>
  </mergeCells>
  <dataValidations disablePrompts="1" count="2">
    <dataValidation type="list" allowBlank="1" showInputMessage="1" showErrorMessage="1" sqref="G10" xr:uid="{66C6FCA7-8E82-40B3-88E0-174D2F81D1A2}">
      <formula1>"Bear, Base, Bull"</formula1>
    </dataValidation>
    <dataValidation type="list" allowBlank="1" showInputMessage="1" showErrorMessage="1" sqref="L10" xr:uid="{C7003ED4-858F-4C2D-B57F-6077F6D1DD84}">
      <formula1>"On, Off"</formula1>
    </dataValidation>
  </dataValidations>
  <pageMargins left="0.7" right="0.7" top="0.75" bottom="0.75" header="0.3" footer="0.3"/>
  <pageSetup orientation="landscape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66841-CE67-4C6B-847E-D47C845F9BA1}">
  <sheetPr>
    <tabColor theme="3"/>
  </sheetPr>
  <dimension ref="A1"/>
  <sheetViews>
    <sheetView showGridLines="0" workbookViewId="0">
      <selection activeCell="K52" sqref="K52"/>
    </sheetView>
  </sheetViews>
  <sheetFormatPr defaultRowHeight="15"/>
  <cols>
    <col min="1" max="16384" width="9.140625" style="842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D846-698C-4A06-8DA2-B349D2239C95}">
  <sheetPr codeName="Sheet2">
    <pageSetUpPr fitToPage="1"/>
  </sheetPr>
  <dimension ref="A1:BW790"/>
  <sheetViews>
    <sheetView zoomScaleNormal="100" workbookViewId="0">
      <pane xSplit="2" ySplit="5" topLeftCell="C517" activePane="bottomRight" state="frozen"/>
      <selection pane="bottomRight" activeCell="A550" sqref="A550"/>
      <selection pane="bottomLeft" activeCell="A6" sqref="A6"/>
      <selection pane="topRight" activeCell="C1" sqref="C1"/>
    </sheetView>
  </sheetViews>
  <sheetFormatPr defaultColWidth="9.28515625" defaultRowHeight="15" outlineLevelRow="2" outlineLevelCol="1"/>
  <cols>
    <col min="1" max="1" width="50.7109375" style="438" customWidth="1"/>
    <col min="2" max="2" width="10.7109375" style="438" customWidth="1"/>
    <col min="3" max="5" width="9.7109375" style="438" hidden="1" customWidth="1" outlineLevel="1"/>
    <col min="6" max="6" width="9.7109375" style="438" customWidth="1" collapsed="1"/>
    <col min="7" max="10" width="9.7109375" style="438" hidden="1" customWidth="1" outlineLevel="1"/>
    <col min="11" max="11" width="9.7109375" style="438" customWidth="1" collapsed="1"/>
    <col min="12" max="15" width="9.7109375" style="438" hidden="1" customWidth="1" outlineLevel="1"/>
    <col min="16" max="16" width="9.7109375" style="438" customWidth="1" collapsed="1"/>
    <col min="17" max="20" width="9.7109375" style="438" hidden="1" customWidth="1" outlineLevel="1"/>
    <col min="21" max="21" width="9.7109375" style="438" customWidth="1" collapsed="1"/>
    <col min="22" max="25" width="9.7109375" style="438" hidden="1" customWidth="1" outlineLevel="1"/>
    <col min="26" max="26" width="9.7109375" style="438" customWidth="1" collapsed="1"/>
    <col min="27" max="27" width="9.7109375" style="438" hidden="1" customWidth="1" outlineLevel="1"/>
    <col min="28" max="30" width="9.7109375" hidden="1" customWidth="1" outlineLevel="1"/>
    <col min="31" max="31" width="9.7109375" customWidth="1" collapsed="1"/>
    <col min="32" max="35" width="9.7109375" hidden="1" customWidth="1" outlineLevel="1"/>
    <col min="36" max="36" width="9.7109375" customWidth="1" collapsed="1"/>
    <col min="37" max="40" width="9.7109375" hidden="1" customWidth="1" outlineLevel="1"/>
    <col min="41" max="41" width="9.7109375" customWidth="1" collapsed="1"/>
    <col min="42" max="45" width="9.7109375" hidden="1" customWidth="1" outlineLevel="1"/>
    <col min="46" max="46" width="9.7109375" customWidth="1" collapsed="1"/>
    <col min="47" max="50" width="9.7109375" hidden="1" customWidth="1" outlineLevel="1"/>
    <col min="51" max="51" width="9.7109375" customWidth="1" collapsed="1"/>
    <col min="52" max="55" width="9.7109375" hidden="1" customWidth="1" outlineLevel="1"/>
    <col min="56" max="56" width="9.7109375" customWidth="1" collapsed="1"/>
    <col min="57" max="60" width="9.7109375" customWidth="1" outlineLevel="1"/>
    <col min="61" max="61" width="9.7109375" customWidth="1"/>
    <col min="62" max="65" width="9.7109375" customWidth="1" outlineLevel="1"/>
    <col min="66" max="66" width="9.7109375" customWidth="1"/>
    <col min="67" max="70" width="9.7109375" customWidth="1" outlineLevel="1"/>
    <col min="71" max="75" width="9.7109375" customWidth="1"/>
  </cols>
  <sheetData>
    <row r="1" spans="1:75" s="439" customFormat="1" ht="33.75">
      <c r="A1" s="133" t="s">
        <v>1</v>
      </c>
      <c r="B1" s="518"/>
      <c r="C1" s="518"/>
      <c r="D1" s="518"/>
      <c r="E1" s="518"/>
      <c r="F1" s="518"/>
      <c r="G1" s="518"/>
      <c r="H1" s="518"/>
      <c r="I1" s="518"/>
      <c r="J1" s="518"/>
      <c r="K1" s="518"/>
      <c r="L1" s="518"/>
      <c r="M1" s="518"/>
      <c r="N1" s="518"/>
      <c r="O1" s="518"/>
      <c r="P1" s="518"/>
      <c r="Q1" s="518"/>
      <c r="R1" s="518"/>
      <c r="S1" s="518"/>
      <c r="T1" s="518"/>
      <c r="U1" s="518"/>
      <c r="V1" s="518"/>
      <c r="W1" s="518"/>
      <c r="X1" s="518"/>
      <c r="Y1" s="518"/>
      <c r="Z1" s="518"/>
      <c r="AA1" s="518"/>
      <c r="AB1" s="518"/>
      <c r="AC1" s="518"/>
      <c r="AD1" s="518"/>
      <c r="AE1" s="518"/>
      <c r="AF1" s="518"/>
      <c r="AG1" s="518"/>
      <c r="AH1" s="518"/>
      <c r="AI1" s="518"/>
      <c r="AJ1" s="518"/>
      <c r="AK1" s="518"/>
      <c r="AL1" s="518"/>
      <c r="AM1" s="518"/>
      <c r="AN1" s="518"/>
      <c r="AO1" s="518"/>
      <c r="AP1" s="518"/>
      <c r="AQ1" s="518"/>
      <c r="AR1" s="518"/>
      <c r="AS1" s="518"/>
      <c r="AT1" s="518"/>
      <c r="AU1" s="518"/>
      <c r="AV1" s="518"/>
      <c r="AW1" s="518"/>
      <c r="AX1" s="518"/>
      <c r="AY1" s="518"/>
      <c r="AZ1" s="518"/>
      <c r="BA1" s="518"/>
      <c r="BB1" s="518"/>
      <c r="BC1" s="518"/>
      <c r="BD1" s="518"/>
      <c r="BE1" s="518"/>
      <c r="BF1" s="518"/>
      <c r="BG1" s="518"/>
      <c r="BH1" s="518"/>
      <c r="BI1" s="518"/>
      <c r="BJ1" s="518"/>
      <c r="BK1" s="518"/>
      <c r="BL1" s="520"/>
      <c r="BM1" s="518"/>
      <c r="BN1" s="518"/>
      <c r="BO1" s="518"/>
      <c r="BP1" s="518"/>
      <c r="BQ1" s="518"/>
      <c r="BR1" s="518"/>
      <c r="BS1" s="518"/>
      <c r="BT1" s="518"/>
      <c r="BU1" s="518"/>
      <c r="BV1" s="518"/>
      <c r="BW1" s="519"/>
    </row>
    <row r="2" spans="1:75" s="440" customFormat="1">
      <c r="A2" s="235" t="e">
        <f>CHOOSE(MO.DataSourceIndex,MO.Ticker.Bloomberg,MO.Ticker.CapIQ,MO.Ticker.FactSet,MO.Ticker.Thomson)</f>
        <v>#REF!</v>
      </c>
      <c r="B2" s="242"/>
      <c r="C2" s="535">
        <f>EOMONTH(C4,-12)</f>
        <v>39813</v>
      </c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5"/>
      <c r="AB2" s="85"/>
      <c r="AC2" s="85"/>
      <c r="AD2" s="85"/>
      <c r="AE2" s="85"/>
      <c r="AF2" s="87"/>
      <c r="AG2" s="87"/>
      <c r="AH2" s="85"/>
      <c r="AI2" s="85"/>
      <c r="AJ2" s="85"/>
      <c r="AK2" s="87"/>
      <c r="AL2" s="87"/>
      <c r="AM2" s="85"/>
      <c r="AN2" s="85"/>
      <c r="AO2" s="85"/>
      <c r="AP2" s="87"/>
      <c r="AQ2" s="87"/>
      <c r="AR2" s="85"/>
      <c r="AS2" s="85"/>
      <c r="AT2" s="85"/>
      <c r="AU2" s="87"/>
      <c r="AV2" s="87"/>
      <c r="AW2" s="85"/>
      <c r="AX2" s="85"/>
      <c r="AY2" s="85"/>
      <c r="AZ2" s="87"/>
      <c r="BA2" s="87"/>
      <c r="BB2" s="85"/>
      <c r="BC2" s="85"/>
      <c r="BD2" s="85"/>
      <c r="BE2" s="87"/>
      <c r="BF2" s="87"/>
      <c r="BG2" s="85"/>
      <c r="BH2" s="85"/>
      <c r="BI2" s="85"/>
      <c r="BJ2" s="87"/>
      <c r="BK2" s="87"/>
      <c r="BL2" s="43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134"/>
    </row>
    <row r="3" spans="1:75" s="441" customFormat="1">
      <c r="A3" s="236" t="str">
        <f>HP.TradeCurrency</f>
        <v>USD</v>
      </c>
      <c r="B3" s="237" t="e">
        <f>IF(MO.RealTime="OFF",MO.LastPriceHardcoded,MO.LastPriceFormula)</f>
        <v>#REF!</v>
      </c>
      <c r="C3" s="663">
        <f>C4-C2</f>
        <v>365</v>
      </c>
      <c r="D3" s="663">
        <f t="shared" ref="D3:J3" si="0">D4-C4</f>
        <v>365</v>
      </c>
      <c r="E3" s="663">
        <f t="shared" si="0"/>
        <v>365</v>
      </c>
      <c r="F3" s="663">
        <f t="shared" si="0"/>
        <v>366</v>
      </c>
      <c r="G3" s="8">
        <f t="shared" si="0"/>
        <v>90</v>
      </c>
      <c r="H3" s="8">
        <f t="shared" si="0"/>
        <v>91</v>
      </c>
      <c r="I3" s="8">
        <f t="shared" si="0"/>
        <v>92</v>
      </c>
      <c r="J3" s="8">
        <f t="shared" si="0"/>
        <v>92</v>
      </c>
      <c r="K3" s="663">
        <f>K4-F4</f>
        <v>365</v>
      </c>
      <c r="L3" s="8">
        <f>L4-K4</f>
        <v>90</v>
      </c>
      <c r="M3" s="8">
        <f>M4-L4</f>
        <v>91</v>
      </c>
      <c r="N3" s="8">
        <f>N4-M4</f>
        <v>92</v>
      </c>
      <c r="O3" s="8">
        <f>O4-N4</f>
        <v>92</v>
      </c>
      <c r="P3" s="663">
        <f>P4-K4</f>
        <v>365</v>
      </c>
      <c r="Q3" s="8">
        <f>Q4-P4</f>
        <v>90</v>
      </c>
      <c r="R3" s="8">
        <f>R4-Q4</f>
        <v>91</v>
      </c>
      <c r="S3" s="8">
        <f>S4-R4</f>
        <v>92</v>
      </c>
      <c r="T3" s="8">
        <f>T4-S4</f>
        <v>92</v>
      </c>
      <c r="U3" s="663">
        <f>U4-P4</f>
        <v>365</v>
      </c>
      <c r="V3" s="8">
        <f>V4-U4</f>
        <v>91</v>
      </c>
      <c r="W3" s="8">
        <f>W4-V4</f>
        <v>91</v>
      </c>
      <c r="X3" s="8">
        <f>X4-W4</f>
        <v>92</v>
      </c>
      <c r="Y3" s="8">
        <f>Y4-X4</f>
        <v>92</v>
      </c>
      <c r="Z3" s="663">
        <f>Z4-U4</f>
        <v>366</v>
      </c>
      <c r="AA3" s="8">
        <f>AA4-Z4</f>
        <v>90</v>
      </c>
      <c r="AB3" s="8">
        <f>AB4-AA4</f>
        <v>91</v>
      </c>
      <c r="AC3" s="8">
        <f>AC4-AB4</f>
        <v>92</v>
      </c>
      <c r="AD3" s="8">
        <f>AD4-AC4</f>
        <v>92</v>
      </c>
      <c r="AE3" s="663">
        <f>AE4-Z4</f>
        <v>365</v>
      </c>
      <c r="AF3" s="8">
        <f>AF4-AE4</f>
        <v>90</v>
      </c>
      <c r="AG3" s="8">
        <f>AG4-AF4</f>
        <v>91</v>
      </c>
      <c r="AH3" s="8">
        <f>AH4-AG4</f>
        <v>92</v>
      </c>
      <c r="AI3" s="8">
        <f>AI4-AH4</f>
        <v>92</v>
      </c>
      <c r="AJ3" s="663">
        <f>AJ4-AE4</f>
        <v>365</v>
      </c>
      <c r="AK3" s="8">
        <f>AK4-AJ4</f>
        <v>90</v>
      </c>
      <c r="AL3" s="8">
        <f>AL4-AK4</f>
        <v>91</v>
      </c>
      <c r="AM3" s="8">
        <f>AM4-AL4</f>
        <v>92</v>
      </c>
      <c r="AN3" s="8">
        <f>AN4-AM4</f>
        <v>92</v>
      </c>
      <c r="AO3" s="663">
        <f>AO4-AJ4</f>
        <v>365</v>
      </c>
      <c r="AP3" s="8">
        <f>AP4-AO4</f>
        <v>91</v>
      </c>
      <c r="AQ3" s="8">
        <f>AQ4-AP4</f>
        <v>91</v>
      </c>
      <c r="AR3" s="8">
        <f>AR4-AQ4</f>
        <v>92</v>
      </c>
      <c r="AS3" s="8">
        <f>AS4-AR4</f>
        <v>92</v>
      </c>
      <c r="AT3" s="663">
        <f>AT4-AO4</f>
        <v>366</v>
      </c>
      <c r="AU3" s="8">
        <f>AU4-AT4</f>
        <v>90</v>
      </c>
      <c r="AV3" s="8">
        <f>AV4-AU4</f>
        <v>91</v>
      </c>
      <c r="AW3" s="8">
        <f>AW4-AV4</f>
        <v>92</v>
      </c>
      <c r="AX3" s="8">
        <f>AX4-AW4</f>
        <v>92</v>
      </c>
      <c r="AY3" s="663">
        <f>AY4-AT4</f>
        <v>365</v>
      </c>
      <c r="AZ3" s="8">
        <f>AZ4-AY4</f>
        <v>90</v>
      </c>
      <c r="BA3" s="8">
        <f>BA4-AZ4</f>
        <v>91</v>
      </c>
      <c r="BB3" s="8">
        <f>BB4-BA4</f>
        <v>92</v>
      </c>
      <c r="BC3" s="8">
        <f>BC4-BB4</f>
        <v>92</v>
      </c>
      <c r="BD3" s="663">
        <f>BD4-AY4</f>
        <v>365</v>
      </c>
      <c r="BE3" s="8">
        <f>BE4-BD4</f>
        <v>90</v>
      </c>
      <c r="BF3" s="8">
        <f>BF4-BE4</f>
        <v>91</v>
      </c>
      <c r="BG3" s="8">
        <f>BG4-BF4</f>
        <v>92</v>
      </c>
      <c r="BH3" s="8">
        <f>BH4-BG4</f>
        <v>92</v>
      </c>
      <c r="BI3" s="663">
        <f>BI4-BD4</f>
        <v>365</v>
      </c>
      <c r="BJ3" s="8">
        <f>BJ4-BI4</f>
        <v>91</v>
      </c>
      <c r="BK3" s="8">
        <f>BK4-BJ4</f>
        <v>91</v>
      </c>
      <c r="BL3" s="488">
        <f>BL4-BK4</f>
        <v>92</v>
      </c>
      <c r="BM3" s="8">
        <f>BM4-BL4</f>
        <v>92</v>
      </c>
      <c r="BN3" s="663">
        <f>BN4-BI4</f>
        <v>366</v>
      </c>
      <c r="BO3" s="8">
        <f>BO4-BN4</f>
        <v>90</v>
      </c>
      <c r="BP3" s="8">
        <f>BP4-BO4</f>
        <v>91</v>
      </c>
      <c r="BQ3" s="8">
        <f>BQ4-BP4</f>
        <v>92</v>
      </c>
      <c r="BR3" s="8">
        <f>BR4-BQ4</f>
        <v>92</v>
      </c>
      <c r="BS3" s="663">
        <f>BS4-BN4</f>
        <v>365</v>
      </c>
      <c r="BT3" s="663">
        <f>BT4-BS4</f>
        <v>365</v>
      </c>
      <c r="BU3" s="663">
        <f>BU4-BT4</f>
        <v>365</v>
      </c>
      <c r="BV3" s="663">
        <f>BV4-BU4</f>
        <v>366</v>
      </c>
      <c r="BW3" s="238"/>
    </row>
    <row r="4" spans="1:75">
      <c r="A4" s="239" t="e">
        <f>FP.DataSourceName</f>
        <v>#REF!</v>
      </c>
      <c r="B4" s="240" t="e">
        <f>IF(AND(MO.RealTimeStockPriceToggle,MO.LastPriceFormula&lt;&gt;"N/A"),"ON","OFF")</f>
        <v>#REF!</v>
      </c>
      <c r="C4" s="664">
        <v>40178</v>
      </c>
      <c r="D4" s="665">
        <f>EOMONTH(C4,12)</f>
        <v>40543</v>
      </c>
      <c r="E4" s="665">
        <f>EOMONTH(D4,12)</f>
        <v>40908</v>
      </c>
      <c r="F4" s="665">
        <f>EOMONTH(E4,12)</f>
        <v>41274</v>
      </c>
      <c r="G4" s="9">
        <f>EOMONTH(F4,3)</f>
        <v>41364</v>
      </c>
      <c r="H4" s="9">
        <f>EOMONTH(G4,3)</f>
        <v>41455</v>
      </c>
      <c r="I4" s="9">
        <f>EOMONTH(H4,3)</f>
        <v>41547</v>
      </c>
      <c r="J4" s="9">
        <f>EOMONTH(I4,3)</f>
        <v>41639</v>
      </c>
      <c r="K4" s="665">
        <f>J4</f>
        <v>41639</v>
      </c>
      <c r="L4" s="9">
        <f>EOMONTH(K4,3)</f>
        <v>41729</v>
      </c>
      <c r="M4" s="9">
        <f>EOMONTH(L4,3)</f>
        <v>41820</v>
      </c>
      <c r="N4" s="9">
        <f>EOMONTH(M4,3)</f>
        <v>41912</v>
      </c>
      <c r="O4" s="9">
        <f>EOMONTH(N4,3)</f>
        <v>42004</v>
      </c>
      <c r="P4" s="665">
        <f>O4</f>
        <v>42004</v>
      </c>
      <c r="Q4" s="9">
        <f>EOMONTH(P4,3)</f>
        <v>42094</v>
      </c>
      <c r="R4" s="9">
        <f>EOMONTH(Q4,3)</f>
        <v>42185</v>
      </c>
      <c r="S4" s="9">
        <f>EOMONTH(R4,3)</f>
        <v>42277</v>
      </c>
      <c r="T4" s="9">
        <f>EOMONTH(S4,3)</f>
        <v>42369</v>
      </c>
      <c r="U4" s="665">
        <f>T4</f>
        <v>42369</v>
      </c>
      <c r="V4" s="9">
        <f>EOMONTH(U4,3)</f>
        <v>42460</v>
      </c>
      <c r="W4" s="9">
        <f>EOMONTH(V4,3)</f>
        <v>42551</v>
      </c>
      <c r="X4" s="9">
        <f>EOMONTH(W4,3)</f>
        <v>42643</v>
      </c>
      <c r="Y4" s="9">
        <f>EOMONTH(X4,3)</f>
        <v>42735</v>
      </c>
      <c r="Z4" s="665">
        <f>Y4</f>
        <v>42735</v>
      </c>
      <c r="AA4" s="9">
        <f>EOMONTH(Z4,3)</f>
        <v>42825</v>
      </c>
      <c r="AB4" s="9">
        <f>EOMONTH(AA4,3)</f>
        <v>42916</v>
      </c>
      <c r="AC4" s="9">
        <f>EOMONTH(AB4,3)</f>
        <v>43008</v>
      </c>
      <c r="AD4" s="9">
        <f>EOMONTH(AC4,3)</f>
        <v>43100</v>
      </c>
      <c r="AE4" s="665">
        <f>AD4</f>
        <v>43100</v>
      </c>
      <c r="AF4" s="9">
        <f>EOMONTH(AE4,3)</f>
        <v>43190</v>
      </c>
      <c r="AG4" s="9">
        <f>EOMONTH(AF4,3)</f>
        <v>43281</v>
      </c>
      <c r="AH4" s="9">
        <f>EOMONTH(AG4,3)</f>
        <v>43373</v>
      </c>
      <c r="AI4" s="9">
        <f>EOMONTH(AH4,3)</f>
        <v>43465</v>
      </c>
      <c r="AJ4" s="665">
        <f>AI4</f>
        <v>43465</v>
      </c>
      <c r="AK4" s="9">
        <f>EOMONTH(AJ4,3)</f>
        <v>43555</v>
      </c>
      <c r="AL4" s="9">
        <f>EOMONTH(AK4,3)</f>
        <v>43646</v>
      </c>
      <c r="AM4" s="9">
        <f>EOMONTH(AL4,3)</f>
        <v>43738</v>
      </c>
      <c r="AN4" s="9">
        <f>EOMONTH(AM4,3)</f>
        <v>43830</v>
      </c>
      <c r="AO4" s="665">
        <f>AN4</f>
        <v>43830</v>
      </c>
      <c r="AP4" s="9">
        <f>EOMONTH(AO4,3)</f>
        <v>43921</v>
      </c>
      <c r="AQ4" s="9">
        <f>EOMONTH(AP4,3)</f>
        <v>44012</v>
      </c>
      <c r="AR4" s="9">
        <f>EOMONTH(AQ4,3)</f>
        <v>44104</v>
      </c>
      <c r="AS4" s="9">
        <f>EOMONTH(AR4,3)</f>
        <v>44196</v>
      </c>
      <c r="AT4" s="665">
        <f>AS4</f>
        <v>44196</v>
      </c>
      <c r="AU4" s="9">
        <f>EOMONTH(AT4,3)</f>
        <v>44286</v>
      </c>
      <c r="AV4" s="9">
        <f>EOMONTH(AU4,3)</f>
        <v>44377</v>
      </c>
      <c r="AW4" s="9">
        <f>EOMONTH(AV4,3)</f>
        <v>44469</v>
      </c>
      <c r="AX4" s="9">
        <f>EOMONTH(AW4,3)</f>
        <v>44561</v>
      </c>
      <c r="AY4" s="665">
        <f>AX4</f>
        <v>44561</v>
      </c>
      <c r="AZ4" s="9">
        <f>EOMONTH(AY4,3)</f>
        <v>44651</v>
      </c>
      <c r="BA4" s="9">
        <f>EOMONTH(AZ4,3)</f>
        <v>44742</v>
      </c>
      <c r="BB4" s="9">
        <f>EOMONTH(BA4,3)</f>
        <v>44834</v>
      </c>
      <c r="BC4" s="9">
        <f>EOMONTH(BB4,3)</f>
        <v>44926</v>
      </c>
      <c r="BD4" s="665">
        <f>BC4</f>
        <v>44926</v>
      </c>
      <c r="BE4" s="9">
        <f>EOMONTH(BD4,3)</f>
        <v>45016</v>
      </c>
      <c r="BF4" s="9">
        <f>EOMONTH(BE4,3)</f>
        <v>45107</v>
      </c>
      <c r="BG4" s="9">
        <f>EOMONTH(BF4,3)</f>
        <v>45199</v>
      </c>
      <c r="BH4" s="9">
        <f>EOMONTH(BG4,3)</f>
        <v>45291</v>
      </c>
      <c r="BI4" s="665">
        <f>BH4</f>
        <v>45291</v>
      </c>
      <c r="BJ4" s="9">
        <f>EOMONTH(BI4,3)</f>
        <v>45382</v>
      </c>
      <c r="BK4" s="9">
        <f>EOMONTH(BJ4,3)</f>
        <v>45473</v>
      </c>
      <c r="BL4" s="489">
        <f>EOMONTH(BK4,3)</f>
        <v>45565</v>
      </c>
      <c r="BM4" s="9">
        <f>EOMONTH(BL4,3)</f>
        <v>45657</v>
      </c>
      <c r="BN4" s="665">
        <f>BM4</f>
        <v>45657</v>
      </c>
      <c r="BO4" s="9">
        <f>EOMONTH(BN4,3)</f>
        <v>45747</v>
      </c>
      <c r="BP4" s="9">
        <f>EOMONTH(BO4,3)</f>
        <v>45838</v>
      </c>
      <c r="BQ4" s="9">
        <f>EOMONTH(BP4,3)</f>
        <v>45930</v>
      </c>
      <c r="BR4" s="9">
        <f>EOMONTH(BQ4,3)</f>
        <v>46022</v>
      </c>
      <c r="BS4" s="665">
        <f>BR4</f>
        <v>46022</v>
      </c>
      <c r="BT4" s="665">
        <f>EOMONTH(BS4,12)</f>
        <v>46387</v>
      </c>
      <c r="BU4" s="665">
        <f>EOMONTH(BT4,12)</f>
        <v>46752</v>
      </c>
      <c r="BV4" s="665">
        <f>EOMONTH(BU4,12)</f>
        <v>47118</v>
      </c>
      <c r="BW4" s="129"/>
    </row>
    <row r="5" spans="1:75" s="440" customFormat="1">
      <c r="A5" s="45" t="str">
        <f>MO.ReportCurrency</f>
        <v>USD</v>
      </c>
      <c r="B5" s="243"/>
      <c r="C5" s="666" t="s">
        <v>107</v>
      </c>
      <c r="D5" s="667" t="str">
        <f>CONCATENATE("FY",RIGHT(C5,4)+1)</f>
        <v>FY2010</v>
      </c>
      <c r="E5" s="667" t="str">
        <f>CONCATENATE("FY",RIGHT(D5,4)+1)</f>
        <v>FY2011</v>
      </c>
      <c r="F5" s="667" t="str">
        <f>CONCATENATE("FY",RIGHT(E5,4)+1)</f>
        <v>FY2012</v>
      </c>
      <c r="G5" s="4" t="str">
        <f>CONCATENATE("Q1","-",RIGHT(F5,4)+1)</f>
        <v>Q1-2013</v>
      </c>
      <c r="H5" s="4" t="str">
        <f>CONCATENATE("Q2","-",RIGHT(G5,4))</f>
        <v>Q2-2013</v>
      </c>
      <c r="I5" s="4" t="str">
        <f>CONCATENATE("Q3","-",RIGHT(H5,4))</f>
        <v>Q3-2013</v>
      </c>
      <c r="J5" s="4" t="str">
        <f>CONCATENATE("Q4","-",RIGHT(I5,4))</f>
        <v>Q4-2013</v>
      </c>
      <c r="K5" s="667" t="str">
        <f>CONCATENATE("FY",RIGHT(F5,4)+1)</f>
        <v>FY2013</v>
      </c>
      <c r="L5" s="4" t="str">
        <f>CONCATENATE("Q1","-",RIGHT(K5,4)+1)</f>
        <v>Q1-2014</v>
      </c>
      <c r="M5" s="4" t="str">
        <f>CONCATENATE("Q2","-",RIGHT(L5,4))</f>
        <v>Q2-2014</v>
      </c>
      <c r="N5" s="4" t="str">
        <f>CONCATENATE("Q3","-",RIGHT(M5,4))</f>
        <v>Q3-2014</v>
      </c>
      <c r="O5" s="4" t="str">
        <f>CONCATENATE("Q4","-",RIGHT(N5,4))</f>
        <v>Q4-2014</v>
      </c>
      <c r="P5" s="667" t="str">
        <f>CONCATENATE("FY",RIGHT(K5,4)+1)</f>
        <v>FY2014</v>
      </c>
      <c r="Q5" s="4" t="str">
        <f>CONCATENATE("Q1","-",RIGHT(P5,4)+1)</f>
        <v>Q1-2015</v>
      </c>
      <c r="R5" s="4" t="str">
        <f>CONCATENATE("Q2","-",RIGHT(Q5,4))</f>
        <v>Q2-2015</v>
      </c>
      <c r="S5" s="4" t="str">
        <f>CONCATENATE("Q3","-",RIGHT(R5,4))</f>
        <v>Q3-2015</v>
      </c>
      <c r="T5" s="4" t="str">
        <f>CONCATENATE("Q4","-",RIGHT(S5,4))</f>
        <v>Q4-2015</v>
      </c>
      <c r="U5" s="667" t="str">
        <f>CONCATENATE("FY",RIGHT(P5,4)+1)</f>
        <v>FY2015</v>
      </c>
      <c r="V5" s="4" t="str">
        <f>CONCATENATE("Q1","-",RIGHT(U5,4)+1)</f>
        <v>Q1-2016</v>
      </c>
      <c r="W5" s="4" t="str">
        <f>CONCATENATE("Q2","-",RIGHT(V5,4))</f>
        <v>Q2-2016</v>
      </c>
      <c r="X5" s="4" t="str">
        <f>CONCATENATE("Q3","-",RIGHT(W5,4))</f>
        <v>Q3-2016</v>
      </c>
      <c r="Y5" s="4" t="str">
        <f>CONCATENATE("Q4","-",RIGHT(X5,4))</f>
        <v>Q4-2016</v>
      </c>
      <c r="Z5" s="667" t="str">
        <f>CONCATENATE("FY",RIGHT(U5,4)+1)</f>
        <v>FY2016</v>
      </c>
      <c r="AA5" s="4" t="str">
        <f>CONCATENATE("Q1","-",RIGHT(Z5,4)+1)</f>
        <v>Q1-2017</v>
      </c>
      <c r="AB5" s="4" t="str">
        <f>CONCATENATE("Q2","-",RIGHT(AA5,4))</f>
        <v>Q2-2017</v>
      </c>
      <c r="AC5" s="4" t="str">
        <f>CONCATENATE("Q3","-",RIGHT(AB5,4))</f>
        <v>Q3-2017</v>
      </c>
      <c r="AD5" s="4" t="str">
        <f>CONCATENATE("Q4","-",RIGHT(AC5,4))</f>
        <v>Q4-2017</v>
      </c>
      <c r="AE5" s="667" t="str">
        <f>CONCATENATE("FY",RIGHT(Z5,4)+1)</f>
        <v>FY2017</v>
      </c>
      <c r="AF5" s="4" t="str">
        <f>CONCATENATE("Q1","-",RIGHT(AE5,4)+1)</f>
        <v>Q1-2018</v>
      </c>
      <c r="AG5" s="4" t="str">
        <f>CONCATENATE("Q2","-",RIGHT(AF5,4))</f>
        <v>Q2-2018</v>
      </c>
      <c r="AH5" s="4" t="str">
        <f>CONCATENATE("Q3","-",RIGHT(AG5,4))</f>
        <v>Q3-2018</v>
      </c>
      <c r="AI5" s="4" t="str">
        <f>CONCATENATE("Q4","-",RIGHT(AH5,4))</f>
        <v>Q4-2018</v>
      </c>
      <c r="AJ5" s="667" t="str">
        <f>CONCATENATE("FY",RIGHT(AE5,4)+1)</f>
        <v>FY2018</v>
      </c>
      <c r="AK5" s="4" t="str">
        <f>CONCATENATE("Q1","-",RIGHT(AJ5,4)+1)</f>
        <v>Q1-2019</v>
      </c>
      <c r="AL5" s="4" t="str">
        <f>CONCATENATE("Q2","-",RIGHT(AK5,4))</f>
        <v>Q2-2019</v>
      </c>
      <c r="AM5" s="4" t="str">
        <f>CONCATENATE("Q3","-",RIGHT(AL5,4))</f>
        <v>Q3-2019</v>
      </c>
      <c r="AN5" s="4" t="str">
        <f>CONCATENATE("Q4","-",RIGHT(AM5,4))</f>
        <v>Q4-2019</v>
      </c>
      <c r="AO5" s="667" t="str">
        <f>CONCATENATE("FY",RIGHT(AJ5,4)+1)</f>
        <v>FY2019</v>
      </c>
      <c r="AP5" s="4" t="str">
        <f>CONCATENATE("Q1","-",RIGHT(AO5,4)+1)</f>
        <v>Q1-2020</v>
      </c>
      <c r="AQ5" s="4" t="str">
        <f>CONCATENATE("Q2","-",RIGHT(AP5,4))</f>
        <v>Q2-2020</v>
      </c>
      <c r="AR5" s="4" t="str">
        <f>CONCATENATE("Q3","-",RIGHT(AQ5,4))</f>
        <v>Q3-2020</v>
      </c>
      <c r="AS5" s="4" t="str">
        <f>CONCATENATE("Q4","-",RIGHT(AR5,4))</f>
        <v>Q4-2020</v>
      </c>
      <c r="AT5" s="667" t="str">
        <f>CONCATENATE("FY",RIGHT(AO5,4)+1)</f>
        <v>FY2020</v>
      </c>
      <c r="AU5" s="4" t="str">
        <f>CONCATENATE("Q1","-",RIGHT(AT5,4)+1)</f>
        <v>Q1-2021</v>
      </c>
      <c r="AV5" s="4" t="str">
        <f>CONCATENATE("Q2","-",RIGHT(AU5,4))</f>
        <v>Q2-2021</v>
      </c>
      <c r="AW5" s="4" t="str">
        <f>CONCATENATE("Q3","-",RIGHT(AV5,4))</f>
        <v>Q3-2021</v>
      </c>
      <c r="AX5" s="4" t="str">
        <f>CONCATENATE("Q4","-",RIGHT(AW5,4))</f>
        <v>Q4-2021</v>
      </c>
      <c r="AY5" s="667" t="str">
        <f>CONCATENATE("FY",RIGHT(AT5,4)+1)</f>
        <v>FY2021</v>
      </c>
      <c r="AZ5" s="4" t="str">
        <f>CONCATENATE("Q1","-",RIGHT(AY5,4)+1)</f>
        <v>Q1-2022</v>
      </c>
      <c r="BA5" s="4" t="str">
        <f>CONCATENATE("Q2","-",RIGHT(AZ5,4))</f>
        <v>Q2-2022</v>
      </c>
      <c r="BB5" s="4" t="str">
        <f>CONCATENATE("Q3","-",RIGHT(BA5,4))</f>
        <v>Q3-2022</v>
      </c>
      <c r="BC5" s="4" t="str">
        <f>CONCATENATE("Q4","-",RIGHT(BB5,4))</f>
        <v>Q4-2022</v>
      </c>
      <c r="BD5" s="667" t="str">
        <f>CONCATENATE("FY",RIGHT(AY5,4)+1)</f>
        <v>FY2022</v>
      </c>
      <c r="BE5" s="4" t="str">
        <f>CONCATENATE("Q1","-",RIGHT(BD5,4)+1)</f>
        <v>Q1-2023</v>
      </c>
      <c r="BF5" s="4" t="str">
        <f>CONCATENATE("Q2","-",RIGHT(BE5,4))</f>
        <v>Q2-2023</v>
      </c>
      <c r="BG5" s="4" t="str">
        <f>CONCATENATE("Q3","-",RIGHT(BF5,4))</f>
        <v>Q3-2023</v>
      </c>
      <c r="BH5" s="4" t="str">
        <f>CONCATENATE("Q4","-",RIGHT(BG5,4))</f>
        <v>Q4-2023</v>
      </c>
      <c r="BI5" s="667" t="str">
        <f>CONCATENATE("FY",RIGHT(BD5,4)+1)</f>
        <v>FY2023</v>
      </c>
      <c r="BJ5" s="4" t="str">
        <f>CONCATENATE("Q1","-",RIGHT(BI5,4)+1)</f>
        <v>Q1-2024</v>
      </c>
      <c r="BK5" s="4" t="str">
        <f>CONCATENATE("Q2","-",RIGHT(BJ5,4))</f>
        <v>Q2-2024</v>
      </c>
      <c r="BL5" s="490" t="str">
        <f>CONCATENATE("Q3","-",RIGHT(BK5,4))</f>
        <v>Q3-2024</v>
      </c>
      <c r="BM5" s="4" t="str">
        <f>CONCATENATE("Q4","-",RIGHT(BL5,4))</f>
        <v>Q4-2024</v>
      </c>
      <c r="BN5" s="667" t="str">
        <f>CONCATENATE("FY",RIGHT(BI5,4)+1)</f>
        <v>FY2024</v>
      </c>
      <c r="BO5" s="4" t="str">
        <f>CONCATENATE("Q1","-",RIGHT(BN5,4)+1)</f>
        <v>Q1-2025</v>
      </c>
      <c r="BP5" s="4" t="str">
        <f>CONCATENATE("Q2","-",RIGHT(BO5,4))</f>
        <v>Q2-2025</v>
      </c>
      <c r="BQ5" s="4" t="str">
        <f>CONCATENATE("Q3","-",RIGHT(BP5,4))</f>
        <v>Q3-2025</v>
      </c>
      <c r="BR5" s="4" t="str">
        <f>CONCATENATE("Q4","-",RIGHT(BQ5,4))</f>
        <v>Q4-2025</v>
      </c>
      <c r="BS5" s="667" t="str">
        <f>CONCATENATE("FY",RIGHT(BN5,4)+1)</f>
        <v>FY2025</v>
      </c>
      <c r="BT5" s="667" t="str">
        <f>CONCATENATE("FY",RIGHT(BS5,4)+1)</f>
        <v>FY2026</v>
      </c>
      <c r="BU5" s="667" t="str">
        <f>CONCATENATE("FY",RIGHT(BT5,4)+1)</f>
        <v>FY2027</v>
      </c>
      <c r="BV5" s="667" t="str">
        <f>CONCATENATE("FY",RIGHT(BU5,4)+1)</f>
        <v>FY2028</v>
      </c>
      <c r="BW5" s="134"/>
    </row>
    <row r="6" spans="1:75" s="442" customFormat="1">
      <c r="A6" s="3" t="s">
        <v>108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52"/>
      <c r="BM6" s="3"/>
      <c r="BN6" s="3"/>
      <c r="BO6" s="3"/>
      <c r="BP6" s="3"/>
      <c r="BQ6" s="3"/>
      <c r="BR6" s="3"/>
      <c r="BS6" s="3"/>
      <c r="BT6" s="3"/>
      <c r="BU6" s="3"/>
      <c r="BV6" s="3"/>
      <c r="BW6" s="84"/>
    </row>
    <row r="7" spans="1:75" s="443" customFormat="1">
      <c r="A7" s="41" t="s">
        <v>109</v>
      </c>
      <c r="B7" s="27"/>
      <c r="C7" s="668"/>
      <c r="D7" s="668"/>
      <c r="E7" s="668"/>
      <c r="F7" s="668"/>
      <c r="G7" s="13"/>
      <c r="H7" s="13"/>
      <c r="I7" s="13"/>
      <c r="J7" s="13"/>
      <c r="K7" s="668"/>
      <c r="L7" s="13"/>
      <c r="M7" s="13"/>
      <c r="N7" s="13"/>
      <c r="O7" s="13"/>
      <c r="P7" s="668"/>
      <c r="Q7" s="13"/>
      <c r="R7" s="13"/>
      <c r="S7" s="13"/>
      <c r="T7" s="13"/>
      <c r="U7" s="668"/>
      <c r="V7" s="13"/>
      <c r="W7" s="13"/>
      <c r="X7" s="13"/>
      <c r="Y7" s="13"/>
      <c r="Z7" s="668"/>
      <c r="AA7" s="13"/>
      <c r="AB7" s="13"/>
      <c r="AC7" s="13"/>
      <c r="AD7" s="13"/>
      <c r="AE7" s="668"/>
      <c r="AF7" s="13"/>
      <c r="AG7" s="13"/>
      <c r="AH7" s="13"/>
      <c r="AI7" s="13"/>
      <c r="AJ7" s="668"/>
      <c r="AK7" s="536">
        <f t="shared" ref="AK7:AK8" si="1">AK16/AF16-1</f>
        <v>9.101314394543536E-2</v>
      </c>
      <c r="AL7" s="536">
        <f t="shared" ref="AL7:AL8" si="2">AL16/AG16-1</f>
        <v>7.9413401990118926E-2</v>
      </c>
      <c r="AM7" s="536">
        <f t="shared" ref="AM7:AM8" si="3">AM16/AH16-1</f>
        <v>0.1423343132354562</v>
      </c>
      <c r="AN7" s="536">
        <f t="shared" ref="AN7:AN8" si="4">AN16/AI16-1</f>
        <v>0.16590494764064956</v>
      </c>
      <c r="AO7" s="669">
        <f t="shared" ref="AO7:AO8" si="5">AO16/AJ16-1</f>
        <v>0.12064319139031032</v>
      </c>
      <c r="AP7" s="536">
        <f t="shared" ref="AP7:AP8" si="6">AP16/AK16-1</f>
        <v>0.1443976266230973</v>
      </c>
      <c r="AQ7" s="536">
        <f t="shared" ref="AQ7:AQ8" si="7">AQ16/AL16-1</f>
        <v>-0.11696401231284947</v>
      </c>
      <c r="AR7" s="536">
        <f t="shared" ref="AR7:AR8" si="8">AR16/AM16-1</f>
        <v>-1.018243844556499E-2</v>
      </c>
      <c r="AS7" s="536">
        <f t="shared" ref="AS7:AS8" si="9">AS16/AN16-1</f>
        <v>1.0079926691442198E-2</v>
      </c>
      <c r="AT7" s="669">
        <f t="shared" ref="AT7:AU8" si="10">AT16/AO16-1</f>
        <v>4.4662970107014477E-3</v>
      </c>
      <c r="AU7" s="536">
        <f t="shared" si="10"/>
        <v>5.7145218737320036E-2</v>
      </c>
      <c r="AV7" s="536">
        <f t="shared" ref="AV7:AW10" si="11">AV16/AQ16-1</f>
        <v>0.39183997517863167</v>
      </c>
      <c r="AW7" s="536">
        <f t="shared" si="11"/>
        <v>0.17871084238051327</v>
      </c>
      <c r="AX7" s="536">
        <f t="shared" ref="AX7:AY10" si="12">AX16/AS16-1</f>
        <v>0.13215779734604394</v>
      </c>
      <c r="AY7" s="669">
        <f t="shared" si="12"/>
        <v>0.180092384941138</v>
      </c>
      <c r="AZ7" s="536">
        <f t="shared" ref="AZ7:BA10" si="13">AZ16/AU16-1</f>
        <v>0.1391457632901405</v>
      </c>
      <c r="BA7" s="536">
        <f t="shared" si="13"/>
        <v>0.14277284588452832</v>
      </c>
      <c r="BB7" s="536">
        <f t="shared" ref="BB7:BD9" si="14">BB16/AW16-1</f>
        <v>0.1502552139283877</v>
      </c>
      <c r="BC7" s="536">
        <f t="shared" si="14"/>
        <v>0.13387008560053948</v>
      </c>
      <c r="BD7" s="669">
        <f t="shared" si="14"/>
        <v>0.14156671109136698</v>
      </c>
      <c r="BE7" s="536">
        <f t="shared" ref="BE7:BF10" si="15">BE16/AZ16-1</f>
        <v>0.14511771275965124</v>
      </c>
      <c r="BF7" s="536">
        <f t="shared" si="15"/>
        <v>0.14903211740811706</v>
      </c>
      <c r="BG7" s="536">
        <f t="shared" ref="BG7:BM9" si="16">BG16/BB16-1</f>
        <v>0.13937565277938968</v>
      </c>
      <c r="BH7" s="536">
        <f t="shared" si="16"/>
        <v>0.13936688129585173</v>
      </c>
      <c r="BI7" s="669">
        <f t="shared" si="16"/>
        <v>0.14312563958432412</v>
      </c>
      <c r="BJ7" s="536">
        <f t="shared" ref="BJ7:BK9" si="17">BJ16/BE16-1</f>
        <v>0.10771578029642548</v>
      </c>
      <c r="BK7" s="536">
        <f t="shared" si="17"/>
        <v>0.11324984770863922</v>
      </c>
      <c r="BL7" s="491">
        <f>BL16/BG16-1</f>
        <v>0.10588423595145935</v>
      </c>
      <c r="BM7" s="13">
        <f t="shared" si="16"/>
        <v>0.12651875000000001</v>
      </c>
      <c r="BN7" s="668">
        <f t="shared" ref="BN7:BN9" si="18">BN16/BI16-1</f>
        <v>0.11345310482630455</v>
      </c>
      <c r="BO7" s="13">
        <f t="shared" ref="BO7:BS9" si="19">BO16/BJ16-1</f>
        <v>0.1153661971830986</v>
      </c>
      <c r="BP7" s="13">
        <f t="shared" si="19"/>
        <v>0.10201541501976319</v>
      </c>
      <c r="BQ7" s="13">
        <f t="shared" si="19"/>
        <v>8.8693280632410998E-2</v>
      </c>
      <c r="BR7" s="13">
        <f t="shared" si="19"/>
        <v>0.14052936735407218</v>
      </c>
      <c r="BS7" s="668">
        <f t="shared" si="19"/>
        <v>0.11162941850129493</v>
      </c>
      <c r="BT7" s="668">
        <f t="shared" ref="BT7:BV9" si="20">BT16/BS16-1</f>
        <v>6.2429326537008167E-2</v>
      </c>
      <c r="BU7" s="668">
        <f t="shared" si="20"/>
        <v>9.0603933919266799E-2</v>
      </c>
      <c r="BV7" s="668">
        <f t="shared" si="20"/>
        <v>0.11230749479328228</v>
      </c>
      <c r="BW7" s="135"/>
    </row>
    <row r="8" spans="1:75" s="443" customFormat="1">
      <c r="A8" s="251" t="s">
        <v>110</v>
      </c>
      <c r="B8" s="47"/>
      <c r="C8" s="670"/>
      <c r="D8" s="670"/>
      <c r="E8" s="670"/>
      <c r="F8" s="670"/>
      <c r="G8" s="16"/>
      <c r="H8" s="16"/>
      <c r="I8" s="16"/>
      <c r="J8" s="16"/>
      <c r="K8" s="670"/>
      <c r="L8" s="16"/>
      <c r="M8" s="16"/>
      <c r="N8" s="16"/>
      <c r="O8" s="16"/>
      <c r="P8" s="670"/>
      <c r="Q8" s="16"/>
      <c r="R8" s="16"/>
      <c r="S8" s="16"/>
      <c r="T8" s="16"/>
      <c r="U8" s="670"/>
      <c r="V8" s="16"/>
      <c r="W8" s="16"/>
      <c r="X8" s="16"/>
      <c r="Y8" s="16"/>
      <c r="Z8" s="670"/>
      <c r="AA8" s="16"/>
      <c r="AB8" s="16"/>
      <c r="AC8" s="16"/>
      <c r="AD8" s="16"/>
      <c r="AE8" s="670"/>
      <c r="AF8" s="16"/>
      <c r="AG8" s="16"/>
      <c r="AH8" s="16"/>
      <c r="AI8" s="16"/>
      <c r="AJ8" s="670"/>
      <c r="AK8" s="262">
        <f t="shared" si="1"/>
        <v>3.06084464049734E-2</v>
      </c>
      <c r="AL8" s="262">
        <f t="shared" si="2"/>
        <v>2.2877697841726663E-2</v>
      </c>
      <c r="AM8" s="262">
        <f t="shared" si="3"/>
        <v>3.3154818587666002E-2</v>
      </c>
      <c r="AN8" s="262">
        <f t="shared" si="4"/>
        <v>3.9473121132498568E-2</v>
      </c>
      <c r="AO8" s="671">
        <f t="shared" si="5"/>
        <v>3.1647538870467562E-2</v>
      </c>
      <c r="AP8" s="262">
        <f t="shared" si="6"/>
        <v>-3.3699646930280047E-2</v>
      </c>
      <c r="AQ8" s="262">
        <f t="shared" si="7"/>
        <v>-0.53711844141229426</v>
      </c>
      <c r="AR8" s="262">
        <f t="shared" si="8"/>
        <v>-0.34296199834260677</v>
      </c>
      <c r="AS8" s="262">
        <f t="shared" si="9"/>
        <v>-0.31054499345415021</v>
      </c>
      <c r="AT8" s="671">
        <f t="shared" si="10"/>
        <v>-0.30827495282165296</v>
      </c>
      <c r="AU8" s="262">
        <f t="shared" ref="AU8" si="21">AU17/AP17-1</f>
        <v>-0.24026501948397827</v>
      </c>
      <c r="AV8" s="262">
        <f t="shared" si="11"/>
        <v>0.75572649572649575</v>
      </c>
      <c r="AW8" s="262">
        <f t="shared" si="11"/>
        <v>0.28070785070785065</v>
      </c>
      <c r="AX8" s="262">
        <f t="shared" si="12"/>
        <v>0.24446169463187428</v>
      </c>
      <c r="AY8" s="671">
        <f t="shared" si="12"/>
        <v>0.17552071654583057</v>
      </c>
      <c r="AZ8" s="262">
        <f t="shared" si="13"/>
        <v>0.26659286592865938</v>
      </c>
      <c r="BA8" s="262">
        <f t="shared" si="13"/>
        <v>0.181535931803676</v>
      </c>
      <c r="BB8" s="262">
        <f t="shared" si="14"/>
        <v>0.13260845534664512</v>
      </c>
      <c r="BC8" s="262">
        <f t="shared" si="14"/>
        <v>0.11023463365481501</v>
      </c>
      <c r="BD8" s="671">
        <f t="shared" si="14"/>
        <v>0.1672729199507228</v>
      </c>
      <c r="BE8" s="262">
        <f t="shared" si="15"/>
        <v>0.10341445413405337</v>
      </c>
      <c r="BF8" s="262">
        <f t="shared" si="15"/>
        <v>0.11424647500457796</v>
      </c>
      <c r="BG8" s="262">
        <f t="shared" si="16"/>
        <v>9.8902463910848448E-2</v>
      </c>
      <c r="BH8" s="262">
        <f t="shared" si="16"/>
        <v>7.3808042042665001E-2</v>
      </c>
      <c r="BI8" s="671">
        <f t="shared" si="16"/>
        <v>9.7171312299559887E-2</v>
      </c>
      <c r="BJ8" s="262">
        <f t="shared" si="17"/>
        <v>6.398352446247646E-3</v>
      </c>
      <c r="BK8" s="262">
        <f t="shared" si="17"/>
        <v>-2.7239560222846682E-2</v>
      </c>
      <c r="BL8" s="492">
        <f>BL17/BG17-1</f>
        <v>-6.0207986823194948E-2</v>
      </c>
      <c r="BM8" s="16">
        <f t="shared" si="16"/>
        <v>-0.14768735999999971</v>
      </c>
      <c r="BN8" s="670">
        <f t="shared" si="18"/>
        <v>-5.8733959487801135E-2</v>
      </c>
      <c r="BO8" s="16">
        <f t="shared" si="19"/>
        <v>-5.6148700173310195E-2</v>
      </c>
      <c r="BP8" s="16">
        <f t="shared" si="19"/>
        <v>4.5459279279278952E-2</v>
      </c>
      <c r="BQ8" s="16">
        <f t="shared" si="19"/>
        <v>4.540309653916208E-2</v>
      </c>
      <c r="BR8" s="16">
        <f t="shared" si="19"/>
        <v>0.11695989790788497</v>
      </c>
      <c r="BS8" s="670">
        <f t="shared" si="19"/>
        <v>3.6548194198397388E-2</v>
      </c>
      <c r="BT8" s="670">
        <f t="shared" si="20"/>
        <v>-2.3808276731260847E-2</v>
      </c>
      <c r="BU8" s="670">
        <f t="shared" si="20"/>
        <v>4.56002270707212E-2</v>
      </c>
      <c r="BV8" s="670">
        <f t="shared" si="20"/>
        <v>5.072521593000312E-2</v>
      </c>
      <c r="BW8" s="135"/>
    </row>
    <row r="9" spans="1:75" s="443" customFormat="1">
      <c r="A9" s="203" t="s">
        <v>111</v>
      </c>
      <c r="B9" s="27"/>
      <c r="C9" s="668"/>
      <c r="D9" s="669">
        <f>D18/C18-1</f>
        <v>0.67980295566502447</v>
      </c>
      <c r="E9" s="669">
        <f>E18/D18-1</f>
        <v>0.73207144761396958</v>
      </c>
      <c r="F9" s="669">
        <f>F18/E18-1</f>
        <v>0.86682742462333051</v>
      </c>
      <c r="G9" s="13"/>
      <c r="H9" s="13"/>
      <c r="I9" s="13"/>
      <c r="J9" s="13"/>
      <c r="K9" s="669">
        <f t="shared" ref="K9:AQ9" si="22">K18/F18-1</f>
        <v>0.76790736448666608</v>
      </c>
      <c r="L9" s="536">
        <f t="shared" si="22"/>
        <v>0.67308235173351805</v>
      </c>
      <c r="M9" s="536">
        <f t="shared" si="22"/>
        <v>0.68951045828961788</v>
      </c>
      <c r="N9" s="536">
        <f t="shared" si="22"/>
        <v>0.66380675044462256</v>
      </c>
      <c r="O9" s="536">
        <f t="shared" si="22"/>
        <v>0.60416523117205201</v>
      </c>
      <c r="P9" s="669">
        <f t="shared" si="22"/>
        <v>0.65370524864884461</v>
      </c>
      <c r="Q9" s="536">
        <f t="shared" si="22"/>
        <v>0.51192576117800459</v>
      </c>
      <c r="R9" s="536">
        <f t="shared" si="22"/>
        <v>0.42540794080729349</v>
      </c>
      <c r="S9" s="536">
        <f t="shared" si="22"/>
        <v>0.36179110087863542</v>
      </c>
      <c r="T9" s="536">
        <f t="shared" si="22"/>
        <v>0.35143087248322114</v>
      </c>
      <c r="U9" s="669">
        <f t="shared" si="22"/>
        <v>0.40452532924731388</v>
      </c>
      <c r="V9" s="536">
        <f t="shared" si="22"/>
        <v>0.45122248148523902</v>
      </c>
      <c r="W9" s="536">
        <f t="shared" si="22"/>
        <v>0.40782521644018455</v>
      </c>
      <c r="X9" s="536">
        <f t="shared" si="22"/>
        <v>0.41092191974605807</v>
      </c>
      <c r="Y9" s="536">
        <f t="shared" si="22"/>
        <v>0.3595334202078635</v>
      </c>
      <c r="Z9" s="669">
        <f t="shared" si="22"/>
        <v>0.43951177504707339</v>
      </c>
      <c r="AA9" s="536">
        <f t="shared" si="22"/>
        <v>0.24364719288066161</v>
      </c>
      <c r="AB9" s="536">
        <f t="shared" si="22"/>
        <v>0.23574029325976609</v>
      </c>
      <c r="AC9" s="536">
        <f t="shared" si="22"/>
        <v>0.22577963086366171</v>
      </c>
      <c r="AD9" s="536">
        <f t="shared" si="22"/>
        <v>0.2249736995908822</v>
      </c>
      <c r="AE9" s="669">
        <f t="shared" si="22"/>
        <v>0.20215237407418307</v>
      </c>
      <c r="AF9" s="536">
        <f t="shared" si="22"/>
        <v>0.2031646992692524</v>
      </c>
      <c r="AG9" s="536">
        <f t="shared" si="22"/>
        <v>0.20505320140875849</v>
      </c>
      <c r="AH9" s="536">
        <f t="shared" si="22"/>
        <v>0.15959940549221452</v>
      </c>
      <c r="AI9" s="536">
        <f t="shared" si="22"/>
        <v>0.12014237116697646</v>
      </c>
      <c r="AJ9" s="669">
        <f t="shared" si="22"/>
        <v>0.16992746990374874</v>
      </c>
      <c r="AK9" s="536">
        <f t="shared" si="22"/>
        <v>6.0688740112967876E-2</v>
      </c>
      <c r="AL9" s="536">
        <f t="shared" si="22"/>
        <v>5.1616497470906575E-2</v>
      </c>
      <c r="AM9" s="536">
        <f t="shared" si="22"/>
        <v>8.858418422207115E-2</v>
      </c>
      <c r="AN9" s="536">
        <f t="shared" si="22"/>
        <v>0.10298414645574039</v>
      </c>
      <c r="AO9" s="669">
        <f t="shared" si="22"/>
        <v>7.6516798587748402E-2</v>
      </c>
      <c r="AP9" s="536">
        <f t="shared" si="22"/>
        <v>5.7524677029330507E-2</v>
      </c>
      <c r="AQ9" s="536">
        <f t="shared" si="22"/>
        <v>-0.31789591409423068</v>
      </c>
      <c r="AR9" s="536">
        <f t="shared" ref="AR9:AT10" si="23">AR18/AM18-1</f>
        <v>-0.16567100490719011</v>
      </c>
      <c r="AS9" s="536">
        <f t="shared" si="23"/>
        <v>-0.1402962711236061</v>
      </c>
      <c r="AT9" s="669">
        <f t="shared" si="23"/>
        <v>-0.14413593674028191</v>
      </c>
      <c r="AU9" s="536">
        <f>AU18/AP18-1</f>
        <v>-7.5412444344483132E-2</v>
      </c>
      <c r="AV9" s="536">
        <f t="shared" si="11"/>
        <v>0.50993324416117569</v>
      </c>
      <c r="AW9" s="536">
        <f t="shared" si="11"/>
        <v>0.2162411740470811</v>
      </c>
      <c r="AX9" s="536">
        <f t="shared" si="12"/>
        <v>0.17439875663681059</v>
      </c>
      <c r="AY9" s="669">
        <f t="shared" si="12"/>
        <v>0.17833671205516</v>
      </c>
      <c r="AZ9" s="536">
        <f t="shared" si="13"/>
        <v>0.18582169226125878</v>
      </c>
      <c r="BA9" s="536">
        <f t="shared" si="13"/>
        <v>0.15740056580435269</v>
      </c>
      <c r="BB9" s="536">
        <f t="shared" si="14"/>
        <v>0.14341782502044165</v>
      </c>
      <c r="BC9" s="536">
        <f t="shared" si="14"/>
        <v>0.12444969726177768</v>
      </c>
      <c r="BD9" s="669">
        <f t="shared" si="14"/>
        <v>0.15141515897383839</v>
      </c>
      <c r="BE9" s="536">
        <f t="shared" si="15"/>
        <v>0.1288040814931033</v>
      </c>
      <c r="BF9" s="536">
        <f t="shared" si="15"/>
        <v>0.13563160011004571</v>
      </c>
      <c r="BG9" s="536">
        <f t="shared" si="16"/>
        <v>0.12384221423123032</v>
      </c>
      <c r="BH9" s="536">
        <f t="shared" si="16"/>
        <v>0.1135674050288451</v>
      </c>
      <c r="BI9" s="669">
        <f t="shared" si="16"/>
        <v>0.12527734852605299</v>
      </c>
      <c r="BJ9" s="536">
        <f t="shared" si="17"/>
        <v>6.8973524531959374E-2</v>
      </c>
      <c r="BK9" s="536">
        <f t="shared" si="17"/>
        <v>6.0148087411327822E-2</v>
      </c>
      <c r="BL9" s="491">
        <f>BL18/BG18-1</f>
        <v>4.3553352402191381E-2</v>
      </c>
      <c r="BM9" s="13">
        <f t="shared" si="16"/>
        <v>2.2462803531284159E-2</v>
      </c>
      <c r="BN9" s="668">
        <f t="shared" si="18"/>
        <v>4.8247396789422581E-2</v>
      </c>
      <c r="BO9" s="13">
        <f t="shared" si="19"/>
        <v>5.3620661344485621E-2</v>
      </c>
      <c r="BP9" s="13">
        <f t="shared" si="19"/>
        <v>8.24005903668803E-2</v>
      </c>
      <c r="BQ9" s="13">
        <f t="shared" si="19"/>
        <v>7.4062735409906377E-2</v>
      </c>
      <c r="BR9" s="13">
        <f t="shared" si="19"/>
        <v>0.13307362324243988</v>
      </c>
      <c r="BS9" s="668">
        <f t="shared" si="19"/>
        <v>8.6098582440568894E-2</v>
      </c>
      <c r="BT9" s="668">
        <f t="shared" si="20"/>
        <v>3.4442695539952828E-2</v>
      </c>
      <c r="BU9" s="668">
        <f t="shared" si="20"/>
        <v>7.6821341461182691E-2</v>
      </c>
      <c r="BV9" s="668">
        <f t="shared" si="20"/>
        <v>9.3994456726251396E-2</v>
      </c>
      <c r="BW9" s="135"/>
    </row>
    <row r="10" spans="1:75" s="443" customFormat="1">
      <c r="A10" s="14" t="s">
        <v>112</v>
      </c>
      <c r="B10" s="27"/>
      <c r="C10" s="668"/>
      <c r="D10" s="668"/>
      <c r="E10" s="668"/>
      <c r="F10" s="668"/>
      <c r="G10" s="13"/>
      <c r="H10" s="13"/>
      <c r="I10" s="13"/>
      <c r="J10" s="13"/>
      <c r="K10" s="668"/>
      <c r="L10" s="13"/>
      <c r="M10" s="13"/>
      <c r="N10" s="13"/>
      <c r="O10" s="13"/>
      <c r="P10" s="668"/>
      <c r="Q10" s="13"/>
      <c r="R10" s="13">
        <f t="shared" ref="R10:AQ10" si="24">R19/M19-1</f>
        <v>8.2052117263843645</v>
      </c>
      <c r="S10" s="13">
        <f t="shared" si="24"/>
        <v>7.948430493273543</v>
      </c>
      <c r="T10" s="13">
        <f t="shared" si="24"/>
        <v>4.2111152555016771</v>
      </c>
      <c r="U10" s="668">
        <f t="shared" si="24"/>
        <v>7.3579188107490001</v>
      </c>
      <c r="V10" s="13">
        <f t="shared" si="24"/>
        <v>1.1948228882833787</v>
      </c>
      <c r="W10" s="13">
        <f t="shared" si="24"/>
        <v>0.37278839348903037</v>
      </c>
      <c r="X10" s="13">
        <f t="shared" si="24"/>
        <v>0.32882318550070977</v>
      </c>
      <c r="Y10" s="13">
        <f t="shared" si="24"/>
        <v>0.18817550640612746</v>
      </c>
      <c r="Z10" s="668">
        <f t="shared" si="24"/>
        <v>0.42506954895790572</v>
      </c>
      <c r="AA10" s="13">
        <f t="shared" si="24"/>
        <v>0.24594799641354581</v>
      </c>
      <c r="AB10" s="13">
        <f t="shared" si="24"/>
        <v>0.18797525454311104</v>
      </c>
      <c r="AC10" s="13">
        <f t="shared" si="24"/>
        <v>0.16429918290383405</v>
      </c>
      <c r="AD10" s="13">
        <f t="shared" si="24"/>
        <v>-0.68512048192771058</v>
      </c>
      <c r="AE10" s="668">
        <f t="shared" si="24"/>
        <v>-3.5906872549803848E-2</v>
      </c>
      <c r="AF10" s="13">
        <f t="shared" si="24"/>
        <v>-0.7874896208137282</v>
      </c>
      <c r="AG10" s="13">
        <f t="shared" si="24"/>
        <v>-0.80905885543802547</v>
      </c>
      <c r="AH10" s="13">
        <f t="shared" si="24"/>
        <v>-0.83578060893975381</v>
      </c>
      <c r="AI10" s="13">
        <f t="shared" si="24"/>
        <v>-0.37000191314329467</v>
      </c>
      <c r="AJ10" s="668">
        <f t="shared" si="24"/>
        <v>-0.77271746527028595</v>
      </c>
      <c r="AK10" s="13">
        <f t="shared" si="24"/>
        <v>-0.13857775462359989</v>
      </c>
      <c r="AL10" s="13">
        <f t="shared" si="24"/>
        <v>-0.10596590909090919</v>
      </c>
      <c r="AM10" s="13">
        <f t="shared" si="24"/>
        <v>1.051939513477973E-2</v>
      </c>
      <c r="AN10" s="13">
        <f t="shared" si="24"/>
        <v>-0.11691466747646517</v>
      </c>
      <c r="AO10" s="668">
        <f t="shared" si="24"/>
        <v>-9.1865050387030855E-2</v>
      </c>
      <c r="AP10" s="13">
        <f t="shared" si="24"/>
        <v>-0.20199576655579077</v>
      </c>
      <c r="AQ10" s="13">
        <f t="shared" si="24"/>
        <v>0.26088338099777575</v>
      </c>
      <c r="AR10" s="13">
        <f t="shared" si="23"/>
        <v>0.43526350032530914</v>
      </c>
      <c r="AS10" s="13">
        <f t="shared" si="23"/>
        <v>0.37482806052269591</v>
      </c>
      <c r="AT10" s="668">
        <f t="shared" si="23"/>
        <v>0.20754261820521069</v>
      </c>
      <c r="AU10" s="13">
        <f>AU19/AP19-1</f>
        <v>0.44145509662751037</v>
      </c>
      <c r="AV10" s="13">
        <f t="shared" si="11"/>
        <v>-0.11164314516129037</v>
      </c>
      <c r="AW10" s="13">
        <f t="shared" si="11"/>
        <v>-0.31980961015412512</v>
      </c>
      <c r="AX10" s="13">
        <f t="shared" si="12"/>
        <v>-0.28314157078539293</v>
      </c>
      <c r="AY10" s="668">
        <f t="shared" si="12"/>
        <v>-0.12126256908836652</v>
      </c>
      <c r="AZ10" s="13">
        <f t="shared" si="13"/>
        <v>-0.16403785488958977</v>
      </c>
      <c r="BA10" s="13">
        <f t="shared" si="13"/>
        <v>0.11773049645390077</v>
      </c>
      <c r="BB10" s="13">
        <f>BB19/AW19-1</f>
        <v>0.2169276907697435</v>
      </c>
      <c r="BC10" s="13">
        <f>BC19/AX19-1</f>
        <v>0.14829030006978394</v>
      </c>
      <c r="BD10" s="668">
        <f>BD19/AY19-1</f>
        <v>6.5701727796301901E-2</v>
      </c>
      <c r="BE10" s="13">
        <f t="shared" si="15"/>
        <v>0.1182389937106918</v>
      </c>
      <c r="BF10" s="13">
        <f t="shared" si="15"/>
        <v>-0.14213197969543145</v>
      </c>
      <c r="BG10" s="13">
        <f>BG19/BB19-1</f>
        <v>-0.13882803943044908</v>
      </c>
      <c r="BH10" s="13">
        <f>BH19/BC19-1</f>
        <v>-0.1106046794287453</v>
      </c>
      <c r="BI10" s="668">
        <f>BI19/BD19-1</f>
        <v>-7.5019554860271787E-2</v>
      </c>
      <c r="BJ10" s="13"/>
      <c r="BK10" s="13"/>
      <c r="BL10" s="388"/>
      <c r="BM10" s="13"/>
      <c r="BN10" s="668"/>
      <c r="BO10" s="13"/>
      <c r="BP10" s="13"/>
      <c r="BQ10" s="13"/>
      <c r="BR10" s="13"/>
      <c r="BS10" s="668"/>
      <c r="BT10" s="668"/>
      <c r="BU10" s="668"/>
      <c r="BV10" s="668"/>
      <c r="BW10" s="135"/>
    </row>
    <row r="11" spans="1:75" s="443" customFormat="1" hidden="1" outlineLevel="1">
      <c r="A11" s="14" t="s">
        <v>113</v>
      </c>
      <c r="B11" s="27"/>
      <c r="C11" s="668"/>
      <c r="D11" s="668">
        <f t="shared" ref="D11:F13" si="25">D20/C20-1</f>
        <v>1.2336361950676804</v>
      </c>
      <c r="E11" s="668">
        <f t="shared" si="25"/>
        <v>0.46820521334882947</v>
      </c>
      <c r="F11" s="668">
        <f t="shared" si="25"/>
        <v>0.16357570960081413</v>
      </c>
      <c r="G11" s="13"/>
      <c r="H11" s="13"/>
      <c r="I11" s="13"/>
      <c r="J11" s="13"/>
      <c r="K11" s="668">
        <f t="shared" ref="K11:U13" si="26">K20/F20-1</f>
        <v>0.35866660187569854</v>
      </c>
      <c r="L11" s="13">
        <f t="shared" si="26"/>
        <v>0.56683480453972268</v>
      </c>
      <c r="M11" s="13">
        <f t="shared" si="26"/>
        <v>0.28476163450624292</v>
      </c>
      <c r="N11" s="13">
        <f t="shared" si="26"/>
        <v>0.3484804630969609</v>
      </c>
      <c r="O11" s="13">
        <f t="shared" si="26"/>
        <v>-6.3825183903071903E-2</v>
      </c>
      <c r="P11" s="668">
        <f t="shared" si="26"/>
        <v>0.2332618025751072</v>
      </c>
      <c r="Q11" s="13">
        <f t="shared" si="26"/>
        <v>-0.11106639839034205</v>
      </c>
      <c r="R11" s="13">
        <f t="shared" si="26"/>
        <v>-8.3048039757040226E-2</v>
      </c>
      <c r="S11" s="13">
        <f t="shared" si="26"/>
        <v>-3.6488516849109254E-2</v>
      </c>
      <c r="T11" s="13">
        <f t="shared" si="26"/>
        <v>-0.17910792697018763</v>
      </c>
      <c r="U11" s="668">
        <f t="shared" si="26"/>
        <v>-0.10063221390870591</v>
      </c>
      <c r="V11" s="13"/>
      <c r="W11" s="13"/>
      <c r="X11" s="13"/>
      <c r="Y11" s="13"/>
      <c r="Z11" s="668"/>
      <c r="AA11" s="13"/>
      <c r="AB11" s="13"/>
      <c r="AC11" s="13"/>
      <c r="AD11" s="13"/>
      <c r="AE11" s="668"/>
      <c r="AF11" s="13"/>
      <c r="AG11" s="13"/>
      <c r="AH11" s="13"/>
      <c r="AI11" s="13"/>
      <c r="AJ11" s="668"/>
      <c r="AK11" s="13"/>
      <c r="AL11" s="13"/>
      <c r="AM11" s="13"/>
      <c r="AN11" s="13"/>
      <c r="AO11" s="668"/>
      <c r="AP11" s="13"/>
      <c r="AQ11" s="13"/>
      <c r="AR11" s="13"/>
      <c r="AS11" s="13"/>
      <c r="AT11" s="668"/>
      <c r="AU11" s="13"/>
      <c r="AV11" s="13"/>
      <c r="AW11" s="13"/>
      <c r="AX11" s="13"/>
      <c r="AY11" s="668"/>
      <c r="AZ11" s="13"/>
      <c r="BA11" s="13"/>
      <c r="BB11" s="13"/>
      <c r="BC11" s="13"/>
      <c r="BD11" s="668"/>
      <c r="BE11" s="13"/>
      <c r="BF11" s="13"/>
      <c r="BG11" s="13"/>
      <c r="BH11" s="13"/>
      <c r="BI11" s="668"/>
      <c r="BJ11" s="13"/>
      <c r="BK11" s="13"/>
      <c r="BL11" s="388"/>
      <c r="BM11" s="13"/>
      <c r="BN11" s="668"/>
      <c r="BO11" s="13"/>
      <c r="BP11" s="13"/>
      <c r="BQ11" s="13"/>
      <c r="BR11" s="13"/>
      <c r="BS11" s="668"/>
      <c r="BT11" s="668"/>
      <c r="BU11" s="668"/>
      <c r="BV11" s="668"/>
      <c r="BW11" s="135"/>
    </row>
    <row r="12" spans="1:75" s="443" customFormat="1" collapsed="1">
      <c r="A12" s="15" t="s">
        <v>114</v>
      </c>
      <c r="B12" s="47"/>
      <c r="C12" s="670"/>
      <c r="D12" s="670">
        <f t="shared" si="25"/>
        <v>5.0566037735849054</v>
      </c>
      <c r="E12" s="670">
        <f t="shared" si="25"/>
        <v>2.6998961578400835</v>
      </c>
      <c r="F12" s="670">
        <f t="shared" si="25"/>
        <v>9.8652820656749851E-2</v>
      </c>
      <c r="G12" s="16"/>
      <c r="H12" s="16"/>
      <c r="I12" s="16"/>
      <c r="J12" s="16"/>
      <c r="K12" s="670">
        <f t="shared" si="26"/>
        <v>0.53851066547451776</v>
      </c>
      <c r="L12" s="16">
        <f t="shared" si="26"/>
        <v>0.5602159468438539</v>
      </c>
      <c r="M12" s="16">
        <f t="shared" si="26"/>
        <v>-0.11296412838263059</v>
      </c>
      <c r="N12" s="16">
        <f t="shared" si="26"/>
        <v>1.147873711340206</v>
      </c>
      <c r="O12" s="16">
        <f t="shared" si="26"/>
        <v>0.61758569299553012</v>
      </c>
      <c r="P12" s="670">
        <f t="shared" si="26"/>
        <v>0.55002075550020768</v>
      </c>
      <c r="Q12" s="16">
        <f t="shared" si="26"/>
        <v>0.78466861857865311</v>
      </c>
      <c r="R12" s="16">
        <f t="shared" si="26"/>
        <v>1.2788222774033349</v>
      </c>
      <c r="S12" s="16">
        <f t="shared" si="26"/>
        <v>1.3499325033747844E-3</v>
      </c>
      <c r="T12" s="16">
        <f t="shared" si="26"/>
        <v>0.25373134328358216</v>
      </c>
      <c r="U12" s="670">
        <f t="shared" si="26"/>
        <v>0.42522763792179963</v>
      </c>
      <c r="V12" s="16">
        <f t="shared" ref="V12:AE13" si="27">V21/Q21-1</f>
        <v>-0.84086502609992542</v>
      </c>
      <c r="W12" s="16">
        <f t="shared" si="27"/>
        <v>-6.1176836861768447E-2</v>
      </c>
      <c r="X12" s="16">
        <f t="shared" si="27"/>
        <v>1.1234272019173153E-2</v>
      </c>
      <c r="Y12" s="16">
        <f t="shared" si="27"/>
        <v>4.3503821281598798E-2</v>
      </c>
      <c r="Z12" s="670">
        <f t="shared" si="27"/>
        <v>-0.79957908978165282</v>
      </c>
      <c r="AA12" s="16">
        <f t="shared" si="27"/>
        <v>1.07029053420806</v>
      </c>
      <c r="AB12" s="16">
        <f t="shared" si="27"/>
        <v>-0.36544519980102796</v>
      </c>
      <c r="AC12" s="16">
        <f t="shared" si="27"/>
        <v>-0.36883424677825505</v>
      </c>
      <c r="AD12" s="16">
        <f t="shared" si="27"/>
        <v>-0.34915492957746475</v>
      </c>
      <c r="AE12" s="670">
        <f t="shared" si="27"/>
        <v>1.7972998312394526</v>
      </c>
      <c r="AF12" s="16">
        <f t="shared" ref="AF12:AO13" si="28">AF21/AA21-1</f>
        <v>1.3503847894975101</v>
      </c>
      <c r="AG12" s="16">
        <f t="shared" si="28"/>
        <v>0.35223412594721704</v>
      </c>
      <c r="AH12" s="16">
        <f t="shared" si="28"/>
        <v>0.30298052100445894</v>
      </c>
      <c r="AI12" s="16">
        <f t="shared" si="28"/>
        <v>0.22765635143908192</v>
      </c>
      <c r="AJ12" s="670">
        <f t="shared" si="28"/>
        <v>0.44737900522858265</v>
      </c>
      <c r="AK12" s="16">
        <f t="shared" si="28"/>
        <v>7.8967642526964532E-2</v>
      </c>
      <c r="AL12" s="16">
        <f t="shared" si="28"/>
        <v>0.15285024154589388</v>
      </c>
      <c r="AM12" s="16">
        <f t="shared" si="28"/>
        <v>0.13508645533141217</v>
      </c>
      <c r="AN12" s="16">
        <f t="shared" si="28"/>
        <v>0.22739291380222104</v>
      </c>
      <c r="AO12" s="670">
        <f t="shared" si="28"/>
        <v>0.15010188958873649</v>
      </c>
      <c r="AP12" s="16">
        <f t="shared" ref="AP12:AQ13" si="29">AP21/AK21-1</f>
        <v>0.27972152802570505</v>
      </c>
      <c r="AQ12" s="16">
        <f t="shared" si="29"/>
        <v>-0.52581293999329537</v>
      </c>
      <c r="AR12" s="16">
        <f t="shared" ref="AR12:AT13" si="30">AR21/AM21-1</f>
        <v>-0.17042208822595994</v>
      </c>
      <c r="AS12" s="16">
        <f t="shared" si="30"/>
        <v>-5.5723107855809029E-2</v>
      </c>
      <c r="AT12" s="670">
        <f t="shared" si="30"/>
        <v>-0.12209559859863894</v>
      </c>
      <c r="AU12" s="16">
        <f t="shared" ref="AU12:AW13" si="31">AU21/AP21-1</f>
        <v>-0.12051890082298788</v>
      </c>
      <c r="AV12" s="16">
        <f t="shared" si="31"/>
        <v>2.0759985860728172</v>
      </c>
      <c r="AW12" s="16">
        <f t="shared" si="31"/>
        <v>0.78347360367253249</v>
      </c>
      <c r="AX12" s="16">
        <f t="shared" ref="AX12:AZ13" si="32">AX21/AS21-1</f>
        <v>0.38205323193916363</v>
      </c>
      <c r="AY12" s="670">
        <f t="shared" si="32"/>
        <v>0.53286546488693176</v>
      </c>
      <c r="AZ12" s="16">
        <f t="shared" si="32"/>
        <v>0.61950832672482159</v>
      </c>
      <c r="BA12" s="16">
        <f t="shared" ref="BA12:BD13" si="33">BA21/AV21-1</f>
        <v>0.31303148701447947</v>
      </c>
      <c r="BB12" s="16">
        <f t="shared" si="33"/>
        <v>0.24141999141999126</v>
      </c>
      <c r="BC12" s="16">
        <f t="shared" si="33"/>
        <v>0.30163970507318094</v>
      </c>
      <c r="BD12" s="670">
        <f t="shared" si="33"/>
        <v>0.34777664731581792</v>
      </c>
      <c r="BE12" s="16">
        <f t="shared" ref="BE12:BG13" si="34">BE21/AZ21-1</f>
        <v>0.14964254235628238</v>
      </c>
      <c r="BF12" s="16">
        <f t="shared" si="34"/>
        <v>3.0456852791878042E-2</v>
      </c>
      <c r="BG12" s="16">
        <f t="shared" si="34"/>
        <v>3.1965442764579022E-2</v>
      </c>
      <c r="BH12" s="16">
        <f t="shared" ref="BH12:BJ13" si="35">BH21/BC21-1</f>
        <v>2.1136286777139635E-2</v>
      </c>
      <c r="BI12" s="670">
        <f t="shared" si="35"/>
        <v>5.5417406749556086E-2</v>
      </c>
      <c r="BJ12" s="16">
        <f t="shared" si="35"/>
        <v>0.28750319447993866</v>
      </c>
      <c r="BK12" s="16">
        <f>BK21/BF21-1</f>
        <v>0.33157805333786317</v>
      </c>
      <c r="BL12" s="389">
        <f>BL21/BG21-1</f>
        <v>0.33428212641272492</v>
      </c>
      <c r="BM12" s="608">
        <v>0.3</v>
      </c>
      <c r="BN12" s="670">
        <f>IFERROR(BN21/BI21-1,"n/a")</f>
        <v>0.31334988219454751</v>
      </c>
      <c r="BO12" s="608">
        <v>0.1</v>
      </c>
      <c r="BP12" s="608">
        <v>0.08</v>
      </c>
      <c r="BQ12" s="608">
        <v>0.1</v>
      </c>
      <c r="BR12" s="608">
        <v>0.1</v>
      </c>
      <c r="BS12" s="670">
        <f>IFERROR(BS21/BN21-1,"n/a")</f>
        <v>9.4977527334001888E-2</v>
      </c>
      <c r="BT12" s="672">
        <v>0.05</v>
      </c>
      <c r="BU12" s="672">
        <v>0.05</v>
      </c>
      <c r="BV12" s="672">
        <v>0.05</v>
      </c>
      <c r="BW12" s="135"/>
    </row>
    <row r="13" spans="1:75" s="442" customFormat="1">
      <c r="A13" s="65" t="s">
        <v>115</v>
      </c>
      <c r="B13" s="17"/>
      <c r="C13" s="673"/>
      <c r="D13" s="673">
        <f t="shared" si="25"/>
        <v>0.84946528208307481</v>
      </c>
      <c r="E13" s="673">
        <f t="shared" si="25"/>
        <v>0.74488278058284951</v>
      </c>
      <c r="F13" s="673">
        <f t="shared" si="25"/>
        <v>0.65176202197274424</v>
      </c>
      <c r="G13" s="10"/>
      <c r="H13" s="10"/>
      <c r="I13" s="10"/>
      <c r="J13" s="10"/>
      <c r="K13" s="673">
        <f t="shared" si="26"/>
        <v>0.6936329206859202</v>
      </c>
      <c r="L13" s="10">
        <f t="shared" si="26"/>
        <v>0.65623306526781255</v>
      </c>
      <c r="M13" s="10">
        <f t="shared" si="26"/>
        <v>0.61363429838431194</v>
      </c>
      <c r="N13" s="10">
        <f t="shared" si="26"/>
        <v>0.67462120592994568</v>
      </c>
      <c r="O13" s="10">
        <f t="shared" si="26"/>
        <v>0.5553495350384281</v>
      </c>
      <c r="P13" s="673">
        <f t="shared" si="26"/>
        <v>0.62040963483097844</v>
      </c>
      <c r="Q13" s="10">
        <f t="shared" si="26"/>
        <v>0.55100972423992545</v>
      </c>
      <c r="R13" s="10">
        <f t="shared" si="26"/>
        <v>0.50825008165609864</v>
      </c>
      <c r="S13" s="10">
        <f t="shared" si="26"/>
        <v>0.40119076667805387</v>
      </c>
      <c r="T13" s="10">
        <f t="shared" si="26"/>
        <v>0.3989916914648679</v>
      </c>
      <c r="U13" s="673">
        <f t="shared" si="26"/>
        <v>0.4560492244448211</v>
      </c>
      <c r="V13" s="10">
        <f t="shared" si="27"/>
        <v>0.33841597191750794</v>
      </c>
      <c r="W13" s="10">
        <f t="shared" si="27"/>
        <v>0.29507964125962372</v>
      </c>
      <c r="X13" s="10">
        <f t="shared" si="27"/>
        <v>0.29725060776405532</v>
      </c>
      <c r="Y13" s="10">
        <f t="shared" si="27"/>
        <v>0.26714846062277631</v>
      </c>
      <c r="Z13" s="673">
        <f t="shared" si="27"/>
        <v>0.29717069514708627</v>
      </c>
      <c r="AA13" s="10">
        <f t="shared" si="27"/>
        <v>0.24941839571787949</v>
      </c>
      <c r="AB13" s="10">
        <f t="shared" si="27"/>
        <v>0.21056000184514612</v>
      </c>
      <c r="AC13" s="10">
        <f t="shared" si="27"/>
        <v>0.19897224966708205</v>
      </c>
      <c r="AD13" s="10">
        <f t="shared" si="27"/>
        <v>0.12649383983572871</v>
      </c>
      <c r="AE13" s="673">
        <f t="shared" si="27"/>
        <v>0.19321832810008566</v>
      </c>
      <c r="AF13" s="10">
        <f t="shared" si="28"/>
        <v>0.12564715855763109</v>
      </c>
      <c r="AG13" s="10">
        <f t="shared" si="28"/>
        <v>0.11868822786920408</v>
      </c>
      <c r="AH13" s="10">
        <f t="shared" si="28"/>
        <v>7.9758337923838019E-2</v>
      </c>
      <c r="AI13" s="10">
        <f t="shared" si="28"/>
        <v>0.11073135831499159</v>
      </c>
      <c r="AJ13" s="673">
        <f t="shared" si="28"/>
        <v>0.10804057603775985</v>
      </c>
      <c r="AK13" s="10">
        <f t="shared" si="28"/>
        <v>5.7684893802056658E-2</v>
      </c>
      <c r="AL13" s="10">
        <f t="shared" si="28"/>
        <v>5.1485334003227301E-2</v>
      </c>
      <c r="AM13" s="10">
        <f t="shared" si="28"/>
        <v>8.8670073331785115E-2</v>
      </c>
      <c r="AN13" s="10">
        <f t="shared" si="28"/>
        <v>0.10290883728563238</v>
      </c>
      <c r="AO13" s="673">
        <f t="shared" si="28"/>
        <v>7.5756306130956297E-2</v>
      </c>
      <c r="AP13" s="10">
        <f t="shared" si="29"/>
        <v>5.9162845106000672E-2</v>
      </c>
      <c r="AQ13" s="10">
        <f t="shared" si="29"/>
        <v>-0.31554331760847121</v>
      </c>
      <c r="AR13" s="10">
        <f t="shared" si="30"/>
        <v>-0.15874715209887469</v>
      </c>
      <c r="AS13" s="10">
        <f t="shared" si="30"/>
        <v>-0.13253330258199669</v>
      </c>
      <c r="AT13" s="673">
        <f t="shared" si="30"/>
        <v>-0.1392840028633574</v>
      </c>
      <c r="AU13" s="10">
        <f t="shared" si="31"/>
        <v>-7.124821429285999E-2</v>
      </c>
      <c r="AV13" s="10">
        <f t="shared" si="31"/>
        <v>0.52155238715021035</v>
      </c>
      <c r="AW13" s="10">
        <f t="shared" si="31"/>
        <v>0.21896044962342653</v>
      </c>
      <c r="AX13" s="10">
        <f t="shared" si="32"/>
        <v>0.17240935697592175</v>
      </c>
      <c r="AY13" s="673">
        <f t="shared" si="32"/>
        <v>0.18203688026457909</v>
      </c>
      <c r="AZ13" s="10">
        <f t="shared" si="32"/>
        <v>0.19186888184199669</v>
      </c>
      <c r="BA13" s="10">
        <f t="shared" si="33"/>
        <v>0.16212264957929601</v>
      </c>
      <c r="BB13" s="10">
        <f t="shared" si="33"/>
        <v>0.14763240511972664</v>
      </c>
      <c r="BC13" s="10">
        <f t="shared" si="33"/>
        <v>0.13058888076079</v>
      </c>
      <c r="BD13" s="673">
        <f t="shared" si="33"/>
        <v>0.15667851283000567</v>
      </c>
      <c r="BE13" s="10">
        <f t="shared" si="34"/>
        <v>0.12945182700232771</v>
      </c>
      <c r="BF13" s="10">
        <f t="shared" si="34"/>
        <v>0.12794930474699195</v>
      </c>
      <c r="BG13" s="10">
        <f t="shared" si="34"/>
        <v>0.11729380266825506</v>
      </c>
      <c r="BH13" s="10">
        <f t="shared" si="35"/>
        <v>0.10764373040701658</v>
      </c>
      <c r="BI13" s="673">
        <f t="shared" si="35"/>
        <v>0.1202809202467352</v>
      </c>
      <c r="BJ13" s="10">
        <f t="shared" si="35"/>
        <v>6.5017699511583205E-2</v>
      </c>
      <c r="BK13" s="10">
        <f>BK22/BF22-1</f>
        <v>5.8998712647496898E-2</v>
      </c>
      <c r="BL13" s="390">
        <f>BL22/BG22-1</f>
        <v>4.4106142175810437E-2</v>
      </c>
      <c r="BM13" s="10">
        <f t="shared" ref="BM13:BS13" si="36">BM22/BH22-1</f>
        <v>2.3512367849498839E-2</v>
      </c>
      <c r="BN13" s="673">
        <f t="shared" si="36"/>
        <v>4.7474290986386558E-2</v>
      </c>
      <c r="BO13" s="10">
        <f t="shared" si="36"/>
        <v>5.5727267238483202E-2</v>
      </c>
      <c r="BP13" s="10">
        <f t="shared" si="36"/>
        <v>8.2295170845704702E-2</v>
      </c>
      <c r="BQ13" s="10">
        <f t="shared" si="36"/>
        <v>7.5209939534401027E-2</v>
      </c>
      <c r="BR13" s="10">
        <f t="shared" si="36"/>
        <v>0.13159170670779163</v>
      </c>
      <c r="BS13" s="673">
        <f t="shared" si="36"/>
        <v>8.6494376722719313E-2</v>
      </c>
      <c r="BT13" s="673">
        <f>BT22/BS22-1</f>
        <v>3.5141603890546547E-2</v>
      </c>
      <c r="BU13" s="673">
        <f>BU22/BT22-1</f>
        <v>7.5599103104432297E-2</v>
      </c>
      <c r="BV13" s="673">
        <f>BV22/BU22-1</f>
        <v>9.2037360225687426E-2</v>
      </c>
      <c r="BW13" s="84"/>
    </row>
    <row r="14" spans="1:75" s="442" customFormat="1">
      <c r="A14" s="65"/>
      <c r="B14" s="17"/>
      <c r="C14" s="673"/>
      <c r="D14" s="673"/>
      <c r="E14" s="673"/>
      <c r="F14" s="673"/>
      <c r="G14" s="10"/>
      <c r="H14" s="10"/>
      <c r="I14" s="10"/>
      <c r="J14" s="10"/>
      <c r="K14" s="673"/>
      <c r="L14" s="10"/>
      <c r="M14" s="10"/>
      <c r="N14" s="10"/>
      <c r="O14" s="10"/>
      <c r="P14" s="673"/>
      <c r="Q14" s="10"/>
      <c r="R14" s="10"/>
      <c r="S14" s="10"/>
      <c r="T14" s="10"/>
      <c r="U14" s="673"/>
      <c r="V14" s="10"/>
      <c r="W14" s="10"/>
      <c r="X14" s="10"/>
      <c r="Y14" s="10"/>
      <c r="Z14" s="673"/>
      <c r="AA14" s="10"/>
      <c r="AB14" s="10"/>
      <c r="AC14" s="10"/>
      <c r="AD14" s="10"/>
      <c r="AE14" s="673"/>
      <c r="AF14" s="10"/>
      <c r="AG14" s="10"/>
      <c r="AH14" s="10"/>
      <c r="AI14" s="10"/>
      <c r="AJ14" s="673"/>
      <c r="AK14" s="10"/>
      <c r="AL14" s="10"/>
      <c r="AM14" s="10"/>
      <c r="AN14" s="10"/>
      <c r="AO14" s="673"/>
      <c r="AP14" s="10"/>
      <c r="AQ14" s="10"/>
      <c r="AR14" s="10"/>
      <c r="AS14" s="10"/>
      <c r="AT14" s="673"/>
      <c r="AU14" s="10"/>
      <c r="AV14" s="10"/>
      <c r="AW14" s="10"/>
      <c r="AX14" s="10"/>
      <c r="AY14" s="673"/>
      <c r="AZ14" s="10"/>
      <c r="BA14" s="10"/>
      <c r="BB14" s="10"/>
      <c r="BC14" s="10"/>
      <c r="BD14" s="673"/>
      <c r="BE14" s="10"/>
      <c r="BF14" s="10"/>
      <c r="BG14" s="10"/>
      <c r="BH14" s="10"/>
      <c r="BI14" s="673"/>
      <c r="BJ14" s="10"/>
      <c r="BK14" s="10"/>
      <c r="BL14" s="390"/>
      <c r="BM14" s="10"/>
      <c r="BN14" s="673"/>
      <c r="BO14" s="10"/>
      <c r="BP14" s="10"/>
      <c r="BQ14" s="10"/>
      <c r="BR14" s="10"/>
      <c r="BS14" s="673"/>
      <c r="BT14" s="673"/>
      <c r="BU14" s="673"/>
      <c r="BV14" s="673"/>
      <c r="BW14" s="84"/>
    </row>
    <row r="15" spans="1:75" s="444" customFormat="1">
      <c r="A15" s="517" t="s">
        <v>116</v>
      </c>
      <c r="B15" s="517"/>
      <c r="C15" s="517"/>
      <c r="D15" s="517"/>
      <c r="E15" s="517"/>
      <c r="F15" s="517"/>
      <c r="G15" s="517"/>
      <c r="H15" s="517"/>
      <c r="I15" s="517"/>
      <c r="J15" s="517"/>
      <c r="K15" s="517"/>
      <c r="L15" s="517"/>
      <c r="M15" s="517"/>
      <c r="N15" s="517"/>
      <c r="O15" s="517"/>
      <c r="P15" s="517"/>
      <c r="Q15" s="517"/>
      <c r="R15" s="517"/>
      <c r="S15" s="517"/>
      <c r="T15" s="517"/>
      <c r="U15" s="517"/>
      <c r="V15" s="517"/>
      <c r="W15" s="517"/>
      <c r="X15" s="517"/>
      <c r="Y15" s="517"/>
      <c r="Z15" s="517"/>
      <c r="AA15" s="517"/>
      <c r="AB15" s="517"/>
      <c r="AC15" s="517"/>
      <c r="AD15" s="517"/>
      <c r="AE15" s="517"/>
      <c r="AF15" s="517"/>
      <c r="AG15" s="517"/>
      <c r="AH15" s="517"/>
      <c r="AI15" s="517"/>
      <c r="AJ15" s="517"/>
      <c r="AK15" s="517"/>
      <c r="AL15" s="517"/>
      <c r="AM15" s="517"/>
      <c r="AN15" s="517"/>
      <c r="AO15" s="517"/>
      <c r="AP15" s="517"/>
      <c r="AQ15" s="517"/>
      <c r="AR15" s="517"/>
      <c r="AS15" s="517"/>
      <c r="AT15" s="517"/>
      <c r="AU15" s="517"/>
      <c r="AV15" s="517"/>
      <c r="AW15" s="517"/>
      <c r="AX15" s="517"/>
      <c r="AY15" s="517"/>
      <c r="AZ15" s="517"/>
      <c r="BA15" s="517"/>
      <c r="BB15" s="517"/>
      <c r="BC15" s="517"/>
      <c r="BD15" s="517"/>
      <c r="BE15" s="557" t="s">
        <v>117</v>
      </c>
      <c r="BF15" s="557" t="s">
        <v>117</v>
      </c>
      <c r="BG15" s="557" t="s">
        <v>117</v>
      </c>
      <c r="BH15" s="557" t="s">
        <v>117</v>
      </c>
      <c r="BI15" s="557" t="s">
        <v>117</v>
      </c>
      <c r="BJ15" s="557"/>
      <c r="BK15" s="557"/>
      <c r="BL15" s="558"/>
      <c r="BM15" s="517"/>
      <c r="BN15" s="517"/>
      <c r="BO15" s="517"/>
      <c r="BP15" s="517"/>
      <c r="BQ15" s="517"/>
      <c r="BR15" s="517"/>
      <c r="BS15" s="517"/>
      <c r="BT15" s="517"/>
      <c r="BU15" s="517"/>
      <c r="BV15" s="517"/>
      <c r="BW15" s="318"/>
    </row>
    <row r="16" spans="1:75" s="439" customFormat="1">
      <c r="A16" s="41" t="s">
        <v>118</v>
      </c>
      <c r="B16" s="24"/>
      <c r="C16" s="89"/>
      <c r="D16" s="89"/>
      <c r="E16" s="89"/>
      <c r="F16" s="89"/>
      <c r="G16" s="518"/>
      <c r="H16" s="518"/>
      <c r="I16" s="518"/>
      <c r="J16" s="518"/>
      <c r="K16" s="89"/>
      <c r="L16" s="518"/>
      <c r="M16" s="518"/>
      <c r="N16" s="518"/>
      <c r="O16" s="518"/>
      <c r="P16" s="89"/>
      <c r="Q16" s="518"/>
      <c r="R16" s="518"/>
      <c r="S16" s="518"/>
      <c r="T16" s="518"/>
      <c r="U16" s="89"/>
      <c r="V16" s="518"/>
      <c r="W16" s="518"/>
      <c r="X16" s="518"/>
      <c r="Y16" s="518"/>
      <c r="Z16" s="89"/>
      <c r="AA16" s="518"/>
      <c r="AB16" s="518"/>
      <c r="AC16" s="518"/>
      <c r="AD16" s="518"/>
      <c r="AE16" s="89"/>
      <c r="AF16" s="609">
        <v>106.589</v>
      </c>
      <c r="AG16" s="609">
        <v>114.968</v>
      </c>
      <c r="AH16" s="609">
        <v>118.039</v>
      </c>
      <c r="AI16" s="609">
        <v>117.935</v>
      </c>
      <c r="AJ16" s="89">
        <f>SUM(AF16,AG16,AH16,AI16)</f>
        <v>457.53100000000001</v>
      </c>
      <c r="AK16" s="609">
        <v>116.29</v>
      </c>
      <c r="AL16" s="609">
        <v>124.098</v>
      </c>
      <c r="AM16" s="609">
        <v>134.84</v>
      </c>
      <c r="AN16" s="609">
        <v>137.501</v>
      </c>
      <c r="AO16" s="89">
        <f>SUM(AK16,AL16,AM16,AN16)</f>
        <v>512.72900000000004</v>
      </c>
      <c r="AP16" s="609">
        <v>133.08199999999999</v>
      </c>
      <c r="AQ16" s="609">
        <v>109.583</v>
      </c>
      <c r="AR16" s="609">
        <v>133.46700000000001</v>
      </c>
      <c r="AS16" s="609">
        <v>138.887</v>
      </c>
      <c r="AT16" s="89">
        <f>SUM(AP16,AQ16,AR16,AS16)</f>
        <v>515.01900000000001</v>
      </c>
      <c r="AU16" s="609">
        <v>140.68700000000001</v>
      </c>
      <c r="AV16" s="609">
        <v>152.52199999999999</v>
      </c>
      <c r="AW16" s="609">
        <v>157.31899999999999</v>
      </c>
      <c r="AX16" s="609">
        <v>157.24199999999999</v>
      </c>
      <c r="AY16" s="89">
        <f>SUM(AU16,AV16,AW16,AX16)</f>
        <v>607.77</v>
      </c>
      <c r="AZ16" s="609">
        <v>160.26300000000001</v>
      </c>
      <c r="BA16" s="609">
        <v>174.298</v>
      </c>
      <c r="BB16" s="609">
        <v>180.95699999999999</v>
      </c>
      <c r="BC16" s="609">
        <v>178.292</v>
      </c>
      <c r="BD16" s="89">
        <f>SUM(AZ16,BA16,BB16,BC16)</f>
        <v>693.81000000000006</v>
      </c>
      <c r="BE16" s="609">
        <v>183.52</v>
      </c>
      <c r="BF16" s="609">
        <v>200.274</v>
      </c>
      <c r="BG16" s="609">
        <v>206.178</v>
      </c>
      <c r="BH16" s="609">
        <v>203.14</v>
      </c>
      <c r="BI16" s="89">
        <f>SUM(BE16,BF16,BG16,BH16)</f>
        <v>793.11199999999997</v>
      </c>
      <c r="BJ16" s="609">
        <v>203.28800000000001</v>
      </c>
      <c r="BK16" s="609">
        <v>222.95500000000001</v>
      </c>
      <c r="BL16" s="610">
        <v>228.00899999999999</v>
      </c>
      <c r="BM16" s="518">
        <f>BM33*BM37/1000*3</f>
        <v>228.84101887499997</v>
      </c>
      <c r="BN16" s="89">
        <f>SUM(BJ16,BK16,BL16,BM16)</f>
        <v>883.0930188750001</v>
      </c>
      <c r="BO16" s="518">
        <f t="shared" ref="BO16:BR17" si="37">BO33*BO37/1000*3</f>
        <v>226.74056349295776</v>
      </c>
      <c r="BP16" s="518">
        <f t="shared" si="37"/>
        <v>245.69984685573129</v>
      </c>
      <c r="BQ16" s="518">
        <f t="shared" si="37"/>
        <v>248.2318662237154</v>
      </c>
      <c r="BR16" s="518">
        <f t="shared" si="37"/>
        <v>260.999902482165</v>
      </c>
      <c r="BS16" s="89">
        <f>SUM(BO16,BP16,BQ16,BR16)</f>
        <v>981.67217905456948</v>
      </c>
      <c r="BT16" s="89">
        <f t="shared" ref="BT16:BV17" si="38">BT33*BT37/1000*12</f>
        <v>1042.9573120730636</v>
      </c>
      <c r="BU16" s="89">
        <f t="shared" si="38"/>
        <v>1137.4533474567475</v>
      </c>
      <c r="BV16" s="89">
        <f t="shared" si="38"/>
        <v>1265.1978833538476</v>
      </c>
      <c r="BW16" s="519"/>
    </row>
    <row r="17" spans="1:75" s="439" customFormat="1">
      <c r="A17" s="251" t="s">
        <v>119</v>
      </c>
      <c r="B17" s="81"/>
      <c r="C17" s="674"/>
      <c r="D17" s="674"/>
      <c r="E17" s="674"/>
      <c r="F17" s="674"/>
      <c r="G17" s="521"/>
      <c r="H17" s="521"/>
      <c r="I17" s="521"/>
      <c r="J17" s="521"/>
      <c r="K17" s="674"/>
      <c r="L17" s="521"/>
      <c r="M17" s="521"/>
      <c r="N17" s="521"/>
      <c r="O17" s="521"/>
      <c r="P17" s="674"/>
      <c r="Q17" s="521"/>
      <c r="R17" s="521"/>
      <c r="S17" s="521"/>
      <c r="T17" s="521"/>
      <c r="U17" s="674"/>
      <c r="V17" s="521"/>
      <c r="W17" s="521"/>
      <c r="X17" s="521"/>
      <c r="Y17" s="521"/>
      <c r="Z17" s="674"/>
      <c r="AA17" s="521"/>
      <c r="AB17" s="521"/>
      <c r="AC17" s="521"/>
      <c r="AD17" s="521"/>
      <c r="AE17" s="674"/>
      <c r="AF17" s="611">
        <v>107.45399999999999</v>
      </c>
      <c r="AG17" s="611">
        <v>111.2</v>
      </c>
      <c r="AH17" s="611">
        <v>114.46299999999999</v>
      </c>
      <c r="AI17" s="611">
        <v>116.839</v>
      </c>
      <c r="AJ17" s="674">
        <f>SUM(AF17,AG17,AH17,AI17)</f>
        <v>449.95599999999996</v>
      </c>
      <c r="AK17" s="611">
        <v>110.74299999999999</v>
      </c>
      <c r="AL17" s="611">
        <v>113.744</v>
      </c>
      <c r="AM17" s="611">
        <v>118.258</v>
      </c>
      <c r="AN17" s="611">
        <v>121.45099999999999</v>
      </c>
      <c r="AO17" s="674">
        <f>SUM(AK17,AL17,AM17,AN17)</f>
        <v>464.19600000000003</v>
      </c>
      <c r="AP17" s="611">
        <v>107.011</v>
      </c>
      <c r="AQ17" s="611">
        <v>52.65</v>
      </c>
      <c r="AR17" s="611">
        <v>77.7</v>
      </c>
      <c r="AS17" s="611">
        <v>83.734999999999999</v>
      </c>
      <c r="AT17" s="674">
        <f>SUM(AP17,AQ17,AR17,AS17)</f>
        <v>321.096</v>
      </c>
      <c r="AU17" s="611">
        <v>81.3</v>
      </c>
      <c r="AV17" s="611">
        <v>92.438999999999993</v>
      </c>
      <c r="AW17" s="611">
        <v>99.510999999999996</v>
      </c>
      <c r="AX17" s="611">
        <v>104.205</v>
      </c>
      <c r="AY17" s="674">
        <f>SUM(AU17,AV17,AW17,AX17)</f>
        <v>377.45499999999998</v>
      </c>
      <c r="AZ17" s="611">
        <v>102.974</v>
      </c>
      <c r="BA17" s="611">
        <v>109.22</v>
      </c>
      <c r="BB17" s="611">
        <v>112.70699999999999</v>
      </c>
      <c r="BC17" s="611">
        <v>115.69199999999999</v>
      </c>
      <c r="BD17" s="674">
        <f>SUM(AZ17,BA17,BB17,BC17)</f>
        <v>440.59300000000002</v>
      </c>
      <c r="BE17" s="611">
        <v>113.623</v>
      </c>
      <c r="BF17" s="611">
        <v>121.69799999999999</v>
      </c>
      <c r="BG17" s="611">
        <v>123.854</v>
      </c>
      <c r="BH17" s="611">
        <v>124.23099999999999</v>
      </c>
      <c r="BI17" s="674">
        <f>SUM(BE17,BF17,BG17,BH17)</f>
        <v>483.40600000000001</v>
      </c>
      <c r="BJ17" s="611">
        <v>114.35</v>
      </c>
      <c r="BK17" s="611">
        <v>118.383</v>
      </c>
      <c r="BL17" s="612">
        <v>116.39700000000001</v>
      </c>
      <c r="BM17" s="521">
        <f>BM34*BM38/1000*3</f>
        <v>105.88365157984003</v>
      </c>
      <c r="BN17" s="674">
        <f>SUM(BJ17,BK17,BL17,BM17)</f>
        <v>455.01365157984003</v>
      </c>
      <c r="BO17" s="521">
        <f t="shared" si="37"/>
        <v>107.92939613518197</v>
      </c>
      <c r="BP17" s="521">
        <f t="shared" si="37"/>
        <v>123.76460585891888</v>
      </c>
      <c r="BQ17" s="521">
        <f t="shared" si="37"/>
        <v>121.68178422786886</v>
      </c>
      <c r="BR17" s="521">
        <f t="shared" si="37"/>
        <v>118.26779265873219</v>
      </c>
      <c r="BS17" s="674">
        <f>SUM(BO17,BP17,BQ17,BR17)</f>
        <v>471.64357888070197</v>
      </c>
      <c r="BT17" s="674">
        <f t="shared" si="38"/>
        <v>460.41455803618794</v>
      </c>
      <c r="BU17" s="674">
        <f t="shared" si="38"/>
        <v>481.40956642930382</v>
      </c>
      <c r="BV17" s="674">
        <f t="shared" si="38"/>
        <v>505.82917063719947</v>
      </c>
      <c r="BW17" s="519"/>
    </row>
    <row r="18" spans="1:75" s="439" customFormat="1">
      <c r="A18" s="31" t="s">
        <v>120</v>
      </c>
      <c r="B18" s="24"/>
      <c r="C18" s="675">
        <v>20.097000000000001</v>
      </c>
      <c r="D18" s="675">
        <v>33.759</v>
      </c>
      <c r="E18" s="675">
        <v>58.472999999999999</v>
      </c>
      <c r="F18" s="675">
        <v>109.15900000000001</v>
      </c>
      <c r="G18" s="609">
        <v>38.966999999999999</v>
      </c>
      <c r="H18" s="609">
        <v>44.796999999999997</v>
      </c>
      <c r="I18" s="609">
        <v>51.167000000000002</v>
      </c>
      <c r="J18" s="518">
        <f>K18-SUM(G18,H18,I18)</f>
        <v>58.052000000000021</v>
      </c>
      <c r="K18" s="675">
        <v>192.983</v>
      </c>
      <c r="L18" s="609">
        <v>65.194999999999993</v>
      </c>
      <c r="M18" s="609">
        <v>75.685000000000002</v>
      </c>
      <c r="N18" s="609">
        <v>85.132000000000005</v>
      </c>
      <c r="O18" s="518">
        <f>P18-SUM(L18,M18,N18)</f>
        <v>93.125</v>
      </c>
      <c r="P18" s="675">
        <v>319.137</v>
      </c>
      <c r="Q18" s="609">
        <v>98.57</v>
      </c>
      <c r="R18" s="609">
        <v>107.88200000000001</v>
      </c>
      <c r="S18" s="609">
        <v>115.932</v>
      </c>
      <c r="T18" s="518">
        <f>U18-SUM(Q18,R18,S18)</f>
        <v>125.85199999999998</v>
      </c>
      <c r="U18" s="675">
        <v>448.23599999999999</v>
      </c>
      <c r="V18" s="609">
        <v>143.047</v>
      </c>
      <c r="W18" s="609">
        <v>151.87899999999999</v>
      </c>
      <c r="X18" s="609">
        <v>163.571</v>
      </c>
      <c r="Y18" s="609">
        <v>171.1</v>
      </c>
      <c r="Z18" s="675">
        <v>645.24099999999999</v>
      </c>
      <c r="AA18" s="609">
        <v>177.9</v>
      </c>
      <c r="AB18" s="609">
        <v>187.68299999999999</v>
      </c>
      <c r="AC18" s="609">
        <v>200.50200000000001</v>
      </c>
      <c r="AD18" s="518">
        <f>AE18-AC18-AB18-AA18</f>
        <v>209.59299999999993</v>
      </c>
      <c r="AE18" s="675">
        <v>775.678</v>
      </c>
      <c r="AF18" s="609">
        <v>214.04300000000001</v>
      </c>
      <c r="AG18" s="609">
        <v>226.16800000000001</v>
      </c>
      <c r="AH18" s="609">
        <v>232.50200000000001</v>
      </c>
      <c r="AI18" s="518">
        <f>AJ18-SUM(AF18,AG18,AH18)</f>
        <v>234.774</v>
      </c>
      <c r="AJ18" s="675">
        <v>907.48699999999997</v>
      </c>
      <c r="AK18" s="609">
        <v>227.03299999999999</v>
      </c>
      <c r="AL18" s="609">
        <v>237.84200000000001</v>
      </c>
      <c r="AM18" s="609">
        <v>253.09800000000001</v>
      </c>
      <c r="AN18" s="518">
        <f>AO18-SUM(AK18,AL18,AM18)</f>
        <v>258.952</v>
      </c>
      <c r="AO18" s="675">
        <v>976.92499999999995</v>
      </c>
      <c r="AP18" s="609">
        <v>240.09299999999999</v>
      </c>
      <c r="AQ18" s="609">
        <v>162.233</v>
      </c>
      <c r="AR18" s="609">
        <v>211.167</v>
      </c>
      <c r="AS18" s="518">
        <f>AT18-SUM(AP18,AQ18,AR18)</f>
        <v>222.62199999999996</v>
      </c>
      <c r="AT18" s="675">
        <v>836.11500000000001</v>
      </c>
      <c r="AU18" s="609">
        <v>221.98699999999999</v>
      </c>
      <c r="AV18" s="609">
        <v>244.96100000000001</v>
      </c>
      <c r="AW18" s="609">
        <v>256.83</v>
      </c>
      <c r="AX18" s="609">
        <v>261.447</v>
      </c>
      <c r="AY18" s="89">
        <f>SUM(AU18,AV18,AW18,AX18)</f>
        <v>985.22500000000002</v>
      </c>
      <c r="AZ18" s="519">
        <f>SUM(AZ16:AZ17)</f>
        <v>263.23700000000002</v>
      </c>
      <c r="BA18" s="518">
        <f>SUM(BA16:BA17)</f>
        <v>283.51800000000003</v>
      </c>
      <c r="BB18" s="518">
        <f>SUM(BB16:BB17)</f>
        <v>293.66399999999999</v>
      </c>
      <c r="BC18" s="518">
        <f>SUM(BC16:BC17)</f>
        <v>293.98399999999998</v>
      </c>
      <c r="BD18" s="89">
        <f>SUM(AZ18,BA18,BB18,BC18)</f>
        <v>1134.403</v>
      </c>
      <c r="BE18" s="519">
        <f>SUM(BE16:BE17)</f>
        <v>297.14300000000003</v>
      </c>
      <c r="BF18" s="518">
        <f>SUM(BF16:BF17)</f>
        <v>321.97199999999998</v>
      </c>
      <c r="BG18" s="518">
        <f>SUM(BG16:BG17)</f>
        <v>330.03199999999998</v>
      </c>
      <c r="BH18" s="518">
        <f>SUM(BH16:BH17)</f>
        <v>327.37099999999998</v>
      </c>
      <c r="BI18" s="89">
        <f>SUM(BE18,BF18,BG18,BH18)</f>
        <v>1276.518</v>
      </c>
      <c r="BJ18" s="519">
        <f>SUM(BJ16:BJ17)</f>
        <v>317.63800000000003</v>
      </c>
      <c r="BK18" s="518">
        <f>SUM(BK16:BK17)</f>
        <v>341.33800000000002</v>
      </c>
      <c r="BL18" s="520">
        <f>SUM(BL16:BL17)</f>
        <v>344.40600000000001</v>
      </c>
      <c r="BM18" s="518">
        <f>SUM(BM16:BM17)</f>
        <v>334.72467045484001</v>
      </c>
      <c r="BN18" s="89">
        <f t="shared" ref="BN18" si="39">SUM(BN16:BN17)</f>
        <v>1338.1066704548402</v>
      </c>
      <c r="BO18" s="518">
        <f t="shared" ref="BO18:BV18" si="40">SUM(BO16:BO17)</f>
        <v>334.66995962813974</v>
      </c>
      <c r="BP18" s="518">
        <f t="shared" si="40"/>
        <v>369.46445271465018</v>
      </c>
      <c r="BQ18" s="518">
        <f t="shared" si="40"/>
        <v>369.91365045158426</v>
      </c>
      <c r="BR18" s="518">
        <f t="shared" si="40"/>
        <v>379.26769514089722</v>
      </c>
      <c r="BS18" s="89">
        <f t="shared" si="40"/>
        <v>1453.3157579352714</v>
      </c>
      <c r="BT18" s="89">
        <f t="shared" si="40"/>
        <v>1503.3718701092516</v>
      </c>
      <c r="BU18" s="89">
        <f t="shared" si="40"/>
        <v>1618.8629138860513</v>
      </c>
      <c r="BV18" s="89">
        <f t="shared" si="40"/>
        <v>1771.0270539910471</v>
      </c>
      <c r="BW18" s="519"/>
    </row>
    <row r="19" spans="1:75" s="439" customFormat="1">
      <c r="A19" s="31" t="s">
        <v>121</v>
      </c>
      <c r="B19" s="24"/>
      <c r="C19" s="89"/>
      <c r="D19" s="89"/>
      <c r="E19" s="89"/>
      <c r="F19" s="89"/>
      <c r="G19" s="518"/>
      <c r="H19" s="518"/>
      <c r="I19" s="518"/>
      <c r="J19" s="518"/>
      <c r="K19" s="675">
        <v>0</v>
      </c>
      <c r="L19" s="518"/>
      <c r="M19" s="609">
        <v>1.228</v>
      </c>
      <c r="N19" s="609">
        <v>1.3380000000000001</v>
      </c>
      <c r="O19" s="518">
        <f>P19-SUM(L19,M19,N19)</f>
        <v>2.681</v>
      </c>
      <c r="P19" s="675">
        <v>5.2469999999999999</v>
      </c>
      <c r="Q19" s="609">
        <v>6.6059999999999999</v>
      </c>
      <c r="R19" s="609">
        <v>11.304</v>
      </c>
      <c r="S19" s="609">
        <v>11.973000000000001</v>
      </c>
      <c r="T19" s="518">
        <f>U19-SUM(Q19,R19,S19)</f>
        <v>13.970999999999997</v>
      </c>
      <c r="U19" s="675">
        <v>43.853999999999999</v>
      </c>
      <c r="V19" s="609">
        <v>14.499000000000001</v>
      </c>
      <c r="W19" s="609">
        <v>15.518000000000001</v>
      </c>
      <c r="X19" s="609">
        <v>15.91</v>
      </c>
      <c r="Y19" s="609">
        <v>16.600000000000001</v>
      </c>
      <c r="Z19" s="675">
        <v>62.494999999999997</v>
      </c>
      <c r="AA19" s="609">
        <v>18.065000000000001</v>
      </c>
      <c r="AB19" s="609">
        <v>18.434999999999999</v>
      </c>
      <c r="AC19" s="609">
        <v>18.524000000000001</v>
      </c>
      <c r="AD19" s="518">
        <f>AE19-AC19-AB19-AA19</f>
        <v>5.2270000000000039</v>
      </c>
      <c r="AE19" s="675">
        <v>60.251000000000005</v>
      </c>
      <c r="AF19" s="609">
        <v>3.839</v>
      </c>
      <c r="AG19" s="609">
        <v>3.52</v>
      </c>
      <c r="AH19" s="609">
        <v>3.0419999999999998</v>
      </c>
      <c r="AI19" s="518">
        <f>AJ19-SUM(AF19,AG19,AH19)</f>
        <v>3.293000000000001</v>
      </c>
      <c r="AJ19" s="675">
        <v>13.694000000000001</v>
      </c>
      <c r="AK19" s="609">
        <v>3.3069999999999999</v>
      </c>
      <c r="AL19" s="609">
        <v>3.1469999999999998</v>
      </c>
      <c r="AM19" s="609">
        <v>3.0739999999999998</v>
      </c>
      <c r="AN19" s="518">
        <f>AO19-SUM(AK19,AL19,AM19)</f>
        <v>2.9080000000000013</v>
      </c>
      <c r="AO19" s="675">
        <v>12.436</v>
      </c>
      <c r="AP19" s="609">
        <v>2.6389999999999998</v>
      </c>
      <c r="AQ19" s="609">
        <v>3.968</v>
      </c>
      <c r="AR19" s="609">
        <v>4.4119999999999999</v>
      </c>
      <c r="AS19" s="518">
        <f>AT19-SUM(AP19,AQ19,AR19)</f>
        <v>3.9980000000000011</v>
      </c>
      <c r="AT19" s="675">
        <v>15.016999999999999</v>
      </c>
      <c r="AU19" s="609">
        <v>3.8039999999999998</v>
      </c>
      <c r="AV19" s="609">
        <v>3.5249999999999999</v>
      </c>
      <c r="AW19" s="609">
        <v>3.0009999999999999</v>
      </c>
      <c r="AX19" s="519">
        <f>AY19-SUM(AU19,AV19,AW19)</f>
        <v>2.8659999999999997</v>
      </c>
      <c r="AY19" s="675">
        <v>13.196</v>
      </c>
      <c r="AZ19" s="609">
        <v>3.18</v>
      </c>
      <c r="BA19" s="609">
        <v>3.94</v>
      </c>
      <c r="BB19" s="609">
        <v>3.6520000000000001</v>
      </c>
      <c r="BC19" s="519">
        <f>BD19-SUM(AZ19,BA19,BB19)</f>
        <v>3.2910000000000004</v>
      </c>
      <c r="BD19" s="675">
        <v>14.063000000000001</v>
      </c>
      <c r="BE19" s="609">
        <v>3.556</v>
      </c>
      <c r="BF19" s="609">
        <v>3.38</v>
      </c>
      <c r="BG19" s="609">
        <v>3.145</v>
      </c>
      <c r="BH19" s="519">
        <f>BI19-SUM(BE19,BF19,BG19)</f>
        <v>2.9269999999999996</v>
      </c>
      <c r="BI19" s="675">
        <v>13.007999999999999</v>
      </c>
      <c r="BJ19" s="518"/>
      <c r="BK19" s="518"/>
      <c r="BL19" s="520"/>
      <c r="BM19" s="518"/>
      <c r="BN19" s="89"/>
      <c r="BO19" s="518"/>
      <c r="BP19" s="518"/>
      <c r="BQ19" s="518"/>
      <c r="BR19" s="518"/>
      <c r="BS19" s="89"/>
      <c r="BT19" s="89"/>
      <c r="BU19" s="89"/>
      <c r="BV19" s="89"/>
      <c r="BW19" s="519"/>
    </row>
    <row r="20" spans="1:75" s="439" customFormat="1" hidden="1" outlineLevel="1">
      <c r="A20" s="31" t="s">
        <v>122</v>
      </c>
      <c r="B20" s="24"/>
      <c r="C20" s="675">
        <v>5.3929999999999998</v>
      </c>
      <c r="D20" s="675">
        <v>12.045999999999999</v>
      </c>
      <c r="E20" s="675">
        <v>17.686</v>
      </c>
      <c r="F20" s="675">
        <v>20.579000000000001</v>
      </c>
      <c r="G20" s="609">
        <v>4.758</v>
      </c>
      <c r="H20" s="609">
        <v>7.048</v>
      </c>
      <c r="I20" s="609">
        <v>6.91</v>
      </c>
      <c r="J20" s="518">
        <f>K20-SUM(G20,H20,I20)</f>
        <v>9.2439999999999998</v>
      </c>
      <c r="K20" s="675">
        <v>27.96</v>
      </c>
      <c r="L20" s="609">
        <v>7.4550000000000001</v>
      </c>
      <c r="M20" s="609">
        <v>9.0549999999999997</v>
      </c>
      <c r="N20" s="609">
        <v>9.3179999999999996</v>
      </c>
      <c r="O20" s="518">
        <f>P20-SUM(L20,M20,N20)</f>
        <v>8.6540000000000035</v>
      </c>
      <c r="P20" s="675">
        <v>34.481999999999999</v>
      </c>
      <c r="Q20" s="609">
        <v>6.6269999999999998</v>
      </c>
      <c r="R20" s="609">
        <v>8.3030000000000008</v>
      </c>
      <c r="S20" s="609">
        <v>8.9779999999999998</v>
      </c>
      <c r="T20" s="518">
        <f>U20-SUM(Q20,R20,S20)</f>
        <v>7.1039999999999992</v>
      </c>
      <c r="U20" s="675">
        <v>31.012</v>
      </c>
      <c r="V20" s="609">
        <v>0</v>
      </c>
      <c r="W20" s="609">
        <v>0</v>
      </c>
      <c r="X20" s="609">
        <v>0</v>
      </c>
      <c r="Y20" s="609">
        <v>0</v>
      </c>
      <c r="Z20" s="89"/>
      <c r="AA20" s="518"/>
      <c r="AB20" s="518"/>
      <c r="AC20" s="518"/>
      <c r="AD20" s="518">
        <f>AE20-AC20-AB20-AA20</f>
        <v>0</v>
      </c>
      <c r="AE20" s="89"/>
      <c r="AF20" s="518"/>
      <c r="AG20" s="518"/>
      <c r="AH20" s="518"/>
      <c r="AI20" s="518"/>
      <c r="AJ20" s="89"/>
      <c r="AK20" s="518"/>
      <c r="AL20" s="518"/>
      <c r="AM20" s="518"/>
      <c r="AN20" s="518"/>
      <c r="AO20" s="89"/>
      <c r="AP20" s="518"/>
      <c r="AQ20" s="518"/>
      <c r="AR20" s="518"/>
      <c r="AS20" s="518"/>
      <c r="AT20" s="89"/>
      <c r="AU20" s="518"/>
      <c r="AV20" s="518"/>
      <c r="AW20" s="518"/>
      <c r="AX20" s="518"/>
      <c r="AY20" s="89"/>
      <c r="AZ20" s="518"/>
      <c r="BA20" s="518"/>
      <c r="BB20" s="518"/>
      <c r="BC20" s="518"/>
      <c r="BD20" s="89"/>
      <c r="BE20" s="518"/>
      <c r="BF20" s="518"/>
      <c r="BG20" s="518"/>
      <c r="BH20" s="518"/>
      <c r="BI20" s="89"/>
      <c r="BJ20" s="518"/>
      <c r="BK20" s="518"/>
      <c r="BL20" s="520"/>
      <c r="BM20" s="518"/>
      <c r="BN20" s="89"/>
      <c r="BO20" s="518"/>
      <c r="BP20" s="518"/>
      <c r="BQ20" s="518"/>
      <c r="BR20" s="518"/>
      <c r="BS20" s="89"/>
      <c r="BT20" s="89"/>
      <c r="BU20" s="89"/>
      <c r="BV20" s="89"/>
      <c r="BW20" s="519"/>
    </row>
    <row r="21" spans="1:75" s="439" customFormat="1" collapsed="1">
      <c r="A21" s="31" t="s">
        <v>123</v>
      </c>
      <c r="B21" s="24"/>
      <c r="C21" s="675">
        <v>0.318</v>
      </c>
      <c r="D21" s="675">
        <v>1.9259999999999999</v>
      </c>
      <c r="E21" s="675">
        <v>7.1260000000000003</v>
      </c>
      <c r="F21" s="675">
        <v>7.8289999999999997</v>
      </c>
      <c r="G21" s="609">
        <v>2.4079999999999999</v>
      </c>
      <c r="H21" s="609">
        <v>3.1779999999999999</v>
      </c>
      <c r="I21" s="609">
        <v>3.1040000000000001</v>
      </c>
      <c r="J21" s="518">
        <f>K21-SUM(G21,H21,I21)</f>
        <v>3.3549999999999986</v>
      </c>
      <c r="K21" s="675">
        <v>12.045</v>
      </c>
      <c r="L21" s="609">
        <v>3.7570000000000001</v>
      </c>
      <c r="M21" s="609">
        <v>2.819</v>
      </c>
      <c r="N21" s="609">
        <v>6.6669999999999998</v>
      </c>
      <c r="O21" s="518">
        <f>P21-SUM(L21,M21,N21)</f>
        <v>5.4270000000000014</v>
      </c>
      <c r="P21" s="675">
        <v>18.670000000000002</v>
      </c>
      <c r="Q21" s="609">
        <v>6.7050000000000001</v>
      </c>
      <c r="R21" s="609">
        <v>6.4240000000000004</v>
      </c>
      <c r="S21" s="609">
        <v>6.6760000000000002</v>
      </c>
      <c r="T21" s="518">
        <f>U21-SUM(Q21,R21,S21)</f>
        <v>6.804000000000002</v>
      </c>
      <c r="U21" s="675">
        <v>26.609000000000002</v>
      </c>
      <c r="V21" s="609">
        <v>1.0669999999999999</v>
      </c>
      <c r="W21" s="609">
        <v>6.0309999999999997</v>
      </c>
      <c r="X21" s="609">
        <v>6.7510000000000003</v>
      </c>
      <c r="Y21" s="609">
        <v>7.1</v>
      </c>
      <c r="Z21" s="675">
        <v>5.3330000000000002</v>
      </c>
      <c r="AA21" s="609">
        <v>2.2090000000000001</v>
      </c>
      <c r="AB21" s="609">
        <v>3.827</v>
      </c>
      <c r="AC21" s="609">
        <v>4.2610000000000001</v>
      </c>
      <c r="AD21" s="518">
        <f>AE21-AC21-AB21-AA21</f>
        <v>4.6210000000000004</v>
      </c>
      <c r="AE21" s="675">
        <v>14.918000000000001</v>
      </c>
      <c r="AF21" s="609">
        <v>5.1920000000000002</v>
      </c>
      <c r="AG21" s="609">
        <v>5.1749999999999998</v>
      </c>
      <c r="AH21" s="609">
        <v>5.5519999999999996</v>
      </c>
      <c r="AI21" s="518">
        <f>AJ21-SUM(AF21,AG21,AH21)</f>
        <v>5.6729999999999983</v>
      </c>
      <c r="AJ21" s="675">
        <v>21.591999999999999</v>
      </c>
      <c r="AK21" s="611">
        <v>5.6020000000000003</v>
      </c>
      <c r="AL21" s="609">
        <v>5.9660000000000002</v>
      </c>
      <c r="AM21" s="609">
        <v>6.3019999999999996</v>
      </c>
      <c r="AN21" s="518">
        <f>AO21-SUM(AK21,AL21,AM21)</f>
        <v>6.9629999999999974</v>
      </c>
      <c r="AO21" s="675">
        <v>24.832999999999998</v>
      </c>
      <c r="AP21" s="611">
        <v>7.1689999999999996</v>
      </c>
      <c r="AQ21" s="609">
        <v>2.8290000000000002</v>
      </c>
      <c r="AR21" s="609">
        <v>5.2279999999999998</v>
      </c>
      <c r="AS21" s="518">
        <f>AT21-SUM(AP21,AQ21,AR21)</f>
        <v>6.5749999999999993</v>
      </c>
      <c r="AT21" s="675">
        <v>21.800999999999998</v>
      </c>
      <c r="AU21" s="611">
        <v>6.3049999999999997</v>
      </c>
      <c r="AV21" s="609">
        <v>8.702</v>
      </c>
      <c r="AW21" s="609">
        <v>9.3239999999999998</v>
      </c>
      <c r="AX21" s="519">
        <f>AY21-SUM(AU21,AV21,AW21)</f>
        <v>9.0869999999999997</v>
      </c>
      <c r="AY21" s="675">
        <v>33.417999999999999</v>
      </c>
      <c r="AZ21" s="611">
        <v>10.211</v>
      </c>
      <c r="BA21" s="609">
        <v>11.426</v>
      </c>
      <c r="BB21" s="609">
        <v>11.574999999999999</v>
      </c>
      <c r="BC21" s="519">
        <f>BD21-SUM(AZ21,BA21,BB21)</f>
        <v>11.827999999999996</v>
      </c>
      <c r="BD21" s="675">
        <v>45.04</v>
      </c>
      <c r="BE21" s="611">
        <v>11.739000000000001</v>
      </c>
      <c r="BF21" s="609">
        <v>11.773999999999999</v>
      </c>
      <c r="BG21" s="609">
        <v>11.945</v>
      </c>
      <c r="BH21" s="519">
        <f>BI21-SUM(BE21,BF21,BG21)</f>
        <v>12.078000000000003</v>
      </c>
      <c r="BI21" s="675">
        <v>47.536000000000001</v>
      </c>
      <c r="BJ21" s="611">
        <v>15.114000000000001</v>
      </c>
      <c r="BK21" s="609">
        <v>15.678000000000001</v>
      </c>
      <c r="BL21" s="610">
        <v>15.938000000000001</v>
      </c>
      <c r="BM21" s="518">
        <f>BH21*(1+BM12)</f>
        <v>15.701400000000005</v>
      </c>
      <c r="BN21" s="89">
        <f>SUM(BJ21,BK21,BL21,BM21)</f>
        <v>62.431400000000011</v>
      </c>
      <c r="BO21" s="518">
        <f>BJ21*(1+BO12)</f>
        <v>16.625400000000003</v>
      </c>
      <c r="BP21" s="518">
        <f>BK21*(1+BP12)</f>
        <v>16.932240000000004</v>
      </c>
      <c r="BQ21" s="518">
        <f>BL21*(1+BQ12)</f>
        <v>17.5318</v>
      </c>
      <c r="BR21" s="518">
        <f>BM21*(1+BR12)</f>
        <v>17.271540000000005</v>
      </c>
      <c r="BS21" s="89">
        <f>SUM(BO21,BP21,BQ21,BR21)</f>
        <v>68.360980000000012</v>
      </c>
      <c r="BT21" s="89">
        <f>BS21*(1+BT12)</f>
        <v>71.779029000000023</v>
      </c>
      <c r="BU21" s="89">
        <f>BT21*(1+BU12)</f>
        <v>75.367980450000033</v>
      </c>
      <c r="BV21" s="89">
        <f>BU21*(1+BV12)</f>
        <v>79.136379472500039</v>
      </c>
      <c r="BW21" s="519"/>
    </row>
    <row r="22" spans="1:75" s="444" customFormat="1">
      <c r="A22" s="18" t="s">
        <v>124</v>
      </c>
      <c r="B22" s="48"/>
      <c r="C22" s="676">
        <f t="shared" ref="C22:AH22" si="41">SUM(C18:C21)</f>
        <v>25.808000000000003</v>
      </c>
      <c r="D22" s="676">
        <f t="shared" si="41"/>
        <v>47.731000000000002</v>
      </c>
      <c r="E22" s="676">
        <f t="shared" si="41"/>
        <v>83.284999999999997</v>
      </c>
      <c r="F22" s="676">
        <f t="shared" si="41"/>
        <v>137.56700000000001</v>
      </c>
      <c r="G22" s="560">
        <f t="shared" si="41"/>
        <v>46.133000000000003</v>
      </c>
      <c r="H22" s="560">
        <f t="shared" si="41"/>
        <v>55.022999999999996</v>
      </c>
      <c r="I22" s="560">
        <f t="shared" si="41"/>
        <v>61.180999999999997</v>
      </c>
      <c r="J22" s="560">
        <f t="shared" si="41"/>
        <v>70.651000000000025</v>
      </c>
      <c r="K22" s="676">
        <f t="shared" si="41"/>
        <v>232.988</v>
      </c>
      <c r="L22" s="560">
        <f t="shared" si="41"/>
        <v>76.406999999999996</v>
      </c>
      <c r="M22" s="560">
        <f t="shared" si="41"/>
        <v>88.786999999999992</v>
      </c>
      <c r="N22" s="560">
        <f t="shared" si="41"/>
        <v>102.455</v>
      </c>
      <c r="O22" s="560">
        <f t="shared" si="41"/>
        <v>109.88700000000001</v>
      </c>
      <c r="P22" s="676">
        <f t="shared" si="41"/>
        <v>377.536</v>
      </c>
      <c r="Q22" s="560">
        <f t="shared" si="41"/>
        <v>118.50799999999998</v>
      </c>
      <c r="R22" s="560">
        <f t="shared" si="41"/>
        <v>133.91300000000001</v>
      </c>
      <c r="S22" s="560">
        <f t="shared" si="41"/>
        <v>143.559</v>
      </c>
      <c r="T22" s="560">
        <f t="shared" si="41"/>
        <v>153.73099999999997</v>
      </c>
      <c r="U22" s="676">
        <f t="shared" si="41"/>
        <v>549.71100000000001</v>
      </c>
      <c r="V22" s="560">
        <f t="shared" si="41"/>
        <v>158.613</v>
      </c>
      <c r="W22" s="560">
        <f t="shared" si="41"/>
        <v>173.428</v>
      </c>
      <c r="X22" s="560">
        <f t="shared" si="41"/>
        <v>186.232</v>
      </c>
      <c r="Y22" s="560">
        <f t="shared" si="41"/>
        <v>194.79999999999998</v>
      </c>
      <c r="Z22" s="676">
        <f t="shared" si="41"/>
        <v>713.06899999999996</v>
      </c>
      <c r="AA22" s="560">
        <f t="shared" si="41"/>
        <v>198.17400000000001</v>
      </c>
      <c r="AB22" s="560">
        <f t="shared" si="41"/>
        <v>209.94499999999999</v>
      </c>
      <c r="AC22" s="560">
        <f t="shared" si="41"/>
        <v>223.28700000000001</v>
      </c>
      <c r="AD22" s="560">
        <f t="shared" si="41"/>
        <v>219.44099999999995</v>
      </c>
      <c r="AE22" s="676">
        <f t="shared" si="41"/>
        <v>850.84699999999998</v>
      </c>
      <c r="AF22" s="560">
        <f t="shared" si="41"/>
        <v>223.07400000000001</v>
      </c>
      <c r="AG22" s="560">
        <f t="shared" si="41"/>
        <v>234.86300000000003</v>
      </c>
      <c r="AH22" s="560">
        <f t="shared" si="41"/>
        <v>241.096</v>
      </c>
      <c r="AI22" s="560">
        <f t="shared" ref="AI22:BJ22" si="42">SUM(AI18:AI21)</f>
        <v>243.74</v>
      </c>
      <c r="AJ22" s="676">
        <f t="shared" si="42"/>
        <v>942.77299999999991</v>
      </c>
      <c r="AK22" s="560">
        <f t="shared" si="42"/>
        <v>235.94199999999998</v>
      </c>
      <c r="AL22" s="560">
        <f t="shared" si="42"/>
        <v>246.95500000000001</v>
      </c>
      <c r="AM22" s="560">
        <f t="shared" si="42"/>
        <v>262.47400000000005</v>
      </c>
      <c r="AN22" s="560">
        <f t="shared" si="42"/>
        <v>268.82300000000004</v>
      </c>
      <c r="AO22" s="676">
        <f t="shared" si="42"/>
        <v>1014.194</v>
      </c>
      <c r="AP22" s="560">
        <f t="shared" si="42"/>
        <v>249.90100000000001</v>
      </c>
      <c r="AQ22" s="560">
        <f t="shared" si="42"/>
        <v>169.03</v>
      </c>
      <c r="AR22" s="560">
        <f t="shared" si="42"/>
        <v>220.80700000000002</v>
      </c>
      <c r="AS22" s="560">
        <f t="shared" si="42"/>
        <v>233.19499999999994</v>
      </c>
      <c r="AT22" s="676">
        <f t="shared" si="42"/>
        <v>872.93300000000011</v>
      </c>
      <c r="AU22" s="560">
        <f t="shared" si="42"/>
        <v>232.096</v>
      </c>
      <c r="AV22" s="560">
        <f t="shared" si="42"/>
        <v>257.18800000000005</v>
      </c>
      <c r="AW22" s="560">
        <f t="shared" si="42"/>
        <v>269.15499999999997</v>
      </c>
      <c r="AX22" s="560">
        <f t="shared" si="42"/>
        <v>273.39999999999998</v>
      </c>
      <c r="AY22" s="676">
        <f t="shared" si="42"/>
        <v>1031.8389999999999</v>
      </c>
      <c r="AZ22" s="560">
        <f t="shared" si="42"/>
        <v>276.62800000000004</v>
      </c>
      <c r="BA22" s="560">
        <f t="shared" si="42"/>
        <v>298.88400000000001</v>
      </c>
      <c r="BB22" s="560">
        <f t="shared" si="42"/>
        <v>308.89099999999996</v>
      </c>
      <c r="BC22" s="560">
        <f t="shared" si="42"/>
        <v>309.10299999999995</v>
      </c>
      <c r="BD22" s="676">
        <f t="shared" si="42"/>
        <v>1193.5060000000001</v>
      </c>
      <c r="BE22" s="560">
        <f t="shared" si="42"/>
        <v>312.43799999999999</v>
      </c>
      <c r="BF22" s="560">
        <f t="shared" si="42"/>
        <v>337.12599999999998</v>
      </c>
      <c r="BG22" s="560">
        <f t="shared" si="42"/>
        <v>345.12199999999996</v>
      </c>
      <c r="BH22" s="560">
        <f t="shared" si="42"/>
        <v>342.37599999999998</v>
      </c>
      <c r="BI22" s="676">
        <f t="shared" si="42"/>
        <v>1337.0620000000001</v>
      </c>
      <c r="BJ22" s="560">
        <f t="shared" si="42"/>
        <v>332.75200000000001</v>
      </c>
      <c r="BK22" s="560">
        <f>SUM(BK18:BK21)</f>
        <v>357.01600000000002</v>
      </c>
      <c r="BL22" s="561">
        <f>SUM(BL18:BL21)</f>
        <v>360.34399999999999</v>
      </c>
      <c r="BM22" s="560">
        <f t="shared" ref="BM22:BV22" si="43">SUM(BM18:BM21)</f>
        <v>350.42607045483999</v>
      </c>
      <c r="BN22" s="676">
        <f t="shared" si="43"/>
        <v>1400.5380704548402</v>
      </c>
      <c r="BO22" s="560">
        <f t="shared" si="43"/>
        <v>351.29535962813975</v>
      </c>
      <c r="BP22" s="560">
        <f t="shared" si="43"/>
        <v>386.39669271465016</v>
      </c>
      <c r="BQ22" s="560">
        <f t="shared" si="43"/>
        <v>387.44545045158424</v>
      </c>
      <c r="BR22" s="560">
        <f t="shared" si="43"/>
        <v>396.53923514089723</v>
      </c>
      <c r="BS22" s="676">
        <f t="shared" si="43"/>
        <v>1521.6767379352714</v>
      </c>
      <c r="BT22" s="676">
        <f t="shared" si="43"/>
        <v>1575.1508991092517</v>
      </c>
      <c r="BU22" s="676">
        <f t="shared" si="43"/>
        <v>1694.2308943360513</v>
      </c>
      <c r="BV22" s="676">
        <f t="shared" si="43"/>
        <v>1850.1634334635471</v>
      </c>
      <c r="BW22" s="318"/>
    </row>
    <row r="23" spans="1:75" s="445" customFormat="1">
      <c r="A23" s="66"/>
      <c r="B23" s="19"/>
      <c r="C23" s="677"/>
      <c r="D23" s="677"/>
      <c r="E23" s="677"/>
      <c r="F23" s="677"/>
      <c r="G23" s="174"/>
      <c r="H23" s="174"/>
      <c r="I23" s="174"/>
      <c r="J23" s="174"/>
      <c r="K23" s="677"/>
      <c r="L23" s="174"/>
      <c r="M23" s="174"/>
      <c r="N23" s="174"/>
      <c r="O23" s="174"/>
      <c r="P23" s="677"/>
      <c r="Q23" s="174"/>
      <c r="R23" s="174"/>
      <c r="S23" s="174"/>
      <c r="T23" s="174"/>
      <c r="U23" s="677"/>
      <c r="V23" s="174"/>
      <c r="W23" s="174"/>
      <c r="X23" s="174"/>
      <c r="Y23" s="174"/>
      <c r="Z23" s="677"/>
      <c r="AA23" s="174"/>
      <c r="AB23" s="174"/>
      <c r="AC23" s="174"/>
      <c r="AD23" s="174"/>
      <c r="AE23" s="677"/>
      <c r="AF23" s="174"/>
      <c r="AG23" s="174"/>
      <c r="AH23" s="174"/>
      <c r="AI23" s="174"/>
      <c r="AJ23" s="677"/>
      <c r="AK23" s="174"/>
      <c r="AL23" s="174"/>
      <c r="AM23" s="174"/>
      <c r="AN23" s="174"/>
      <c r="AO23" s="677"/>
      <c r="AP23" s="174"/>
      <c r="AQ23" s="174"/>
      <c r="AR23" s="174"/>
      <c r="AS23" s="174"/>
      <c r="AT23" s="677"/>
      <c r="AU23" s="174"/>
      <c r="AV23" s="174"/>
      <c r="AW23" s="174"/>
      <c r="AX23" s="174"/>
      <c r="AY23" s="677"/>
      <c r="AZ23" s="174"/>
      <c r="BA23" s="174"/>
      <c r="BB23" s="174"/>
      <c r="BC23" s="174"/>
      <c r="BD23" s="677"/>
      <c r="BE23" s="174"/>
      <c r="BF23" s="174"/>
      <c r="BG23" s="174"/>
      <c r="BH23" s="174"/>
      <c r="BI23" s="677"/>
      <c r="BJ23" s="174"/>
      <c r="BK23" s="174"/>
      <c r="BL23" s="391"/>
      <c r="BM23" s="174"/>
      <c r="BN23" s="677"/>
      <c r="BO23" s="174"/>
      <c r="BP23" s="174"/>
      <c r="BQ23" s="174"/>
      <c r="BR23" s="174"/>
      <c r="BS23" s="677"/>
      <c r="BT23" s="677"/>
      <c r="BU23" s="677"/>
      <c r="BV23" s="677"/>
      <c r="BW23" s="136"/>
    </row>
    <row r="24" spans="1:75" s="445" customFormat="1">
      <c r="A24" s="517" t="s">
        <v>125</v>
      </c>
      <c r="B24" s="517"/>
      <c r="C24" s="517"/>
      <c r="D24" s="517"/>
      <c r="E24" s="517"/>
      <c r="F24" s="517"/>
      <c r="G24" s="517"/>
      <c r="H24" s="517"/>
      <c r="I24" s="517"/>
      <c r="J24" s="517"/>
      <c r="K24" s="517"/>
      <c r="L24" s="517"/>
      <c r="M24" s="517"/>
      <c r="N24" s="517"/>
      <c r="O24" s="517"/>
      <c r="P24" s="517"/>
      <c r="Q24" s="517"/>
      <c r="R24" s="517"/>
      <c r="S24" s="517"/>
      <c r="T24" s="517"/>
      <c r="U24" s="517"/>
      <c r="V24" s="517"/>
      <c r="W24" s="517"/>
      <c r="X24" s="517"/>
      <c r="Y24" s="517"/>
      <c r="Z24" s="517"/>
      <c r="AA24" s="517"/>
      <c r="AB24" s="517"/>
      <c r="AC24" s="517"/>
      <c r="AD24" s="517"/>
      <c r="AE24" s="517"/>
      <c r="AF24" s="517"/>
      <c r="AG24" s="517"/>
      <c r="AH24" s="517"/>
      <c r="AI24" s="517"/>
      <c r="AJ24" s="517"/>
      <c r="AK24" s="517"/>
      <c r="AL24" s="517"/>
      <c r="AM24" s="517"/>
      <c r="AN24" s="517"/>
      <c r="AO24" s="517"/>
      <c r="AP24" s="517"/>
      <c r="AQ24" s="517"/>
      <c r="AR24" s="517"/>
      <c r="AS24" s="517"/>
      <c r="AT24" s="517"/>
      <c r="AU24" s="517"/>
      <c r="AV24" s="517"/>
      <c r="AW24" s="517"/>
      <c r="AX24" s="517"/>
      <c r="AY24" s="517"/>
      <c r="AZ24" s="517"/>
      <c r="BA24" s="517"/>
      <c r="BB24" s="517"/>
      <c r="BC24" s="517"/>
      <c r="BD24" s="517"/>
      <c r="BE24" s="517"/>
      <c r="BF24" s="517"/>
      <c r="BG24" s="517"/>
      <c r="BH24" s="517"/>
      <c r="BI24" s="517"/>
      <c r="BJ24" s="517"/>
      <c r="BK24" s="517"/>
      <c r="BL24" s="562"/>
      <c r="BM24" s="517"/>
      <c r="BN24" s="517"/>
      <c r="BO24" s="517"/>
      <c r="BP24" s="517"/>
      <c r="BQ24" s="517"/>
      <c r="BR24" s="517"/>
      <c r="BS24" s="517"/>
      <c r="BT24" s="517"/>
      <c r="BU24" s="517"/>
      <c r="BV24" s="517"/>
      <c r="BW24" s="136"/>
    </row>
    <row r="25" spans="1:75" s="446" customFormat="1">
      <c r="A25" s="246" t="s">
        <v>126</v>
      </c>
      <c r="B25" s="206"/>
      <c r="C25" s="678"/>
      <c r="D25" s="678"/>
      <c r="E25" s="678"/>
      <c r="F25" s="678"/>
      <c r="G25" s="43"/>
      <c r="H25" s="43"/>
      <c r="I25" s="43"/>
      <c r="J25" s="43"/>
      <c r="K25" s="678"/>
      <c r="L25" s="43"/>
      <c r="M25" s="43"/>
      <c r="N25" s="43"/>
      <c r="O25" s="43"/>
      <c r="P25" s="678"/>
      <c r="Q25" s="43"/>
      <c r="R25" s="43"/>
      <c r="S25" s="43"/>
      <c r="T25" s="43"/>
      <c r="U25" s="678"/>
      <c r="V25" s="43"/>
      <c r="W25" s="43"/>
      <c r="X25" s="43"/>
      <c r="Y25" s="43"/>
      <c r="Z25" s="678"/>
      <c r="AA25" s="43"/>
      <c r="AB25" s="43"/>
      <c r="AC25" s="43"/>
      <c r="AD25" s="43"/>
      <c r="AE25" s="678"/>
      <c r="AF25" s="613">
        <v>233</v>
      </c>
      <c r="AG25" s="613">
        <v>232</v>
      </c>
      <c r="AH25" s="613">
        <v>230</v>
      </c>
      <c r="AI25" s="613">
        <v>231</v>
      </c>
      <c r="AJ25" s="679">
        <f>AI25</f>
        <v>231</v>
      </c>
      <c r="AK25" s="613">
        <v>233</v>
      </c>
      <c r="AL25" s="613">
        <v>224</v>
      </c>
      <c r="AM25" s="613">
        <v>231</v>
      </c>
      <c r="AN25" s="613">
        <v>235</v>
      </c>
      <c r="AO25" s="679">
        <f>AN25</f>
        <v>235</v>
      </c>
      <c r="AP25" s="613">
        <v>232</v>
      </c>
      <c r="AQ25" s="613">
        <v>204</v>
      </c>
      <c r="AR25" s="613">
        <v>218</v>
      </c>
      <c r="AS25" s="613">
        <v>224</v>
      </c>
      <c r="AT25" s="679">
        <f>AS25</f>
        <v>224</v>
      </c>
      <c r="AU25" s="613">
        <v>224</v>
      </c>
      <c r="AV25" s="613">
        <v>234</v>
      </c>
      <c r="AW25" s="613">
        <v>231</v>
      </c>
      <c r="AX25" s="613">
        <v>219</v>
      </c>
      <c r="AY25" s="679">
        <f>AX25</f>
        <v>219</v>
      </c>
      <c r="AZ25" s="613">
        <v>223</v>
      </c>
      <c r="BA25" s="613">
        <v>232</v>
      </c>
      <c r="BB25" s="613">
        <v>238</v>
      </c>
      <c r="BC25" s="613">
        <v>231</v>
      </c>
      <c r="BD25" s="679">
        <f>BC25</f>
        <v>231</v>
      </c>
      <c r="BE25" s="613">
        <v>238</v>
      </c>
      <c r="BF25" s="613">
        <v>238</v>
      </c>
      <c r="BG25" s="613">
        <v>235</v>
      </c>
      <c r="BH25" s="613">
        <v>245</v>
      </c>
      <c r="BI25" s="679">
        <f>BH25</f>
        <v>245</v>
      </c>
      <c r="BJ25" s="613">
        <v>252</v>
      </c>
      <c r="BK25" s="613">
        <v>254</v>
      </c>
      <c r="BL25" s="614">
        <v>252</v>
      </c>
      <c r="BM25" s="43">
        <f>BH25*(1+BM29)</f>
        <v>248.67499999999998</v>
      </c>
      <c r="BN25" s="678">
        <f>BM25</f>
        <v>248.67499999999998</v>
      </c>
      <c r="BO25" s="43">
        <f t="shared" ref="BO25:BR26" si="44">BJ25*(1+BO29)</f>
        <v>264.60000000000002</v>
      </c>
      <c r="BP25" s="43">
        <f t="shared" si="44"/>
        <v>256.54000000000002</v>
      </c>
      <c r="BQ25" s="43">
        <f t="shared" si="44"/>
        <v>258.29999999999995</v>
      </c>
      <c r="BR25" s="43">
        <f t="shared" si="44"/>
        <v>265.5849</v>
      </c>
      <c r="BS25" s="678">
        <f>BR25</f>
        <v>265.5849</v>
      </c>
      <c r="BT25" s="678">
        <f t="shared" ref="BT25:BV26" si="45">BS25*(1+BT29)</f>
        <v>268.24074899999999</v>
      </c>
      <c r="BU25" s="678">
        <f t="shared" si="45"/>
        <v>270.92315649</v>
      </c>
      <c r="BV25" s="678">
        <f t="shared" si="45"/>
        <v>284.46931431450002</v>
      </c>
      <c r="BW25" s="124"/>
    </row>
    <row r="26" spans="1:75" s="446" customFormat="1">
      <c r="A26" s="247" t="s">
        <v>127</v>
      </c>
      <c r="B26" s="248"/>
      <c r="C26" s="680"/>
      <c r="D26" s="680"/>
      <c r="E26" s="680"/>
      <c r="F26" s="680"/>
      <c r="G26" s="249"/>
      <c r="H26" s="249"/>
      <c r="I26" s="249"/>
      <c r="J26" s="249"/>
      <c r="K26" s="680"/>
      <c r="L26" s="249"/>
      <c r="M26" s="249"/>
      <c r="N26" s="249"/>
      <c r="O26" s="249"/>
      <c r="P26" s="680"/>
      <c r="Q26" s="249"/>
      <c r="R26" s="249"/>
      <c r="S26" s="249"/>
      <c r="T26" s="249"/>
      <c r="U26" s="680"/>
      <c r="V26" s="249"/>
      <c r="W26" s="249"/>
      <c r="X26" s="249"/>
      <c r="Y26" s="249"/>
      <c r="Z26" s="680"/>
      <c r="AA26" s="249"/>
      <c r="AB26" s="249"/>
      <c r="AC26" s="249"/>
      <c r="AD26" s="249"/>
      <c r="AE26" s="680"/>
      <c r="AF26" s="615">
        <v>275</v>
      </c>
      <c r="AG26" s="615">
        <v>285</v>
      </c>
      <c r="AH26" s="615">
        <v>294</v>
      </c>
      <c r="AI26" s="615">
        <v>309</v>
      </c>
      <c r="AJ26" s="681">
        <f>AI26</f>
        <v>309</v>
      </c>
      <c r="AK26" s="615">
        <v>296</v>
      </c>
      <c r="AL26" s="615">
        <v>325</v>
      </c>
      <c r="AM26" s="615">
        <v>332</v>
      </c>
      <c r="AN26" s="615">
        <v>330</v>
      </c>
      <c r="AO26" s="681">
        <f>AN26</f>
        <v>330</v>
      </c>
      <c r="AP26" s="615">
        <v>330</v>
      </c>
      <c r="AQ26" s="615">
        <v>174</v>
      </c>
      <c r="AR26" s="615">
        <v>289</v>
      </c>
      <c r="AS26" s="615">
        <v>296</v>
      </c>
      <c r="AT26" s="681">
        <f>AS26</f>
        <v>296</v>
      </c>
      <c r="AU26" s="615">
        <v>279</v>
      </c>
      <c r="AV26" s="615">
        <v>294</v>
      </c>
      <c r="AW26" s="615">
        <v>304</v>
      </c>
      <c r="AX26" s="615">
        <v>309</v>
      </c>
      <c r="AY26" s="681">
        <f>AX26</f>
        <v>309</v>
      </c>
      <c r="AZ26" s="615">
        <v>323</v>
      </c>
      <c r="BA26" s="615">
        <v>337</v>
      </c>
      <c r="BB26" s="615">
        <v>334</v>
      </c>
      <c r="BC26" s="615">
        <v>314</v>
      </c>
      <c r="BD26" s="681">
        <f>BC26</f>
        <v>314</v>
      </c>
      <c r="BE26" s="615">
        <v>316</v>
      </c>
      <c r="BF26" s="615">
        <v>325</v>
      </c>
      <c r="BG26" s="615">
        <v>326</v>
      </c>
      <c r="BH26" s="615">
        <v>299</v>
      </c>
      <c r="BI26" s="681">
        <f>BH26</f>
        <v>299</v>
      </c>
      <c r="BJ26" s="615">
        <v>278</v>
      </c>
      <c r="BK26" s="615">
        <v>277</v>
      </c>
      <c r="BL26" s="616">
        <v>272</v>
      </c>
      <c r="BM26" s="249">
        <f>BH26*(1+BM30)</f>
        <v>245.18</v>
      </c>
      <c r="BN26" s="680">
        <f>BM26</f>
        <v>245.18</v>
      </c>
      <c r="BO26" s="249">
        <f t="shared" si="44"/>
        <v>283.56</v>
      </c>
      <c r="BP26" s="249">
        <f t="shared" si="44"/>
        <v>279.77</v>
      </c>
      <c r="BQ26" s="249">
        <f t="shared" si="44"/>
        <v>277.44</v>
      </c>
      <c r="BR26" s="249">
        <f t="shared" si="44"/>
        <v>257.43900000000002</v>
      </c>
      <c r="BS26" s="680">
        <f>BR26</f>
        <v>257.43900000000002</v>
      </c>
      <c r="BT26" s="680">
        <f t="shared" si="45"/>
        <v>260.01339000000002</v>
      </c>
      <c r="BU26" s="680">
        <f t="shared" si="45"/>
        <v>265.21365780000002</v>
      </c>
      <c r="BV26" s="680">
        <f t="shared" si="45"/>
        <v>270.51793095600004</v>
      </c>
      <c r="BW26" s="124"/>
    </row>
    <row r="27" spans="1:75" s="447" customFormat="1">
      <c r="A27" s="202" t="s">
        <v>128</v>
      </c>
      <c r="B27" s="70"/>
      <c r="C27" s="682"/>
      <c r="D27" s="682"/>
      <c r="E27" s="682"/>
      <c r="F27" s="682"/>
      <c r="G27" s="21"/>
      <c r="H27" s="21"/>
      <c r="I27" s="21"/>
      <c r="J27" s="21"/>
      <c r="K27" s="682"/>
      <c r="L27" s="21"/>
      <c r="M27" s="21"/>
      <c r="N27" s="21"/>
      <c r="O27" s="21"/>
      <c r="P27" s="682"/>
      <c r="Q27" s="21"/>
      <c r="R27" s="21"/>
      <c r="S27" s="21"/>
      <c r="T27" s="21"/>
      <c r="U27" s="682"/>
      <c r="V27" s="21"/>
      <c r="W27" s="21"/>
      <c r="X27" s="21"/>
      <c r="Y27" s="139">
        <f>Z27</f>
        <v>425</v>
      </c>
      <c r="Z27" s="683">
        <v>425</v>
      </c>
      <c r="AA27" s="617">
        <v>440</v>
      </c>
      <c r="AB27" s="617">
        <v>448</v>
      </c>
      <c r="AC27" s="617">
        <v>463</v>
      </c>
      <c r="AD27" s="617">
        <v>478</v>
      </c>
      <c r="AE27" s="684">
        <f>AD27</f>
        <v>478</v>
      </c>
      <c r="AF27" s="617">
        <v>508</v>
      </c>
      <c r="AG27" s="617">
        <v>517</v>
      </c>
      <c r="AH27" s="617">
        <v>524</v>
      </c>
      <c r="AI27" s="617">
        <v>541</v>
      </c>
      <c r="AJ27" s="684">
        <f>AI27</f>
        <v>541</v>
      </c>
      <c r="AK27" s="617">
        <v>529</v>
      </c>
      <c r="AL27" s="617">
        <v>549</v>
      </c>
      <c r="AM27" s="617">
        <v>563</v>
      </c>
      <c r="AN27" s="617">
        <v>565</v>
      </c>
      <c r="AO27" s="684">
        <f>AN27</f>
        <v>565</v>
      </c>
      <c r="AP27" s="617">
        <v>562</v>
      </c>
      <c r="AQ27" s="617">
        <v>377</v>
      </c>
      <c r="AR27" s="617">
        <v>507</v>
      </c>
      <c r="AS27" s="617">
        <v>520</v>
      </c>
      <c r="AT27" s="684">
        <f>AS27</f>
        <v>520</v>
      </c>
      <c r="AU27" s="617">
        <v>503</v>
      </c>
      <c r="AV27" s="617">
        <v>528</v>
      </c>
      <c r="AW27" s="617">
        <v>535</v>
      </c>
      <c r="AX27" s="617">
        <v>528</v>
      </c>
      <c r="AY27" s="684">
        <f>AX27</f>
        <v>528</v>
      </c>
      <c r="AZ27" s="617">
        <v>546</v>
      </c>
      <c r="BA27" s="139">
        <f>SUM(BA25:BA26)</f>
        <v>569</v>
      </c>
      <c r="BB27" s="139">
        <f>SUM(BB25:BB26)</f>
        <v>572</v>
      </c>
      <c r="BC27" s="139">
        <f>SUM(BC25:BC26)</f>
        <v>545</v>
      </c>
      <c r="BD27" s="684">
        <f>BC27</f>
        <v>545</v>
      </c>
      <c r="BE27" s="139">
        <f>SUM(BE25:BE26)</f>
        <v>554</v>
      </c>
      <c r="BF27" s="139">
        <f>SUM(BF25:BF26)</f>
        <v>563</v>
      </c>
      <c r="BG27" s="139">
        <f>SUM(BG25:BG26)</f>
        <v>561</v>
      </c>
      <c r="BH27" s="139">
        <f>SUM(BH25:BH26)</f>
        <v>544</v>
      </c>
      <c r="BI27" s="684">
        <f>BH27</f>
        <v>544</v>
      </c>
      <c r="BJ27" s="139">
        <f>SUM(BJ25:BJ26)</f>
        <v>530</v>
      </c>
      <c r="BK27" s="139">
        <f>SUM(BK25:BK26)</f>
        <v>531</v>
      </c>
      <c r="BL27" s="495">
        <f>SUM(BL25:BL26)</f>
        <v>524</v>
      </c>
      <c r="BM27" s="21">
        <f>SUM(BM25:BM26)</f>
        <v>493.85500000000002</v>
      </c>
      <c r="BN27" s="682">
        <f>BM27</f>
        <v>493.85500000000002</v>
      </c>
      <c r="BO27" s="21">
        <f>SUM(BO25:BO26)</f>
        <v>548.16000000000008</v>
      </c>
      <c r="BP27" s="21">
        <f>SUM(BP25:BP26)</f>
        <v>536.30999999999995</v>
      </c>
      <c r="BQ27" s="21">
        <f>SUM(BQ25:BQ26)</f>
        <v>535.74</v>
      </c>
      <c r="BR27" s="21">
        <f>SUM(BR25:BR26)</f>
        <v>523.02390000000003</v>
      </c>
      <c r="BS27" s="682">
        <f>BR27</f>
        <v>523.02390000000003</v>
      </c>
      <c r="BT27" s="682">
        <f>SUM(BT25:BT26)</f>
        <v>528.25413900000001</v>
      </c>
      <c r="BU27" s="682">
        <f>SUM(BU25:BU26)</f>
        <v>536.13681429000007</v>
      </c>
      <c r="BV27" s="682">
        <f>SUM(BV25:BV26)</f>
        <v>554.98724527050013</v>
      </c>
      <c r="BW27" s="139"/>
    </row>
    <row r="28" spans="1:75" s="447" customFormat="1">
      <c r="A28" s="20"/>
      <c r="B28" s="70"/>
      <c r="C28" s="682"/>
      <c r="D28" s="682"/>
      <c r="E28" s="682"/>
      <c r="F28" s="682"/>
      <c r="G28" s="21"/>
      <c r="H28" s="21"/>
      <c r="I28" s="21"/>
      <c r="J28" s="21"/>
      <c r="K28" s="682"/>
      <c r="L28" s="21"/>
      <c r="M28" s="21"/>
      <c r="N28" s="21"/>
      <c r="O28" s="21"/>
      <c r="P28" s="682"/>
      <c r="Q28" s="21"/>
      <c r="R28" s="21"/>
      <c r="S28" s="21"/>
      <c r="T28" s="21"/>
      <c r="U28" s="682"/>
      <c r="V28" s="21"/>
      <c r="W28" s="21"/>
      <c r="X28" s="21"/>
      <c r="Y28" s="21"/>
      <c r="Z28" s="682"/>
      <c r="AA28" s="21"/>
      <c r="AB28" s="21"/>
      <c r="AC28" s="21"/>
      <c r="AD28" s="21"/>
      <c r="AE28" s="682"/>
      <c r="AF28" s="21"/>
      <c r="AG28" s="21"/>
      <c r="AH28" s="21"/>
      <c r="AI28" s="21"/>
      <c r="AJ28" s="682"/>
      <c r="AK28" s="21"/>
      <c r="AL28" s="21"/>
      <c r="AM28" s="21"/>
      <c r="AN28" s="21"/>
      <c r="AO28" s="682"/>
      <c r="AP28" s="21"/>
      <c r="AQ28" s="21"/>
      <c r="AR28" s="21"/>
      <c r="AS28" s="21"/>
      <c r="AT28" s="682"/>
      <c r="AU28" s="21"/>
      <c r="AV28" s="21"/>
      <c r="AW28" s="21"/>
      <c r="AX28" s="21"/>
      <c r="AY28" s="682"/>
      <c r="AZ28" s="21"/>
      <c r="BA28" s="21"/>
      <c r="BB28" s="21"/>
      <c r="BC28" s="21"/>
      <c r="BD28" s="682"/>
      <c r="BE28" s="21"/>
      <c r="BF28" s="21"/>
      <c r="BG28" s="21"/>
      <c r="BH28" s="21"/>
      <c r="BI28" s="682"/>
      <c r="BJ28" s="21"/>
      <c r="BK28" s="21"/>
      <c r="BL28" s="186"/>
      <c r="BM28" s="21"/>
      <c r="BN28" s="682"/>
      <c r="BO28" s="21"/>
      <c r="BP28" s="21"/>
      <c r="BQ28" s="21"/>
      <c r="BR28" s="21"/>
      <c r="BS28" s="682"/>
      <c r="BT28" s="682"/>
      <c r="BU28" s="682"/>
      <c r="BV28" s="682"/>
      <c r="BW28" s="139"/>
    </row>
    <row r="29" spans="1:75" s="443" customFormat="1">
      <c r="A29" s="255" t="s">
        <v>129</v>
      </c>
      <c r="B29" s="71"/>
      <c r="C29" s="685"/>
      <c r="D29" s="685"/>
      <c r="E29" s="685"/>
      <c r="F29" s="685"/>
      <c r="G29" s="54"/>
      <c r="H29" s="54"/>
      <c r="I29" s="54"/>
      <c r="J29" s="54"/>
      <c r="K29" s="685"/>
      <c r="L29" s="54"/>
      <c r="M29" s="54"/>
      <c r="N29" s="54"/>
      <c r="O29" s="54"/>
      <c r="P29" s="685"/>
      <c r="Q29" s="54"/>
      <c r="R29" s="54"/>
      <c r="S29" s="54"/>
      <c r="T29" s="54"/>
      <c r="U29" s="685"/>
      <c r="V29" s="54"/>
      <c r="W29" s="54"/>
      <c r="X29" s="54"/>
      <c r="Y29" s="54"/>
      <c r="Z29" s="685"/>
      <c r="AA29" s="54"/>
      <c r="AB29" s="54"/>
      <c r="AC29" s="54"/>
      <c r="AD29" s="54"/>
      <c r="AE29" s="685"/>
      <c r="AF29" s="54"/>
      <c r="AG29" s="54"/>
      <c r="AH29" s="54"/>
      <c r="AI29" s="54"/>
      <c r="AJ29" s="685"/>
      <c r="AK29" s="54">
        <f>AK25/AF25-1</f>
        <v>0</v>
      </c>
      <c r="AL29" s="54">
        <f t="shared" ref="AL29:AU29" si="46">AL25/AG25-1</f>
        <v>-3.4482758620689613E-2</v>
      </c>
      <c r="AM29" s="54">
        <f t="shared" si="46"/>
        <v>4.3478260869564966E-3</v>
      </c>
      <c r="AN29" s="54">
        <f t="shared" si="46"/>
        <v>1.7316017316017396E-2</v>
      </c>
      <c r="AO29" s="685">
        <f t="shared" si="46"/>
        <v>1.7316017316017396E-2</v>
      </c>
      <c r="AP29" s="54">
        <f t="shared" si="46"/>
        <v>-4.2918454935622075E-3</v>
      </c>
      <c r="AQ29" s="54">
        <f t="shared" si="46"/>
        <v>-8.9285714285714302E-2</v>
      </c>
      <c r="AR29" s="54">
        <f t="shared" si="46"/>
        <v>-5.6277056277056259E-2</v>
      </c>
      <c r="AS29" s="54">
        <f t="shared" si="46"/>
        <v>-4.6808510638297829E-2</v>
      </c>
      <c r="AT29" s="685">
        <f t="shared" si="46"/>
        <v>-4.6808510638297829E-2</v>
      </c>
      <c r="AU29" s="54">
        <f t="shared" si="46"/>
        <v>-3.4482758620689613E-2</v>
      </c>
      <c r="AV29" s="54">
        <f t="shared" ref="AV29:AW31" si="47">AV25/AQ25-1</f>
        <v>0.14705882352941169</v>
      </c>
      <c r="AW29" s="54">
        <f t="shared" si="47"/>
        <v>5.9633027522935755E-2</v>
      </c>
      <c r="AX29" s="54">
        <f t="shared" ref="AX29:AY31" si="48">AX25/AS25-1</f>
        <v>-2.2321428571428603E-2</v>
      </c>
      <c r="AY29" s="685">
        <f t="shared" si="48"/>
        <v>-2.2321428571428603E-2</v>
      </c>
      <c r="AZ29" s="54">
        <f t="shared" ref="AZ29:BA31" si="49">AZ25/AU25-1</f>
        <v>-4.4642857142856984E-3</v>
      </c>
      <c r="BA29" s="54">
        <f t="shared" si="49"/>
        <v>-8.5470085470085166E-3</v>
      </c>
      <c r="BB29" s="54">
        <f t="shared" ref="BB29:BD31" si="50">BB25/AW25-1</f>
        <v>3.0303030303030276E-2</v>
      </c>
      <c r="BC29" s="54">
        <f t="shared" si="50"/>
        <v>5.4794520547945202E-2</v>
      </c>
      <c r="BD29" s="685">
        <f t="shared" si="50"/>
        <v>5.4794520547945202E-2</v>
      </c>
      <c r="BE29" s="54">
        <f t="shared" ref="BE29:BF31" si="51">BE25/AZ25-1</f>
        <v>6.7264573991031362E-2</v>
      </c>
      <c r="BF29" s="54">
        <f t="shared" si="51"/>
        <v>2.5862068965517349E-2</v>
      </c>
      <c r="BG29" s="54">
        <f t="shared" ref="BG29:BI31" si="52">BG25/BB25-1</f>
        <v>-1.2605042016806678E-2</v>
      </c>
      <c r="BH29" s="54">
        <f t="shared" si="52"/>
        <v>6.0606060606060552E-2</v>
      </c>
      <c r="BI29" s="685">
        <f t="shared" si="52"/>
        <v>6.0606060606060552E-2</v>
      </c>
      <c r="BJ29" s="54">
        <f t="shared" ref="BJ29:BK31" si="53">BJ25/BE25-1</f>
        <v>5.8823529411764719E-2</v>
      </c>
      <c r="BK29" s="54">
        <f t="shared" si="53"/>
        <v>6.7226890756302504E-2</v>
      </c>
      <c r="BL29" s="392">
        <f>BL25/BG25-1</f>
        <v>7.2340425531914887E-2</v>
      </c>
      <c r="BM29" s="618">
        <v>1.4999999999999999E-2</v>
      </c>
      <c r="BN29" s="685">
        <f>BN25/BI25-1</f>
        <v>1.4999999999999902E-2</v>
      </c>
      <c r="BO29" s="618">
        <v>0.05</v>
      </c>
      <c r="BP29" s="618">
        <v>0.01</v>
      </c>
      <c r="BQ29" s="618">
        <v>2.5000000000000001E-2</v>
      </c>
      <c r="BR29" s="618">
        <v>6.8000000000000005E-2</v>
      </c>
      <c r="BS29" s="685">
        <f>BS25/BN25-1</f>
        <v>6.800000000000006E-2</v>
      </c>
      <c r="BT29" s="686">
        <v>0.01</v>
      </c>
      <c r="BU29" s="686">
        <v>0.01</v>
      </c>
      <c r="BV29" s="686">
        <v>0.05</v>
      </c>
      <c r="BW29" s="135"/>
    </row>
    <row r="30" spans="1:75" s="443" customFormat="1">
      <c r="A30" s="256" t="s">
        <v>130</v>
      </c>
      <c r="B30" s="316"/>
      <c r="C30" s="687"/>
      <c r="D30" s="687"/>
      <c r="E30" s="687"/>
      <c r="F30" s="687"/>
      <c r="G30" s="317"/>
      <c r="H30" s="317"/>
      <c r="I30" s="317"/>
      <c r="J30" s="317"/>
      <c r="K30" s="687"/>
      <c r="L30" s="317"/>
      <c r="M30" s="317"/>
      <c r="N30" s="317"/>
      <c r="O30" s="317"/>
      <c r="P30" s="687"/>
      <c r="Q30" s="317"/>
      <c r="R30" s="317"/>
      <c r="S30" s="317"/>
      <c r="T30" s="317"/>
      <c r="U30" s="687"/>
      <c r="V30" s="317"/>
      <c r="W30" s="317"/>
      <c r="X30" s="317"/>
      <c r="Y30" s="317"/>
      <c r="Z30" s="687"/>
      <c r="AA30" s="317"/>
      <c r="AB30" s="317"/>
      <c r="AC30" s="317"/>
      <c r="AD30" s="317"/>
      <c r="AE30" s="687"/>
      <c r="AF30" s="317"/>
      <c r="AG30" s="317"/>
      <c r="AH30" s="317"/>
      <c r="AI30" s="317"/>
      <c r="AJ30" s="687"/>
      <c r="AK30" s="317">
        <f>AK26/AF26-1</f>
        <v>7.6363636363636411E-2</v>
      </c>
      <c r="AL30" s="317">
        <f t="shared" ref="AL30:AU30" si="54">AL26/AG26-1</f>
        <v>0.14035087719298245</v>
      </c>
      <c r="AM30" s="317">
        <f t="shared" si="54"/>
        <v>0.12925170068027203</v>
      </c>
      <c r="AN30" s="317">
        <f t="shared" si="54"/>
        <v>6.7961165048543659E-2</v>
      </c>
      <c r="AO30" s="687">
        <f t="shared" si="54"/>
        <v>6.7961165048543659E-2</v>
      </c>
      <c r="AP30" s="317">
        <f t="shared" si="54"/>
        <v>0.11486486486486491</v>
      </c>
      <c r="AQ30" s="317">
        <f t="shared" si="54"/>
        <v>-0.46461538461538465</v>
      </c>
      <c r="AR30" s="317">
        <f t="shared" si="54"/>
        <v>-0.12951807228915657</v>
      </c>
      <c r="AS30" s="317">
        <f t="shared" si="54"/>
        <v>-0.10303030303030303</v>
      </c>
      <c r="AT30" s="687">
        <f t="shared" si="54"/>
        <v>-0.10303030303030303</v>
      </c>
      <c r="AU30" s="317">
        <f t="shared" si="54"/>
        <v>-0.15454545454545454</v>
      </c>
      <c r="AV30" s="317">
        <f t="shared" si="47"/>
        <v>0.68965517241379315</v>
      </c>
      <c r="AW30" s="317">
        <f t="shared" si="47"/>
        <v>5.1903114186851118E-2</v>
      </c>
      <c r="AX30" s="317">
        <f t="shared" si="48"/>
        <v>4.3918918918918859E-2</v>
      </c>
      <c r="AY30" s="687">
        <f t="shared" si="48"/>
        <v>4.3918918918918859E-2</v>
      </c>
      <c r="AZ30" s="317">
        <f t="shared" si="49"/>
        <v>0.15770609318996409</v>
      </c>
      <c r="BA30" s="317">
        <f t="shared" si="49"/>
        <v>0.1462585034013606</v>
      </c>
      <c r="BB30" s="317">
        <f t="shared" si="50"/>
        <v>9.8684210526315708E-2</v>
      </c>
      <c r="BC30" s="317">
        <f t="shared" si="50"/>
        <v>1.6181229773462702E-2</v>
      </c>
      <c r="BD30" s="687">
        <f t="shared" si="50"/>
        <v>1.6181229773462702E-2</v>
      </c>
      <c r="BE30" s="317">
        <f t="shared" si="51"/>
        <v>-2.1671826625387025E-2</v>
      </c>
      <c r="BF30" s="317">
        <f t="shared" si="51"/>
        <v>-3.5608308605341255E-2</v>
      </c>
      <c r="BG30" s="317">
        <f t="shared" si="52"/>
        <v>-2.39520958083832E-2</v>
      </c>
      <c r="BH30" s="317">
        <f t="shared" si="52"/>
        <v>-4.7770700636942665E-2</v>
      </c>
      <c r="BI30" s="687">
        <f t="shared" si="52"/>
        <v>-4.7770700636942665E-2</v>
      </c>
      <c r="BJ30" s="317">
        <f t="shared" si="53"/>
        <v>-0.120253164556962</v>
      </c>
      <c r="BK30" s="317">
        <f t="shared" si="53"/>
        <v>-0.14769230769230768</v>
      </c>
      <c r="BL30" s="496">
        <f>BL26/BG26-1</f>
        <v>-0.16564417177914115</v>
      </c>
      <c r="BM30" s="619">
        <v>-0.18</v>
      </c>
      <c r="BN30" s="687">
        <f>BN26/BI26-1</f>
        <v>-0.17999999999999994</v>
      </c>
      <c r="BO30" s="619">
        <v>0.02</v>
      </c>
      <c r="BP30" s="619">
        <v>0.01</v>
      </c>
      <c r="BQ30" s="619">
        <v>0.02</v>
      </c>
      <c r="BR30" s="619">
        <v>0.05</v>
      </c>
      <c r="BS30" s="687">
        <f>BS26/BN26-1</f>
        <v>5.0000000000000044E-2</v>
      </c>
      <c r="BT30" s="688">
        <v>0.01</v>
      </c>
      <c r="BU30" s="688">
        <v>0.02</v>
      </c>
      <c r="BV30" s="688">
        <v>0.02</v>
      </c>
      <c r="BW30" s="135"/>
    </row>
    <row r="31" spans="1:75" s="448" customFormat="1">
      <c r="A31" s="280" t="s">
        <v>131</v>
      </c>
      <c r="B31" s="152"/>
      <c r="C31" s="689"/>
      <c r="D31" s="689"/>
      <c r="E31" s="689"/>
      <c r="F31" s="689"/>
      <c r="G31" s="179"/>
      <c r="H31" s="179"/>
      <c r="I31" s="179"/>
      <c r="J31" s="179"/>
      <c r="K31" s="689"/>
      <c r="L31" s="179"/>
      <c r="M31" s="179"/>
      <c r="N31" s="179"/>
      <c r="O31" s="179"/>
      <c r="P31" s="689"/>
      <c r="Q31" s="179"/>
      <c r="R31" s="179"/>
      <c r="S31" s="179"/>
      <c r="T31" s="179"/>
      <c r="U31" s="689"/>
      <c r="V31" s="179"/>
      <c r="W31" s="179"/>
      <c r="X31" s="179"/>
      <c r="Y31" s="179"/>
      <c r="Z31" s="689"/>
      <c r="AA31" s="179"/>
      <c r="AB31" s="179"/>
      <c r="AC31" s="179"/>
      <c r="AD31" s="179">
        <f t="shared" ref="AD31:AQ31" si="55">AD27/Y27-1</f>
        <v>0.12470588235294122</v>
      </c>
      <c r="AE31" s="689">
        <f t="shared" si="55"/>
        <v>0.12470588235294122</v>
      </c>
      <c r="AF31" s="179">
        <f t="shared" si="55"/>
        <v>0.15454545454545454</v>
      </c>
      <c r="AG31" s="179">
        <f t="shared" si="55"/>
        <v>0.15401785714285721</v>
      </c>
      <c r="AH31" s="179">
        <f t="shared" si="55"/>
        <v>0.13174946004319654</v>
      </c>
      <c r="AI31" s="179">
        <f t="shared" si="55"/>
        <v>0.13179916317991625</v>
      </c>
      <c r="AJ31" s="689">
        <f t="shared" si="55"/>
        <v>0.13179916317991625</v>
      </c>
      <c r="AK31" s="179">
        <f t="shared" si="55"/>
        <v>4.1338582677165281E-2</v>
      </c>
      <c r="AL31" s="179">
        <f t="shared" si="55"/>
        <v>6.1895551257253434E-2</v>
      </c>
      <c r="AM31" s="179">
        <f t="shared" si="55"/>
        <v>7.4427480916030575E-2</v>
      </c>
      <c r="AN31" s="179">
        <f t="shared" si="55"/>
        <v>4.4362292051755903E-2</v>
      </c>
      <c r="AO31" s="689">
        <f t="shared" si="55"/>
        <v>4.4362292051755903E-2</v>
      </c>
      <c r="AP31" s="179">
        <f t="shared" si="55"/>
        <v>6.2381852551984807E-2</v>
      </c>
      <c r="AQ31" s="179">
        <f t="shared" si="55"/>
        <v>-0.31329690346083794</v>
      </c>
      <c r="AR31" s="179">
        <f>AR27/AM27-1</f>
        <v>-9.9467140319715819E-2</v>
      </c>
      <c r="AS31" s="179">
        <f>AS27/AN27-1</f>
        <v>-7.9646017699115057E-2</v>
      </c>
      <c r="AT31" s="689">
        <f>AT27/AO27-1</f>
        <v>-7.9646017699115057E-2</v>
      </c>
      <c r="AU31" s="179">
        <f>AU27/AP27-1</f>
        <v>-0.104982206405694</v>
      </c>
      <c r="AV31" s="179">
        <f t="shared" si="47"/>
        <v>0.40053050397877987</v>
      </c>
      <c r="AW31" s="179">
        <f t="shared" si="47"/>
        <v>5.5226824457593748E-2</v>
      </c>
      <c r="AX31" s="179">
        <f t="shared" si="48"/>
        <v>1.538461538461533E-2</v>
      </c>
      <c r="AY31" s="689">
        <f t="shared" si="48"/>
        <v>1.538461538461533E-2</v>
      </c>
      <c r="AZ31" s="179">
        <f t="shared" si="49"/>
        <v>8.5487077534791345E-2</v>
      </c>
      <c r="BA31" s="179">
        <f t="shared" si="49"/>
        <v>7.7651515151515138E-2</v>
      </c>
      <c r="BB31" s="179">
        <f t="shared" si="50"/>
        <v>6.9158878504672838E-2</v>
      </c>
      <c r="BC31" s="179">
        <f t="shared" si="50"/>
        <v>3.2196969696969724E-2</v>
      </c>
      <c r="BD31" s="689">
        <f t="shared" si="50"/>
        <v>3.2196969696969724E-2</v>
      </c>
      <c r="BE31" s="179">
        <f t="shared" si="51"/>
        <v>1.46520146520146E-2</v>
      </c>
      <c r="BF31" s="179">
        <f t="shared" si="51"/>
        <v>-1.0544815465729385E-2</v>
      </c>
      <c r="BG31" s="179">
        <f t="shared" si="52"/>
        <v>-1.9230769230769273E-2</v>
      </c>
      <c r="BH31" s="179">
        <f t="shared" si="52"/>
        <v>-1.8348623853210455E-3</v>
      </c>
      <c r="BI31" s="689">
        <f t="shared" si="52"/>
        <v>-1.8348623853210455E-3</v>
      </c>
      <c r="BJ31" s="179">
        <f t="shared" si="53"/>
        <v>-4.3321299638989119E-2</v>
      </c>
      <c r="BK31" s="179">
        <f t="shared" si="53"/>
        <v>-5.6838365896980436E-2</v>
      </c>
      <c r="BL31" s="497">
        <f>BL27/BG27-1</f>
        <v>-6.5953654188948274E-2</v>
      </c>
      <c r="BM31" s="179">
        <f>BM27/BH27-1</f>
        <v>-9.2178308823529398E-2</v>
      </c>
      <c r="BN31" s="689">
        <f>BN27/BI27-1</f>
        <v>-9.2178308823529398E-2</v>
      </c>
      <c r="BO31" s="179">
        <f>BO27/BJ27-1</f>
        <v>3.4264150943396299E-2</v>
      </c>
      <c r="BP31" s="179">
        <f>BP27/BK27-1</f>
        <v>9.9999999999997868E-3</v>
      </c>
      <c r="BQ31" s="179">
        <f>BQ27/BL27-1</f>
        <v>2.2404580152671771E-2</v>
      </c>
      <c r="BR31" s="179">
        <f>BR27/BM27-1</f>
        <v>5.9063692784319333E-2</v>
      </c>
      <c r="BS31" s="689">
        <f>BS27/BN27-1</f>
        <v>5.9063692784319333E-2</v>
      </c>
      <c r="BT31" s="689">
        <f>BT27/BS27-1</f>
        <v>1.0000000000000009E-2</v>
      </c>
      <c r="BU31" s="689">
        <f>BU27/BT27-1</f>
        <v>1.4922126885597464E-2</v>
      </c>
      <c r="BV31" s="689">
        <f>BV27/BU27-1</f>
        <v>3.5159739973207094E-2</v>
      </c>
      <c r="BW31" s="279"/>
    </row>
    <row r="32" spans="1:75" s="449" customFormat="1">
      <c r="A32" s="51"/>
      <c r="B32" s="71"/>
      <c r="C32" s="685"/>
      <c r="D32" s="685"/>
      <c r="E32" s="685"/>
      <c r="F32" s="685"/>
      <c r="G32" s="54"/>
      <c r="H32" s="54"/>
      <c r="I32" s="54"/>
      <c r="J32" s="54"/>
      <c r="K32" s="685"/>
      <c r="L32" s="54"/>
      <c r="M32" s="54"/>
      <c r="N32" s="54"/>
      <c r="O32" s="54"/>
      <c r="P32" s="685"/>
      <c r="Q32" s="54"/>
      <c r="R32" s="54"/>
      <c r="S32" s="54"/>
      <c r="T32" s="54"/>
      <c r="U32" s="685"/>
      <c r="V32" s="54"/>
      <c r="W32" s="54"/>
      <c r="X32" s="54"/>
      <c r="Y32" s="54"/>
      <c r="Z32" s="685"/>
      <c r="AA32" s="54"/>
      <c r="AB32" s="54"/>
      <c r="AC32" s="54"/>
      <c r="AD32" s="54"/>
      <c r="AE32" s="685"/>
      <c r="AF32" s="54"/>
      <c r="AG32" s="54"/>
      <c r="AH32" s="54"/>
      <c r="AI32" s="54"/>
      <c r="AJ32" s="685"/>
      <c r="AK32" s="54"/>
      <c r="AL32" s="54"/>
      <c r="AM32" s="54"/>
      <c r="AN32" s="54"/>
      <c r="AO32" s="685"/>
      <c r="AP32" s="54"/>
      <c r="AQ32" s="54"/>
      <c r="AR32" s="54"/>
      <c r="AS32" s="54"/>
      <c r="AT32" s="685"/>
      <c r="AU32" s="54"/>
      <c r="AV32" s="54"/>
      <c r="AW32" s="54"/>
      <c r="AX32" s="54"/>
      <c r="AY32" s="685"/>
      <c r="AZ32" s="54"/>
      <c r="BA32" s="54"/>
      <c r="BB32" s="54"/>
      <c r="BC32" s="54"/>
      <c r="BD32" s="685"/>
      <c r="BE32" s="54"/>
      <c r="BF32" s="54"/>
      <c r="BG32" s="54"/>
      <c r="BH32" s="54"/>
      <c r="BI32" s="685"/>
      <c r="BJ32" s="54"/>
      <c r="BK32" s="54"/>
      <c r="BL32" s="392"/>
      <c r="BM32" s="54"/>
      <c r="BN32" s="685"/>
      <c r="BO32" s="54"/>
      <c r="BP32" s="54"/>
      <c r="BQ32" s="54"/>
      <c r="BR32" s="54"/>
      <c r="BS32" s="685"/>
      <c r="BT32" s="685"/>
      <c r="BU32" s="685"/>
      <c r="BV32" s="685"/>
      <c r="BW32" s="204"/>
    </row>
    <row r="33" spans="1:75" s="450" customFormat="1">
      <c r="A33" s="246" t="s">
        <v>132</v>
      </c>
      <c r="B33" s="206"/>
      <c r="C33" s="678"/>
      <c r="D33" s="678"/>
      <c r="E33" s="678"/>
      <c r="F33" s="678"/>
      <c r="G33" s="43"/>
      <c r="H33" s="43"/>
      <c r="I33" s="43"/>
      <c r="J33" s="43"/>
      <c r="K33" s="678"/>
      <c r="L33" s="43"/>
      <c r="M33" s="43"/>
      <c r="N33" s="43"/>
      <c r="O33" s="43"/>
      <c r="P33" s="678"/>
      <c r="Q33" s="43"/>
      <c r="R33" s="43"/>
      <c r="S33" s="43"/>
      <c r="T33" s="43"/>
      <c r="U33" s="678"/>
      <c r="V33" s="43"/>
      <c r="W33" s="43"/>
      <c r="X33" s="43"/>
      <c r="Y33" s="43"/>
      <c r="Z33" s="678"/>
      <c r="AA33" s="43"/>
      <c r="AB33" s="43"/>
      <c r="AC33" s="43"/>
      <c r="AD33" s="43"/>
      <c r="AE33" s="678"/>
      <c r="AF33" s="613">
        <v>233</v>
      </c>
      <c r="AG33" s="124">
        <f t="shared" ref="AG33:AI35" si="56">AVERAGE(AG25,AF25)</f>
        <v>232.5</v>
      </c>
      <c r="AH33" s="124">
        <f t="shared" si="56"/>
        <v>231</v>
      </c>
      <c r="AI33" s="124">
        <f t="shared" si="56"/>
        <v>230.5</v>
      </c>
      <c r="AJ33" s="679">
        <f>AVERAGE(AF33,AG33,AH33,AI33)</f>
        <v>231.75</v>
      </c>
      <c r="AK33" s="124">
        <f t="shared" ref="AK33:AN35" si="57">AVERAGE(AK25,AJ25)</f>
        <v>232</v>
      </c>
      <c r="AL33" s="124">
        <f t="shared" si="57"/>
        <v>228.5</v>
      </c>
      <c r="AM33" s="124">
        <f t="shared" si="57"/>
        <v>227.5</v>
      </c>
      <c r="AN33" s="124">
        <f t="shared" si="57"/>
        <v>233</v>
      </c>
      <c r="AO33" s="679">
        <f>AVERAGE(AK33,AL33,AM33,AN33)</f>
        <v>230.25</v>
      </c>
      <c r="AP33" s="124">
        <f t="shared" ref="AP33:AS35" si="58">AVERAGE(AP25,AO25)</f>
        <v>233.5</v>
      </c>
      <c r="AQ33" s="124">
        <f t="shared" si="58"/>
        <v>218</v>
      </c>
      <c r="AR33" s="124">
        <f t="shared" si="58"/>
        <v>211</v>
      </c>
      <c r="AS33" s="124">
        <f t="shared" si="58"/>
        <v>221</v>
      </c>
      <c r="AT33" s="679">
        <f>AVERAGE(AP33,AQ33,AR33,AS33)</f>
        <v>220.875</v>
      </c>
      <c r="AU33" s="124">
        <f t="shared" ref="AU33:AU35" si="59">AVERAGE(AU25,AT25)</f>
        <v>224</v>
      </c>
      <c r="AV33" s="124">
        <f t="shared" ref="AV33:AW35" si="60">AVERAGE(AV25,AU25)</f>
        <v>229</v>
      </c>
      <c r="AW33" s="124">
        <f t="shared" si="60"/>
        <v>232.5</v>
      </c>
      <c r="AX33" s="124">
        <f>AVERAGE(AX25,AW25)</f>
        <v>225</v>
      </c>
      <c r="AY33" s="679">
        <f>AVERAGE(AU33,AV33,AW33,AX33)</f>
        <v>227.625</v>
      </c>
      <c r="AZ33" s="124">
        <f t="shared" ref="AZ33:BA35" si="61">AVERAGE(AZ25,AY25)</f>
        <v>221</v>
      </c>
      <c r="BA33" s="124">
        <f t="shared" si="61"/>
        <v>227.5</v>
      </c>
      <c r="BB33" s="124">
        <f t="shared" ref="BB33:BC35" si="62">AVERAGE(BB25,BA25)</f>
        <v>235</v>
      </c>
      <c r="BC33" s="124">
        <f t="shared" si="62"/>
        <v>234.5</v>
      </c>
      <c r="BD33" s="679">
        <f>AVERAGE(AZ33,BA33,BB33,BC33)</f>
        <v>229.5</v>
      </c>
      <c r="BE33" s="124">
        <f t="shared" ref="BE33:BF35" si="63">AVERAGE(BE25,BD25)</f>
        <v>234.5</v>
      </c>
      <c r="BF33" s="124">
        <f t="shared" si="63"/>
        <v>238</v>
      </c>
      <c r="BG33" s="124">
        <f t="shared" ref="BG33:BH35" si="64">AVERAGE(BG25,BF25)</f>
        <v>236.5</v>
      </c>
      <c r="BH33" s="124">
        <f t="shared" si="64"/>
        <v>240</v>
      </c>
      <c r="BI33" s="679">
        <f>AVERAGE(BE33,BF33,BG33,BH33)</f>
        <v>237.25</v>
      </c>
      <c r="BJ33" s="124">
        <f t="shared" ref="BJ33:BK35" si="65">AVERAGE(BJ25,BI25)</f>
        <v>248.5</v>
      </c>
      <c r="BK33" s="124">
        <f t="shared" si="65"/>
        <v>253</v>
      </c>
      <c r="BL33" s="493">
        <f>AVERAGE(BL25,BK25)</f>
        <v>253</v>
      </c>
      <c r="BM33" s="43">
        <f t="shared" ref="BM33:BM35" si="66">AVERAGE(BM25,BL25)</f>
        <v>250.33749999999998</v>
      </c>
      <c r="BN33" s="678">
        <f>AVERAGE(BJ33,BK33,BL33,BM33)</f>
        <v>251.20937499999999</v>
      </c>
      <c r="BO33" s="43">
        <f t="shared" ref="BO33:BR35" si="67">AVERAGE(BO25,BN25)</f>
        <v>256.63749999999999</v>
      </c>
      <c r="BP33" s="43">
        <f t="shared" si="67"/>
        <v>260.57000000000005</v>
      </c>
      <c r="BQ33" s="43">
        <f t="shared" si="67"/>
        <v>257.41999999999996</v>
      </c>
      <c r="BR33" s="43">
        <f t="shared" si="67"/>
        <v>261.94245000000001</v>
      </c>
      <c r="BS33" s="678">
        <f>AVERAGE(BO33,BP33,BQ33,BR33)</f>
        <v>259.14248750000002</v>
      </c>
      <c r="BT33" s="678">
        <f t="shared" ref="BT33:BV35" si="68">AVERAGE(BT25,BS25)</f>
        <v>266.9128245</v>
      </c>
      <c r="BU33" s="678">
        <f t="shared" si="68"/>
        <v>269.58195274499997</v>
      </c>
      <c r="BV33" s="678">
        <f t="shared" si="68"/>
        <v>277.69623540225001</v>
      </c>
      <c r="BW33" s="257"/>
    </row>
    <row r="34" spans="1:75" s="450" customFormat="1">
      <c r="A34" s="247" t="s">
        <v>133</v>
      </c>
      <c r="B34" s="248"/>
      <c r="C34" s="680"/>
      <c r="D34" s="680"/>
      <c r="E34" s="680"/>
      <c r="F34" s="680"/>
      <c r="G34" s="249"/>
      <c r="H34" s="249"/>
      <c r="I34" s="249"/>
      <c r="J34" s="249"/>
      <c r="K34" s="680"/>
      <c r="L34" s="249"/>
      <c r="M34" s="249"/>
      <c r="N34" s="249"/>
      <c r="O34" s="249"/>
      <c r="P34" s="680"/>
      <c r="Q34" s="249"/>
      <c r="R34" s="249"/>
      <c r="S34" s="249"/>
      <c r="T34" s="249"/>
      <c r="U34" s="680"/>
      <c r="V34" s="249"/>
      <c r="W34" s="249"/>
      <c r="X34" s="249"/>
      <c r="Y34" s="249"/>
      <c r="Z34" s="680"/>
      <c r="AA34" s="249"/>
      <c r="AB34" s="249"/>
      <c r="AC34" s="249"/>
      <c r="AD34" s="249"/>
      <c r="AE34" s="680"/>
      <c r="AF34" s="615">
        <v>275</v>
      </c>
      <c r="AG34" s="250">
        <f t="shared" si="56"/>
        <v>280</v>
      </c>
      <c r="AH34" s="250">
        <f t="shared" si="56"/>
        <v>289.5</v>
      </c>
      <c r="AI34" s="250">
        <f t="shared" si="56"/>
        <v>301.5</v>
      </c>
      <c r="AJ34" s="681">
        <f>AVERAGE(AF34,AG34,AH34,AI34)</f>
        <v>286.5</v>
      </c>
      <c r="AK34" s="250">
        <f t="shared" si="57"/>
        <v>302.5</v>
      </c>
      <c r="AL34" s="250">
        <f t="shared" si="57"/>
        <v>310.5</v>
      </c>
      <c r="AM34" s="250">
        <f t="shared" si="57"/>
        <v>328.5</v>
      </c>
      <c r="AN34" s="250">
        <f t="shared" si="57"/>
        <v>331</v>
      </c>
      <c r="AO34" s="681">
        <f>AVERAGE(AK34,AL34,AM34,AN34)</f>
        <v>318.125</v>
      </c>
      <c r="AP34" s="250">
        <f t="shared" si="58"/>
        <v>330</v>
      </c>
      <c r="AQ34" s="250">
        <f t="shared" si="58"/>
        <v>252</v>
      </c>
      <c r="AR34" s="250">
        <f t="shared" si="58"/>
        <v>231.5</v>
      </c>
      <c r="AS34" s="250">
        <f t="shared" si="58"/>
        <v>292.5</v>
      </c>
      <c r="AT34" s="681">
        <f>AVERAGE(AP34,AQ34,AR34,AS34)</f>
        <v>276.5</v>
      </c>
      <c r="AU34" s="250">
        <f t="shared" si="59"/>
        <v>287.5</v>
      </c>
      <c r="AV34" s="250">
        <f t="shared" si="60"/>
        <v>286.5</v>
      </c>
      <c r="AW34" s="250">
        <f t="shared" si="60"/>
        <v>299</v>
      </c>
      <c r="AX34" s="250">
        <f>AVERAGE(AX26,AW26)</f>
        <v>306.5</v>
      </c>
      <c r="AY34" s="681">
        <f>AVERAGE(AU34,AV34,AW34,AX34)</f>
        <v>294.875</v>
      </c>
      <c r="AZ34" s="250">
        <f t="shared" si="61"/>
        <v>316</v>
      </c>
      <c r="BA34" s="250">
        <f t="shared" si="61"/>
        <v>330</v>
      </c>
      <c r="BB34" s="250">
        <f t="shared" si="62"/>
        <v>335.5</v>
      </c>
      <c r="BC34" s="250">
        <f t="shared" si="62"/>
        <v>324</v>
      </c>
      <c r="BD34" s="681">
        <f>AVERAGE(AZ34,BA34,BB34,BC34)</f>
        <v>326.375</v>
      </c>
      <c r="BE34" s="250">
        <f t="shared" si="63"/>
        <v>315</v>
      </c>
      <c r="BF34" s="250">
        <f t="shared" si="63"/>
        <v>320.5</v>
      </c>
      <c r="BG34" s="250">
        <f t="shared" si="64"/>
        <v>325.5</v>
      </c>
      <c r="BH34" s="250">
        <f t="shared" si="64"/>
        <v>312.5</v>
      </c>
      <c r="BI34" s="681">
        <f>AVERAGE(BE34,BF34,BG34,BH34)</f>
        <v>318.375</v>
      </c>
      <c r="BJ34" s="250">
        <f t="shared" si="65"/>
        <v>288.5</v>
      </c>
      <c r="BK34" s="250">
        <f t="shared" si="65"/>
        <v>277.5</v>
      </c>
      <c r="BL34" s="494">
        <f>AVERAGE(BL26,BK26)</f>
        <v>274.5</v>
      </c>
      <c r="BM34" s="249">
        <f t="shared" si="66"/>
        <v>258.59000000000003</v>
      </c>
      <c r="BN34" s="680">
        <f>AVERAGE(BJ34,BK34,BL34,BM34)</f>
        <v>274.77250000000004</v>
      </c>
      <c r="BO34" s="249">
        <f t="shared" si="67"/>
        <v>264.37</v>
      </c>
      <c r="BP34" s="249">
        <f t="shared" si="67"/>
        <v>281.66499999999996</v>
      </c>
      <c r="BQ34" s="249">
        <f t="shared" si="67"/>
        <v>278.60500000000002</v>
      </c>
      <c r="BR34" s="249">
        <f t="shared" si="67"/>
        <v>267.43950000000001</v>
      </c>
      <c r="BS34" s="680">
        <f>AVERAGE(BO34,BP34,BQ34,BR34)</f>
        <v>273.01987500000001</v>
      </c>
      <c r="BT34" s="680">
        <f t="shared" si="68"/>
        <v>258.72619500000002</v>
      </c>
      <c r="BU34" s="680">
        <f t="shared" si="68"/>
        <v>262.61352390000002</v>
      </c>
      <c r="BV34" s="680">
        <f t="shared" si="68"/>
        <v>267.86579437800003</v>
      </c>
      <c r="BW34" s="257"/>
    </row>
    <row r="35" spans="1:75" s="447" customFormat="1">
      <c r="A35" s="202" t="s">
        <v>134</v>
      </c>
      <c r="B35" s="70"/>
      <c r="C35" s="682"/>
      <c r="D35" s="682"/>
      <c r="E35" s="682"/>
      <c r="F35" s="682"/>
      <c r="G35" s="21"/>
      <c r="H35" s="21"/>
      <c r="I35" s="21"/>
      <c r="J35" s="21"/>
      <c r="K35" s="682"/>
      <c r="L35" s="21"/>
      <c r="M35" s="21"/>
      <c r="N35" s="21"/>
      <c r="O35" s="21"/>
      <c r="P35" s="682"/>
      <c r="Q35" s="21"/>
      <c r="R35" s="21"/>
      <c r="S35" s="21"/>
      <c r="T35" s="21"/>
      <c r="U35" s="682"/>
      <c r="V35" s="21"/>
      <c r="W35" s="21"/>
      <c r="X35" s="21"/>
      <c r="Y35" s="139">
        <f>AVERAGE(Y27,X27)</f>
        <v>425</v>
      </c>
      <c r="Z35" s="684">
        <f>AVERAGE(V35,W35,X35,Y35)</f>
        <v>425</v>
      </c>
      <c r="AA35" s="139">
        <f>AVERAGE(AA27,Z27)</f>
        <v>432.5</v>
      </c>
      <c r="AB35" s="139">
        <f>AVERAGE(AB27,AA27)</f>
        <v>444</v>
      </c>
      <c r="AC35" s="139">
        <f>AVERAGE(AC27,AB27)</f>
        <v>455.5</v>
      </c>
      <c r="AD35" s="139">
        <f>AVERAGE(AD27,AC27)</f>
        <v>470.5</v>
      </c>
      <c r="AE35" s="684">
        <f>AVERAGE(AA35,AB35,AC35,AD35)</f>
        <v>450.625</v>
      </c>
      <c r="AF35" s="139">
        <f>AVERAGE(AF27,AE27)</f>
        <v>493</v>
      </c>
      <c r="AG35" s="139">
        <f t="shared" si="56"/>
        <v>512.5</v>
      </c>
      <c r="AH35" s="139">
        <f t="shared" si="56"/>
        <v>520.5</v>
      </c>
      <c r="AI35" s="139">
        <f t="shared" si="56"/>
        <v>532.5</v>
      </c>
      <c r="AJ35" s="684">
        <f>AVERAGE(AF35,AG35,AH35,AI35)</f>
        <v>514.625</v>
      </c>
      <c r="AK35" s="139">
        <f t="shared" si="57"/>
        <v>535</v>
      </c>
      <c r="AL35" s="139">
        <f t="shared" si="57"/>
        <v>539</v>
      </c>
      <c r="AM35" s="139">
        <f t="shared" si="57"/>
        <v>556</v>
      </c>
      <c r="AN35" s="139">
        <f t="shared" si="57"/>
        <v>564</v>
      </c>
      <c r="AO35" s="684">
        <f>AVERAGE(AK35,AL35,AM35,AN35)</f>
        <v>548.5</v>
      </c>
      <c r="AP35" s="139">
        <f t="shared" si="58"/>
        <v>563.5</v>
      </c>
      <c r="AQ35" s="139">
        <f t="shared" si="58"/>
        <v>469.5</v>
      </c>
      <c r="AR35" s="139">
        <f t="shared" si="58"/>
        <v>442</v>
      </c>
      <c r="AS35" s="139">
        <f t="shared" si="58"/>
        <v>513.5</v>
      </c>
      <c r="AT35" s="684">
        <f>AVERAGE(AP35,AQ35,AR35,AS35)</f>
        <v>497.125</v>
      </c>
      <c r="AU35" s="139">
        <f t="shared" si="59"/>
        <v>511.5</v>
      </c>
      <c r="AV35" s="139">
        <f t="shared" si="60"/>
        <v>515.5</v>
      </c>
      <c r="AW35" s="139">
        <f t="shared" si="60"/>
        <v>531.5</v>
      </c>
      <c r="AX35" s="139">
        <f>AVERAGE(AX27,AW27)</f>
        <v>531.5</v>
      </c>
      <c r="AY35" s="684">
        <f>AVERAGE(AU35,AV35,AW35,AX35)</f>
        <v>522.5</v>
      </c>
      <c r="AZ35" s="139">
        <f t="shared" si="61"/>
        <v>537</v>
      </c>
      <c r="BA35" s="139">
        <f t="shared" si="61"/>
        <v>557.5</v>
      </c>
      <c r="BB35" s="139">
        <f t="shared" si="62"/>
        <v>570.5</v>
      </c>
      <c r="BC35" s="139">
        <f t="shared" si="62"/>
        <v>558.5</v>
      </c>
      <c r="BD35" s="684">
        <f>AVERAGE(AZ35,BA35,BB35,BC35)</f>
        <v>555.875</v>
      </c>
      <c r="BE35" s="139">
        <f t="shared" si="63"/>
        <v>549.5</v>
      </c>
      <c r="BF35" s="139">
        <f t="shared" si="63"/>
        <v>558.5</v>
      </c>
      <c r="BG35" s="139">
        <f t="shared" si="64"/>
        <v>562</v>
      </c>
      <c r="BH35" s="139">
        <f t="shared" si="64"/>
        <v>552.5</v>
      </c>
      <c r="BI35" s="684">
        <f>AVERAGE(BE35,BF35,BG35,BH35)</f>
        <v>555.625</v>
      </c>
      <c r="BJ35" s="139">
        <f t="shared" si="65"/>
        <v>537</v>
      </c>
      <c r="BK35" s="139">
        <f t="shared" si="65"/>
        <v>530.5</v>
      </c>
      <c r="BL35" s="495">
        <f>AVERAGE(BL27,BK27)</f>
        <v>527.5</v>
      </c>
      <c r="BM35" s="21">
        <f t="shared" si="66"/>
        <v>508.92750000000001</v>
      </c>
      <c r="BN35" s="682">
        <f>AVERAGE(BJ35,BK35,BL35,BM35)</f>
        <v>525.98187499999995</v>
      </c>
      <c r="BO35" s="21">
        <f t="shared" si="67"/>
        <v>521.00750000000005</v>
      </c>
      <c r="BP35" s="21">
        <f t="shared" si="67"/>
        <v>542.23500000000001</v>
      </c>
      <c r="BQ35" s="21">
        <f t="shared" si="67"/>
        <v>536.02499999999998</v>
      </c>
      <c r="BR35" s="21">
        <f t="shared" si="67"/>
        <v>529.38194999999996</v>
      </c>
      <c r="BS35" s="682">
        <f>AVERAGE(BO35,BP35,BQ35,BR35)</f>
        <v>532.16236249999997</v>
      </c>
      <c r="BT35" s="682">
        <f t="shared" si="68"/>
        <v>525.63901950000002</v>
      </c>
      <c r="BU35" s="682">
        <f t="shared" si="68"/>
        <v>532.1954766450001</v>
      </c>
      <c r="BV35" s="682">
        <f t="shared" si="68"/>
        <v>545.5620297802501</v>
      </c>
      <c r="BW35" s="139"/>
    </row>
    <row r="36" spans="1:75" s="447" customFormat="1">
      <c r="A36" s="20"/>
      <c r="B36" s="70"/>
      <c r="C36" s="682"/>
      <c r="D36" s="682"/>
      <c r="E36" s="682"/>
      <c r="F36" s="682"/>
      <c r="G36" s="21"/>
      <c r="H36" s="21"/>
      <c r="I36" s="21"/>
      <c r="J36" s="21"/>
      <c r="K36" s="682"/>
      <c r="L36" s="21"/>
      <c r="M36" s="21"/>
      <c r="N36" s="21"/>
      <c r="O36" s="21"/>
      <c r="P36" s="682"/>
      <c r="Q36" s="21"/>
      <c r="R36" s="21"/>
      <c r="S36" s="21"/>
      <c r="T36" s="21"/>
      <c r="U36" s="682"/>
      <c r="V36" s="21"/>
      <c r="W36" s="21"/>
      <c r="X36" s="21"/>
      <c r="Y36" s="21"/>
      <c r="Z36" s="682"/>
      <c r="AA36" s="21"/>
      <c r="AB36" s="21"/>
      <c r="AC36" s="21"/>
      <c r="AD36" s="21"/>
      <c r="AE36" s="682"/>
      <c r="AF36" s="21"/>
      <c r="AG36" s="21"/>
      <c r="AH36" s="21"/>
      <c r="AI36" s="21"/>
      <c r="AJ36" s="682"/>
      <c r="AK36" s="21"/>
      <c r="AL36" s="21"/>
      <c r="AM36" s="21"/>
      <c r="AN36" s="21"/>
      <c r="AO36" s="682"/>
      <c r="AP36" s="21"/>
      <c r="AQ36" s="21"/>
      <c r="AR36" s="21"/>
      <c r="AS36" s="21"/>
      <c r="AT36" s="682"/>
      <c r="AU36" s="21"/>
      <c r="AV36" s="21"/>
      <c r="AW36" s="21"/>
      <c r="AX36" s="21"/>
      <c r="AY36" s="682"/>
      <c r="AZ36" s="21"/>
      <c r="BA36" s="21"/>
      <c r="BB36" s="21"/>
      <c r="BC36" s="21"/>
      <c r="BD36" s="682"/>
      <c r="BE36" s="21"/>
      <c r="BF36" s="21"/>
      <c r="BG36" s="21"/>
      <c r="BH36" s="21"/>
      <c r="BI36" s="682"/>
      <c r="BJ36" s="21"/>
      <c r="BK36" s="21"/>
      <c r="BL36" s="186"/>
      <c r="BM36" s="21"/>
      <c r="BN36" s="682"/>
      <c r="BO36" s="21"/>
      <c r="BP36" s="21"/>
      <c r="BQ36" s="21"/>
      <c r="BR36" s="21"/>
      <c r="BS36" s="682"/>
      <c r="BT36" s="682"/>
      <c r="BU36" s="682"/>
      <c r="BV36" s="682"/>
      <c r="BW36" s="139"/>
    </row>
    <row r="37" spans="1:75" s="451" customFormat="1">
      <c r="A37" s="225" t="s">
        <v>135</v>
      </c>
      <c r="B37" s="244"/>
      <c r="C37" s="690"/>
      <c r="D37" s="690"/>
      <c r="E37" s="690"/>
      <c r="F37" s="690"/>
      <c r="G37" s="245"/>
      <c r="H37" s="245"/>
      <c r="I37" s="245"/>
      <c r="J37" s="245"/>
      <c r="K37" s="690"/>
      <c r="L37" s="245"/>
      <c r="M37" s="245"/>
      <c r="N37" s="245"/>
      <c r="O37" s="245"/>
      <c r="P37" s="690"/>
      <c r="Q37" s="245"/>
      <c r="R37" s="245"/>
      <c r="S37" s="245"/>
      <c r="T37" s="245"/>
      <c r="U37" s="690"/>
      <c r="V37" s="245"/>
      <c r="W37" s="245"/>
      <c r="X37" s="245"/>
      <c r="Y37" s="245"/>
      <c r="Z37" s="690"/>
      <c r="AA37" s="245"/>
      <c r="AB37" s="245"/>
      <c r="AC37" s="245"/>
      <c r="AD37" s="245"/>
      <c r="AE37" s="690"/>
      <c r="AF37" s="201">
        <f t="shared" ref="AF37" si="69">AF16/AF33*1000/3</f>
        <v>152.48783977110156</v>
      </c>
      <c r="AG37" s="201">
        <f t="shared" ref="AG37:AI38" si="70">AG16/AG33*1000/3</f>
        <v>164.82867383512544</v>
      </c>
      <c r="AH37" s="201">
        <f t="shared" si="70"/>
        <v>170.33044733044733</v>
      </c>
      <c r="AI37" s="201">
        <f t="shared" si="70"/>
        <v>170.54953000723063</v>
      </c>
      <c r="AJ37" s="691">
        <f t="shared" ref="AJ37:AJ38" si="71">AJ16/AJ33*1000/12</f>
        <v>164.52031643293779</v>
      </c>
      <c r="AK37" s="201">
        <f t="shared" ref="AK37:AN38" si="72">AK16/AK33*1000/3</f>
        <v>167.08333333333334</v>
      </c>
      <c r="AL37" s="201">
        <f t="shared" si="72"/>
        <v>181.0328227571116</v>
      </c>
      <c r="AM37" s="201">
        <f t="shared" si="72"/>
        <v>197.56776556776558</v>
      </c>
      <c r="AN37" s="201">
        <f t="shared" si="72"/>
        <v>196.71101573676683</v>
      </c>
      <c r="AO37" s="691">
        <f t="shared" ref="AO37:AO38" si="73">AO16/AO33*1000/12</f>
        <v>185.56967064784658</v>
      </c>
      <c r="AP37" s="201">
        <f t="shared" ref="AP37:AS37" si="74">AP16/AP33*1000/3</f>
        <v>189.98144182726625</v>
      </c>
      <c r="AQ37" s="201">
        <f t="shared" si="74"/>
        <v>167.55810397553518</v>
      </c>
      <c r="AR37" s="201">
        <f t="shared" si="74"/>
        <v>210.84834123222751</v>
      </c>
      <c r="AS37" s="201">
        <f t="shared" si="74"/>
        <v>209.48265460030166</v>
      </c>
      <c r="AT37" s="691">
        <f t="shared" ref="AT37:AT38" si="75">AT16/AT33*1000/12</f>
        <v>194.31013016411998</v>
      </c>
      <c r="AU37" s="201">
        <f t="shared" ref="AU37" si="76">AU16/AU33*1000/3</f>
        <v>209.35565476190479</v>
      </c>
      <c r="AV37" s="201">
        <f t="shared" ref="AV37:AW39" si="77">AV16/AV33*1000/3</f>
        <v>222.01164483260553</v>
      </c>
      <c r="AW37" s="201">
        <f t="shared" si="77"/>
        <v>225.54695340501792</v>
      </c>
      <c r="AX37" s="201">
        <f>AX16/AX33*1000/3</f>
        <v>232.95111111111112</v>
      </c>
      <c r="AY37" s="691">
        <f>AY16/AY33*1000/12</f>
        <v>222.50411861614498</v>
      </c>
      <c r="AZ37" s="201">
        <f t="shared" ref="AZ37:BA39" si="78">AZ16/AZ33*1000/3</f>
        <v>241.72398190045249</v>
      </c>
      <c r="BA37" s="201">
        <f t="shared" si="78"/>
        <v>255.38168498168497</v>
      </c>
      <c r="BB37" s="201">
        <f t="shared" ref="BB37:BC39" si="79">BB16/BB33*1000/3</f>
        <v>256.67659574468081</v>
      </c>
      <c r="BC37" s="201">
        <f t="shared" si="79"/>
        <v>253.43567874911159</v>
      </c>
      <c r="BD37" s="691">
        <f>BD16/BD33*1000/12</f>
        <v>251.92810457516342</v>
      </c>
      <c r="BE37" s="201">
        <f t="shared" ref="BE37:BF38" si="80">BE16/BE33*1000/3</f>
        <v>260.86709310589907</v>
      </c>
      <c r="BF37" s="201">
        <f t="shared" si="80"/>
        <v>280.49579831932772</v>
      </c>
      <c r="BG37" s="201">
        <f t="shared" ref="BG37:BH38" si="81">BG16/BG33*1000/3</f>
        <v>290.59619450317126</v>
      </c>
      <c r="BH37" s="201">
        <f t="shared" si="81"/>
        <v>282.13888888888886</v>
      </c>
      <c r="BI37" s="691">
        <f>BI16/BI33*1000/12</f>
        <v>278.57815244116614</v>
      </c>
      <c r="BJ37" s="201">
        <f t="shared" ref="BJ37:BK39" si="82">BJ16/BJ33*1000/3</f>
        <v>272.68678739101273</v>
      </c>
      <c r="BK37" s="201">
        <f t="shared" si="82"/>
        <v>293.74835309617919</v>
      </c>
      <c r="BL37" s="498">
        <f>BL16/BL33*1000/3</f>
        <v>300.40711462450594</v>
      </c>
      <c r="BM37" s="245">
        <f>BH37*(1+BM41)</f>
        <v>304.70999999999998</v>
      </c>
      <c r="BN37" s="690">
        <f>BN16/BN33*1000/12</f>
        <v>292.94720750867685</v>
      </c>
      <c r="BO37" s="245">
        <f t="shared" ref="BO37:BR38" si="83">BJ37*(1+BO41)</f>
        <v>294.50173038229377</v>
      </c>
      <c r="BP37" s="245">
        <f t="shared" si="83"/>
        <v>314.31073781291173</v>
      </c>
      <c r="BQ37" s="245">
        <f t="shared" si="83"/>
        <v>321.43561264822137</v>
      </c>
      <c r="BR37" s="245">
        <f t="shared" si="83"/>
        <v>332.13389999999998</v>
      </c>
      <c r="BS37" s="690">
        <f>BS16/BS33*1000/12</f>
        <v>315.67966993916474</v>
      </c>
      <c r="BT37" s="690">
        <f t="shared" ref="BT37:BV38" si="84">BS37*(1+BT41)</f>
        <v>325.62357954224848</v>
      </c>
      <c r="BU37" s="690">
        <f t="shared" si="84"/>
        <v>351.6102542828213</v>
      </c>
      <c r="BV37" s="690">
        <f t="shared" si="84"/>
        <v>379.67081834376108</v>
      </c>
      <c r="BW37" s="201"/>
    </row>
    <row r="38" spans="1:75" s="451" customFormat="1">
      <c r="A38" s="258" t="s">
        <v>136</v>
      </c>
      <c r="B38" s="259"/>
      <c r="C38" s="692"/>
      <c r="D38" s="692"/>
      <c r="E38" s="692"/>
      <c r="F38" s="692"/>
      <c r="G38" s="260"/>
      <c r="H38" s="260"/>
      <c r="I38" s="260"/>
      <c r="J38" s="260"/>
      <c r="K38" s="692"/>
      <c r="L38" s="260"/>
      <c r="M38" s="260"/>
      <c r="N38" s="260"/>
      <c r="O38" s="260"/>
      <c r="P38" s="692"/>
      <c r="Q38" s="260"/>
      <c r="R38" s="260"/>
      <c r="S38" s="260"/>
      <c r="T38" s="260"/>
      <c r="U38" s="692"/>
      <c r="V38" s="260"/>
      <c r="W38" s="260"/>
      <c r="X38" s="260"/>
      <c r="Y38" s="260"/>
      <c r="Z38" s="692"/>
      <c r="AA38" s="260"/>
      <c r="AB38" s="260"/>
      <c r="AC38" s="260"/>
      <c r="AD38" s="260"/>
      <c r="AE38" s="692"/>
      <c r="AF38" s="261">
        <f t="shared" ref="AF38" si="85">AF17/AF34*1000/3</f>
        <v>130.2472727272727</v>
      </c>
      <c r="AG38" s="261">
        <f t="shared" si="70"/>
        <v>132.38095238095238</v>
      </c>
      <c r="AH38" s="261">
        <f t="shared" si="70"/>
        <v>131.79389752446747</v>
      </c>
      <c r="AI38" s="261">
        <f t="shared" si="70"/>
        <v>129.17523493642895</v>
      </c>
      <c r="AJ38" s="693">
        <f t="shared" si="71"/>
        <v>130.87725421756835</v>
      </c>
      <c r="AK38" s="261">
        <f t="shared" si="72"/>
        <v>122.03085399449036</v>
      </c>
      <c r="AL38" s="261">
        <f t="shared" si="72"/>
        <v>122.10842726784756</v>
      </c>
      <c r="AM38" s="261">
        <f t="shared" si="72"/>
        <v>119.99797057331303</v>
      </c>
      <c r="AN38" s="261">
        <f t="shared" si="72"/>
        <v>122.30715005035245</v>
      </c>
      <c r="AO38" s="693">
        <f t="shared" si="73"/>
        <v>121.59685658153244</v>
      </c>
      <c r="AP38" s="261">
        <f t="shared" ref="AP38:AS38" si="86">AP17/AP34*1000/3</f>
        <v>108.09191919191919</v>
      </c>
      <c r="AQ38" s="261">
        <f t="shared" si="86"/>
        <v>69.642857142857153</v>
      </c>
      <c r="AR38" s="261">
        <f t="shared" si="86"/>
        <v>111.87904967602593</v>
      </c>
      <c r="AS38" s="261">
        <f t="shared" si="86"/>
        <v>95.424501424501429</v>
      </c>
      <c r="AT38" s="693">
        <f t="shared" si="75"/>
        <v>96.773960216998191</v>
      </c>
      <c r="AU38" s="261">
        <f t="shared" ref="AU38" si="87">AU17/AU34*1000/3</f>
        <v>94.260869565217376</v>
      </c>
      <c r="AV38" s="261">
        <f t="shared" si="77"/>
        <v>107.54973821989527</v>
      </c>
      <c r="AW38" s="261">
        <f t="shared" si="77"/>
        <v>110.93756967670009</v>
      </c>
      <c r="AX38" s="261">
        <f>AX17/AX34*1000/3</f>
        <v>113.32789559543228</v>
      </c>
      <c r="AY38" s="693">
        <f>AY17/AY34*1000/12</f>
        <v>106.67090575102445</v>
      </c>
      <c r="AZ38" s="261">
        <f t="shared" si="78"/>
        <v>108.62236286919831</v>
      </c>
      <c r="BA38" s="261">
        <f t="shared" si="78"/>
        <v>110.32323232323233</v>
      </c>
      <c r="BB38" s="261">
        <f t="shared" si="79"/>
        <v>111.97913561847986</v>
      </c>
      <c r="BC38" s="261">
        <f t="shared" si="79"/>
        <v>119.02469135802467</v>
      </c>
      <c r="BD38" s="693">
        <f>BD17/BD34*1000/12</f>
        <v>112.49661687731394</v>
      </c>
      <c r="BE38" s="261">
        <f t="shared" si="80"/>
        <v>120.23597883597886</v>
      </c>
      <c r="BF38" s="261">
        <f t="shared" si="80"/>
        <v>126.57098283931356</v>
      </c>
      <c r="BG38" s="261">
        <f t="shared" si="81"/>
        <v>126.83461341525857</v>
      </c>
      <c r="BH38" s="261">
        <f t="shared" si="81"/>
        <v>132.51306666666667</v>
      </c>
      <c r="BI38" s="693">
        <f>BI17/BI34*1000/12</f>
        <v>126.52951184399949</v>
      </c>
      <c r="BJ38" s="261">
        <f t="shared" si="82"/>
        <v>132.12016175621028</v>
      </c>
      <c r="BK38" s="261">
        <f t="shared" si="82"/>
        <v>142.20180180180179</v>
      </c>
      <c r="BL38" s="499">
        <f>BL17/BL34*1000/3</f>
        <v>141.34426229508196</v>
      </c>
      <c r="BM38" s="260">
        <f>BH38*(1+BM42)</f>
        <v>136.48845866666667</v>
      </c>
      <c r="BN38" s="692">
        <f>BN17/BN34*1000/12</f>
        <v>137.99708594681053</v>
      </c>
      <c r="BO38" s="260">
        <f t="shared" si="83"/>
        <v>136.08376660889658</v>
      </c>
      <c r="BP38" s="260">
        <f t="shared" si="83"/>
        <v>146.46785585585584</v>
      </c>
      <c r="BQ38" s="260">
        <f t="shared" si="83"/>
        <v>145.58459016393442</v>
      </c>
      <c r="BR38" s="260">
        <f t="shared" si="83"/>
        <v>147.40753536000003</v>
      </c>
      <c r="BS38" s="692">
        <f>BS17/BS34*1000/12</f>
        <v>143.95886590084999</v>
      </c>
      <c r="BT38" s="692">
        <f t="shared" si="84"/>
        <v>148.29530437128329</v>
      </c>
      <c r="BU38" s="692">
        <f t="shared" si="84"/>
        <v>152.76236834011976</v>
      </c>
      <c r="BV38" s="692">
        <f t="shared" si="84"/>
        <v>157.36399260799118</v>
      </c>
      <c r="BW38" s="201"/>
    </row>
    <row r="39" spans="1:75" s="452" customFormat="1">
      <c r="A39" s="274" t="s">
        <v>137</v>
      </c>
      <c r="B39" s="275"/>
      <c r="C39" s="694"/>
      <c r="D39" s="694"/>
      <c r="E39" s="694"/>
      <c r="F39" s="694"/>
      <c r="G39" s="276"/>
      <c r="H39" s="276"/>
      <c r="I39" s="276"/>
      <c r="J39" s="276"/>
      <c r="K39" s="694"/>
      <c r="L39" s="276"/>
      <c r="M39" s="276"/>
      <c r="N39" s="276"/>
      <c r="O39" s="276"/>
      <c r="P39" s="694"/>
      <c r="Q39" s="276"/>
      <c r="R39" s="276"/>
      <c r="S39" s="276"/>
      <c r="T39" s="276"/>
      <c r="U39" s="694"/>
      <c r="V39" s="276"/>
      <c r="W39" s="276"/>
      <c r="X39" s="276"/>
      <c r="Y39" s="277">
        <f>Y18/Y35*1000/3</f>
        <v>134.19607843137254</v>
      </c>
      <c r="Z39" s="694"/>
      <c r="AA39" s="277">
        <f>AA18/AA35*1000/3</f>
        <v>137.10982658959537</v>
      </c>
      <c r="AB39" s="277">
        <f>AB18/AB35*1000/3</f>
        <v>140.90315315315314</v>
      </c>
      <c r="AC39" s="277">
        <f>AC18/AC35*1000/3</f>
        <v>146.72667398463227</v>
      </c>
      <c r="AD39" s="277">
        <f>AD18/AD35*1000/3</f>
        <v>148.48955012398153</v>
      </c>
      <c r="AE39" s="695">
        <f>AE18/AE35*1000/12</f>
        <v>143.44484512251503</v>
      </c>
      <c r="AF39" s="277">
        <f>AF18/AF35*1000/3</f>
        <v>144.72143340094658</v>
      </c>
      <c r="AG39" s="277">
        <f>AG18/AG35*1000/3</f>
        <v>147.10113821138211</v>
      </c>
      <c r="AH39" s="277">
        <f>AH18/AH35*1000/3</f>
        <v>148.89657380723665</v>
      </c>
      <c r="AI39" s="277">
        <f>AI18/AI35*1000/3</f>
        <v>146.96338028169015</v>
      </c>
      <c r="AJ39" s="695">
        <f>AJ18/AJ35*1000/12</f>
        <v>146.94955874018297</v>
      </c>
      <c r="AK39" s="277">
        <f>AK18/AK35*1000/3</f>
        <v>141.45358255451711</v>
      </c>
      <c r="AL39" s="277">
        <f>AL18/AL35*1000/3</f>
        <v>147.08843537414967</v>
      </c>
      <c r="AM39" s="277">
        <f>AM18/AM35*1000/3</f>
        <v>151.73741007194243</v>
      </c>
      <c r="AN39" s="277">
        <f>AN18/AN35*1000/3</f>
        <v>153.04491725768321</v>
      </c>
      <c r="AO39" s="695">
        <f>AO18/AO35*1000/12</f>
        <v>148.42373138863567</v>
      </c>
      <c r="AP39" s="277">
        <f>AP18/AP35*1000/3</f>
        <v>142.02484472049687</v>
      </c>
      <c r="AQ39" s="277">
        <f>AQ18/AQ35*1000/3</f>
        <v>115.18139865104723</v>
      </c>
      <c r="AR39" s="277">
        <f>AR18/AR35*1000/3</f>
        <v>159.25113122171948</v>
      </c>
      <c r="AS39" s="277">
        <f>AS18/AS35*1000/3</f>
        <v>144.51282051282047</v>
      </c>
      <c r="AT39" s="695">
        <f>AT18/AT35*1000/12</f>
        <v>140.15841086245914</v>
      </c>
      <c r="AU39" s="277">
        <f>AU18/AU35*1000/3</f>
        <v>144.66405995438254</v>
      </c>
      <c r="AV39" s="277">
        <f t="shared" si="77"/>
        <v>158.39702554154542</v>
      </c>
      <c r="AW39" s="277">
        <f t="shared" si="77"/>
        <v>161.07243650047036</v>
      </c>
      <c r="AX39" s="277">
        <f>AX18/AX35*1000/3</f>
        <v>163.96801505174037</v>
      </c>
      <c r="AY39" s="695">
        <f>AY18/AY35*1000/12</f>
        <v>157.13317384370018</v>
      </c>
      <c r="AZ39" s="277">
        <f t="shared" si="78"/>
        <v>163.3997517070143</v>
      </c>
      <c r="BA39" s="277">
        <f t="shared" si="78"/>
        <v>169.51748878923766</v>
      </c>
      <c r="BB39" s="277">
        <f t="shared" si="79"/>
        <v>171.58282208588957</v>
      </c>
      <c r="BC39" s="277">
        <f t="shared" si="79"/>
        <v>175.46045956430916</v>
      </c>
      <c r="BD39" s="695">
        <f>BD18/BD35*1000/12</f>
        <v>170.06266396821826</v>
      </c>
      <c r="BE39" s="277">
        <f>BE18/BE35*1000/3</f>
        <v>180.25053078556263</v>
      </c>
      <c r="BF39" s="277">
        <f>BF18/BF35*1000/3</f>
        <v>192.16472694717993</v>
      </c>
      <c r="BG39" s="277">
        <f>BG18/BG35*1000/3</f>
        <v>195.74851720047448</v>
      </c>
      <c r="BH39" s="277">
        <f>BH18/BH35*1000/3</f>
        <v>197.50889894419308</v>
      </c>
      <c r="BI39" s="695">
        <f>BI18/BI35*1000/12</f>
        <v>191.45376827896516</v>
      </c>
      <c r="BJ39" s="277">
        <f t="shared" si="82"/>
        <v>197.1682184978275</v>
      </c>
      <c r="BK39" s="277">
        <f t="shared" si="82"/>
        <v>214.4756519007226</v>
      </c>
      <c r="BL39" s="500">
        <f>BL18/BL35*1000/3</f>
        <v>217.63412322274883</v>
      </c>
      <c r="BM39" s="276">
        <f>BM18/BM35*1000/3</f>
        <v>219.23533342492462</v>
      </c>
      <c r="BN39" s="694">
        <f>BN18/BN35*1000/12</f>
        <v>212.00139112126257</v>
      </c>
      <c r="BO39" s="276">
        <f>BO18/BO35*1000/3</f>
        <v>214.11717337923139</v>
      </c>
      <c r="BP39" s="276">
        <f>BP18/BP35*1000/3</f>
        <v>227.12443418729893</v>
      </c>
      <c r="BQ39" s="276">
        <f>BQ18/BQ35*1000/3</f>
        <v>230.03507327182146</v>
      </c>
      <c r="BR39" s="276">
        <f>BR18/BR35*1000/3</f>
        <v>238.81162749686828</v>
      </c>
      <c r="BS39" s="694">
        <f>BS18/BS35*1000/12</f>
        <v>227.58025563035937</v>
      </c>
      <c r="BT39" s="694">
        <f>BT18/BT35*1000/12</f>
        <v>238.34035246268652</v>
      </c>
      <c r="BU39" s="694">
        <f>BU18/BU35*1000/12</f>
        <v>253.48814250412329</v>
      </c>
      <c r="BV39" s="694">
        <f>BV18/BV35*1000/12</f>
        <v>270.52027043017284</v>
      </c>
      <c r="BW39" s="277"/>
    </row>
    <row r="40" spans="1:75" s="451" customFormat="1">
      <c r="A40" s="267"/>
      <c r="B40" s="244"/>
      <c r="C40" s="690"/>
      <c r="D40" s="690"/>
      <c r="E40" s="690"/>
      <c r="F40" s="690"/>
      <c r="G40" s="245"/>
      <c r="H40" s="245"/>
      <c r="I40" s="245"/>
      <c r="J40" s="245"/>
      <c r="K40" s="690"/>
      <c r="L40" s="245"/>
      <c r="M40" s="245"/>
      <c r="N40" s="245"/>
      <c r="O40" s="245"/>
      <c r="P40" s="690"/>
      <c r="Q40" s="245"/>
      <c r="R40" s="245"/>
      <c r="S40" s="245"/>
      <c r="T40" s="245"/>
      <c r="U40" s="690"/>
      <c r="V40" s="245"/>
      <c r="W40" s="245"/>
      <c r="X40" s="245"/>
      <c r="Y40" s="245"/>
      <c r="Z40" s="690"/>
      <c r="AA40" s="245"/>
      <c r="AB40" s="245"/>
      <c r="AC40" s="245"/>
      <c r="AD40" s="245"/>
      <c r="AE40" s="690"/>
      <c r="AF40" s="245"/>
      <c r="AG40" s="245"/>
      <c r="AH40" s="245"/>
      <c r="AI40" s="245"/>
      <c r="AJ40" s="690"/>
      <c r="AK40" s="245"/>
      <c r="AL40" s="245"/>
      <c r="AM40" s="245"/>
      <c r="AN40" s="245"/>
      <c r="AO40" s="690"/>
      <c r="AP40" s="245"/>
      <c r="AQ40" s="245"/>
      <c r="AR40" s="245"/>
      <c r="AS40" s="245"/>
      <c r="AT40" s="690"/>
      <c r="AU40" s="245"/>
      <c r="AV40" s="245"/>
      <c r="AW40" s="245"/>
      <c r="AX40" s="245"/>
      <c r="AY40" s="690"/>
      <c r="AZ40" s="245"/>
      <c r="BA40" s="245"/>
      <c r="BB40" s="245"/>
      <c r="BC40" s="245"/>
      <c r="BD40" s="690"/>
      <c r="BE40" s="245"/>
      <c r="BF40" s="245"/>
      <c r="BG40" s="245"/>
      <c r="BH40" s="245"/>
      <c r="BI40" s="690"/>
      <c r="BJ40" s="245"/>
      <c r="BK40" s="245"/>
      <c r="BL40" s="393"/>
      <c r="BM40" s="245"/>
      <c r="BN40" s="690"/>
      <c r="BO40" s="245"/>
      <c r="BP40" s="245"/>
      <c r="BQ40" s="245"/>
      <c r="BR40" s="245"/>
      <c r="BS40" s="690"/>
      <c r="BT40" s="690"/>
      <c r="BU40" s="690"/>
      <c r="BV40" s="690"/>
      <c r="BW40" s="201"/>
    </row>
    <row r="41" spans="1:75" s="443" customFormat="1">
      <c r="A41" s="255" t="s">
        <v>138</v>
      </c>
      <c r="B41" s="71"/>
      <c r="C41" s="685"/>
      <c r="D41" s="685"/>
      <c r="E41" s="685"/>
      <c r="F41" s="685"/>
      <c r="G41" s="54"/>
      <c r="H41" s="54"/>
      <c r="I41" s="54"/>
      <c r="J41" s="54"/>
      <c r="K41" s="685"/>
      <c r="L41" s="54"/>
      <c r="M41" s="54"/>
      <c r="N41" s="54"/>
      <c r="O41" s="54"/>
      <c r="P41" s="685"/>
      <c r="Q41" s="54"/>
      <c r="R41" s="54"/>
      <c r="S41" s="54"/>
      <c r="T41" s="54"/>
      <c r="U41" s="685"/>
      <c r="V41" s="54"/>
      <c r="W41" s="54"/>
      <c r="X41" s="54"/>
      <c r="Y41" s="54"/>
      <c r="Z41" s="685"/>
      <c r="AA41" s="54"/>
      <c r="AB41" s="54"/>
      <c r="AC41" s="54"/>
      <c r="AD41" s="54"/>
      <c r="AE41" s="685"/>
      <c r="AF41" s="54"/>
      <c r="AG41" s="54"/>
      <c r="AH41" s="54"/>
      <c r="AI41" s="54"/>
      <c r="AJ41" s="685"/>
      <c r="AK41" s="54">
        <f t="shared" ref="AK41:AL42" si="88">AK37/AF37-1</f>
        <v>9.571578680726911E-2</v>
      </c>
      <c r="AL41" s="54">
        <f t="shared" si="88"/>
        <v>9.8309041412265596E-2</v>
      </c>
      <c r="AM41" s="54">
        <f t="shared" ref="AM41:AM42" si="89">AM37/AH37-1</f>
        <v>0.15990868728523244</v>
      </c>
      <c r="AN41" s="54">
        <f t="shared" ref="AN41:AO42" si="90">AN37/AI37-1</f>
        <v>0.15339523790201626</v>
      </c>
      <c r="AO41" s="685">
        <f t="shared" si="90"/>
        <v>0.1279437985003451</v>
      </c>
      <c r="AP41" s="54">
        <f t="shared" ref="AP41:AP42" si="91">AP37/AK37-1</f>
        <v>0.13704603587391273</v>
      </c>
      <c r="AQ41" s="54">
        <f t="shared" ref="AQ41:AU42" si="92">AQ37/AL37-1</f>
        <v>-7.4432462447184045E-2</v>
      </c>
      <c r="AR41" s="54">
        <f t="shared" si="92"/>
        <v>6.7220356652293534E-2</v>
      </c>
      <c r="AS41" s="54">
        <f t="shared" si="92"/>
        <v>6.4925895561565694E-2</v>
      </c>
      <c r="AT41" s="685">
        <f t="shared" si="92"/>
        <v>4.7100689922870309E-2</v>
      </c>
      <c r="AU41" s="54">
        <f t="shared" si="92"/>
        <v>0.10197950256769728</v>
      </c>
      <c r="AV41" s="54">
        <f t="shared" ref="AV41:AW43" si="93">AV37/AQ37-1</f>
        <v>0.3249830331394834</v>
      </c>
      <c r="AW41" s="54">
        <f t="shared" si="93"/>
        <v>6.9711775235648643E-2</v>
      </c>
      <c r="AX41" s="54">
        <f t="shared" ref="AX41:AY43" si="94">AX37/AS37-1</f>
        <v>0.11203054761544751</v>
      </c>
      <c r="AY41" s="685">
        <f t="shared" si="94"/>
        <v>0.14509788258703504</v>
      </c>
      <c r="AZ41" s="54">
        <f t="shared" ref="AZ41:BA43" si="95">AZ37/AU37-1</f>
        <v>0.15460928043887523</v>
      </c>
      <c r="BA41" s="54">
        <f t="shared" si="95"/>
        <v>0.15030761190134911</v>
      </c>
      <c r="BB41" s="54">
        <f t="shared" ref="BB41:BD43" si="96">BB37/AW37-1</f>
        <v>0.13801845633340459</v>
      </c>
      <c r="BC41" s="54">
        <f t="shared" si="96"/>
        <v>8.7935050149771099E-2</v>
      </c>
      <c r="BD41" s="685">
        <f t="shared" si="96"/>
        <v>0.13224018567395368</v>
      </c>
      <c r="BE41" s="54">
        <f t="shared" ref="BE41:BF43" si="97">BE37/AZ37-1</f>
        <v>7.919409176922354E-2</v>
      </c>
      <c r="BF41" s="54">
        <f t="shared" si="97"/>
        <v>9.8339523993053124E-2</v>
      </c>
      <c r="BG41" s="54">
        <f t="shared" ref="BG41:BI43" si="98">BG37/BB37-1</f>
        <v>0.13214916872370663</v>
      </c>
      <c r="BH41" s="54">
        <f t="shared" si="98"/>
        <v>0.11325639026615497</v>
      </c>
      <c r="BI41" s="685">
        <f t="shared" si="98"/>
        <v>0.10578433839663814</v>
      </c>
      <c r="BJ41" s="54">
        <f t="shared" ref="BJ41:BK43" si="99">BJ37/BE37-1</f>
        <v>4.5309257462823993E-2</v>
      </c>
      <c r="BK41" s="54">
        <f t="shared" si="99"/>
        <v>4.724689231089374E-2</v>
      </c>
      <c r="BL41" s="392">
        <f>BL37/BG37-1</f>
        <v>3.3761350998103401E-2</v>
      </c>
      <c r="BM41" s="618">
        <v>0.08</v>
      </c>
      <c r="BN41" s="685">
        <f>BN37/BI37-1</f>
        <v>5.1579978334967747E-2</v>
      </c>
      <c r="BO41" s="618">
        <v>0.08</v>
      </c>
      <c r="BP41" s="618">
        <v>7.0000000000000007E-2</v>
      </c>
      <c r="BQ41" s="618">
        <v>7.0000000000000007E-2</v>
      </c>
      <c r="BR41" s="618">
        <v>0.09</v>
      </c>
      <c r="BS41" s="685">
        <f>BS37/BN37-1</f>
        <v>7.7599177762479821E-2</v>
      </c>
      <c r="BT41" s="686">
        <v>3.15E-2</v>
      </c>
      <c r="BU41" s="686">
        <v>7.9805875167590995E-2</v>
      </c>
      <c r="BV41" s="686">
        <v>7.9805875167590995E-2</v>
      </c>
      <c r="BW41" s="135"/>
    </row>
    <row r="42" spans="1:75" s="443" customFormat="1">
      <c r="A42" s="256" t="s">
        <v>139</v>
      </c>
      <c r="B42" s="316"/>
      <c r="C42" s="687"/>
      <c r="D42" s="687"/>
      <c r="E42" s="687"/>
      <c r="F42" s="687"/>
      <c r="G42" s="317"/>
      <c r="H42" s="317"/>
      <c r="I42" s="317"/>
      <c r="J42" s="317"/>
      <c r="K42" s="687"/>
      <c r="L42" s="317"/>
      <c r="M42" s="317"/>
      <c r="N42" s="317"/>
      <c r="O42" s="317"/>
      <c r="P42" s="687"/>
      <c r="Q42" s="317"/>
      <c r="R42" s="317"/>
      <c r="S42" s="317"/>
      <c r="T42" s="317"/>
      <c r="U42" s="687"/>
      <c r="V42" s="317"/>
      <c r="W42" s="317"/>
      <c r="X42" s="317"/>
      <c r="Y42" s="317"/>
      <c r="Z42" s="687"/>
      <c r="AA42" s="317"/>
      <c r="AB42" s="317"/>
      <c r="AC42" s="317"/>
      <c r="AD42" s="317"/>
      <c r="AE42" s="687"/>
      <c r="AF42" s="317"/>
      <c r="AG42" s="317"/>
      <c r="AH42" s="317"/>
      <c r="AI42" s="317"/>
      <c r="AJ42" s="687"/>
      <c r="AK42" s="317">
        <f t="shared" si="88"/>
        <v>-6.3083230540933233E-2</v>
      </c>
      <c r="AL42" s="317">
        <f t="shared" si="88"/>
        <v>-7.7598211286043606E-2</v>
      </c>
      <c r="AM42" s="317">
        <f t="shared" si="89"/>
        <v>-8.9502831107673542E-2</v>
      </c>
      <c r="AN42" s="317">
        <f t="shared" si="90"/>
        <v>-5.3168743137618435E-2</v>
      </c>
      <c r="AO42" s="687">
        <f t="shared" si="90"/>
        <v>-7.0909171280506222E-2</v>
      </c>
      <c r="AP42" s="317">
        <f t="shared" si="91"/>
        <v>-0.11422467635275668</v>
      </c>
      <c r="AQ42" s="317">
        <f t="shared" si="92"/>
        <v>-0.42966379388300535</v>
      </c>
      <c r="AR42" s="317">
        <f t="shared" ref="AR42:AU43" si="100">AR38/AM38-1</f>
        <v>-6.7658818382489438E-2</v>
      </c>
      <c r="AS42" s="317">
        <f t="shared" si="100"/>
        <v>-0.21979621481478184</v>
      </c>
      <c r="AT42" s="687">
        <f t="shared" si="100"/>
        <v>-0.20414093803395428</v>
      </c>
      <c r="AU42" s="317">
        <f t="shared" si="100"/>
        <v>-0.12795637019030559</v>
      </c>
      <c r="AV42" s="317">
        <f t="shared" si="93"/>
        <v>0.54430393341388061</v>
      </c>
      <c r="AW42" s="317">
        <f t="shared" si="93"/>
        <v>-8.4151590673332555E-3</v>
      </c>
      <c r="AX42" s="317">
        <f t="shared" si="94"/>
        <v>0.18761841983629091</v>
      </c>
      <c r="AY42" s="687">
        <f t="shared" si="94"/>
        <v>0.10226868376404297</v>
      </c>
      <c r="AZ42" s="317">
        <f t="shared" si="95"/>
        <v>0.15235901567876464</v>
      </c>
      <c r="BA42" s="317">
        <f t="shared" si="95"/>
        <v>2.5788013520464226E-2</v>
      </c>
      <c r="BB42" s="317">
        <f t="shared" si="96"/>
        <v>9.3887575220472641E-3</v>
      </c>
      <c r="BC42" s="317">
        <f t="shared" si="96"/>
        <v>5.0268256837039393E-2</v>
      </c>
      <c r="BD42" s="687">
        <f t="shared" si="96"/>
        <v>5.4613871376390177E-2</v>
      </c>
      <c r="BE42" s="317">
        <f t="shared" si="97"/>
        <v>0.1069173571630504</v>
      </c>
      <c r="BF42" s="317">
        <f t="shared" si="97"/>
        <v>0.14727406162717838</v>
      </c>
      <c r="BG42" s="317">
        <f t="shared" si="98"/>
        <v>0.13266290827062899</v>
      </c>
      <c r="BH42" s="317">
        <f t="shared" si="98"/>
        <v>0.1133241779898353</v>
      </c>
      <c r="BI42" s="687">
        <f t="shared" si="98"/>
        <v>0.12474059537265436</v>
      </c>
      <c r="BJ42" s="317">
        <f t="shared" si="99"/>
        <v>9.8840488806128057E-2</v>
      </c>
      <c r="BK42" s="317">
        <f t="shared" si="99"/>
        <v>0.12349448990478429</v>
      </c>
      <c r="BL42" s="496">
        <f>BL38/BG38-1</f>
        <v>0.1143981795593807</v>
      </c>
      <c r="BM42" s="619">
        <v>0.03</v>
      </c>
      <c r="BN42" s="687">
        <f>BN38/BI38-1</f>
        <v>9.0631615784225961E-2</v>
      </c>
      <c r="BO42" s="619">
        <v>0.03</v>
      </c>
      <c r="BP42" s="619">
        <v>0.03</v>
      </c>
      <c r="BQ42" s="619">
        <v>0.03</v>
      </c>
      <c r="BR42" s="619">
        <v>0.08</v>
      </c>
      <c r="BS42" s="687">
        <f>BS38/BN38-1</f>
        <v>4.3202216286924777E-2</v>
      </c>
      <c r="BT42" s="688">
        <v>3.0122760715689301E-2</v>
      </c>
      <c r="BU42" s="688">
        <v>3.0122760715689301E-2</v>
      </c>
      <c r="BV42" s="688">
        <v>3.0122760715689301E-2</v>
      </c>
      <c r="BW42" s="135"/>
    </row>
    <row r="43" spans="1:75" s="448" customFormat="1">
      <c r="A43" s="278" t="s">
        <v>140</v>
      </c>
      <c r="B43" s="152"/>
      <c r="C43" s="689"/>
      <c r="D43" s="689"/>
      <c r="E43" s="689"/>
      <c r="F43" s="689"/>
      <c r="G43" s="179"/>
      <c r="H43" s="179"/>
      <c r="I43" s="179"/>
      <c r="J43" s="179"/>
      <c r="K43" s="689"/>
      <c r="L43" s="179"/>
      <c r="M43" s="179"/>
      <c r="N43" s="179"/>
      <c r="O43" s="179"/>
      <c r="P43" s="689"/>
      <c r="Q43" s="179"/>
      <c r="R43" s="179"/>
      <c r="S43" s="179"/>
      <c r="T43" s="179"/>
      <c r="U43" s="689"/>
      <c r="V43" s="179"/>
      <c r="W43" s="179"/>
      <c r="X43" s="179"/>
      <c r="Y43" s="179"/>
      <c r="Z43" s="689"/>
      <c r="AA43" s="179"/>
      <c r="AB43" s="179"/>
      <c r="AC43" s="179"/>
      <c r="AD43" s="279">
        <f>AD39/Y39-1</f>
        <v>0.1065118434136556</v>
      </c>
      <c r="AE43" s="689"/>
      <c r="AF43" s="279">
        <f t="shared" ref="AF43:AQ43" si="101">AF39/AA39-1</f>
        <v>5.5514670251423315E-2</v>
      </c>
      <c r="AG43" s="279">
        <f t="shared" si="101"/>
        <v>4.3987554000953555E-2</v>
      </c>
      <c r="AH43" s="279">
        <f t="shared" si="101"/>
        <v>1.4788720848614378E-2</v>
      </c>
      <c r="AI43" s="279">
        <f t="shared" si="101"/>
        <v>-1.0277961250586998E-2</v>
      </c>
      <c r="AJ43" s="696">
        <f t="shared" si="101"/>
        <v>2.4432482147926482E-2</v>
      </c>
      <c r="AK43" s="279">
        <f t="shared" si="101"/>
        <v>-2.2580282475339941E-2</v>
      </c>
      <c r="AL43" s="279">
        <f t="shared" si="101"/>
        <v>-8.6354445566483307E-5</v>
      </c>
      <c r="AM43" s="279">
        <f t="shared" si="101"/>
        <v>1.9079258790625886E-2</v>
      </c>
      <c r="AN43" s="279">
        <f t="shared" si="101"/>
        <v>4.1381308488797286E-2</v>
      </c>
      <c r="AO43" s="696">
        <f t="shared" si="101"/>
        <v>1.0031827663117721E-2</v>
      </c>
      <c r="AP43" s="279">
        <f t="shared" si="101"/>
        <v>4.038513239914554E-3</v>
      </c>
      <c r="AQ43" s="279">
        <f t="shared" si="101"/>
        <v>-0.21692416974822204</v>
      </c>
      <c r="AR43" s="279">
        <f>AR39/AM39-1</f>
        <v>4.9517921428964717E-2</v>
      </c>
      <c r="AS43" s="279">
        <f>AS39/AN39-1</f>
        <v>-5.5748971594379526E-2</v>
      </c>
      <c r="AT43" s="696">
        <f>AT39/AO39-1</f>
        <v>-5.5687324721236497E-2</v>
      </c>
      <c r="AU43" s="279">
        <f t="shared" si="100"/>
        <v>1.8582771479733751E-2</v>
      </c>
      <c r="AV43" s="279">
        <f t="shared" si="93"/>
        <v>0.37519623304301031</v>
      </c>
      <c r="AW43" s="279">
        <f t="shared" si="93"/>
        <v>1.143668660171171E-2</v>
      </c>
      <c r="AX43" s="279">
        <f t="shared" si="94"/>
        <v>0.13462608002446341</v>
      </c>
      <c r="AY43" s="696">
        <f t="shared" si="94"/>
        <v>0.12111126886205059</v>
      </c>
      <c r="AZ43" s="279">
        <f t="shared" si="95"/>
        <v>0.1295117236343275</v>
      </c>
      <c r="BA43" s="279">
        <f t="shared" si="95"/>
        <v>7.0206263089046983E-2</v>
      </c>
      <c r="BB43" s="279">
        <f t="shared" si="96"/>
        <v>6.5252539874434135E-2</v>
      </c>
      <c r="BC43" s="279">
        <f t="shared" si="96"/>
        <v>7.0089550751360585E-2</v>
      </c>
      <c r="BD43" s="696">
        <f t="shared" si="96"/>
        <v>8.2283643919641047E-2</v>
      </c>
      <c r="BE43" s="279">
        <f t="shared" si="97"/>
        <v>0.10312609965750008</v>
      </c>
      <c r="BF43" s="279">
        <f t="shared" si="97"/>
        <v>0.13359824003822851</v>
      </c>
      <c r="BG43" s="279">
        <f t="shared" si="98"/>
        <v>0.14083982779166693</v>
      </c>
      <c r="BH43" s="279">
        <f t="shared" si="98"/>
        <v>0.1256604447214662</v>
      </c>
      <c r="BI43" s="696">
        <f t="shared" si="98"/>
        <v>0.12578366004395014</v>
      </c>
      <c r="BJ43" s="279">
        <f t="shared" si="99"/>
        <v>9.3856520913057517E-2</v>
      </c>
      <c r="BK43" s="279">
        <f t="shared" si="99"/>
        <v>0.11610312312766569</v>
      </c>
      <c r="BL43" s="501">
        <f>BL39/BG39-1</f>
        <v>0.11180470909958595</v>
      </c>
      <c r="BM43" s="179">
        <f>BM39/BH39-1</f>
        <v>0.11000230671566058</v>
      </c>
      <c r="BN43" s="689">
        <f>BN39/BI39-1</f>
        <v>0.10732420169634738</v>
      </c>
      <c r="BO43" s="179">
        <f>BO39/BJ39-1</f>
        <v>8.5961901012919339E-2</v>
      </c>
      <c r="BP43" s="179">
        <f>BP39/BK39-1</f>
        <v>5.8975376339833963E-2</v>
      </c>
      <c r="BQ43" s="179">
        <f>BQ39/BL39-1</f>
        <v>5.6980724646659597E-2</v>
      </c>
      <c r="BR43" s="179">
        <f>BR39/BM39-1</f>
        <v>8.9293517455056648E-2</v>
      </c>
      <c r="BS43" s="689">
        <f>BS39/BN39-1</f>
        <v>7.3484727749667744E-2</v>
      </c>
      <c r="BT43" s="689">
        <f>BT39/BS39-1</f>
        <v>4.7280449714424799E-2</v>
      </c>
      <c r="BU43" s="689">
        <f>BU39/BT39-1</f>
        <v>6.3555289253036662E-2</v>
      </c>
      <c r="BV43" s="689">
        <f>BV39/BU39-1</f>
        <v>6.7191024234092067E-2</v>
      </c>
      <c r="BW43" s="279"/>
    </row>
    <row r="44" spans="1:75" s="445" customFormat="1">
      <c r="A44" s="66"/>
      <c r="B44" s="19"/>
      <c r="C44" s="677"/>
      <c r="D44" s="677"/>
      <c r="E44" s="677"/>
      <c r="F44" s="677"/>
      <c r="G44" s="174"/>
      <c r="H44" s="174"/>
      <c r="I44" s="174"/>
      <c r="J44" s="174"/>
      <c r="K44" s="677"/>
      <c r="L44" s="174"/>
      <c r="M44" s="174"/>
      <c r="N44" s="174"/>
      <c r="O44" s="174"/>
      <c r="P44" s="677"/>
      <c r="Q44" s="174"/>
      <c r="R44" s="174"/>
      <c r="S44" s="174"/>
      <c r="T44" s="174"/>
      <c r="U44" s="677"/>
      <c r="V44" s="174"/>
      <c r="W44" s="174"/>
      <c r="X44" s="174"/>
      <c r="Y44" s="174"/>
      <c r="Z44" s="677"/>
      <c r="AA44" s="174"/>
      <c r="AB44" s="174"/>
      <c r="AC44" s="174"/>
      <c r="AD44" s="174"/>
      <c r="AE44" s="677"/>
      <c r="AF44" s="174"/>
      <c r="AG44" s="174"/>
      <c r="AH44" s="174"/>
      <c r="AI44" s="174"/>
      <c r="AJ44" s="677"/>
      <c r="AK44" s="174"/>
      <c r="AL44" s="174"/>
      <c r="AM44" s="174"/>
      <c r="AN44" s="174"/>
      <c r="AO44" s="677"/>
      <c r="AP44" s="174"/>
      <c r="AQ44" s="174"/>
      <c r="AR44" s="174"/>
      <c r="AS44" s="174"/>
      <c r="AT44" s="677"/>
      <c r="AU44" s="174"/>
      <c r="AV44" s="174"/>
      <c r="AW44" s="174"/>
      <c r="AX44" s="174"/>
      <c r="AY44" s="677"/>
      <c r="AZ44" s="174"/>
      <c r="BA44" s="174"/>
      <c r="BB44" s="174"/>
      <c r="BC44" s="174"/>
      <c r="BD44" s="677"/>
      <c r="BE44" s="174"/>
      <c r="BF44" s="174"/>
      <c r="BG44" s="174"/>
      <c r="BH44" s="174"/>
      <c r="BI44" s="677"/>
      <c r="BJ44" s="174"/>
      <c r="BK44" s="174"/>
      <c r="BL44" s="391"/>
      <c r="BM44" s="174"/>
      <c r="BN44" s="677"/>
      <c r="BO44" s="174"/>
      <c r="BP44" s="174"/>
      <c r="BQ44" s="174"/>
      <c r="BR44" s="174"/>
      <c r="BS44" s="677"/>
      <c r="BT44" s="677"/>
      <c r="BU44" s="677"/>
      <c r="BV44" s="677"/>
      <c r="BW44" s="136"/>
    </row>
    <row r="45" spans="1:75" s="444" customFormat="1">
      <c r="A45" s="517" t="s">
        <v>141</v>
      </c>
      <c r="B45" s="517"/>
      <c r="C45" s="517"/>
      <c r="D45" s="517"/>
      <c r="E45" s="517"/>
      <c r="F45" s="517"/>
      <c r="G45" s="517"/>
      <c r="H45" s="517"/>
      <c r="I45" s="517"/>
      <c r="J45" s="517"/>
      <c r="K45" s="517"/>
      <c r="L45" s="517"/>
      <c r="M45" s="517"/>
      <c r="N45" s="517"/>
      <c r="O45" s="517"/>
      <c r="P45" s="517"/>
      <c r="Q45" s="517"/>
      <c r="R45" s="517"/>
      <c r="S45" s="517"/>
      <c r="T45" s="517"/>
      <c r="U45" s="517"/>
      <c r="V45" s="517"/>
      <c r="W45" s="517"/>
      <c r="X45" s="517"/>
      <c r="Y45" s="517"/>
      <c r="Z45" s="517"/>
      <c r="AA45" s="517"/>
      <c r="AB45" s="517"/>
      <c r="AC45" s="517"/>
      <c r="AD45" s="517"/>
      <c r="AE45" s="517"/>
      <c r="AF45" s="517"/>
      <c r="AG45" s="517"/>
      <c r="AH45" s="517"/>
      <c r="AI45" s="517"/>
      <c r="AJ45" s="517"/>
      <c r="AK45" s="517"/>
      <c r="AL45" s="517"/>
      <c r="AM45" s="517"/>
      <c r="AN45" s="517"/>
      <c r="AO45" s="517"/>
      <c r="AP45" s="517"/>
      <c r="AQ45" s="517"/>
      <c r="AR45" s="517"/>
      <c r="AS45" s="517"/>
      <c r="AT45" s="517"/>
      <c r="AU45" s="517"/>
      <c r="AV45" s="517"/>
      <c r="AW45" s="517"/>
      <c r="AX45" s="517"/>
      <c r="AY45" s="517"/>
      <c r="AZ45" s="517"/>
      <c r="BA45" s="517"/>
      <c r="BB45" s="517"/>
      <c r="BC45" s="517"/>
      <c r="BD45" s="517"/>
      <c r="BE45" s="517"/>
      <c r="BF45" s="517"/>
      <c r="BG45" s="517"/>
      <c r="BH45" s="517"/>
      <c r="BI45" s="517"/>
      <c r="BJ45" s="517"/>
      <c r="BK45" s="517"/>
      <c r="BL45" s="562"/>
      <c r="BM45" s="517"/>
      <c r="BN45" s="517"/>
      <c r="BO45" s="517"/>
      <c r="BP45" s="517"/>
      <c r="BQ45" s="517"/>
      <c r="BR45" s="517"/>
      <c r="BS45" s="517"/>
      <c r="BT45" s="517"/>
      <c r="BU45" s="517"/>
      <c r="BV45" s="517"/>
      <c r="BW45" s="318"/>
    </row>
    <row r="46" spans="1:75" s="439" customFormat="1" hidden="1" outlineLevel="1">
      <c r="A46" s="23" t="s">
        <v>142</v>
      </c>
      <c r="B46" s="53"/>
      <c r="C46" s="675">
        <v>8.8339999999999996</v>
      </c>
      <c r="D46" s="675">
        <v>15.115</v>
      </c>
      <c r="E46" s="675">
        <v>24.817</v>
      </c>
      <c r="F46" s="675">
        <v>35.959000000000003</v>
      </c>
      <c r="G46" s="609">
        <v>39.103000000000002</v>
      </c>
      <c r="H46" s="609">
        <v>42.526000000000003</v>
      </c>
      <c r="I46" s="609">
        <v>47.322000000000003</v>
      </c>
      <c r="J46" s="518">
        <f>K46</f>
        <v>52.756999999999998</v>
      </c>
      <c r="K46" s="675">
        <v>52.756999999999998</v>
      </c>
      <c r="L46" s="609">
        <v>56.905000000000001</v>
      </c>
      <c r="M46" s="609">
        <v>61.341999999999999</v>
      </c>
      <c r="N46" s="609">
        <v>66.591999999999999</v>
      </c>
      <c r="O46" s="518">
        <f>P46</f>
        <v>71.231999999999999</v>
      </c>
      <c r="P46" s="675">
        <v>71.231999999999999</v>
      </c>
      <c r="Q46" s="609">
        <v>77.346000000000004</v>
      </c>
      <c r="R46" s="609">
        <v>83.102000000000004</v>
      </c>
      <c r="S46" s="609">
        <v>89.635000000000005</v>
      </c>
      <c r="T46" s="518">
        <f>U46</f>
        <v>95.21</v>
      </c>
      <c r="U46" s="675">
        <v>95.21</v>
      </c>
      <c r="V46" s="609">
        <v>101.56399999999999</v>
      </c>
      <c r="W46" s="609">
        <v>108.251</v>
      </c>
      <c r="X46" s="609">
        <v>115.259</v>
      </c>
      <c r="Y46" s="609">
        <v>121.02200000000001</v>
      </c>
      <c r="Z46" s="89">
        <f>Y46</f>
        <v>121.02200000000001</v>
      </c>
      <c r="AA46" s="609">
        <v>127.47799999999999</v>
      </c>
      <c r="AB46" s="609">
        <v>134.59100000000001</v>
      </c>
      <c r="AC46" s="609">
        <v>142.036</v>
      </c>
      <c r="AD46" s="609">
        <v>148.298</v>
      </c>
      <c r="AE46" s="89">
        <f>AD46</f>
        <v>148.298</v>
      </c>
      <c r="AF46" s="609">
        <v>155.328</v>
      </c>
      <c r="AG46" s="609">
        <v>162.96899999999999</v>
      </c>
      <c r="AH46" s="609">
        <v>170.86500000000001</v>
      </c>
      <c r="AI46" s="609">
        <v>177.38499999999999</v>
      </c>
      <c r="AJ46" s="89">
        <f>AI46</f>
        <v>177.38499999999999</v>
      </c>
      <c r="AK46" s="609">
        <v>184.386</v>
      </c>
      <c r="AL46" s="609">
        <v>191.73500000000001</v>
      </c>
      <c r="AM46" s="609">
        <v>199.309</v>
      </c>
      <c r="AN46" s="609">
        <v>205.38200000000001</v>
      </c>
      <c r="AO46" s="89">
        <f>AN46</f>
        <v>205.38200000000001</v>
      </c>
      <c r="AP46" s="609">
        <v>210.828</v>
      </c>
      <c r="AQ46" s="609">
        <v>214.376</v>
      </c>
      <c r="AR46" s="609">
        <v>219.65</v>
      </c>
      <c r="AS46" s="609">
        <v>224.16200000000001</v>
      </c>
      <c r="AT46" s="89">
        <f>AS46</f>
        <v>224.16200000000001</v>
      </c>
      <c r="AU46" s="518"/>
      <c r="AV46" s="518"/>
      <c r="AW46" s="518"/>
      <c r="AX46" s="518"/>
      <c r="AY46" s="675">
        <v>244.435</v>
      </c>
      <c r="AZ46" s="518"/>
      <c r="BA46" s="518"/>
      <c r="BB46" s="518"/>
      <c r="BC46" s="518"/>
      <c r="BD46" s="675">
        <v>265.28800000000001</v>
      </c>
      <c r="BE46" s="518"/>
      <c r="BF46" s="518"/>
      <c r="BG46" s="518"/>
      <c r="BH46" s="518"/>
      <c r="BI46" s="675">
        <v>287.36399999999998</v>
      </c>
      <c r="BJ46" s="518"/>
      <c r="BK46" s="518"/>
      <c r="BL46" s="520"/>
      <c r="BM46" s="518"/>
      <c r="BN46" s="89"/>
      <c r="BO46" s="518"/>
      <c r="BP46" s="518"/>
      <c r="BQ46" s="518"/>
      <c r="BR46" s="518"/>
      <c r="BS46" s="89"/>
      <c r="BT46" s="89"/>
      <c r="BU46" s="89"/>
      <c r="BV46" s="89"/>
      <c r="BW46" s="519"/>
    </row>
    <row r="47" spans="1:75" s="446" customFormat="1" hidden="1" outlineLevel="1">
      <c r="A47" s="205" t="s">
        <v>143</v>
      </c>
      <c r="B47" s="206"/>
      <c r="C47" s="697">
        <v>120</v>
      </c>
      <c r="D47" s="697">
        <v>307</v>
      </c>
      <c r="E47" s="697">
        <v>606</v>
      </c>
      <c r="F47" s="697">
        <v>994</v>
      </c>
      <c r="G47" s="613">
        <v>1103</v>
      </c>
      <c r="H47" s="613">
        <v>1222</v>
      </c>
      <c r="I47" s="613">
        <v>1344</v>
      </c>
      <c r="J47" s="43">
        <f>K47</f>
        <v>1488</v>
      </c>
      <c r="K47" s="697">
        <v>1488</v>
      </c>
      <c r="L47" s="613">
        <v>1623</v>
      </c>
      <c r="M47" s="613">
        <v>1751</v>
      </c>
      <c r="N47" s="613">
        <v>1886</v>
      </c>
      <c r="O47" s="43">
        <f>P47</f>
        <v>2029</v>
      </c>
      <c r="P47" s="697">
        <v>2029</v>
      </c>
      <c r="Q47" s="613">
        <v>2193</v>
      </c>
      <c r="R47" s="613">
        <v>2349</v>
      </c>
      <c r="S47" s="613">
        <v>2503</v>
      </c>
      <c r="T47" s="43">
        <f>U47</f>
        <v>2648</v>
      </c>
      <c r="U47" s="697">
        <v>2648</v>
      </c>
      <c r="V47" s="613">
        <v>2834</v>
      </c>
      <c r="W47" s="613">
        <v>3010</v>
      </c>
      <c r="X47" s="613">
        <v>3192</v>
      </c>
      <c r="Y47" s="613">
        <v>3363</v>
      </c>
      <c r="Z47" s="678">
        <f>Y47</f>
        <v>3363</v>
      </c>
      <c r="AA47" s="613">
        <v>3559</v>
      </c>
      <c r="AB47" s="613">
        <v>3753</v>
      </c>
      <c r="AC47" s="613">
        <v>3963</v>
      </c>
      <c r="AD47" s="613">
        <v>4156</v>
      </c>
      <c r="AE47" s="678">
        <f>AD47</f>
        <v>4156</v>
      </c>
      <c r="AF47" s="613">
        <v>4378</v>
      </c>
      <c r="AG47" s="613">
        <v>4593</v>
      </c>
      <c r="AH47" s="613">
        <v>4790</v>
      </c>
      <c r="AI47" s="613">
        <v>4979</v>
      </c>
      <c r="AJ47" s="678">
        <f>AI47</f>
        <v>4979</v>
      </c>
      <c r="AK47" s="43"/>
      <c r="AL47" s="43"/>
      <c r="AM47" s="43"/>
      <c r="AN47" s="43"/>
      <c r="AO47" s="678">
        <f>AN47</f>
        <v>0</v>
      </c>
      <c r="AP47" s="43"/>
      <c r="AQ47" s="43"/>
      <c r="AR47" s="43"/>
      <c r="AS47" s="43"/>
      <c r="AT47" s="678"/>
      <c r="AU47" s="43"/>
      <c r="AV47" s="43"/>
      <c r="AW47" s="43"/>
      <c r="AX47" s="43"/>
      <c r="AY47" s="678"/>
      <c r="AZ47" s="43"/>
      <c r="BA47" s="43"/>
      <c r="BB47" s="43"/>
      <c r="BC47" s="43"/>
      <c r="BD47" s="678"/>
      <c r="BE47" s="43"/>
      <c r="BF47" s="43"/>
      <c r="BG47" s="43"/>
      <c r="BH47" s="43"/>
      <c r="BI47" s="678"/>
      <c r="BJ47" s="43"/>
      <c r="BK47" s="43"/>
      <c r="BL47" s="207"/>
      <c r="BM47" s="43"/>
      <c r="BN47" s="678"/>
      <c r="BO47" s="43"/>
      <c r="BP47" s="43"/>
      <c r="BQ47" s="43"/>
      <c r="BR47" s="43"/>
      <c r="BS47" s="678"/>
      <c r="BT47" s="678"/>
      <c r="BU47" s="678"/>
      <c r="BV47" s="678"/>
      <c r="BW47" s="124"/>
    </row>
    <row r="48" spans="1:75" s="446" customFormat="1" hidden="1" outlineLevel="1">
      <c r="A48" s="205" t="s">
        <v>144</v>
      </c>
      <c r="B48" s="206"/>
      <c r="C48" s="678"/>
      <c r="D48" s="678"/>
      <c r="E48" s="678"/>
      <c r="F48" s="678"/>
      <c r="G48" s="43"/>
      <c r="H48" s="43"/>
      <c r="I48" s="43"/>
      <c r="J48" s="43"/>
      <c r="K48" s="678"/>
      <c r="L48" s="43"/>
      <c r="M48" s="43"/>
      <c r="N48" s="43"/>
      <c r="O48" s="43"/>
      <c r="P48" s="678"/>
      <c r="Q48" s="43"/>
      <c r="R48" s="43"/>
      <c r="S48" s="43"/>
      <c r="T48" s="43"/>
      <c r="U48" s="678"/>
      <c r="V48" s="43"/>
      <c r="W48" s="43"/>
      <c r="X48" s="43"/>
      <c r="Y48" s="43">
        <f>Z48</f>
        <v>3009</v>
      </c>
      <c r="Z48" s="697">
        <v>3009</v>
      </c>
      <c r="AA48" s="613">
        <v>3185</v>
      </c>
      <c r="AB48" s="613">
        <v>3357</v>
      </c>
      <c r="AC48" s="613">
        <v>3538</v>
      </c>
      <c r="AD48" s="613">
        <v>3682</v>
      </c>
      <c r="AE48" s="697">
        <v>3682</v>
      </c>
      <c r="AF48" s="613">
        <v>3870</v>
      </c>
      <c r="AG48" s="613">
        <v>4037</v>
      </c>
      <c r="AH48" s="613">
        <v>4180</v>
      </c>
      <c r="AI48" s="613">
        <v>4310</v>
      </c>
      <c r="AJ48" s="678">
        <f>AI48</f>
        <v>4310</v>
      </c>
      <c r="AK48" s="613">
        <v>4467</v>
      </c>
      <c r="AL48" s="613">
        <v>4616</v>
      </c>
      <c r="AM48" s="613">
        <v>4772</v>
      </c>
      <c r="AN48" s="43">
        <f>AO48</f>
        <v>4913</v>
      </c>
      <c r="AO48" s="697">
        <v>4913</v>
      </c>
      <c r="AP48" s="613">
        <v>5050</v>
      </c>
      <c r="AQ48" s="613">
        <v>5145</v>
      </c>
      <c r="AR48" s="613">
        <v>5259</v>
      </c>
      <c r="AS48" s="613">
        <v>5357</v>
      </c>
      <c r="AT48" s="678">
        <f>AS48</f>
        <v>5357</v>
      </c>
      <c r="AU48" s="43"/>
      <c r="AV48" s="43"/>
      <c r="AW48" s="43"/>
      <c r="AX48" s="43"/>
      <c r="AY48" s="697">
        <v>5794</v>
      </c>
      <c r="AZ48" s="43"/>
      <c r="BA48" s="43"/>
      <c r="BB48" s="43"/>
      <c r="BC48" s="43"/>
      <c r="BD48" s="697">
        <v>6321</v>
      </c>
      <c r="BE48" s="43"/>
      <c r="BF48" s="43"/>
      <c r="BG48" s="43"/>
      <c r="BH48" s="43"/>
      <c r="BI48" s="697">
        <v>7056</v>
      </c>
      <c r="BJ48" s="43"/>
      <c r="BK48" s="43"/>
      <c r="BL48" s="207"/>
      <c r="BM48" s="43"/>
      <c r="BN48" s="678"/>
      <c r="BO48" s="43"/>
      <c r="BP48" s="43"/>
      <c r="BQ48" s="43"/>
      <c r="BR48" s="43"/>
      <c r="BS48" s="678"/>
      <c r="BT48" s="678"/>
      <c r="BU48" s="678"/>
      <c r="BV48" s="678"/>
      <c r="BW48" s="124"/>
    </row>
    <row r="49" spans="1:75" s="446" customFormat="1" hidden="1" outlineLevel="1">
      <c r="A49" s="205" t="s">
        <v>145</v>
      </c>
      <c r="B49" s="206"/>
      <c r="C49" s="697">
        <v>7</v>
      </c>
      <c r="D49" s="697">
        <v>11</v>
      </c>
      <c r="E49" s="697">
        <v>24</v>
      </c>
      <c r="F49" s="697">
        <v>40</v>
      </c>
      <c r="G49" s="613">
        <v>45</v>
      </c>
      <c r="H49" s="613">
        <v>51</v>
      </c>
      <c r="I49" s="613">
        <v>57</v>
      </c>
      <c r="J49" s="43">
        <f>K49</f>
        <v>67</v>
      </c>
      <c r="K49" s="697">
        <v>67</v>
      </c>
      <c r="L49" s="613">
        <v>74</v>
      </c>
      <c r="M49" s="613">
        <v>69</v>
      </c>
      <c r="N49" s="613">
        <v>76</v>
      </c>
      <c r="O49" s="43">
        <f>P49</f>
        <v>84</v>
      </c>
      <c r="P49" s="697">
        <v>84</v>
      </c>
      <c r="Q49" s="613">
        <v>90</v>
      </c>
      <c r="R49" s="613">
        <v>97</v>
      </c>
      <c r="S49" s="613">
        <v>104</v>
      </c>
      <c r="T49" s="43">
        <f>U49</f>
        <v>111</v>
      </c>
      <c r="U49" s="697">
        <v>111</v>
      </c>
      <c r="V49" s="613">
        <v>121</v>
      </c>
      <c r="W49" s="613">
        <v>128</v>
      </c>
      <c r="X49" s="613">
        <v>135</v>
      </c>
      <c r="Y49" s="613">
        <v>137.80000000000001</v>
      </c>
      <c r="Z49" s="678">
        <f>Y49</f>
        <v>137.80000000000001</v>
      </c>
      <c r="AA49" s="613">
        <v>139</v>
      </c>
      <c r="AB49" s="613">
        <v>148</v>
      </c>
      <c r="AC49" s="613">
        <v>155</v>
      </c>
      <c r="AD49" s="613">
        <v>163</v>
      </c>
      <c r="AE49" s="678">
        <f>AD49</f>
        <v>163</v>
      </c>
      <c r="AF49" s="613">
        <v>177</v>
      </c>
      <c r="AG49" s="613">
        <v>194</v>
      </c>
      <c r="AH49" s="613">
        <v>194</v>
      </c>
      <c r="AI49" s="613">
        <v>191</v>
      </c>
      <c r="AJ49" s="678">
        <f>AI49</f>
        <v>191</v>
      </c>
      <c r="AK49" s="613">
        <v>192</v>
      </c>
      <c r="AL49" s="613">
        <v>197</v>
      </c>
      <c r="AM49" s="613">
        <v>209</v>
      </c>
      <c r="AN49" s="43"/>
      <c r="AO49" s="678">
        <f>AN49</f>
        <v>0</v>
      </c>
      <c r="AP49" s="43"/>
      <c r="AQ49" s="43"/>
      <c r="AR49" s="43"/>
      <c r="AS49" s="43"/>
      <c r="AT49" s="678"/>
      <c r="AU49" s="43"/>
      <c r="AV49" s="43"/>
      <c r="AW49" s="43"/>
      <c r="AX49" s="43"/>
      <c r="AY49" s="678"/>
      <c r="AZ49" s="43"/>
      <c r="BA49" s="43"/>
      <c r="BB49" s="43"/>
      <c r="BC49" s="43"/>
      <c r="BD49" s="678"/>
      <c r="BE49" s="43"/>
      <c r="BF49" s="43"/>
      <c r="BG49" s="43"/>
      <c r="BH49" s="43"/>
      <c r="BI49" s="678"/>
      <c r="BJ49" s="43"/>
      <c r="BK49" s="43"/>
      <c r="BL49" s="207"/>
      <c r="BM49" s="43"/>
      <c r="BN49" s="678"/>
      <c r="BO49" s="43"/>
      <c r="BP49" s="43"/>
      <c r="BQ49" s="43"/>
      <c r="BR49" s="43"/>
      <c r="BS49" s="678"/>
      <c r="BT49" s="678"/>
      <c r="BU49" s="678"/>
      <c r="BV49" s="678"/>
      <c r="BW49" s="124"/>
    </row>
    <row r="50" spans="1:75" s="446" customFormat="1" hidden="1" outlineLevel="1">
      <c r="A50" s="205"/>
      <c r="B50" s="206"/>
      <c r="C50" s="678"/>
      <c r="D50" s="678"/>
      <c r="E50" s="678"/>
      <c r="F50" s="678"/>
      <c r="G50" s="43"/>
      <c r="H50" s="43"/>
      <c r="I50" s="43"/>
      <c r="J50" s="43"/>
      <c r="K50" s="678"/>
      <c r="L50" s="43"/>
      <c r="M50" s="43"/>
      <c r="N50" s="43"/>
      <c r="O50" s="43"/>
      <c r="P50" s="678"/>
      <c r="Q50" s="43"/>
      <c r="R50" s="43"/>
      <c r="S50" s="43"/>
      <c r="T50" s="43"/>
      <c r="U50" s="678"/>
      <c r="V50" s="43"/>
      <c r="W50" s="43"/>
      <c r="X50" s="43"/>
      <c r="Y50" s="43"/>
      <c r="Z50" s="678"/>
      <c r="AA50" s="43"/>
      <c r="AB50" s="43"/>
      <c r="AC50" s="43"/>
      <c r="AD50" s="43"/>
      <c r="AE50" s="678"/>
      <c r="AF50" s="43"/>
      <c r="AG50" s="43"/>
      <c r="AH50" s="43"/>
      <c r="AI50" s="43"/>
      <c r="AJ50" s="678"/>
      <c r="AK50" s="43"/>
      <c r="AL50" s="43"/>
      <c r="AM50" s="43"/>
      <c r="AN50" s="43"/>
      <c r="AO50" s="678"/>
      <c r="AP50" s="43"/>
      <c r="AQ50" s="43"/>
      <c r="AR50" s="43"/>
      <c r="AS50" s="43"/>
      <c r="AT50" s="678"/>
      <c r="AU50" s="43"/>
      <c r="AV50" s="43"/>
      <c r="AW50" s="43"/>
      <c r="AX50" s="43"/>
      <c r="AY50" s="678"/>
      <c r="AZ50" s="43"/>
      <c r="BA50" s="43"/>
      <c r="BB50" s="43"/>
      <c r="BC50" s="43"/>
      <c r="BD50" s="678"/>
      <c r="BE50" s="43"/>
      <c r="BF50" s="43"/>
      <c r="BG50" s="43"/>
      <c r="BH50" s="43"/>
      <c r="BI50" s="678"/>
      <c r="BJ50" s="43"/>
      <c r="BK50" s="43"/>
      <c r="BL50" s="207"/>
      <c r="BM50" s="43"/>
      <c r="BN50" s="678"/>
      <c r="BO50" s="43"/>
      <c r="BP50" s="43"/>
      <c r="BQ50" s="43"/>
      <c r="BR50" s="43"/>
      <c r="BS50" s="678"/>
      <c r="BT50" s="678"/>
      <c r="BU50" s="678"/>
      <c r="BV50" s="678"/>
      <c r="BW50" s="124"/>
    </row>
    <row r="51" spans="1:75" s="439" customFormat="1" hidden="1" outlineLevel="1">
      <c r="A51" s="31" t="s">
        <v>146</v>
      </c>
      <c r="B51" s="24"/>
      <c r="C51" s="89"/>
      <c r="D51" s="89"/>
      <c r="E51" s="675">
        <v>5.6539999999999999</v>
      </c>
      <c r="F51" s="675">
        <v>9.1780000000000008</v>
      </c>
      <c r="G51" s="518"/>
      <c r="H51" s="518"/>
      <c r="I51" s="518"/>
      <c r="J51" s="609">
        <v>10.613</v>
      </c>
      <c r="K51" s="675">
        <v>10.613</v>
      </c>
      <c r="L51" s="609">
        <v>10.941000000000001</v>
      </c>
      <c r="M51" s="609">
        <v>12.009</v>
      </c>
      <c r="N51" s="609">
        <v>14.491</v>
      </c>
      <c r="O51" s="609">
        <v>14.541</v>
      </c>
      <c r="P51" s="89">
        <f>AVERAGE(L51,M51,N51,O51)</f>
        <v>12.9955</v>
      </c>
      <c r="Q51" s="609">
        <v>16.039000000000001</v>
      </c>
      <c r="R51" s="609">
        <v>18.097000000000001</v>
      </c>
      <c r="S51" s="609">
        <v>20.120999999999999</v>
      </c>
      <c r="T51" s="609">
        <v>20.006</v>
      </c>
      <c r="U51" s="89">
        <f>AVERAGE(Q51,R51,S51,T51)</f>
        <v>18.565750000000001</v>
      </c>
      <c r="V51" s="609">
        <v>21.186</v>
      </c>
      <c r="W51" s="609">
        <v>23.01</v>
      </c>
      <c r="X51" s="609">
        <v>24.9</v>
      </c>
      <c r="Y51" s="609">
        <v>24.073</v>
      </c>
      <c r="Z51" s="89">
        <f>AVERAGE(V51,W51,X51,Y51)</f>
        <v>23.292250000000003</v>
      </c>
      <c r="AA51" s="609">
        <v>25.827000000000002</v>
      </c>
      <c r="AB51" s="609">
        <v>27.986999999999998</v>
      </c>
      <c r="AC51" s="609">
        <v>30.161999999999999</v>
      </c>
      <c r="AD51" s="609">
        <v>28.844999999999999</v>
      </c>
      <c r="AE51" s="89">
        <f>AVERAGE(AA51,AB51,AC51,AD51)</f>
        <v>28.205249999999999</v>
      </c>
      <c r="AF51" s="609">
        <v>30.114999999999998</v>
      </c>
      <c r="AG51" s="609">
        <v>32.061999999999998</v>
      </c>
      <c r="AH51" s="609">
        <v>34.024999999999999</v>
      </c>
      <c r="AI51" s="609">
        <v>32.890999999999998</v>
      </c>
      <c r="AJ51" s="89">
        <f>AVERAGE(AF51,AG51,AH51,AI51)</f>
        <v>32.273249999999997</v>
      </c>
      <c r="AK51" s="609">
        <v>35.000999999999998</v>
      </c>
      <c r="AL51" s="609">
        <v>36.737000000000002</v>
      </c>
      <c r="AM51" s="609">
        <v>37.661999999999999</v>
      </c>
      <c r="AN51" s="609">
        <v>35.598999999999997</v>
      </c>
      <c r="AO51" s="89">
        <f>AVERAGE(AK51,AL51,AM51,AN51)</f>
        <v>36.249749999999999</v>
      </c>
      <c r="AP51" s="609">
        <v>34.65</v>
      </c>
      <c r="AQ51" s="609">
        <v>28.268999999999998</v>
      </c>
      <c r="AR51" s="609">
        <v>32</v>
      </c>
      <c r="AS51" s="609">
        <v>29.611000000000001</v>
      </c>
      <c r="AT51" s="89">
        <f>AVERAGE(AP51,AQ51,AR51,AS51)</f>
        <v>31.1325</v>
      </c>
      <c r="AU51" s="609">
        <v>32</v>
      </c>
      <c r="AV51" s="518"/>
      <c r="AW51" s="518"/>
      <c r="AX51" s="518"/>
      <c r="AY51" s="675">
        <v>33.085000000000001</v>
      </c>
      <c r="AZ51" s="518"/>
      <c r="BA51" s="518"/>
      <c r="BB51" s="518"/>
      <c r="BC51" s="518"/>
      <c r="BD51" s="675">
        <v>33.026000000000003</v>
      </c>
      <c r="BE51" s="518"/>
      <c r="BF51" s="518"/>
      <c r="BG51" s="518"/>
      <c r="BH51" s="518"/>
      <c r="BI51" s="675">
        <v>31.908999999999999</v>
      </c>
      <c r="BJ51" s="518"/>
      <c r="BK51" s="518"/>
      <c r="BL51" s="520"/>
      <c r="BM51" s="518"/>
      <c r="BN51" s="89"/>
      <c r="BO51" s="518"/>
      <c r="BP51" s="518"/>
      <c r="BQ51" s="518"/>
      <c r="BR51" s="518"/>
      <c r="BS51" s="89"/>
      <c r="BT51" s="89"/>
      <c r="BU51" s="89"/>
      <c r="BV51" s="89"/>
      <c r="BW51" s="519"/>
    </row>
    <row r="52" spans="1:75" s="439" customFormat="1" hidden="1" outlineLevel="1">
      <c r="A52" s="31" t="s">
        <v>147</v>
      </c>
      <c r="B52" s="24"/>
      <c r="C52" s="89"/>
      <c r="D52" s="89"/>
      <c r="E52" s="675">
        <v>53.945999999999998</v>
      </c>
      <c r="F52" s="675">
        <v>62.335999999999999</v>
      </c>
      <c r="G52" s="518"/>
      <c r="H52" s="518"/>
      <c r="I52" s="518"/>
      <c r="J52" s="609">
        <v>77.712999999999994</v>
      </c>
      <c r="K52" s="675">
        <v>77.712999999999994</v>
      </c>
      <c r="L52" s="609">
        <v>82.210999999999999</v>
      </c>
      <c r="M52" s="609">
        <v>81.884</v>
      </c>
      <c r="N52" s="609">
        <v>80.468000000000004</v>
      </c>
      <c r="O52" s="609">
        <v>77.628</v>
      </c>
      <c r="P52" s="89">
        <f>AVERAGE(L52,M52,N52,O52)</f>
        <v>80.547749999999994</v>
      </c>
      <c r="Q52" s="609">
        <v>79.543000000000006</v>
      </c>
      <c r="R52" s="609">
        <v>79.174999999999997</v>
      </c>
      <c r="S52" s="609">
        <v>78.900999999999996</v>
      </c>
      <c r="T52" s="609">
        <v>74.606999999999999</v>
      </c>
      <c r="U52" s="89">
        <f>AVERAGE(Q52,R52,S52,T52)</f>
        <v>78.0565</v>
      </c>
      <c r="V52" s="609">
        <v>77.433000000000007</v>
      </c>
      <c r="W52" s="609">
        <v>73.406000000000006</v>
      </c>
      <c r="X52" s="609">
        <v>71.409000000000006</v>
      </c>
      <c r="Y52" s="609">
        <v>67.888000000000005</v>
      </c>
      <c r="Z52" s="89">
        <f>AVERAGE(V52,W52,X52,Y52)</f>
        <v>72.533999999999992</v>
      </c>
      <c r="AA52" s="609">
        <v>78.167000000000002</v>
      </c>
      <c r="AB52" s="609">
        <v>82.998000000000005</v>
      </c>
      <c r="AC52" s="609">
        <v>83.591999999999999</v>
      </c>
      <c r="AD52" s="609">
        <v>76.748000000000005</v>
      </c>
      <c r="AE52" s="89">
        <f>AVERAGE(AA52,AB52,AC52,AD52)</f>
        <v>80.376249999999999</v>
      </c>
      <c r="AF52" s="609">
        <v>73.668000000000006</v>
      </c>
      <c r="AG52" s="609">
        <v>73.938999999999993</v>
      </c>
      <c r="AH52" s="609">
        <v>68.807000000000002</v>
      </c>
      <c r="AI52" s="609">
        <v>62.14</v>
      </c>
      <c r="AJ52" s="89">
        <f>AVERAGE(AF52,AG52,AH52,AI52)</f>
        <v>69.638499999999993</v>
      </c>
      <c r="AK52" s="609">
        <v>62.779000000000003</v>
      </c>
      <c r="AL52" s="609">
        <v>61.796999999999997</v>
      </c>
      <c r="AM52" s="609">
        <v>62.427</v>
      </c>
      <c r="AN52" s="609">
        <v>54.006</v>
      </c>
      <c r="AO52" s="89">
        <f>AVERAGE(AK52,AL52,AM52,AN52)</f>
        <v>60.252249999999997</v>
      </c>
      <c r="AP52" s="609">
        <v>52.252000000000002</v>
      </c>
      <c r="AQ52" s="609">
        <v>37.533999999999999</v>
      </c>
      <c r="AR52" s="609">
        <v>43.401000000000003</v>
      </c>
      <c r="AS52" s="609">
        <v>41.555</v>
      </c>
      <c r="AT52" s="89">
        <f>AVERAGE(AP52,AQ52,AR52,AS52)</f>
        <v>43.685500000000005</v>
      </c>
      <c r="AU52" s="518"/>
      <c r="AV52" s="518"/>
      <c r="AW52" s="518"/>
      <c r="AX52" s="518"/>
      <c r="AY52" s="675">
        <v>45.99</v>
      </c>
      <c r="AZ52" s="518"/>
      <c r="BA52" s="518"/>
      <c r="BB52" s="518"/>
      <c r="BC52" s="518"/>
      <c r="BD52" s="675">
        <v>38.045999999999999</v>
      </c>
      <c r="BE52" s="518"/>
      <c r="BF52" s="518"/>
      <c r="BG52" s="518"/>
      <c r="BH52" s="518"/>
      <c r="BI52" s="675">
        <v>36.301000000000002</v>
      </c>
      <c r="BJ52" s="518"/>
      <c r="BK52" s="518"/>
      <c r="BL52" s="520"/>
      <c r="BM52" s="518"/>
      <c r="BN52" s="89"/>
      <c r="BO52" s="518"/>
      <c r="BP52" s="518"/>
      <c r="BQ52" s="518"/>
      <c r="BR52" s="518"/>
      <c r="BS52" s="89"/>
      <c r="BT52" s="89"/>
      <c r="BU52" s="89"/>
      <c r="BV52" s="89"/>
      <c r="BW52" s="519"/>
    </row>
    <row r="53" spans="1:75" s="439" customFormat="1" hidden="1" outlineLevel="1">
      <c r="A53" s="31" t="s">
        <v>148</v>
      </c>
      <c r="B53" s="24"/>
      <c r="C53" s="89"/>
      <c r="D53" s="89"/>
      <c r="E53" s="675">
        <v>11.85</v>
      </c>
      <c r="F53" s="675">
        <v>23.972000000000001</v>
      </c>
      <c r="G53" s="518"/>
      <c r="H53" s="518"/>
      <c r="I53" s="518"/>
      <c r="J53" s="609">
        <v>42.292000000000002</v>
      </c>
      <c r="K53" s="675">
        <v>42.292000000000002</v>
      </c>
      <c r="L53" s="609">
        <v>50.249000000000002</v>
      </c>
      <c r="M53" s="609">
        <v>55.877000000000002</v>
      </c>
      <c r="N53" s="609">
        <v>58.948999999999998</v>
      </c>
      <c r="O53" s="609">
        <v>57.77</v>
      </c>
      <c r="P53" s="89">
        <f>AVERAGE(L53,M53,N53,O53)</f>
        <v>55.71125</v>
      </c>
      <c r="Q53" s="609">
        <v>62.923000000000002</v>
      </c>
      <c r="R53" s="609">
        <v>64.715000000000003</v>
      </c>
      <c r="S53" s="609">
        <v>69.117000000000004</v>
      </c>
      <c r="T53" s="609">
        <v>65.86</v>
      </c>
      <c r="U53" s="89">
        <f>AVERAGE(Q53,R53,S53,T53)</f>
        <v>65.653750000000002</v>
      </c>
      <c r="V53" s="609">
        <v>68.551000000000002</v>
      </c>
      <c r="W53" s="609">
        <v>69.326999999999998</v>
      </c>
      <c r="X53" s="609">
        <v>72.040000000000006</v>
      </c>
      <c r="Y53" s="609">
        <v>65.350999999999999</v>
      </c>
      <c r="Z53" s="89">
        <f>AVERAGE(V53,W53,X53,Y53)</f>
        <v>68.817250000000001</v>
      </c>
      <c r="AA53" s="609">
        <v>73.191999999999993</v>
      </c>
      <c r="AB53" s="609">
        <v>74.100999999999999</v>
      </c>
      <c r="AC53" s="609">
        <v>73.507999999999996</v>
      </c>
      <c r="AD53" s="609">
        <v>64.221000000000004</v>
      </c>
      <c r="AE53" s="89">
        <f>AVERAGE(AA53,AB53,AC53,AD53)</f>
        <v>71.255499999999998</v>
      </c>
      <c r="AF53" s="609">
        <v>69.900999999999996</v>
      </c>
      <c r="AG53" s="609">
        <v>72.328000000000003</v>
      </c>
      <c r="AH53" s="609">
        <v>74.789000000000001</v>
      </c>
      <c r="AI53" s="609">
        <v>69.147999999999996</v>
      </c>
      <c r="AJ53" s="89">
        <f>AVERAGE(AF53,AG53,AH53,AI53)</f>
        <v>71.541499999999985</v>
      </c>
      <c r="AK53" s="609">
        <v>68.891000000000005</v>
      </c>
      <c r="AL53" s="609">
        <v>76.650000000000006</v>
      </c>
      <c r="AM53" s="609">
        <v>80.59</v>
      </c>
      <c r="AN53" s="609">
        <v>68.756</v>
      </c>
      <c r="AO53" s="89">
        <f>AVERAGE(AK53,AL53,AM53,AN53)</f>
        <v>73.72175</v>
      </c>
      <c r="AP53" s="609">
        <v>62.701999999999998</v>
      </c>
      <c r="AQ53" s="609">
        <v>44.819000000000003</v>
      </c>
      <c r="AR53" s="609">
        <v>54.813000000000002</v>
      </c>
      <c r="AS53" s="609">
        <v>48.844000000000001</v>
      </c>
      <c r="AT53" s="89">
        <f>AVERAGE(AP53,AQ53,AR53,AS53)</f>
        <v>52.794499999999999</v>
      </c>
      <c r="AU53" s="518"/>
      <c r="AV53" s="518"/>
      <c r="AW53" s="518"/>
      <c r="AX53" s="518"/>
      <c r="AY53" s="675">
        <v>56.667999999999999</v>
      </c>
      <c r="AZ53" s="518"/>
      <c r="BA53" s="518"/>
      <c r="BB53" s="518"/>
      <c r="BC53" s="518"/>
      <c r="BD53" s="675">
        <v>59.171999999999997</v>
      </c>
      <c r="BE53" s="518"/>
      <c r="BF53" s="518"/>
      <c r="BG53" s="518"/>
      <c r="BH53" s="518"/>
      <c r="BI53" s="675">
        <v>60.281999999999996</v>
      </c>
      <c r="BJ53" s="518"/>
      <c r="BK53" s="518"/>
      <c r="BL53" s="520"/>
      <c r="BM53" s="518"/>
      <c r="BN53" s="89"/>
      <c r="BO53" s="518"/>
      <c r="BP53" s="518"/>
      <c r="BQ53" s="518"/>
      <c r="BR53" s="518"/>
      <c r="BS53" s="89"/>
      <c r="BT53" s="89"/>
      <c r="BU53" s="89"/>
      <c r="BV53" s="89"/>
      <c r="BW53" s="519"/>
    </row>
    <row r="54" spans="1:75" s="444" customFormat="1" hidden="1" outlineLevel="1">
      <c r="A54" s="22" t="s">
        <v>149</v>
      </c>
      <c r="B54" s="49"/>
      <c r="C54" s="698">
        <v>26.077000000000002</v>
      </c>
      <c r="D54" s="698">
        <v>39.356000000000002</v>
      </c>
      <c r="E54" s="698">
        <v>65.796000000000006</v>
      </c>
      <c r="F54" s="698">
        <v>86.308000000000007</v>
      </c>
      <c r="G54" s="620">
        <v>102.065</v>
      </c>
      <c r="H54" s="620">
        <v>108.05800000000001</v>
      </c>
      <c r="I54" s="620">
        <v>117.447</v>
      </c>
      <c r="J54" s="560">
        <f>SUM(J51:J53)</f>
        <v>130.61799999999999</v>
      </c>
      <c r="K54" s="676">
        <f t="shared" ref="K54:AT54" si="102">SUM(K51:K53)</f>
        <v>130.61799999999999</v>
      </c>
      <c r="L54" s="560">
        <f t="shared" si="102"/>
        <v>143.40100000000001</v>
      </c>
      <c r="M54" s="560">
        <f t="shared" si="102"/>
        <v>149.77000000000001</v>
      </c>
      <c r="N54" s="560">
        <f t="shared" si="102"/>
        <v>153.90800000000002</v>
      </c>
      <c r="O54" s="560">
        <f t="shared" si="102"/>
        <v>149.93899999999999</v>
      </c>
      <c r="P54" s="676">
        <f t="shared" si="102"/>
        <v>149.25450000000001</v>
      </c>
      <c r="Q54" s="560">
        <f t="shared" si="102"/>
        <v>158.505</v>
      </c>
      <c r="R54" s="560">
        <f t="shared" si="102"/>
        <v>161.98699999999999</v>
      </c>
      <c r="S54" s="560">
        <f t="shared" si="102"/>
        <v>168.13900000000001</v>
      </c>
      <c r="T54" s="560">
        <f t="shared" si="102"/>
        <v>160.47300000000001</v>
      </c>
      <c r="U54" s="676">
        <f t="shared" si="102"/>
        <v>162.27600000000001</v>
      </c>
      <c r="V54" s="560">
        <f t="shared" si="102"/>
        <v>167.17000000000002</v>
      </c>
      <c r="W54" s="560">
        <f t="shared" si="102"/>
        <v>165.74299999999999</v>
      </c>
      <c r="X54" s="560">
        <f t="shared" si="102"/>
        <v>168.34899999999999</v>
      </c>
      <c r="Y54" s="560">
        <f t="shared" si="102"/>
        <v>157.31200000000001</v>
      </c>
      <c r="Z54" s="699">
        <f t="shared" si="102"/>
        <v>164.64349999999999</v>
      </c>
      <c r="AA54" s="560">
        <f t="shared" si="102"/>
        <v>177.18599999999998</v>
      </c>
      <c r="AB54" s="560">
        <f t="shared" si="102"/>
        <v>185.08600000000001</v>
      </c>
      <c r="AC54" s="560">
        <f t="shared" si="102"/>
        <v>187.262</v>
      </c>
      <c r="AD54" s="560">
        <f t="shared" si="102"/>
        <v>169.81400000000002</v>
      </c>
      <c r="AE54" s="699">
        <f t="shared" si="102"/>
        <v>179.83699999999999</v>
      </c>
      <c r="AF54" s="560">
        <f t="shared" si="102"/>
        <v>173.684</v>
      </c>
      <c r="AG54" s="560">
        <f t="shared" si="102"/>
        <v>178.32900000000001</v>
      </c>
      <c r="AH54" s="560">
        <f t="shared" si="102"/>
        <v>177.62099999999998</v>
      </c>
      <c r="AI54" s="560">
        <f t="shared" si="102"/>
        <v>164.179</v>
      </c>
      <c r="AJ54" s="699">
        <f t="shared" si="102"/>
        <v>173.45324999999997</v>
      </c>
      <c r="AK54" s="560">
        <f t="shared" si="102"/>
        <v>166.67099999999999</v>
      </c>
      <c r="AL54" s="560">
        <f t="shared" si="102"/>
        <v>175.184</v>
      </c>
      <c r="AM54" s="560">
        <f t="shared" si="102"/>
        <v>180.679</v>
      </c>
      <c r="AN54" s="560">
        <f t="shared" si="102"/>
        <v>158.36099999999999</v>
      </c>
      <c r="AO54" s="699">
        <f t="shared" si="102"/>
        <v>170.22375</v>
      </c>
      <c r="AP54" s="560">
        <f t="shared" si="102"/>
        <v>149.60399999999998</v>
      </c>
      <c r="AQ54" s="560">
        <f t="shared" si="102"/>
        <v>110.622</v>
      </c>
      <c r="AR54" s="560">
        <f t="shared" si="102"/>
        <v>130.214</v>
      </c>
      <c r="AS54" s="560">
        <f t="shared" si="102"/>
        <v>120.00999999999999</v>
      </c>
      <c r="AT54" s="699">
        <f t="shared" si="102"/>
        <v>127.61250000000001</v>
      </c>
      <c r="AU54" s="560"/>
      <c r="AV54" s="560"/>
      <c r="AW54" s="560"/>
      <c r="AX54" s="560"/>
      <c r="AY54" s="699">
        <f>SUM(AY51:AY53)</f>
        <v>135.74299999999999</v>
      </c>
      <c r="AZ54" s="560"/>
      <c r="BA54" s="560"/>
      <c r="BB54" s="560"/>
      <c r="BC54" s="560"/>
      <c r="BD54" s="699">
        <f>SUM(BD51:BD53)</f>
        <v>130.244</v>
      </c>
      <c r="BE54" s="560"/>
      <c r="BF54" s="560"/>
      <c r="BG54" s="560"/>
      <c r="BH54" s="560"/>
      <c r="BI54" s="699">
        <f>SUM(BI51:BI53)</f>
        <v>128.49200000000002</v>
      </c>
      <c r="BJ54" s="560"/>
      <c r="BK54" s="560"/>
      <c r="BL54" s="561"/>
      <c r="BM54" s="560"/>
      <c r="BN54" s="676"/>
      <c r="BO54" s="560"/>
      <c r="BP54" s="560"/>
      <c r="BQ54" s="560"/>
      <c r="BR54" s="560"/>
      <c r="BS54" s="676"/>
      <c r="BT54" s="676"/>
      <c r="BU54" s="676"/>
      <c r="BV54" s="676"/>
      <c r="BW54" s="318"/>
    </row>
    <row r="55" spans="1:75" s="444" customFormat="1" hidden="1" outlineLevel="1">
      <c r="A55" s="78"/>
      <c r="B55" s="30"/>
      <c r="C55" s="700"/>
      <c r="D55" s="700"/>
      <c r="E55" s="700"/>
      <c r="F55" s="700"/>
      <c r="G55" s="523"/>
      <c r="H55" s="523"/>
      <c r="I55" s="523"/>
      <c r="J55" s="523"/>
      <c r="K55" s="700"/>
      <c r="L55" s="523"/>
      <c r="M55" s="523"/>
      <c r="N55" s="523"/>
      <c r="O55" s="523"/>
      <c r="P55" s="700"/>
      <c r="Q55" s="523"/>
      <c r="R55" s="523"/>
      <c r="S55" s="523"/>
      <c r="T55" s="523"/>
      <c r="U55" s="700"/>
      <c r="V55" s="523"/>
      <c r="W55" s="523"/>
      <c r="X55" s="523"/>
      <c r="Y55" s="523"/>
      <c r="Z55" s="700"/>
      <c r="AA55" s="523"/>
      <c r="AB55" s="523"/>
      <c r="AC55" s="523"/>
      <c r="AD55" s="523"/>
      <c r="AE55" s="700"/>
      <c r="AF55" s="523"/>
      <c r="AG55" s="523"/>
      <c r="AH55" s="523"/>
      <c r="AI55" s="523"/>
      <c r="AJ55" s="700"/>
      <c r="AK55" s="523"/>
      <c r="AL55" s="523"/>
      <c r="AM55" s="523"/>
      <c r="AN55" s="523"/>
      <c r="AO55" s="700"/>
      <c r="AP55" s="523"/>
      <c r="AQ55" s="523"/>
      <c r="AR55" s="523"/>
      <c r="AS55" s="523"/>
      <c r="AT55" s="700"/>
      <c r="AU55" s="523"/>
      <c r="AV55" s="523"/>
      <c r="AW55" s="523"/>
      <c r="AX55" s="523"/>
      <c r="AY55" s="700"/>
      <c r="AZ55" s="523"/>
      <c r="BA55" s="523"/>
      <c r="BB55" s="523"/>
      <c r="BC55" s="523"/>
      <c r="BD55" s="700"/>
      <c r="BE55" s="523"/>
      <c r="BF55" s="523"/>
      <c r="BG55" s="523"/>
      <c r="BH55" s="523"/>
      <c r="BI55" s="700"/>
      <c r="BJ55" s="523"/>
      <c r="BK55" s="523"/>
      <c r="BL55" s="563"/>
      <c r="BM55" s="523"/>
      <c r="BN55" s="700"/>
      <c r="BO55" s="523"/>
      <c r="BP55" s="523"/>
      <c r="BQ55" s="523"/>
      <c r="BR55" s="523"/>
      <c r="BS55" s="700"/>
      <c r="BT55" s="700"/>
      <c r="BU55" s="700"/>
      <c r="BV55" s="700"/>
      <c r="BW55" s="318"/>
    </row>
    <row r="56" spans="1:75" s="443" customFormat="1" hidden="1" outlineLevel="1">
      <c r="A56" s="27" t="s">
        <v>150</v>
      </c>
      <c r="B56" s="252"/>
      <c r="C56" s="90"/>
      <c r="D56" s="90"/>
      <c r="E56" s="90"/>
      <c r="F56" s="90"/>
      <c r="G56" s="26"/>
      <c r="H56" s="26"/>
      <c r="I56" s="26"/>
      <c r="J56" s="26"/>
      <c r="K56" s="90"/>
      <c r="L56" s="26"/>
      <c r="M56" s="26"/>
      <c r="N56" s="26"/>
      <c r="O56" s="26"/>
      <c r="P56" s="90"/>
      <c r="Q56" s="26"/>
      <c r="R56" s="26"/>
      <c r="S56" s="26"/>
      <c r="T56" s="26"/>
      <c r="U56" s="90"/>
      <c r="V56" s="26"/>
      <c r="W56" s="26"/>
      <c r="X56" s="26"/>
      <c r="Y56" s="26"/>
      <c r="Z56" s="90"/>
      <c r="AA56" s="26"/>
      <c r="AB56" s="26"/>
      <c r="AC56" s="26"/>
      <c r="AD56" s="26"/>
      <c r="AE56" s="90"/>
      <c r="AF56" s="621">
        <v>0.25</v>
      </c>
      <c r="AG56" s="621">
        <v>0.19</v>
      </c>
      <c r="AH56" s="621">
        <v>0.13</v>
      </c>
      <c r="AI56" s="621">
        <v>0.09</v>
      </c>
      <c r="AJ56" s="90"/>
      <c r="AK56" s="621">
        <v>0.2</v>
      </c>
      <c r="AL56" s="621">
        <v>0.42</v>
      </c>
      <c r="AM56" s="621">
        <v>0.42</v>
      </c>
      <c r="AN56" s="621">
        <v>0.33</v>
      </c>
      <c r="AO56" s="90"/>
      <c r="AP56" s="621">
        <v>0.03</v>
      </c>
      <c r="AQ56" s="621">
        <v>-0.51</v>
      </c>
      <c r="AR56" s="621">
        <v>-0.25</v>
      </c>
      <c r="AS56" s="621">
        <v>-0.22</v>
      </c>
      <c r="AT56" s="90"/>
      <c r="AU56" s="621">
        <v>-0.08</v>
      </c>
      <c r="AV56" s="621">
        <v>0.87</v>
      </c>
      <c r="AW56" s="621">
        <v>0.28000000000000003</v>
      </c>
      <c r="AX56" s="621">
        <v>0.14000000000000001</v>
      </c>
      <c r="AY56" s="90"/>
      <c r="AZ56" s="621">
        <v>0.04</v>
      </c>
      <c r="BA56" s="621">
        <v>-0.11</v>
      </c>
      <c r="BB56" s="621">
        <v>-0.15</v>
      </c>
      <c r="BC56" s="621">
        <v>-7.0000000000000007E-2</v>
      </c>
      <c r="BD56" s="90"/>
      <c r="BE56" s="621">
        <v>0.01</v>
      </c>
      <c r="BF56" s="621">
        <v>0</v>
      </c>
      <c r="BG56" s="621">
        <v>0.09</v>
      </c>
      <c r="BH56" s="621">
        <v>0.09</v>
      </c>
      <c r="BI56" s="90"/>
      <c r="BJ56" s="621">
        <v>0.08</v>
      </c>
      <c r="BK56" s="621">
        <v>0.09</v>
      </c>
      <c r="BL56" s="622">
        <v>0.02</v>
      </c>
      <c r="BM56" s="26"/>
      <c r="BN56" s="90"/>
      <c r="BO56" s="26"/>
      <c r="BP56" s="26"/>
      <c r="BQ56" s="26"/>
      <c r="BR56" s="26"/>
      <c r="BS56" s="90"/>
      <c r="BT56" s="90"/>
      <c r="BU56" s="90"/>
      <c r="BV56" s="90"/>
      <c r="BW56" s="135"/>
    </row>
    <row r="57" spans="1:75" s="443" customFormat="1" hidden="1" outlineLevel="1">
      <c r="A57" s="27" t="s">
        <v>151</v>
      </c>
      <c r="B57" s="252"/>
      <c r="C57" s="90"/>
      <c r="D57" s="90"/>
      <c r="E57" s="90"/>
      <c r="F57" s="90"/>
      <c r="G57" s="26"/>
      <c r="H57" s="26"/>
      <c r="I57" s="26"/>
      <c r="J57" s="26"/>
      <c r="K57" s="90"/>
      <c r="L57" s="26"/>
      <c r="M57" s="26"/>
      <c r="N57" s="26"/>
      <c r="O57" s="26"/>
      <c r="P57" s="90"/>
      <c r="Q57" s="26"/>
      <c r="R57" s="26"/>
      <c r="S57" s="26"/>
      <c r="T57" s="26"/>
      <c r="U57" s="90"/>
      <c r="V57" s="26"/>
      <c r="W57" s="26"/>
      <c r="X57" s="26"/>
      <c r="Y57" s="26"/>
      <c r="Z57" s="90"/>
      <c r="AA57" s="26"/>
      <c r="AB57" s="26"/>
      <c r="AC57" s="26"/>
      <c r="AD57" s="26"/>
      <c r="AE57" s="90"/>
      <c r="AF57" s="621">
        <v>0.04</v>
      </c>
      <c r="AG57" s="621">
        <v>0.09</v>
      </c>
      <c r="AH57" s="621">
        <v>0.09</v>
      </c>
      <c r="AI57" s="621">
        <v>7.0000000000000007E-2</v>
      </c>
      <c r="AJ57" s="90"/>
      <c r="AK57" s="621">
        <v>-0.09</v>
      </c>
      <c r="AL57" s="621">
        <v>-0.25</v>
      </c>
      <c r="AM57" s="621">
        <v>-0.22</v>
      </c>
      <c r="AN57" s="621">
        <v>-0.16</v>
      </c>
      <c r="AO57" s="90"/>
      <c r="AP57" s="621">
        <v>0.03</v>
      </c>
      <c r="AQ57" s="621">
        <v>0.35</v>
      </c>
      <c r="AR57" s="621">
        <v>0.05</v>
      </c>
      <c r="AS57" s="621">
        <v>0.04</v>
      </c>
      <c r="AT57" s="90"/>
      <c r="AU57" s="621">
        <v>-0.03</v>
      </c>
      <c r="AV57" s="621">
        <v>-0.2</v>
      </c>
      <c r="AW57" s="621">
        <v>-0.01</v>
      </c>
      <c r="AX57" s="621">
        <v>7.0000000000000007E-2</v>
      </c>
      <c r="AY57" s="90"/>
      <c r="AZ57" s="621">
        <v>0.17</v>
      </c>
      <c r="BA57" s="621">
        <v>0.32</v>
      </c>
      <c r="BB57" s="621">
        <v>0.36</v>
      </c>
      <c r="BC57" s="621">
        <v>0.23</v>
      </c>
      <c r="BD57" s="90"/>
      <c r="BE57" s="621">
        <v>0.14000000000000001</v>
      </c>
      <c r="BF57" s="621">
        <v>0.14000000000000001</v>
      </c>
      <c r="BG57" s="621">
        <v>0.04</v>
      </c>
      <c r="BH57" s="621">
        <v>0.04</v>
      </c>
      <c r="BI57" s="90"/>
      <c r="BJ57" s="621">
        <v>-0.01</v>
      </c>
      <c r="BK57" s="621">
        <v>-0.01</v>
      </c>
      <c r="BL57" s="622">
        <v>0.03</v>
      </c>
      <c r="BM57" s="26"/>
      <c r="BN57" s="90"/>
      <c r="BO57" s="26"/>
      <c r="BP57" s="26"/>
      <c r="BQ57" s="26"/>
      <c r="BR57" s="26"/>
      <c r="BS57" s="90"/>
      <c r="BT57" s="90"/>
      <c r="BU57" s="90"/>
      <c r="BV57" s="90"/>
      <c r="BW57" s="135"/>
    </row>
    <row r="58" spans="1:75" s="444" customFormat="1" hidden="1" outlineLevel="1">
      <c r="A58" s="78"/>
      <c r="B58" s="30"/>
      <c r="C58" s="700"/>
      <c r="D58" s="700"/>
      <c r="E58" s="700"/>
      <c r="F58" s="700"/>
      <c r="G58" s="523"/>
      <c r="H58" s="523"/>
      <c r="I58" s="523"/>
      <c r="J58" s="523"/>
      <c r="K58" s="700"/>
      <c r="L58" s="523"/>
      <c r="M58" s="523"/>
      <c r="N58" s="523"/>
      <c r="O58" s="523"/>
      <c r="P58" s="700"/>
      <c r="Q58" s="523"/>
      <c r="R58" s="523"/>
      <c r="S58" s="523"/>
      <c r="T58" s="523"/>
      <c r="U58" s="700"/>
      <c r="V58" s="523"/>
      <c r="W58" s="523"/>
      <c r="X58" s="523"/>
      <c r="Y58" s="523"/>
      <c r="Z58" s="700"/>
      <c r="AA58" s="523"/>
      <c r="AB58" s="523"/>
      <c r="AC58" s="523"/>
      <c r="AD58" s="523"/>
      <c r="AE58" s="700"/>
      <c r="AF58" s="523"/>
      <c r="AG58" s="523"/>
      <c r="AH58" s="523"/>
      <c r="AI58" s="523"/>
      <c r="AJ58" s="700"/>
      <c r="AK58" s="523"/>
      <c r="AL58" s="523"/>
      <c r="AM58" s="523"/>
      <c r="AN58" s="523"/>
      <c r="AO58" s="700"/>
      <c r="AP58" s="523"/>
      <c r="AQ58" s="523"/>
      <c r="AR58" s="523"/>
      <c r="AS58" s="523"/>
      <c r="AT58" s="700"/>
      <c r="AU58" s="523"/>
      <c r="AV58" s="523"/>
      <c r="AW58" s="523"/>
      <c r="AX58" s="523"/>
      <c r="AY58" s="700"/>
      <c r="AZ58" s="523"/>
      <c r="BA58" s="523"/>
      <c r="BB58" s="523"/>
      <c r="BC58" s="523"/>
      <c r="BD58" s="700"/>
      <c r="BE58" s="523"/>
      <c r="BF58" s="523"/>
      <c r="BG58" s="523"/>
      <c r="BH58" s="523"/>
      <c r="BI58" s="700"/>
      <c r="BJ58" s="523"/>
      <c r="BK58" s="523"/>
      <c r="BL58" s="563"/>
      <c r="BM58" s="523"/>
      <c r="BN58" s="700"/>
      <c r="BO58" s="523"/>
      <c r="BP58" s="523"/>
      <c r="BQ58" s="523"/>
      <c r="BR58" s="523"/>
      <c r="BS58" s="700"/>
      <c r="BT58" s="700"/>
      <c r="BU58" s="700"/>
      <c r="BV58" s="700"/>
      <c r="BW58" s="318"/>
    </row>
    <row r="59" spans="1:75" s="442" customFormat="1" hidden="1" outlineLevel="1">
      <c r="A59" s="17" t="s">
        <v>152</v>
      </c>
      <c r="B59" s="73"/>
      <c r="C59" s="170"/>
      <c r="D59" s="170"/>
      <c r="E59" s="170"/>
      <c r="F59" s="170"/>
      <c r="G59" s="34"/>
      <c r="H59" s="34"/>
      <c r="I59" s="34"/>
      <c r="J59" s="34"/>
      <c r="K59" s="170"/>
      <c r="L59" s="34"/>
      <c r="M59" s="34"/>
      <c r="N59" s="34"/>
      <c r="O59" s="34"/>
      <c r="P59" s="170"/>
      <c r="Q59" s="34"/>
      <c r="R59" s="34"/>
      <c r="S59" s="34"/>
      <c r="T59" s="34"/>
      <c r="U59" s="170"/>
      <c r="V59" s="623">
        <v>0.76</v>
      </c>
      <c r="W59" s="623">
        <v>0.78</v>
      </c>
      <c r="X59" s="623">
        <v>0.79</v>
      </c>
      <c r="Y59" s="623">
        <v>0.8</v>
      </c>
      <c r="Z59" s="170"/>
      <c r="AA59" s="623">
        <v>0.78</v>
      </c>
      <c r="AB59" s="623">
        <v>0.76</v>
      </c>
      <c r="AC59" s="623">
        <v>0.78</v>
      </c>
      <c r="AD59" s="623">
        <v>0.77</v>
      </c>
      <c r="AE59" s="170"/>
      <c r="AF59" s="623">
        <v>0.71</v>
      </c>
      <c r="AG59" s="623">
        <v>0.69</v>
      </c>
      <c r="AH59" s="623">
        <v>0.72</v>
      </c>
      <c r="AI59" s="623">
        <v>0.74</v>
      </c>
      <c r="AJ59" s="170"/>
      <c r="AK59" s="623">
        <v>0.71</v>
      </c>
      <c r="AL59" s="623">
        <v>0.71</v>
      </c>
      <c r="AM59" s="623">
        <v>0.71</v>
      </c>
      <c r="AN59" s="34"/>
      <c r="AO59" s="170"/>
      <c r="AP59" s="34"/>
      <c r="AQ59" s="34"/>
      <c r="AR59" s="34"/>
      <c r="AS59" s="34"/>
      <c r="AT59" s="170"/>
      <c r="AU59" s="34"/>
      <c r="AV59" s="34"/>
      <c r="AW59" s="34"/>
      <c r="AX59" s="34"/>
      <c r="AY59" s="170"/>
      <c r="AZ59" s="34"/>
      <c r="BA59" s="34"/>
      <c r="BB59" s="34"/>
      <c r="BC59" s="34"/>
      <c r="BD59" s="170"/>
      <c r="BE59" s="34"/>
      <c r="BF59" s="34"/>
      <c r="BG59" s="34"/>
      <c r="BH59" s="34"/>
      <c r="BI59" s="170"/>
      <c r="BJ59" s="34"/>
      <c r="BK59" s="34"/>
      <c r="BL59" s="394"/>
      <c r="BM59" s="34"/>
      <c r="BN59" s="170"/>
      <c r="BO59" s="34"/>
      <c r="BP59" s="34"/>
      <c r="BQ59" s="34"/>
      <c r="BR59" s="34"/>
      <c r="BS59" s="170"/>
      <c r="BT59" s="170"/>
      <c r="BU59" s="170"/>
      <c r="BV59" s="170"/>
      <c r="BW59" s="84"/>
    </row>
    <row r="60" spans="1:75" s="444" customFormat="1" collapsed="1">
      <c r="A60" s="78"/>
      <c r="B60" s="30"/>
      <c r="C60" s="700"/>
      <c r="D60" s="700"/>
      <c r="E60" s="700"/>
      <c r="F60" s="700"/>
      <c r="G60" s="523"/>
      <c r="H60" s="523"/>
      <c r="I60" s="523"/>
      <c r="J60" s="523"/>
      <c r="K60" s="700"/>
      <c r="L60" s="523"/>
      <c r="M60" s="523"/>
      <c r="N60" s="523"/>
      <c r="O60" s="523"/>
      <c r="P60" s="700"/>
      <c r="Q60" s="523"/>
      <c r="R60" s="523"/>
      <c r="S60" s="523"/>
      <c r="T60" s="523"/>
      <c r="U60" s="700"/>
      <c r="V60" s="523"/>
      <c r="W60" s="523"/>
      <c r="X60" s="523"/>
      <c r="Y60" s="523"/>
      <c r="Z60" s="700"/>
      <c r="AA60" s="523"/>
      <c r="AB60" s="523"/>
      <c r="AC60" s="523"/>
      <c r="AD60" s="523"/>
      <c r="AE60" s="700"/>
      <c r="AF60" s="523"/>
      <c r="AG60" s="523"/>
      <c r="AH60" s="523"/>
      <c r="AI60" s="523"/>
      <c r="AJ60" s="700"/>
      <c r="AK60" s="523"/>
      <c r="AL60" s="523"/>
      <c r="AM60" s="523"/>
      <c r="AN60" s="523"/>
      <c r="AO60" s="700"/>
      <c r="AP60" s="523"/>
      <c r="AQ60" s="523"/>
      <c r="AR60" s="523"/>
      <c r="AS60" s="523"/>
      <c r="AT60" s="700"/>
      <c r="AU60" s="523"/>
      <c r="AV60" s="523"/>
      <c r="AW60" s="523"/>
      <c r="AX60" s="523"/>
      <c r="AY60" s="700"/>
      <c r="AZ60" s="523"/>
      <c r="BA60" s="523"/>
      <c r="BB60" s="523"/>
      <c r="BC60" s="523"/>
      <c r="BD60" s="700"/>
      <c r="BE60" s="523"/>
      <c r="BF60" s="523"/>
      <c r="BG60" s="523"/>
      <c r="BH60" s="523"/>
      <c r="BI60" s="700"/>
      <c r="BJ60" s="523"/>
      <c r="BK60" s="523"/>
      <c r="BL60" s="563"/>
      <c r="BM60" s="523"/>
      <c r="BN60" s="700"/>
      <c r="BO60" s="523"/>
      <c r="BP60" s="523"/>
      <c r="BQ60" s="523"/>
      <c r="BR60" s="523"/>
      <c r="BS60" s="700"/>
      <c r="BT60" s="700"/>
      <c r="BU60" s="700"/>
      <c r="BV60" s="700"/>
      <c r="BW60" s="318"/>
    </row>
    <row r="61" spans="1:75" s="444" customFormat="1">
      <c r="A61" s="517" t="s">
        <v>153</v>
      </c>
      <c r="B61" s="517"/>
      <c r="C61" s="517"/>
      <c r="D61" s="517"/>
      <c r="E61" s="517"/>
      <c r="F61" s="517"/>
      <c r="G61" s="517"/>
      <c r="H61" s="517"/>
      <c r="I61" s="517"/>
      <c r="J61" s="517"/>
      <c r="K61" s="517"/>
      <c r="L61" s="517"/>
      <c r="M61" s="517"/>
      <c r="N61" s="517"/>
      <c r="O61" s="517"/>
      <c r="P61" s="517"/>
      <c r="Q61" s="517"/>
      <c r="R61" s="517"/>
      <c r="S61" s="517"/>
      <c r="T61" s="517"/>
      <c r="U61" s="517"/>
      <c r="V61" s="517"/>
      <c r="W61" s="517"/>
      <c r="X61" s="517"/>
      <c r="Y61" s="517"/>
      <c r="Z61" s="517"/>
      <c r="AA61" s="517"/>
      <c r="AB61" s="517"/>
      <c r="AC61" s="517"/>
      <c r="AD61" s="517"/>
      <c r="AE61" s="517"/>
      <c r="AF61" s="517"/>
      <c r="AG61" s="517"/>
      <c r="AH61" s="517"/>
      <c r="AI61" s="517"/>
      <c r="AJ61" s="517"/>
      <c r="AK61" s="517"/>
      <c r="AL61" s="517"/>
      <c r="AM61" s="517"/>
      <c r="AN61" s="517"/>
      <c r="AO61" s="517"/>
      <c r="AP61" s="517"/>
      <c r="AQ61" s="517"/>
      <c r="AR61" s="517"/>
      <c r="AS61" s="517"/>
      <c r="AT61" s="517"/>
      <c r="AU61" s="517"/>
      <c r="AV61" s="517"/>
      <c r="AW61" s="517"/>
      <c r="AX61" s="517"/>
      <c r="AY61" s="517"/>
      <c r="AZ61" s="517"/>
      <c r="BA61" s="517"/>
      <c r="BB61" s="517"/>
      <c r="BC61" s="517"/>
      <c r="BD61" s="517"/>
      <c r="BE61" s="517"/>
      <c r="BF61" s="517"/>
      <c r="BG61" s="517"/>
      <c r="BH61" s="517"/>
      <c r="BI61" s="517"/>
      <c r="BJ61" s="517"/>
      <c r="BK61" s="517"/>
      <c r="BL61" s="562"/>
      <c r="BM61" s="517"/>
      <c r="BN61" s="517"/>
      <c r="BO61" s="517"/>
      <c r="BP61" s="517"/>
      <c r="BQ61" s="517"/>
      <c r="BR61" s="517"/>
      <c r="BS61" s="517"/>
      <c r="BT61" s="517"/>
      <c r="BU61" s="517"/>
      <c r="BV61" s="517"/>
      <c r="BW61" s="318"/>
    </row>
    <row r="62" spans="1:75" s="453" customFormat="1" hidden="1" outlineLevel="1">
      <c r="A62" s="171" t="s">
        <v>154</v>
      </c>
      <c r="B62" s="115"/>
      <c r="C62" s="701"/>
      <c r="D62" s="701"/>
      <c r="E62" s="701"/>
      <c r="F62" s="701"/>
      <c r="G62" s="624">
        <v>0.22</v>
      </c>
      <c r="H62" s="624">
        <v>0.24</v>
      </c>
      <c r="I62" s="624">
        <v>0.24</v>
      </c>
      <c r="J62" s="624">
        <v>0.24</v>
      </c>
      <c r="K62" s="701">
        <f t="shared" ref="K62:K67" si="103">AVERAGE(G62,H62,I62,J62)</f>
        <v>0.23499999999999999</v>
      </c>
      <c r="L62" s="624">
        <v>0.25</v>
      </c>
      <c r="M62" s="624">
        <v>0.26</v>
      </c>
      <c r="N62" s="624">
        <v>0.26</v>
      </c>
      <c r="O62" s="624">
        <v>0.26</v>
      </c>
      <c r="P62" s="701">
        <f t="shared" ref="P62:P67" si="104">AVERAGE(L62,M62,N62,O62)</f>
        <v>0.25750000000000001</v>
      </c>
      <c r="Q62" s="624">
        <v>0.26</v>
      </c>
      <c r="R62" s="624">
        <v>0.28000000000000003</v>
      </c>
      <c r="S62" s="624">
        <v>0.28000000000000003</v>
      </c>
      <c r="T62" s="624">
        <v>0.28000000000000003</v>
      </c>
      <c r="U62" s="701">
        <f t="shared" ref="U62:U67" si="105">AVERAGE(Q62,R62,S62,T62)</f>
        <v>0.27500000000000002</v>
      </c>
      <c r="V62" s="624">
        <v>0.28999999999999998</v>
      </c>
      <c r="W62" s="624">
        <v>0.3</v>
      </c>
      <c r="X62" s="624">
        <v>0.3</v>
      </c>
      <c r="Y62" s="624">
        <v>0.3</v>
      </c>
      <c r="Z62" s="701">
        <f t="shared" ref="Z62:Z67" si="106">AVERAGE(V62,W62,X62,Y62)</f>
        <v>0.29749999999999999</v>
      </c>
      <c r="AA62" s="624">
        <v>0.3</v>
      </c>
      <c r="AB62" s="624">
        <v>0.31</v>
      </c>
      <c r="AC62" s="624">
        <v>0.31</v>
      </c>
      <c r="AD62" s="624">
        <v>0.31</v>
      </c>
      <c r="AE62" s="701">
        <f t="shared" ref="AE62:AE67" si="107">AVERAGE(AA62,AB62,AC62,AD62)</f>
        <v>0.3075</v>
      </c>
      <c r="AF62" s="624">
        <v>0.32</v>
      </c>
      <c r="AG62" s="624">
        <v>0.33</v>
      </c>
      <c r="AH62" s="624">
        <v>0.34</v>
      </c>
      <c r="AI62" s="624">
        <v>0.33</v>
      </c>
      <c r="AJ62" s="701">
        <f t="shared" ref="AJ62:AJ67" si="108">AVERAGE(AF62,AG62,AH62,AI62)</f>
        <v>0.33</v>
      </c>
      <c r="AK62" s="624">
        <v>0.33</v>
      </c>
      <c r="AL62" s="624">
        <v>0.35</v>
      </c>
      <c r="AM62" s="624">
        <v>0.36</v>
      </c>
      <c r="AN62" s="624">
        <v>0.36</v>
      </c>
      <c r="AO62" s="701">
        <f t="shared" ref="AO62:AO67" si="109">AVERAGE(AK62,AL62,AM62,AN62)</f>
        <v>0.35</v>
      </c>
      <c r="AP62" s="624">
        <v>0.38</v>
      </c>
      <c r="AQ62" s="624">
        <v>0.48</v>
      </c>
      <c r="AR62" s="624">
        <v>0.45</v>
      </c>
      <c r="AS62" s="624">
        <v>0.44</v>
      </c>
      <c r="AT62" s="701">
        <f t="shared" ref="AT62:AT67" si="110">AVERAGE(AP62,AQ62,AR62,AS62)</f>
        <v>0.4375</v>
      </c>
      <c r="AU62" s="175"/>
      <c r="AV62" s="175"/>
      <c r="AW62" s="175"/>
      <c r="AX62" s="175"/>
      <c r="AY62" s="701"/>
      <c r="AZ62" s="175"/>
      <c r="BA62" s="175"/>
      <c r="BB62" s="175"/>
      <c r="BC62" s="175"/>
      <c r="BD62" s="701"/>
      <c r="BE62" s="175"/>
      <c r="BF62" s="175"/>
      <c r="BG62" s="175"/>
      <c r="BH62" s="175"/>
      <c r="BI62" s="701"/>
      <c r="BJ62" s="175"/>
      <c r="BK62" s="175"/>
      <c r="BL62" s="395"/>
      <c r="BM62" s="175"/>
      <c r="BN62" s="701"/>
      <c r="BO62" s="175"/>
      <c r="BP62" s="175"/>
      <c r="BQ62" s="175"/>
      <c r="BR62" s="175"/>
      <c r="BS62" s="701"/>
      <c r="BT62" s="701"/>
      <c r="BU62" s="701"/>
      <c r="BV62" s="701"/>
      <c r="BW62" s="137"/>
    </row>
    <row r="63" spans="1:75" s="453" customFormat="1" hidden="1" outlineLevel="1">
      <c r="A63" s="171" t="s">
        <v>155</v>
      </c>
      <c r="B63" s="115"/>
      <c r="C63" s="701"/>
      <c r="D63" s="701"/>
      <c r="E63" s="701"/>
      <c r="F63" s="701"/>
      <c r="G63" s="624">
        <v>0.16</v>
      </c>
      <c r="H63" s="624">
        <v>0.16</v>
      </c>
      <c r="I63" s="624">
        <v>0.16</v>
      </c>
      <c r="J63" s="624">
        <v>0.16</v>
      </c>
      <c r="K63" s="701">
        <f t="shared" si="103"/>
        <v>0.16</v>
      </c>
      <c r="L63" s="624">
        <v>0.16</v>
      </c>
      <c r="M63" s="624">
        <v>0.15</v>
      </c>
      <c r="N63" s="624">
        <v>0.15</v>
      </c>
      <c r="O63" s="624">
        <v>0.15</v>
      </c>
      <c r="P63" s="701">
        <f t="shared" si="104"/>
        <v>0.1525</v>
      </c>
      <c r="Q63" s="624">
        <v>0.15</v>
      </c>
      <c r="R63" s="624">
        <v>0.15</v>
      </c>
      <c r="S63" s="624">
        <v>0.15</v>
      </c>
      <c r="T63" s="624">
        <v>0.14000000000000001</v>
      </c>
      <c r="U63" s="701">
        <f t="shared" si="105"/>
        <v>0.14749999999999999</v>
      </c>
      <c r="V63" s="624">
        <v>0.14000000000000001</v>
      </c>
      <c r="W63" s="624">
        <v>0.14000000000000001</v>
      </c>
      <c r="X63" s="624">
        <v>0.15</v>
      </c>
      <c r="Y63" s="624">
        <v>0.15</v>
      </c>
      <c r="Z63" s="701">
        <f t="shared" si="106"/>
        <v>0.14500000000000002</v>
      </c>
      <c r="AA63" s="624">
        <v>0.14000000000000001</v>
      </c>
      <c r="AB63" s="624">
        <v>0.14000000000000001</v>
      </c>
      <c r="AC63" s="624">
        <v>0.15</v>
      </c>
      <c r="AD63" s="624">
        <v>0.14000000000000001</v>
      </c>
      <c r="AE63" s="701">
        <f t="shared" si="107"/>
        <v>0.14250000000000002</v>
      </c>
      <c r="AF63" s="624">
        <v>0.14000000000000001</v>
      </c>
      <c r="AG63" s="624">
        <v>0.14000000000000001</v>
      </c>
      <c r="AH63" s="624">
        <v>0.14000000000000001</v>
      </c>
      <c r="AI63" s="624">
        <v>0.14000000000000001</v>
      </c>
      <c r="AJ63" s="701">
        <f t="shared" si="108"/>
        <v>0.14000000000000001</v>
      </c>
      <c r="AK63" s="624">
        <v>0.14000000000000001</v>
      </c>
      <c r="AL63" s="624">
        <v>0.13</v>
      </c>
      <c r="AM63" s="624">
        <v>0.14000000000000001</v>
      </c>
      <c r="AN63" s="624">
        <v>0.14000000000000001</v>
      </c>
      <c r="AO63" s="701">
        <f t="shared" si="109"/>
        <v>0.13750000000000001</v>
      </c>
      <c r="AP63" s="624">
        <v>0.13</v>
      </c>
      <c r="AQ63" s="624">
        <v>7.0000000000000007E-2</v>
      </c>
      <c r="AR63" s="624">
        <v>0.11</v>
      </c>
      <c r="AS63" s="624">
        <v>0.11</v>
      </c>
      <c r="AT63" s="701">
        <f t="shared" si="110"/>
        <v>0.105</v>
      </c>
      <c r="AU63" s="175"/>
      <c r="AV63" s="175"/>
      <c r="AW63" s="175"/>
      <c r="AX63" s="175"/>
      <c r="AY63" s="701"/>
      <c r="AZ63" s="175"/>
      <c r="BA63" s="175"/>
      <c r="BB63" s="175"/>
      <c r="BC63" s="175"/>
      <c r="BD63" s="701"/>
      <c r="BE63" s="175"/>
      <c r="BF63" s="175"/>
      <c r="BG63" s="175"/>
      <c r="BH63" s="175"/>
      <c r="BI63" s="701"/>
      <c r="BJ63" s="175"/>
      <c r="BK63" s="175"/>
      <c r="BL63" s="395"/>
      <c r="BM63" s="175"/>
      <c r="BN63" s="701"/>
      <c r="BO63" s="175"/>
      <c r="BP63" s="175"/>
      <c r="BQ63" s="175"/>
      <c r="BR63" s="175"/>
      <c r="BS63" s="701"/>
      <c r="BT63" s="701"/>
      <c r="BU63" s="701"/>
      <c r="BV63" s="701"/>
      <c r="BW63" s="137"/>
    </row>
    <row r="64" spans="1:75" s="453" customFormat="1" hidden="1" outlineLevel="1">
      <c r="A64" s="171" t="s">
        <v>156</v>
      </c>
      <c r="B64" s="115"/>
      <c r="C64" s="701"/>
      <c r="D64" s="701"/>
      <c r="E64" s="701"/>
      <c r="F64" s="701"/>
      <c r="G64" s="624">
        <v>0.14000000000000001</v>
      </c>
      <c r="H64" s="624">
        <v>0.14000000000000001</v>
      </c>
      <c r="I64" s="624">
        <v>0.13</v>
      </c>
      <c r="J64" s="624">
        <v>0.14000000000000001</v>
      </c>
      <c r="K64" s="701">
        <f t="shared" si="103"/>
        <v>0.13750000000000001</v>
      </c>
      <c r="L64" s="624">
        <v>0.13</v>
      </c>
      <c r="M64" s="624">
        <v>0.13</v>
      </c>
      <c r="N64" s="624">
        <v>0.12</v>
      </c>
      <c r="O64" s="624">
        <v>0.13</v>
      </c>
      <c r="P64" s="701">
        <f t="shared" si="104"/>
        <v>0.1275</v>
      </c>
      <c r="Q64" s="624">
        <v>0.13</v>
      </c>
      <c r="R64" s="624">
        <v>0.12</v>
      </c>
      <c r="S64" s="624">
        <v>0.12</v>
      </c>
      <c r="T64" s="624">
        <v>0.12</v>
      </c>
      <c r="U64" s="701">
        <f t="shared" si="105"/>
        <v>0.1225</v>
      </c>
      <c r="V64" s="624">
        <v>0.12</v>
      </c>
      <c r="W64" s="624">
        <v>0.12</v>
      </c>
      <c r="X64" s="624">
        <v>0.12</v>
      </c>
      <c r="Y64" s="624">
        <v>0.12</v>
      </c>
      <c r="Z64" s="701">
        <f t="shared" si="106"/>
        <v>0.12</v>
      </c>
      <c r="AA64" s="624">
        <v>0.13</v>
      </c>
      <c r="AB64" s="624">
        <v>0.13</v>
      </c>
      <c r="AC64" s="624">
        <v>0.12</v>
      </c>
      <c r="AD64" s="624">
        <v>0.12</v>
      </c>
      <c r="AE64" s="701">
        <f t="shared" si="107"/>
        <v>0.125</v>
      </c>
      <c r="AF64" s="624">
        <v>0.12</v>
      </c>
      <c r="AG64" s="624">
        <v>0.12</v>
      </c>
      <c r="AH64" s="624">
        <v>0.12</v>
      </c>
      <c r="AI64" s="624">
        <v>0.12</v>
      </c>
      <c r="AJ64" s="701">
        <f t="shared" si="108"/>
        <v>0.12</v>
      </c>
      <c r="AK64" s="624">
        <v>0.12</v>
      </c>
      <c r="AL64" s="624">
        <v>0.12</v>
      </c>
      <c r="AM64" s="624">
        <v>0.12</v>
      </c>
      <c r="AN64" s="624">
        <v>0.12</v>
      </c>
      <c r="AO64" s="701">
        <f t="shared" si="109"/>
        <v>0.12</v>
      </c>
      <c r="AP64" s="624">
        <v>0.12</v>
      </c>
      <c r="AQ64" s="624">
        <v>7.0000000000000007E-2</v>
      </c>
      <c r="AR64" s="624">
        <v>0.08</v>
      </c>
      <c r="AS64" s="624">
        <v>0.08</v>
      </c>
      <c r="AT64" s="701">
        <f t="shared" si="110"/>
        <v>8.7500000000000008E-2</v>
      </c>
      <c r="AU64" s="175"/>
      <c r="AV64" s="175"/>
      <c r="AW64" s="175"/>
      <c r="AX64" s="175"/>
      <c r="AY64" s="701"/>
      <c r="AZ64" s="175"/>
      <c r="BA64" s="175"/>
      <c r="BB64" s="175"/>
      <c r="BC64" s="175"/>
      <c r="BD64" s="701"/>
      <c r="BE64" s="175"/>
      <c r="BF64" s="175"/>
      <c r="BG64" s="175"/>
      <c r="BH64" s="175"/>
      <c r="BI64" s="701"/>
      <c r="BJ64" s="175"/>
      <c r="BK64" s="175"/>
      <c r="BL64" s="395"/>
      <c r="BM64" s="175"/>
      <c r="BN64" s="701"/>
      <c r="BO64" s="175"/>
      <c r="BP64" s="175"/>
      <c r="BQ64" s="175"/>
      <c r="BR64" s="175"/>
      <c r="BS64" s="701"/>
      <c r="BT64" s="701"/>
      <c r="BU64" s="701"/>
      <c r="BV64" s="701"/>
      <c r="BW64" s="137"/>
    </row>
    <row r="65" spans="1:75" s="453" customFormat="1" hidden="1" outlineLevel="1">
      <c r="A65" s="171" t="s">
        <v>157</v>
      </c>
      <c r="B65" s="115"/>
      <c r="C65" s="701"/>
      <c r="D65" s="701"/>
      <c r="E65" s="701"/>
      <c r="F65" s="701"/>
      <c r="G65" s="624">
        <v>0.11</v>
      </c>
      <c r="H65" s="624">
        <v>0.12</v>
      </c>
      <c r="I65" s="624">
        <v>0.12</v>
      </c>
      <c r="J65" s="624">
        <v>0.11</v>
      </c>
      <c r="K65" s="701">
        <f t="shared" si="103"/>
        <v>0.11499999999999999</v>
      </c>
      <c r="L65" s="624">
        <v>0.11</v>
      </c>
      <c r="M65" s="624">
        <v>0.12</v>
      </c>
      <c r="N65" s="624">
        <v>0.11</v>
      </c>
      <c r="O65" s="624">
        <v>0.11</v>
      </c>
      <c r="P65" s="701">
        <f t="shared" si="104"/>
        <v>0.11249999999999999</v>
      </c>
      <c r="Q65" s="624">
        <v>0.11</v>
      </c>
      <c r="R65" s="624">
        <v>0.11</v>
      </c>
      <c r="S65" s="624">
        <v>0.11</v>
      </c>
      <c r="T65" s="624">
        <v>0.11</v>
      </c>
      <c r="U65" s="701">
        <f t="shared" si="105"/>
        <v>0.11</v>
      </c>
      <c r="V65" s="624">
        <v>0.11</v>
      </c>
      <c r="W65" s="624">
        <v>0.11</v>
      </c>
      <c r="X65" s="624">
        <v>0.1</v>
      </c>
      <c r="Y65" s="624">
        <v>0.11</v>
      </c>
      <c r="Z65" s="701">
        <f t="shared" si="106"/>
        <v>0.1075</v>
      </c>
      <c r="AA65" s="624">
        <v>0.11</v>
      </c>
      <c r="AB65" s="624">
        <v>0.11</v>
      </c>
      <c r="AC65" s="624">
        <v>0.11</v>
      </c>
      <c r="AD65" s="624">
        <v>0.11</v>
      </c>
      <c r="AE65" s="701">
        <f t="shared" si="107"/>
        <v>0.11</v>
      </c>
      <c r="AF65" s="624">
        <v>0.11</v>
      </c>
      <c r="AG65" s="624">
        <v>0.1</v>
      </c>
      <c r="AH65" s="624">
        <v>0.1</v>
      </c>
      <c r="AI65" s="624">
        <v>0.1</v>
      </c>
      <c r="AJ65" s="701">
        <f t="shared" si="108"/>
        <v>0.10250000000000001</v>
      </c>
      <c r="AK65" s="624">
        <v>0.1</v>
      </c>
      <c r="AL65" s="624">
        <v>0.1</v>
      </c>
      <c r="AM65" s="624">
        <v>0.09</v>
      </c>
      <c r="AN65" s="624">
        <v>0.09</v>
      </c>
      <c r="AO65" s="701">
        <f t="shared" si="109"/>
        <v>9.5000000000000001E-2</v>
      </c>
      <c r="AP65" s="624">
        <v>0.09</v>
      </c>
      <c r="AQ65" s="624">
        <v>0.09</v>
      </c>
      <c r="AR65" s="624">
        <v>0.08</v>
      </c>
      <c r="AS65" s="624">
        <v>0.08</v>
      </c>
      <c r="AT65" s="701">
        <f t="shared" si="110"/>
        <v>8.5000000000000006E-2</v>
      </c>
      <c r="AU65" s="175"/>
      <c r="AV65" s="175"/>
      <c r="AW65" s="175"/>
      <c r="AX65" s="175"/>
      <c r="AY65" s="701"/>
      <c r="AZ65" s="175"/>
      <c r="BA65" s="175"/>
      <c r="BB65" s="175"/>
      <c r="BC65" s="175"/>
      <c r="BD65" s="701"/>
      <c r="BE65" s="175"/>
      <c r="BF65" s="175"/>
      <c r="BG65" s="175"/>
      <c r="BH65" s="175"/>
      <c r="BI65" s="701"/>
      <c r="BJ65" s="175"/>
      <c r="BK65" s="175"/>
      <c r="BL65" s="395"/>
      <c r="BM65" s="175"/>
      <c r="BN65" s="701"/>
      <c r="BO65" s="175"/>
      <c r="BP65" s="175"/>
      <c r="BQ65" s="175"/>
      <c r="BR65" s="175"/>
      <c r="BS65" s="701"/>
      <c r="BT65" s="701"/>
      <c r="BU65" s="701"/>
      <c r="BV65" s="701"/>
      <c r="BW65" s="137"/>
    </row>
    <row r="66" spans="1:75" s="453" customFormat="1" hidden="1" outlineLevel="1">
      <c r="A66" s="171" t="s">
        <v>158</v>
      </c>
      <c r="B66" s="115"/>
      <c r="C66" s="701"/>
      <c r="D66" s="701"/>
      <c r="E66" s="701"/>
      <c r="F66" s="701"/>
      <c r="G66" s="624">
        <v>0.12</v>
      </c>
      <c r="H66" s="624">
        <v>0.11</v>
      </c>
      <c r="I66" s="624">
        <v>0.11</v>
      </c>
      <c r="J66" s="624">
        <v>0.1</v>
      </c>
      <c r="K66" s="701">
        <f t="shared" si="103"/>
        <v>0.10999999999999999</v>
      </c>
      <c r="L66" s="624">
        <v>0.11</v>
      </c>
      <c r="M66" s="624">
        <v>0.11</v>
      </c>
      <c r="N66" s="624">
        <v>0.11</v>
      </c>
      <c r="O66" s="624">
        <v>0.11</v>
      </c>
      <c r="P66" s="701">
        <f t="shared" si="104"/>
        <v>0.11</v>
      </c>
      <c r="Q66" s="624">
        <v>0.11</v>
      </c>
      <c r="R66" s="624">
        <v>0.11</v>
      </c>
      <c r="S66" s="624">
        <v>0.1</v>
      </c>
      <c r="T66" s="624">
        <v>0.1</v>
      </c>
      <c r="U66" s="701">
        <f t="shared" si="105"/>
        <v>0.10500000000000001</v>
      </c>
      <c r="V66" s="624">
        <v>0.1</v>
      </c>
      <c r="W66" s="624">
        <v>0.09</v>
      </c>
      <c r="X66" s="624">
        <v>0.1</v>
      </c>
      <c r="Y66" s="624">
        <v>0.09</v>
      </c>
      <c r="Z66" s="701">
        <f t="shared" si="106"/>
        <v>9.5000000000000001E-2</v>
      </c>
      <c r="AA66" s="624">
        <v>0.09</v>
      </c>
      <c r="AB66" s="624">
        <v>0.09</v>
      </c>
      <c r="AC66" s="624">
        <v>0.09</v>
      </c>
      <c r="AD66" s="624">
        <v>0.09</v>
      </c>
      <c r="AE66" s="701">
        <f t="shared" si="107"/>
        <v>0.09</v>
      </c>
      <c r="AF66" s="624">
        <v>0.08</v>
      </c>
      <c r="AG66" s="624">
        <v>0.08</v>
      </c>
      <c r="AH66" s="624">
        <v>0.08</v>
      </c>
      <c r="AI66" s="624">
        <v>0.09</v>
      </c>
      <c r="AJ66" s="701">
        <f t="shared" si="108"/>
        <v>8.249999999999999E-2</v>
      </c>
      <c r="AK66" s="624">
        <v>0.08</v>
      </c>
      <c r="AL66" s="624">
        <v>0.08</v>
      </c>
      <c r="AM66" s="624">
        <v>0.08</v>
      </c>
      <c r="AN66" s="624">
        <v>0.08</v>
      </c>
      <c r="AO66" s="701">
        <f t="shared" si="109"/>
        <v>0.08</v>
      </c>
      <c r="AP66" s="624">
        <v>7.0000000000000007E-2</v>
      </c>
      <c r="AQ66" s="624">
        <v>7.0000000000000007E-2</v>
      </c>
      <c r="AR66" s="624">
        <v>0.08</v>
      </c>
      <c r="AS66" s="624">
        <v>0.08</v>
      </c>
      <c r="AT66" s="701">
        <f t="shared" si="110"/>
        <v>7.5000000000000011E-2</v>
      </c>
      <c r="AU66" s="175"/>
      <c r="AV66" s="175"/>
      <c r="AW66" s="175"/>
      <c r="AX66" s="175"/>
      <c r="AY66" s="701"/>
      <c r="AZ66" s="175"/>
      <c r="BA66" s="175"/>
      <c r="BB66" s="175"/>
      <c r="BC66" s="175"/>
      <c r="BD66" s="701"/>
      <c r="BE66" s="175"/>
      <c r="BF66" s="175"/>
      <c r="BG66" s="175"/>
      <c r="BH66" s="175"/>
      <c r="BI66" s="701"/>
      <c r="BJ66" s="175"/>
      <c r="BK66" s="175"/>
      <c r="BL66" s="395"/>
      <c r="BM66" s="175"/>
      <c r="BN66" s="701"/>
      <c r="BO66" s="175"/>
      <c r="BP66" s="175"/>
      <c r="BQ66" s="175"/>
      <c r="BR66" s="175"/>
      <c r="BS66" s="701"/>
      <c r="BT66" s="701"/>
      <c r="BU66" s="701"/>
      <c r="BV66" s="701"/>
      <c r="BW66" s="137"/>
    </row>
    <row r="67" spans="1:75" s="453" customFormat="1" hidden="1" outlineLevel="1">
      <c r="A67" s="171" t="s">
        <v>159</v>
      </c>
      <c r="B67" s="115"/>
      <c r="C67" s="701"/>
      <c r="D67" s="701"/>
      <c r="E67" s="701"/>
      <c r="F67" s="701"/>
      <c r="G67" s="624">
        <v>0.25</v>
      </c>
      <c r="H67" s="624">
        <v>0.23</v>
      </c>
      <c r="I67" s="624">
        <v>0.24</v>
      </c>
      <c r="J67" s="624">
        <v>0.25</v>
      </c>
      <c r="K67" s="701">
        <f t="shared" si="103"/>
        <v>0.24249999999999999</v>
      </c>
      <c r="L67" s="624">
        <v>0.24</v>
      </c>
      <c r="M67" s="624">
        <v>0.23</v>
      </c>
      <c r="N67" s="624">
        <v>0.25</v>
      </c>
      <c r="O67" s="624">
        <v>0.24</v>
      </c>
      <c r="P67" s="701">
        <f t="shared" si="104"/>
        <v>0.24</v>
      </c>
      <c r="Q67" s="624">
        <v>0.24</v>
      </c>
      <c r="R67" s="624">
        <v>0.23</v>
      </c>
      <c r="S67" s="624">
        <v>0.24</v>
      </c>
      <c r="T67" s="624">
        <v>0.25</v>
      </c>
      <c r="U67" s="701">
        <f t="shared" si="105"/>
        <v>0.24</v>
      </c>
      <c r="V67" s="624">
        <v>0.24</v>
      </c>
      <c r="W67" s="624">
        <v>0.24</v>
      </c>
      <c r="X67" s="624">
        <v>0.23</v>
      </c>
      <c r="Y67" s="624">
        <v>0.24</v>
      </c>
      <c r="Z67" s="701">
        <f t="shared" si="106"/>
        <v>0.23749999999999999</v>
      </c>
      <c r="AA67" s="624">
        <v>0.24</v>
      </c>
      <c r="AB67" s="624">
        <v>0.22</v>
      </c>
      <c r="AC67" s="624">
        <v>0.22</v>
      </c>
      <c r="AD67" s="624">
        <v>0.22</v>
      </c>
      <c r="AE67" s="701">
        <f t="shared" si="107"/>
        <v>0.22499999999999998</v>
      </c>
      <c r="AF67" s="624">
        <v>0.23</v>
      </c>
      <c r="AG67" s="624">
        <v>0.22</v>
      </c>
      <c r="AH67" s="624">
        <v>0.21</v>
      </c>
      <c r="AI67" s="624">
        <v>0.22</v>
      </c>
      <c r="AJ67" s="701">
        <f t="shared" si="108"/>
        <v>0.22</v>
      </c>
      <c r="AK67" s="624">
        <v>0.23</v>
      </c>
      <c r="AL67" s="624">
        <v>0.21</v>
      </c>
      <c r="AM67" s="624">
        <v>0.21</v>
      </c>
      <c r="AN67" s="624">
        <v>0.21</v>
      </c>
      <c r="AO67" s="701">
        <f t="shared" si="109"/>
        <v>0.215</v>
      </c>
      <c r="AP67" s="624">
        <v>0.22</v>
      </c>
      <c r="AQ67" s="624">
        <v>0.22</v>
      </c>
      <c r="AR67" s="624">
        <v>0.2</v>
      </c>
      <c r="AS67" s="624">
        <v>0.2</v>
      </c>
      <c r="AT67" s="701">
        <f t="shared" si="110"/>
        <v>0.21000000000000002</v>
      </c>
      <c r="AU67" s="175"/>
      <c r="AV67" s="175"/>
      <c r="AW67" s="175"/>
      <c r="AX67" s="175"/>
      <c r="AY67" s="701"/>
      <c r="AZ67" s="175"/>
      <c r="BA67" s="175"/>
      <c r="BB67" s="175"/>
      <c r="BC67" s="175"/>
      <c r="BD67" s="701"/>
      <c r="BE67" s="175"/>
      <c r="BF67" s="175"/>
      <c r="BG67" s="175"/>
      <c r="BH67" s="175"/>
      <c r="BI67" s="701"/>
      <c r="BJ67" s="175"/>
      <c r="BK67" s="175"/>
      <c r="BL67" s="395"/>
      <c r="BM67" s="175"/>
      <c r="BN67" s="701"/>
      <c r="BO67" s="175"/>
      <c r="BP67" s="175"/>
      <c r="BQ67" s="175"/>
      <c r="BR67" s="175"/>
      <c r="BS67" s="701"/>
      <c r="BT67" s="701"/>
      <c r="BU67" s="701"/>
      <c r="BV67" s="701"/>
      <c r="BW67" s="137"/>
    </row>
    <row r="68" spans="1:75" s="453" customFormat="1" hidden="1" outlineLevel="1">
      <c r="A68" s="172" t="s">
        <v>160</v>
      </c>
      <c r="B68" s="116"/>
      <c r="C68" s="702"/>
      <c r="D68" s="702"/>
      <c r="E68" s="702"/>
      <c r="F68" s="702"/>
      <c r="G68" s="117">
        <f t="shared" ref="G68:AQ68" si="111">G69-SUM(G62:G67)</f>
        <v>0</v>
      </c>
      <c r="H68" s="117">
        <f t="shared" si="111"/>
        <v>0</v>
      </c>
      <c r="I68" s="117">
        <f t="shared" si="111"/>
        <v>0</v>
      </c>
      <c r="J68" s="117">
        <f t="shared" si="111"/>
        <v>0</v>
      </c>
      <c r="K68" s="702">
        <f t="shared" si="111"/>
        <v>0</v>
      </c>
      <c r="L68" s="117">
        <f t="shared" si="111"/>
        <v>0</v>
      </c>
      <c r="M68" s="117">
        <f t="shared" si="111"/>
        <v>0</v>
      </c>
      <c r="N68" s="117">
        <f t="shared" si="111"/>
        <v>0</v>
      </c>
      <c r="O68" s="117">
        <f t="shared" si="111"/>
        <v>0</v>
      </c>
      <c r="P68" s="702">
        <f t="shared" si="111"/>
        <v>0</v>
      </c>
      <c r="Q68" s="117">
        <f t="shared" si="111"/>
        <v>0</v>
      </c>
      <c r="R68" s="117">
        <f t="shared" si="111"/>
        <v>0</v>
      </c>
      <c r="S68" s="117">
        <f t="shared" si="111"/>
        <v>0</v>
      </c>
      <c r="T68" s="117">
        <f t="shared" si="111"/>
        <v>0</v>
      </c>
      <c r="U68" s="702">
        <f t="shared" si="111"/>
        <v>0</v>
      </c>
      <c r="V68" s="117">
        <f t="shared" si="111"/>
        <v>0</v>
      </c>
      <c r="W68" s="117">
        <f t="shared" si="111"/>
        <v>0</v>
      </c>
      <c r="X68" s="117">
        <f t="shared" si="111"/>
        <v>0</v>
      </c>
      <c r="Y68" s="117">
        <f t="shared" si="111"/>
        <v>-9.9999999999997868E-3</v>
      </c>
      <c r="Z68" s="702">
        <f t="shared" si="111"/>
        <v>-2.4999999999999467E-3</v>
      </c>
      <c r="AA68" s="117">
        <f t="shared" si="111"/>
        <v>-1.0000000000000009E-2</v>
      </c>
      <c r="AB68" s="117">
        <f t="shared" si="111"/>
        <v>0</v>
      </c>
      <c r="AC68" s="117">
        <f t="shared" si="111"/>
        <v>0</v>
      </c>
      <c r="AD68" s="117">
        <f t="shared" si="111"/>
        <v>1.0000000000000009E-2</v>
      </c>
      <c r="AE68" s="702">
        <f t="shared" si="111"/>
        <v>0</v>
      </c>
      <c r="AF68" s="117">
        <f t="shared" si="111"/>
        <v>0</v>
      </c>
      <c r="AG68" s="117">
        <f t="shared" si="111"/>
        <v>1.0000000000000009E-2</v>
      </c>
      <c r="AH68" s="117">
        <f t="shared" si="111"/>
        <v>1.0000000000000009E-2</v>
      </c>
      <c r="AI68" s="117">
        <f t="shared" si="111"/>
        <v>0</v>
      </c>
      <c r="AJ68" s="702">
        <f t="shared" si="111"/>
        <v>4.9999999999998934E-3</v>
      </c>
      <c r="AK68" s="117">
        <f t="shared" si="111"/>
        <v>0</v>
      </c>
      <c r="AL68" s="117">
        <f t="shared" si="111"/>
        <v>1.000000000000012E-2</v>
      </c>
      <c r="AM68" s="117">
        <f t="shared" si="111"/>
        <v>0</v>
      </c>
      <c r="AN68" s="117">
        <f t="shared" si="111"/>
        <v>0</v>
      </c>
      <c r="AO68" s="702">
        <f t="shared" si="111"/>
        <v>2.5000000000001688E-3</v>
      </c>
      <c r="AP68" s="117">
        <f t="shared" si="111"/>
        <v>-1.0000000000000009E-2</v>
      </c>
      <c r="AQ68" s="117">
        <f t="shared" si="111"/>
        <v>0</v>
      </c>
      <c r="AR68" s="117">
        <f>AR69-SUM(AR62:AR67)</f>
        <v>0</v>
      </c>
      <c r="AS68" s="117">
        <f>AS69-SUM(AS62:AS67)</f>
        <v>1.0000000000000009E-2</v>
      </c>
      <c r="AT68" s="702">
        <f>AT69-SUM(AT62:AT67)</f>
        <v>0</v>
      </c>
      <c r="AU68" s="117"/>
      <c r="AV68" s="117"/>
      <c r="AW68" s="117"/>
      <c r="AX68" s="117"/>
      <c r="AY68" s="702"/>
      <c r="AZ68" s="117"/>
      <c r="BA68" s="117"/>
      <c r="BB68" s="117"/>
      <c r="BC68" s="117"/>
      <c r="BD68" s="702"/>
      <c r="BE68" s="117"/>
      <c r="BF68" s="117"/>
      <c r="BG68" s="117"/>
      <c r="BH68" s="117"/>
      <c r="BI68" s="702"/>
      <c r="BJ68" s="117"/>
      <c r="BK68" s="117"/>
      <c r="BL68" s="396"/>
      <c r="BM68" s="117"/>
      <c r="BN68" s="702"/>
      <c r="BO68" s="117"/>
      <c r="BP68" s="117"/>
      <c r="BQ68" s="117"/>
      <c r="BR68" s="117"/>
      <c r="BS68" s="702"/>
      <c r="BT68" s="702"/>
      <c r="BU68" s="702"/>
      <c r="BV68" s="702"/>
      <c r="BW68" s="137"/>
    </row>
    <row r="69" spans="1:75" s="454" customFormat="1" hidden="1" outlineLevel="1">
      <c r="A69" s="118" t="s">
        <v>161</v>
      </c>
      <c r="B69" s="119"/>
      <c r="C69" s="703"/>
      <c r="D69" s="703"/>
      <c r="E69" s="703"/>
      <c r="F69" s="703"/>
      <c r="G69" s="625">
        <v>1</v>
      </c>
      <c r="H69" s="625">
        <v>1</v>
      </c>
      <c r="I69" s="625">
        <v>1</v>
      </c>
      <c r="J69" s="625">
        <v>1</v>
      </c>
      <c r="K69" s="704">
        <v>1</v>
      </c>
      <c r="L69" s="625">
        <v>1</v>
      </c>
      <c r="M69" s="625">
        <v>1</v>
      </c>
      <c r="N69" s="625">
        <v>1</v>
      </c>
      <c r="O69" s="625">
        <v>1</v>
      </c>
      <c r="P69" s="704">
        <v>1</v>
      </c>
      <c r="Q69" s="625">
        <v>1</v>
      </c>
      <c r="R69" s="625">
        <v>1</v>
      </c>
      <c r="S69" s="625">
        <v>1</v>
      </c>
      <c r="T69" s="625">
        <v>1</v>
      </c>
      <c r="U69" s="704">
        <v>1</v>
      </c>
      <c r="V69" s="625">
        <v>1</v>
      </c>
      <c r="W69" s="625">
        <v>1</v>
      </c>
      <c r="X69" s="625">
        <v>1</v>
      </c>
      <c r="Y69" s="625">
        <v>1</v>
      </c>
      <c r="Z69" s="704">
        <v>1</v>
      </c>
      <c r="AA69" s="625">
        <v>1</v>
      </c>
      <c r="AB69" s="625">
        <v>1</v>
      </c>
      <c r="AC69" s="625">
        <v>1</v>
      </c>
      <c r="AD69" s="625">
        <v>1</v>
      </c>
      <c r="AE69" s="704">
        <v>1</v>
      </c>
      <c r="AF69" s="625">
        <v>1</v>
      </c>
      <c r="AG69" s="625">
        <v>1</v>
      </c>
      <c r="AH69" s="625">
        <v>1</v>
      </c>
      <c r="AI69" s="625">
        <v>1</v>
      </c>
      <c r="AJ69" s="704">
        <v>1</v>
      </c>
      <c r="AK69" s="626">
        <v>1</v>
      </c>
      <c r="AL69" s="625">
        <v>1</v>
      </c>
      <c r="AM69" s="625">
        <v>1</v>
      </c>
      <c r="AN69" s="625">
        <v>1</v>
      </c>
      <c r="AO69" s="704">
        <v>1</v>
      </c>
      <c r="AP69" s="626">
        <v>1</v>
      </c>
      <c r="AQ69" s="625">
        <v>1</v>
      </c>
      <c r="AR69" s="625">
        <v>1</v>
      </c>
      <c r="AS69" s="625">
        <v>1</v>
      </c>
      <c r="AT69" s="704">
        <v>1</v>
      </c>
      <c r="AU69" s="185"/>
      <c r="AV69" s="176"/>
      <c r="AW69" s="176"/>
      <c r="AX69" s="176"/>
      <c r="AY69" s="703"/>
      <c r="AZ69" s="185"/>
      <c r="BA69" s="176"/>
      <c r="BB69" s="176"/>
      <c r="BC69" s="176"/>
      <c r="BD69" s="703"/>
      <c r="BE69" s="185"/>
      <c r="BF69" s="176"/>
      <c r="BG69" s="176"/>
      <c r="BH69" s="176"/>
      <c r="BI69" s="703"/>
      <c r="BJ69" s="185"/>
      <c r="BK69" s="176"/>
      <c r="BL69" s="431"/>
      <c r="BM69" s="176"/>
      <c r="BN69" s="703"/>
      <c r="BO69" s="176"/>
      <c r="BP69" s="176"/>
      <c r="BQ69" s="176"/>
      <c r="BR69" s="176"/>
      <c r="BS69" s="703"/>
      <c r="BT69" s="703"/>
      <c r="BU69" s="703"/>
      <c r="BV69" s="703"/>
      <c r="BW69" s="138"/>
    </row>
    <row r="70" spans="1:75" s="445" customFormat="1" hidden="1" outlineLevel="1">
      <c r="A70" s="66"/>
      <c r="B70" s="19"/>
      <c r="C70" s="677"/>
      <c r="D70" s="677"/>
      <c r="E70" s="677"/>
      <c r="F70" s="677"/>
      <c r="G70" s="174"/>
      <c r="H70" s="174"/>
      <c r="I70" s="174"/>
      <c r="J70" s="174"/>
      <c r="K70" s="677"/>
      <c r="L70" s="174"/>
      <c r="M70" s="174"/>
      <c r="N70" s="174"/>
      <c r="O70" s="174"/>
      <c r="P70" s="677"/>
      <c r="Q70" s="174"/>
      <c r="R70" s="174"/>
      <c r="S70" s="174"/>
      <c r="T70" s="174"/>
      <c r="U70" s="677"/>
      <c r="V70" s="174"/>
      <c r="W70" s="174"/>
      <c r="X70" s="174"/>
      <c r="Y70" s="174"/>
      <c r="Z70" s="677"/>
      <c r="AA70" s="174"/>
      <c r="AB70" s="174"/>
      <c r="AC70" s="174"/>
      <c r="AD70" s="174"/>
      <c r="AE70" s="677"/>
      <c r="AF70" s="174"/>
      <c r="AG70" s="174"/>
      <c r="AH70" s="174"/>
      <c r="AI70" s="174"/>
      <c r="AJ70" s="677"/>
      <c r="AK70" s="174"/>
      <c r="AL70" s="174"/>
      <c r="AM70" s="174"/>
      <c r="AN70" s="174"/>
      <c r="AO70" s="677"/>
      <c r="AP70" s="174"/>
      <c r="AQ70" s="174"/>
      <c r="AR70" s="174"/>
      <c r="AS70" s="174"/>
      <c r="AT70" s="677"/>
      <c r="AU70" s="174"/>
      <c r="AV70" s="174"/>
      <c r="AW70" s="174"/>
      <c r="AX70" s="174"/>
      <c r="AY70" s="677"/>
      <c r="AZ70" s="174"/>
      <c r="BA70" s="174"/>
      <c r="BB70" s="174"/>
      <c r="BC70" s="174"/>
      <c r="BD70" s="677"/>
      <c r="BE70" s="174"/>
      <c r="BF70" s="174"/>
      <c r="BG70" s="174"/>
      <c r="BH70" s="174"/>
      <c r="BI70" s="677"/>
      <c r="BJ70" s="174"/>
      <c r="BK70" s="174"/>
      <c r="BL70" s="391"/>
      <c r="BM70" s="174"/>
      <c r="BN70" s="677"/>
      <c r="BO70" s="174"/>
      <c r="BP70" s="174"/>
      <c r="BQ70" s="174"/>
      <c r="BR70" s="174"/>
      <c r="BS70" s="677"/>
      <c r="BT70" s="677"/>
      <c r="BU70" s="677"/>
      <c r="BV70" s="677"/>
      <c r="BW70" s="136"/>
    </row>
    <row r="71" spans="1:75" s="439" customFormat="1" hidden="1" outlineLevel="1">
      <c r="A71" s="31" t="s">
        <v>162</v>
      </c>
      <c r="B71" s="24"/>
      <c r="C71" s="89"/>
      <c r="D71" s="89"/>
      <c r="E71" s="89"/>
      <c r="F71" s="89"/>
      <c r="G71" s="518">
        <f t="shared" ref="G71:AT71" si="112">G62*G22</f>
        <v>10.14926</v>
      </c>
      <c r="H71" s="518">
        <f t="shared" si="112"/>
        <v>13.205519999999998</v>
      </c>
      <c r="I71" s="518">
        <f t="shared" si="112"/>
        <v>14.683439999999999</v>
      </c>
      <c r="J71" s="518">
        <f t="shared" si="112"/>
        <v>16.956240000000005</v>
      </c>
      <c r="K71" s="89">
        <f t="shared" si="112"/>
        <v>54.752179999999996</v>
      </c>
      <c r="L71" s="518">
        <f t="shared" si="112"/>
        <v>19.101749999999999</v>
      </c>
      <c r="M71" s="518">
        <f t="shared" si="112"/>
        <v>23.084619999999997</v>
      </c>
      <c r="N71" s="518">
        <f t="shared" si="112"/>
        <v>26.638300000000001</v>
      </c>
      <c r="O71" s="518">
        <f t="shared" si="112"/>
        <v>28.570620000000005</v>
      </c>
      <c r="P71" s="89">
        <f t="shared" si="112"/>
        <v>97.215519999999998</v>
      </c>
      <c r="Q71" s="518">
        <f t="shared" si="112"/>
        <v>30.812079999999995</v>
      </c>
      <c r="R71" s="518">
        <f t="shared" si="112"/>
        <v>37.495640000000009</v>
      </c>
      <c r="S71" s="518">
        <f t="shared" si="112"/>
        <v>40.19652</v>
      </c>
      <c r="T71" s="518">
        <f t="shared" si="112"/>
        <v>43.044679999999993</v>
      </c>
      <c r="U71" s="89">
        <f t="shared" si="112"/>
        <v>151.17052500000003</v>
      </c>
      <c r="V71" s="518">
        <f t="shared" si="112"/>
        <v>45.997769999999996</v>
      </c>
      <c r="W71" s="518">
        <f t="shared" si="112"/>
        <v>52.028399999999998</v>
      </c>
      <c r="X71" s="518">
        <f t="shared" si="112"/>
        <v>55.869599999999998</v>
      </c>
      <c r="Y71" s="518">
        <f t="shared" si="112"/>
        <v>58.439999999999991</v>
      </c>
      <c r="Z71" s="89">
        <f t="shared" si="112"/>
        <v>212.13802749999999</v>
      </c>
      <c r="AA71" s="518">
        <f t="shared" si="112"/>
        <v>59.452199999999998</v>
      </c>
      <c r="AB71" s="518">
        <f t="shared" si="112"/>
        <v>65.082949999999997</v>
      </c>
      <c r="AC71" s="518">
        <f t="shared" si="112"/>
        <v>69.218969999999999</v>
      </c>
      <c r="AD71" s="518">
        <f t="shared" si="112"/>
        <v>68.02670999999998</v>
      </c>
      <c r="AE71" s="89">
        <f t="shared" si="112"/>
        <v>261.63545249999999</v>
      </c>
      <c r="AF71" s="518">
        <f t="shared" si="112"/>
        <v>71.383680000000012</v>
      </c>
      <c r="AG71" s="518">
        <f t="shared" si="112"/>
        <v>77.504790000000014</v>
      </c>
      <c r="AH71" s="518">
        <f t="shared" si="112"/>
        <v>81.972640000000013</v>
      </c>
      <c r="AI71" s="518">
        <f t="shared" si="112"/>
        <v>80.434200000000004</v>
      </c>
      <c r="AJ71" s="89">
        <f t="shared" si="112"/>
        <v>311.11509000000001</v>
      </c>
      <c r="AK71" s="518">
        <f t="shared" si="112"/>
        <v>77.860860000000002</v>
      </c>
      <c r="AL71" s="518">
        <f t="shared" si="112"/>
        <v>86.434250000000006</v>
      </c>
      <c r="AM71" s="518">
        <f t="shared" si="112"/>
        <v>94.490640000000013</v>
      </c>
      <c r="AN71" s="518">
        <f t="shared" si="112"/>
        <v>96.776280000000014</v>
      </c>
      <c r="AO71" s="89">
        <f t="shared" si="112"/>
        <v>354.96789999999999</v>
      </c>
      <c r="AP71" s="518">
        <f t="shared" si="112"/>
        <v>94.96238000000001</v>
      </c>
      <c r="AQ71" s="518">
        <f t="shared" si="112"/>
        <v>81.134399999999999</v>
      </c>
      <c r="AR71" s="518">
        <f t="shared" si="112"/>
        <v>99.363150000000005</v>
      </c>
      <c r="AS71" s="518">
        <f t="shared" si="112"/>
        <v>102.60579999999997</v>
      </c>
      <c r="AT71" s="89">
        <f t="shared" si="112"/>
        <v>381.90818750000005</v>
      </c>
      <c r="AU71" s="518"/>
      <c r="AV71" s="518"/>
      <c r="AW71" s="518"/>
      <c r="AX71" s="518"/>
      <c r="AY71" s="89"/>
      <c r="AZ71" s="518"/>
      <c r="BA71" s="518"/>
      <c r="BB71" s="518"/>
      <c r="BC71" s="518"/>
      <c r="BD71" s="89"/>
      <c r="BE71" s="518"/>
      <c r="BF71" s="518"/>
      <c r="BG71" s="518"/>
      <c r="BH71" s="518"/>
      <c r="BI71" s="89"/>
      <c r="BJ71" s="518"/>
      <c r="BK71" s="518"/>
      <c r="BL71" s="520"/>
      <c r="BM71" s="518"/>
      <c r="BN71" s="89"/>
      <c r="BO71" s="518"/>
      <c r="BP71" s="518"/>
      <c r="BQ71" s="518"/>
      <c r="BR71" s="518"/>
      <c r="BS71" s="89"/>
      <c r="BT71" s="89"/>
      <c r="BU71" s="89"/>
      <c r="BV71" s="89"/>
      <c r="BW71" s="519"/>
    </row>
    <row r="72" spans="1:75" s="439" customFormat="1" hidden="1" outlineLevel="1">
      <c r="A72" s="31" t="s">
        <v>163</v>
      </c>
      <c r="B72" s="24"/>
      <c r="C72" s="89"/>
      <c r="D72" s="89"/>
      <c r="E72" s="89"/>
      <c r="F72" s="89"/>
      <c r="G72" s="518">
        <f t="shared" ref="G72:AT72" si="113">G63*G22</f>
        <v>7.3812800000000003</v>
      </c>
      <c r="H72" s="518">
        <f t="shared" si="113"/>
        <v>8.8036799999999999</v>
      </c>
      <c r="I72" s="518">
        <f t="shared" si="113"/>
        <v>9.7889599999999994</v>
      </c>
      <c r="J72" s="518">
        <f t="shared" si="113"/>
        <v>11.304160000000005</v>
      </c>
      <c r="K72" s="89">
        <f t="shared" si="113"/>
        <v>37.278080000000003</v>
      </c>
      <c r="L72" s="518">
        <f t="shared" si="113"/>
        <v>12.22512</v>
      </c>
      <c r="M72" s="518">
        <f t="shared" si="113"/>
        <v>13.318049999999998</v>
      </c>
      <c r="N72" s="518">
        <f t="shared" si="113"/>
        <v>15.36825</v>
      </c>
      <c r="O72" s="518">
        <f t="shared" si="113"/>
        <v>16.483050000000002</v>
      </c>
      <c r="P72" s="89">
        <f t="shared" si="113"/>
        <v>57.574239999999996</v>
      </c>
      <c r="Q72" s="518">
        <f t="shared" si="113"/>
        <v>17.776199999999996</v>
      </c>
      <c r="R72" s="518">
        <f t="shared" si="113"/>
        <v>20.086950000000002</v>
      </c>
      <c r="S72" s="518">
        <f t="shared" si="113"/>
        <v>21.533849999999997</v>
      </c>
      <c r="T72" s="518">
        <f t="shared" si="113"/>
        <v>21.522339999999996</v>
      </c>
      <c r="U72" s="89">
        <f t="shared" si="113"/>
        <v>81.082372499999991</v>
      </c>
      <c r="V72" s="518">
        <f t="shared" si="113"/>
        <v>22.205820000000003</v>
      </c>
      <c r="W72" s="518">
        <f t="shared" si="113"/>
        <v>24.279920000000001</v>
      </c>
      <c r="X72" s="518">
        <f t="shared" si="113"/>
        <v>27.934799999999999</v>
      </c>
      <c r="Y72" s="518">
        <f t="shared" si="113"/>
        <v>29.219999999999995</v>
      </c>
      <c r="Z72" s="89">
        <f t="shared" si="113"/>
        <v>103.39500500000001</v>
      </c>
      <c r="AA72" s="518">
        <f t="shared" si="113"/>
        <v>27.744360000000004</v>
      </c>
      <c r="AB72" s="518">
        <f t="shared" si="113"/>
        <v>29.392300000000002</v>
      </c>
      <c r="AC72" s="518">
        <f t="shared" si="113"/>
        <v>33.493049999999997</v>
      </c>
      <c r="AD72" s="518">
        <f t="shared" si="113"/>
        <v>30.721739999999997</v>
      </c>
      <c r="AE72" s="89">
        <f t="shared" si="113"/>
        <v>121.24569750000001</v>
      </c>
      <c r="AF72" s="518">
        <f t="shared" si="113"/>
        <v>31.230360000000005</v>
      </c>
      <c r="AG72" s="518">
        <f t="shared" si="113"/>
        <v>32.880820000000007</v>
      </c>
      <c r="AH72" s="518">
        <f t="shared" si="113"/>
        <v>33.753440000000005</v>
      </c>
      <c r="AI72" s="518">
        <f t="shared" si="113"/>
        <v>34.123600000000003</v>
      </c>
      <c r="AJ72" s="89">
        <f t="shared" si="113"/>
        <v>131.98822000000001</v>
      </c>
      <c r="AK72" s="518">
        <f t="shared" si="113"/>
        <v>33.031880000000001</v>
      </c>
      <c r="AL72" s="518">
        <f t="shared" si="113"/>
        <v>32.104150000000004</v>
      </c>
      <c r="AM72" s="518">
        <f t="shared" si="113"/>
        <v>36.74636000000001</v>
      </c>
      <c r="AN72" s="518">
        <f t="shared" si="113"/>
        <v>37.635220000000011</v>
      </c>
      <c r="AO72" s="89">
        <f t="shared" si="113"/>
        <v>139.45167499999999</v>
      </c>
      <c r="AP72" s="518">
        <f t="shared" si="113"/>
        <v>32.487130000000001</v>
      </c>
      <c r="AQ72" s="518">
        <f t="shared" si="113"/>
        <v>11.832100000000001</v>
      </c>
      <c r="AR72" s="518">
        <f t="shared" si="113"/>
        <v>24.288770000000003</v>
      </c>
      <c r="AS72" s="518">
        <f t="shared" si="113"/>
        <v>25.651449999999993</v>
      </c>
      <c r="AT72" s="89">
        <f t="shared" si="113"/>
        <v>91.657965000000004</v>
      </c>
      <c r="AU72" s="518"/>
      <c r="AV72" s="518"/>
      <c r="AW72" s="518"/>
      <c r="AX72" s="518"/>
      <c r="AY72" s="89"/>
      <c r="AZ72" s="518"/>
      <c r="BA72" s="518"/>
      <c r="BB72" s="518"/>
      <c r="BC72" s="518"/>
      <c r="BD72" s="89"/>
      <c r="BE72" s="518"/>
      <c r="BF72" s="518"/>
      <c r="BG72" s="518"/>
      <c r="BH72" s="518"/>
      <c r="BI72" s="89"/>
      <c r="BJ72" s="518"/>
      <c r="BK72" s="518"/>
      <c r="BL72" s="520"/>
      <c r="BM72" s="518"/>
      <c r="BN72" s="89"/>
      <c r="BO72" s="518"/>
      <c r="BP72" s="518"/>
      <c r="BQ72" s="518"/>
      <c r="BR72" s="518"/>
      <c r="BS72" s="89"/>
      <c r="BT72" s="89"/>
      <c r="BU72" s="89"/>
      <c r="BV72" s="89"/>
      <c r="BW72" s="519"/>
    </row>
    <row r="73" spans="1:75" s="439" customFormat="1" hidden="1" outlineLevel="1">
      <c r="A73" s="31" t="s">
        <v>164</v>
      </c>
      <c r="B73" s="24"/>
      <c r="C73" s="89"/>
      <c r="D73" s="89"/>
      <c r="E73" s="89"/>
      <c r="F73" s="89"/>
      <c r="G73" s="518">
        <f t="shared" ref="G73:AT73" si="114">G64*G22</f>
        <v>6.4586200000000007</v>
      </c>
      <c r="H73" s="518">
        <f t="shared" si="114"/>
        <v>7.70322</v>
      </c>
      <c r="I73" s="518">
        <f t="shared" si="114"/>
        <v>7.9535299999999998</v>
      </c>
      <c r="J73" s="518">
        <f t="shared" si="114"/>
        <v>9.8911400000000036</v>
      </c>
      <c r="K73" s="89">
        <f t="shared" si="114"/>
        <v>32.035850000000003</v>
      </c>
      <c r="L73" s="518">
        <f t="shared" si="114"/>
        <v>9.9329099999999997</v>
      </c>
      <c r="M73" s="518">
        <f t="shared" si="114"/>
        <v>11.542309999999999</v>
      </c>
      <c r="N73" s="518">
        <f t="shared" si="114"/>
        <v>12.294599999999999</v>
      </c>
      <c r="O73" s="518">
        <f t="shared" si="114"/>
        <v>14.285310000000003</v>
      </c>
      <c r="P73" s="89">
        <f t="shared" si="114"/>
        <v>48.135840000000002</v>
      </c>
      <c r="Q73" s="518">
        <f t="shared" si="114"/>
        <v>15.406039999999997</v>
      </c>
      <c r="R73" s="518">
        <f t="shared" si="114"/>
        <v>16.069559999999999</v>
      </c>
      <c r="S73" s="518">
        <f t="shared" si="114"/>
        <v>17.227080000000001</v>
      </c>
      <c r="T73" s="518">
        <f t="shared" si="114"/>
        <v>18.447719999999997</v>
      </c>
      <c r="U73" s="89">
        <f t="shared" si="114"/>
        <v>67.339597499999996</v>
      </c>
      <c r="V73" s="518">
        <f t="shared" si="114"/>
        <v>19.033559999999998</v>
      </c>
      <c r="W73" s="518">
        <f t="shared" si="114"/>
        <v>20.811360000000001</v>
      </c>
      <c r="X73" s="518">
        <f t="shared" si="114"/>
        <v>22.347839999999998</v>
      </c>
      <c r="Y73" s="518">
        <f t="shared" si="114"/>
        <v>23.375999999999998</v>
      </c>
      <c r="Z73" s="89">
        <f t="shared" si="114"/>
        <v>85.568279999999987</v>
      </c>
      <c r="AA73" s="518">
        <f t="shared" si="114"/>
        <v>25.762620000000002</v>
      </c>
      <c r="AB73" s="518">
        <f t="shared" si="114"/>
        <v>27.292850000000001</v>
      </c>
      <c r="AC73" s="518">
        <f t="shared" si="114"/>
        <v>26.794439999999998</v>
      </c>
      <c r="AD73" s="518">
        <f t="shared" si="114"/>
        <v>26.332919999999991</v>
      </c>
      <c r="AE73" s="89">
        <f t="shared" si="114"/>
        <v>106.355875</v>
      </c>
      <c r="AF73" s="518">
        <f t="shared" si="114"/>
        <v>26.768879999999999</v>
      </c>
      <c r="AG73" s="518">
        <f t="shared" si="114"/>
        <v>28.183560000000003</v>
      </c>
      <c r="AH73" s="518">
        <f t="shared" si="114"/>
        <v>28.931519999999999</v>
      </c>
      <c r="AI73" s="518">
        <f t="shared" si="114"/>
        <v>29.248799999999999</v>
      </c>
      <c r="AJ73" s="89">
        <f t="shared" si="114"/>
        <v>113.13275999999999</v>
      </c>
      <c r="AK73" s="518">
        <f t="shared" si="114"/>
        <v>28.313039999999997</v>
      </c>
      <c r="AL73" s="518">
        <f t="shared" si="114"/>
        <v>29.634599999999999</v>
      </c>
      <c r="AM73" s="518">
        <f t="shared" si="114"/>
        <v>31.496880000000004</v>
      </c>
      <c r="AN73" s="518">
        <f t="shared" si="114"/>
        <v>32.258760000000002</v>
      </c>
      <c r="AO73" s="89">
        <f t="shared" si="114"/>
        <v>121.70327999999999</v>
      </c>
      <c r="AP73" s="518">
        <f t="shared" si="114"/>
        <v>29.988119999999999</v>
      </c>
      <c r="AQ73" s="518">
        <f t="shared" si="114"/>
        <v>11.832100000000001</v>
      </c>
      <c r="AR73" s="518">
        <f t="shared" si="114"/>
        <v>17.664560000000002</v>
      </c>
      <c r="AS73" s="518">
        <f t="shared" si="114"/>
        <v>18.655599999999996</v>
      </c>
      <c r="AT73" s="89">
        <f t="shared" si="114"/>
        <v>76.381637500000011</v>
      </c>
      <c r="AU73" s="518"/>
      <c r="AV73" s="518"/>
      <c r="AW73" s="518"/>
      <c r="AX73" s="518"/>
      <c r="AY73" s="89"/>
      <c r="AZ73" s="518"/>
      <c r="BA73" s="518"/>
      <c r="BB73" s="518"/>
      <c r="BC73" s="518"/>
      <c r="BD73" s="89"/>
      <c r="BE73" s="518"/>
      <c r="BF73" s="518"/>
      <c r="BG73" s="518"/>
      <c r="BH73" s="518"/>
      <c r="BI73" s="89"/>
      <c r="BJ73" s="518"/>
      <c r="BK73" s="518"/>
      <c r="BL73" s="520"/>
      <c r="BM73" s="518"/>
      <c r="BN73" s="89"/>
      <c r="BO73" s="518"/>
      <c r="BP73" s="518"/>
      <c r="BQ73" s="518"/>
      <c r="BR73" s="518"/>
      <c r="BS73" s="89"/>
      <c r="BT73" s="89"/>
      <c r="BU73" s="89"/>
      <c r="BV73" s="89"/>
      <c r="BW73" s="519"/>
    </row>
    <row r="74" spans="1:75" s="439" customFormat="1" hidden="1" outlineLevel="1">
      <c r="A74" s="31" t="s">
        <v>165</v>
      </c>
      <c r="B74" s="24"/>
      <c r="C74" s="89"/>
      <c r="D74" s="89"/>
      <c r="E74" s="89"/>
      <c r="F74" s="89"/>
      <c r="G74" s="518">
        <f t="shared" ref="G74:AT74" si="115">G65*G22</f>
        <v>5.07463</v>
      </c>
      <c r="H74" s="518">
        <f t="shared" si="115"/>
        <v>6.6027599999999991</v>
      </c>
      <c r="I74" s="518">
        <f t="shared" si="115"/>
        <v>7.3417199999999996</v>
      </c>
      <c r="J74" s="518">
        <f t="shared" si="115"/>
        <v>7.7716100000000026</v>
      </c>
      <c r="K74" s="89">
        <f t="shared" si="115"/>
        <v>26.793619999999997</v>
      </c>
      <c r="L74" s="518">
        <f t="shared" si="115"/>
        <v>8.4047699999999992</v>
      </c>
      <c r="M74" s="518">
        <f t="shared" si="115"/>
        <v>10.654439999999999</v>
      </c>
      <c r="N74" s="518">
        <f t="shared" si="115"/>
        <v>11.270049999999999</v>
      </c>
      <c r="O74" s="518">
        <f t="shared" si="115"/>
        <v>12.087570000000001</v>
      </c>
      <c r="P74" s="89">
        <f t="shared" si="115"/>
        <v>42.472799999999999</v>
      </c>
      <c r="Q74" s="518">
        <f t="shared" si="115"/>
        <v>13.035879999999999</v>
      </c>
      <c r="R74" s="518">
        <f t="shared" si="115"/>
        <v>14.730430000000002</v>
      </c>
      <c r="S74" s="518">
        <f t="shared" si="115"/>
        <v>15.79149</v>
      </c>
      <c r="T74" s="518">
        <f t="shared" si="115"/>
        <v>16.910409999999995</v>
      </c>
      <c r="U74" s="89">
        <f t="shared" si="115"/>
        <v>60.468209999999999</v>
      </c>
      <c r="V74" s="518">
        <f t="shared" si="115"/>
        <v>17.447430000000001</v>
      </c>
      <c r="W74" s="518">
        <f t="shared" si="115"/>
        <v>19.077079999999999</v>
      </c>
      <c r="X74" s="518">
        <f t="shared" si="115"/>
        <v>18.623200000000001</v>
      </c>
      <c r="Y74" s="518">
        <f t="shared" si="115"/>
        <v>21.427999999999997</v>
      </c>
      <c r="Z74" s="89">
        <f t="shared" si="115"/>
        <v>76.654917499999996</v>
      </c>
      <c r="AA74" s="518">
        <f t="shared" si="115"/>
        <v>21.799140000000001</v>
      </c>
      <c r="AB74" s="518">
        <f t="shared" si="115"/>
        <v>23.09395</v>
      </c>
      <c r="AC74" s="518">
        <f t="shared" si="115"/>
        <v>24.56157</v>
      </c>
      <c r="AD74" s="518">
        <f t="shared" si="115"/>
        <v>24.138509999999993</v>
      </c>
      <c r="AE74" s="89">
        <f t="shared" si="115"/>
        <v>93.593170000000001</v>
      </c>
      <c r="AF74" s="518">
        <f t="shared" si="115"/>
        <v>24.538140000000002</v>
      </c>
      <c r="AG74" s="518">
        <f t="shared" si="115"/>
        <v>23.486300000000004</v>
      </c>
      <c r="AH74" s="518">
        <f t="shared" si="115"/>
        <v>24.1096</v>
      </c>
      <c r="AI74" s="518">
        <f t="shared" si="115"/>
        <v>24.374000000000002</v>
      </c>
      <c r="AJ74" s="89">
        <f t="shared" si="115"/>
        <v>96.634232499999996</v>
      </c>
      <c r="AK74" s="518">
        <f t="shared" si="115"/>
        <v>23.594200000000001</v>
      </c>
      <c r="AL74" s="518">
        <f t="shared" si="115"/>
        <v>24.695500000000003</v>
      </c>
      <c r="AM74" s="518">
        <f t="shared" si="115"/>
        <v>23.622660000000003</v>
      </c>
      <c r="AN74" s="518">
        <f t="shared" si="115"/>
        <v>24.194070000000004</v>
      </c>
      <c r="AO74" s="89">
        <f t="shared" si="115"/>
        <v>96.348429999999993</v>
      </c>
      <c r="AP74" s="518">
        <f t="shared" si="115"/>
        <v>22.49109</v>
      </c>
      <c r="AQ74" s="518">
        <f t="shared" si="115"/>
        <v>15.2127</v>
      </c>
      <c r="AR74" s="518">
        <f t="shared" si="115"/>
        <v>17.664560000000002</v>
      </c>
      <c r="AS74" s="518">
        <f t="shared" si="115"/>
        <v>18.655599999999996</v>
      </c>
      <c r="AT74" s="89">
        <f t="shared" si="115"/>
        <v>74.19930500000001</v>
      </c>
      <c r="AU74" s="518"/>
      <c r="AV74" s="518"/>
      <c r="AW74" s="518"/>
      <c r="AX74" s="518"/>
      <c r="AY74" s="89"/>
      <c r="AZ74" s="518"/>
      <c r="BA74" s="518"/>
      <c r="BB74" s="518"/>
      <c r="BC74" s="518"/>
      <c r="BD74" s="89"/>
      <c r="BE74" s="518"/>
      <c r="BF74" s="518"/>
      <c r="BG74" s="518"/>
      <c r="BH74" s="518"/>
      <c r="BI74" s="89"/>
      <c r="BJ74" s="518"/>
      <c r="BK74" s="518"/>
      <c r="BL74" s="520"/>
      <c r="BM74" s="518"/>
      <c r="BN74" s="89"/>
      <c r="BO74" s="518"/>
      <c r="BP74" s="518"/>
      <c r="BQ74" s="518"/>
      <c r="BR74" s="518"/>
      <c r="BS74" s="89"/>
      <c r="BT74" s="89"/>
      <c r="BU74" s="89"/>
      <c r="BV74" s="89"/>
      <c r="BW74" s="519"/>
    </row>
    <row r="75" spans="1:75" s="439" customFormat="1" hidden="1" outlineLevel="1">
      <c r="A75" s="31" t="s">
        <v>166</v>
      </c>
      <c r="B75" s="24"/>
      <c r="C75" s="89"/>
      <c r="D75" s="89"/>
      <c r="E75" s="89"/>
      <c r="F75" s="89"/>
      <c r="G75" s="518">
        <f t="shared" ref="G75:AT75" si="116">G66*G22</f>
        <v>5.5359600000000002</v>
      </c>
      <c r="H75" s="518">
        <f t="shared" si="116"/>
        <v>6.05253</v>
      </c>
      <c r="I75" s="518">
        <f t="shared" si="116"/>
        <v>6.7299099999999994</v>
      </c>
      <c r="J75" s="518">
        <f t="shared" si="116"/>
        <v>7.0651000000000028</v>
      </c>
      <c r="K75" s="89">
        <f t="shared" si="116"/>
        <v>25.628679999999996</v>
      </c>
      <c r="L75" s="518">
        <f t="shared" si="116"/>
        <v>8.4047699999999992</v>
      </c>
      <c r="M75" s="518">
        <f t="shared" si="116"/>
        <v>9.7665699999999998</v>
      </c>
      <c r="N75" s="518">
        <f t="shared" si="116"/>
        <v>11.270049999999999</v>
      </c>
      <c r="O75" s="518">
        <f t="shared" si="116"/>
        <v>12.087570000000001</v>
      </c>
      <c r="P75" s="89">
        <f t="shared" si="116"/>
        <v>41.528959999999998</v>
      </c>
      <c r="Q75" s="518">
        <f t="shared" si="116"/>
        <v>13.035879999999999</v>
      </c>
      <c r="R75" s="518">
        <f t="shared" si="116"/>
        <v>14.730430000000002</v>
      </c>
      <c r="S75" s="518">
        <f t="shared" si="116"/>
        <v>14.3559</v>
      </c>
      <c r="T75" s="518">
        <f t="shared" si="116"/>
        <v>15.373099999999997</v>
      </c>
      <c r="U75" s="89">
        <f t="shared" si="116"/>
        <v>57.71965500000001</v>
      </c>
      <c r="V75" s="518">
        <f t="shared" si="116"/>
        <v>15.8613</v>
      </c>
      <c r="W75" s="518">
        <f t="shared" si="116"/>
        <v>15.608519999999999</v>
      </c>
      <c r="X75" s="518">
        <f t="shared" si="116"/>
        <v>18.623200000000001</v>
      </c>
      <c r="Y75" s="518">
        <f t="shared" si="116"/>
        <v>17.531999999999996</v>
      </c>
      <c r="Z75" s="89">
        <f t="shared" si="116"/>
        <v>67.741554999999991</v>
      </c>
      <c r="AA75" s="518">
        <f t="shared" si="116"/>
        <v>17.835660000000001</v>
      </c>
      <c r="AB75" s="518">
        <f t="shared" si="116"/>
        <v>18.895049999999998</v>
      </c>
      <c r="AC75" s="518">
        <f t="shared" si="116"/>
        <v>20.095829999999999</v>
      </c>
      <c r="AD75" s="518">
        <f t="shared" si="116"/>
        <v>19.749689999999994</v>
      </c>
      <c r="AE75" s="89">
        <f t="shared" si="116"/>
        <v>76.576229999999995</v>
      </c>
      <c r="AF75" s="518">
        <f t="shared" si="116"/>
        <v>17.845920000000003</v>
      </c>
      <c r="AG75" s="518">
        <f t="shared" si="116"/>
        <v>18.789040000000004</v>
      </c>
      <c r="AH75" s="518">
        <f t="shared" si="116"/>
        <v>19.287680000000002</v>
      </c>
      <c r="AI75" s="518">
        <f t="shared" si="116"/>
        <v>21.936599999999999</v>
      </c>
      <c r="AJ75" s="89">
        <f t="shared" si="116"/>
        <v>77.778772499999988</v>
      </c>
      <c r="AK75" s="518">
        <f t="shared" si="116"/>
        <v>18.875359999999997</v>
      </c>
      <c r="AL75" s="518">
        <f t="shared" si="116"/>
        <v>19.756400000000003</v>
      </c>
      <c r="AM75" s="518">
        <f t="shared" si="116"/>
        <v>20.997920000000004</v>
      </c>
      <c r="AN75" s="518">
        <f t="shared" si="116"/>
        <v>21.505840000000003</v>
      </c>
      <c r="AO75" s="89">
        <f t="shared" si="116"/>
        <v>81.13552</v>
      </c>
      <c r="AP75" s="518">
        <f t="shared" si="116"/>
        <v>17.493070000000003</v>
      </c>
      <c r="AQ75" s="518">
        <f t="shared" si="116"/>
        <v>11.832100000000001</v>
      </c>
      <c r="AR75" s="518">
        <f t="shared" si="116"/>
        <v>17.664560000000002</v>
      </c>
      <c r="AS75" s="518">
        <f t="shared" si="116"/>
        <v>18.655599999999996</v>
      </c>
      <c r="AT75" s="89">
        <f t="shared" si="116"/>
        <v>65.469975000000019</v>
      </c>
      <c r="AU75" s="518"/>
      <c r="AV75" s="518"/>
      <c r="AW75" s="518"/>
      <c r="AX75" s="518"/>
      <c r="AY75" s="89"/>
      <c r="AZ75" s="518"/>
      <c r="BA75" s="518"/>
      <c r="BB75" s="518"/>
      <c r="BC75" s="518"/>
      <c r="BD75" s="89"/>
      <c r="BE75" s="518"/>
      <c r="BF75" s="518"/>
      <c r="BG75" s="518"/>
      <c r="BH75" s="518"/>
      <c r="BI75" s="89"/>
      <c r="BJ75" s="518"/>
      <c r="BK75" s="518"/>
      <c r="BL75" s="520"/>
      <c r="BM75" s="518"/>
      <c r="BN75" s="89"/>
      <c r="BO75" s="518"/>
      <c r="BP75" s="518"/>
      <c r="BQ75" s="518"/>
      <c r="BR75" s="518"/>
      <c r="BS75" s="89"/>
      <c r="BT75" s="89"/>
      <c r="BU75" s="89"/>
      <c r="BV75" s="89"/>
      <c r="BW75" s="519"/>
    </row>
    <row r="76" spans="1:75" s="439" customFormat="1" hidden="1" outlineLevel="1">
      <c r="A76" s="31" t="s">
        <v>167</v>
      </c>
      <c r="B76" s="24"/>
      <c r="C76" s="89"/>
      <c r="D76" s="89"/>
      <c r="E76" s="89"/>
      <c r="F76" s="89"/>
      <c r="G76" s="518">
        <f t="shared" ref="G76:AT76" si="117">G67*G22</f>
        <v>11.533250000000001</v>
      </c>
      <c r="H76" s="518">
        <f t="shared" si="117"/>
        <v>12.655289999999999</v>
      </c>
      <c r="I76" s="518">
        <f t="shared" si="117"/>
        <v>14.683439999999999</v>
      </c>
      <c r="J76" s="518">
        <f t="shared" si="117"/>
        <v>17.662750000000006</v>
      </c>
      <c r="K76" s="89">
        <f t="shared" si="117"/>
        <v>56.499589999999998</v>
      </c>
      <c r="L76" s="518">
        <f t="shared" si="117"/>
        <v>18.337679999999999</v>
      </c>
      <c r="M76" s="518">
        <f t="shared" si="117"/>
        <v>20.421009999999999</v>
      </c>
      <c r="N76" s="518">
        <f t="shared" si="117"/>
        <v>25.61375</v>
      </c>
      <c r="O76" s="518">
        <f t="shared" si="117"/>
        <v>26.372880000000002</v>
      </c>
      <c r="P76" s="89">
        <f t="shared" si="117"/>
        <v>90.608639999999994</v>
      </c>
      <c r="Q76" s="518">
        <f t="shared" si="117"/>
        <v>28.441919999999996</v>
      </c>
      <c r="R76" s="518">
        <f t="shared" si="117"/>
        <v>30.799990000000005</v>
      </c>
      <c r="S76" s="518">
        <f t="shared" si="117"/>
        <v>34.454160000000002</v>
      </c>
      <c r="T76" s="518">
        <f t="shared" si="117"/>
        <v>38.432749999999992</v>
      </c>
      <c r="U76" s="89">
        <f t="shared" si="117"/>
        <v>131.93064000000001</v>
      </c>
      <c r="V76" s="518">
        <f t="shared" si="117"/>
        <v>38.067119999999996</v>
      </c>
      <c r="W76" s="518">
        <f t="shared" si="117"/>
        <v>41.622720000000001</v>
      </c>
      <c r="X76" s="518">
        <f t="shared" si="117"/>
        <v>42.833359999999999</v>
      </c>
      <c r="Y76" s="518">
        <f t="shared" si="117"/>
        <v>46.751999999999995</v>
      </c>
      <c r="Z76" s="89">
        <f t="shared" si="117"/>
        <v>169.35388749999998</v>
      </c>
      <c r="AA76" s="518">
        <f t="shared" si="117"/>
        <v>47.56176</v>
      </c>
      <c r="AB76" s="518">
        <f t="shared" si="117"/>
        <v>46.187899999999999</v>
      </c>
      <c r="AC76" s="518">
        <f t="shared" si="117"/>
        <v>49.123139999999999</v>
      </c>
      <c r="AD76" s="518">
        <f t="shared" si="117"/>
        <v>48.277019999999986</v>
      </c>
      <c r="AE76" s="89">
        <f t="shared" si="117"/>
        <v>191.44057499999997</v>
      </c>
      <c r="AF76" s="518">
        <f t="shared" si="117"/>
        <v>51.307020000000009</v>
      </c>
      <c r="AG76" s="518">
        <f t="shared" si="117"/>
        <v>51.669860000000007</v>
      </c>
      <c r="AH76" s="518">
        <f t="shared" si="117"/>
        <v>50.630159999999997</v>
      </c>
      <c r="AI76" s="518">
        <f t="shared" si="117"/>
        <v>53.622800000000005</v>
      </c>
      <c r="AJ76" s="89">
        <f t="shared" si="117"/>
        <v>207.41005999999999</v>
      </c>
      <c r="AK76" s="518">
        <f t="shared" si="117"/>
        <v>54.266659999999995</v>
      </c>
      <c r="AL76" s="518">
        <f t="shared" si="117"/>
        <v>51.860550000000003</v>
      </c>
      <c r="AM76" s="518">
        <f t="shared" si="117"/>
        <v>55.119540000000008</v>
      </c>
      <c r="AN76" s="518">
        <f t="shared" si="117"/>
        <v>56.452830000000006</v>
      </c>
      <c r="AO76" s="89">
        <f t="shared" si="117"/>
        <v>218.05170999999999</v>
      </c>
      <c r="AP76" s="518">
        <f t="shared" si="117"/>
        <v>54.97822</v>
      </c>
      <c r="AQ76" s="518">
        <f t="shared" si="117"/>
        <v>37.186599999999999</v>
      </c>
      <c r="AR76" s="518">
        <f t="shared" si="117"/>
        <v>44.161400000000008</v>
      </c>
      <c r="AS76" s="518">
        <f t="shared" si="117"/>
        <v>46.638999999999989</v>
      </c>
      <c r="AT76" s="89">
        <f t="shared" si="117"/>
        <v>183.31593000000004</v>
      </c>
      <c r="AU76" s="518"/>
      <c r="AV76" s="518"/>
      <c r="AW76" s="518"/>
      <c r="AX76" s="518"/>
      <c r="AY76" s="89"/>
      <c r="AZ76" s="518"/>
      <c r="BA76" s="518"/>
      <c r="BB76" s="518"/>
      <c r="BC76" s="518"/>
      <c r="BD76" s="89"/>
      <c r="BE76" s="518"/>
      <c r="BF76" s="518"/>
      <c r="BG76" s="518"/>
      <c r="BH76" s="518"/>
      <c r="BI76" s="89"/>
      <c r="BJ76" s="518"/>
      <c r="BK76" s="518"/>
      <c r="BL76" s="520"/>
      <c r="BM76" s="518"/>
      <c r="BN76" s="89"/>
      <c r="BO76" s="518"/>
      <c r="BP76" s="518"/>
      <c r="BQ76" s="518"/>
      <c r="BR76" s="518"/>
      <c r="BS76" s="89"/>
      <c r="BT76" s="89"/>
      <c r="BU76" s="89"/>
      <c r="BV76" s="89"/>
      <c r="BW76" s="519"/>
    </row>
    <row r="77" spans="1:75" s="439" customFormat="1" hidden="1" outlineLevel="1">
      <c r="A77" s="80" t="s">
        <v>168</v>
      </c>
      <c r="B77" s="81"/>
      <c r="C77" s="674"/>
      <c r="D77" s="674"/>
      <c r="E77" s="674"/>
      <c r="F77" s="674"/>
      <c r="G77" s="521">
        <f t="shared" ref="G77:AT77" si="118">G68*G22</f>
        <v>0</v>
      </c>
      <c r="H77" s="521">
        <f t="shared" si="118"/>
        <v>0</v>
      </c>
      <c r="I77" s="521">
        <f t="shared" si="118"/>
        <v>0</v>
      </c>
      <c r="J77" s="521">
        <f t="shared" si="118"/>
        <v>0</v>
      </c>
      <c r="K77" s="674">
        <f t="shared" si="118"/>
        <v>0</v>
      </c>
      <c r="L77" s="521">
        <f t="shared" si="118"/>
        <v>0</v>
      </c>
      <c r="M77" s="521">
        <f t="shared" si="118"/>
        <v>0</v>
      </c>
      <c r="N77" s="521">
        <f t="shared" si="118"/>
        <v>0</v>
      </c>
      <c r="O77" s="521">
        <f t="shared" si="118"/>
        <v>0</v>
      </c>
      <c r="P77" s="674">
        <f t="shared" si="118"/>
        <v>0</v>
      </c>
      <c r="Q77" s="521">
        <f t="shared" si="118"/>
        <v>0</v>
      </c>
      <c r="R77" s="521">
        <f t="shared" si="118"/>
        <v>0</v>
      </c>
      <c r="S77" s="521">
        <f t="shared" si="118"/>
        <v>0</v>
      </c>
      <c r="T77" s="521">
        <f t="shared" si="118"/>
        <v>0</v>
      </c>
      <c r="U77" s="674">
        <f t="shared" si="118"/>
        <v>0</v>
      </c>
      <c r="V77" s="521">
        <f t="shared" si="118"/>
        <v>0</v>
      </c>
      <c r="W77" s="521">
        <f t="shared" si="118"/>
        <v>0</v>
      </c>
      <c r="X77" s="521">
        <f t="shared" si="118"/>
        <v>0</v>
      </c>
      <c r="Y77" s="521">
        <f t="shared" si="118"/>
        <v>-1.9479999999999582</v>
      </c>
      <c r="Z77" s="674">
        <f t="shared" si="118"/>
        <v>-1.7826724999999619</v>
      </c>
      <c r="AA77" s="521">
        <f t="shared" si="118"/>
        <v>-1.9817400000000018</v>
      </c>
      <c r="AB77" s="521">
        <f t="shared" si="118"/>
        <v>0</v>
      </c>
      <c r="AC77" s="521">
        <f t="shared" si="118"/>
        <v>0</v>
      </c>
      <c r="AD77" s="521">
        <f t="shared" si="118"/>
        <v>2.1944100000000013</v>
      </c>
      <c r="AE77" s="674">
        <f t="shared" si="118"/>
        <v>0</v>
      </c>
      <c r="AF77" s="521">
        <f t="shared" si="118"/>
        <v>0</v>
      </c>
      <c r="AG77" s="521">
        <f t="shared" si="118"/>
        <v>2.3486300000000022</v>
      </c>
      <c r="AH77" s="521">
        <f t="shared" si="118"/>
        <v>2.410960000000002</v>
      </c>
      <c r="AI77" s="521">
        <f t="shared" si="118"/>
        <v>0</v>
      </c>
      <c r="AJ77" s="674">
        <f t="shared" si="118"/>
        <v>4.7138649999998989</v>
      </c>
      <c r="AK77" s="521">
        <f t="shared" si="118"/>
        <v>0</v>
      </c>
      <c r="AL77" s="521">
        <f t="shared" si="118"/>
        <v>2.4695500000000297</v>
      </c>
      <c r="AM77" s="521">
        <f t="shared" si="118"/>
        <v>0</v>
      </c>
      <c r="AN77" s="521">
        <f t="shared" si="118"/>
        <v>0</v>
      </c>
      <c r="AO77" s="674">
        <f t="shared" si="118"/>
        <v>2.535485000000171</v>
      </c>
      <c r="AP77" s="521">
        <f t="shared" si="118"/>
        <v>-2.4990100000000024</v>
      </c>
      <c r="AQ77" s="521">
        <f t="shared" si="118"/>
        <v>0</v>
      </c>
      <c r="AR77" s="521">
        <f t="shared" si="118"/>
        <v>0</v>
      </c>
      <c r="AS77" s="521">
        <f t="shared" si="118"/>
        <v>2.3319500000000013</v>
      </c>
      <c r="AT77" s="674">
        <f t="shared" si="118"/>
        <v>0</v>
      </c>
      <c r="AU77" s="521"/>
      <c r="AV77" s="521"/>
      <c r="AW77" s="521"/>
      <c r="AX77" s="521"/>
      <c r="AY77" s="674"/>
      <c r="AZ77" s="521"/>
      <c r="BA77" s="521"/>
      <c r="BB77" s="521"/>
      <c r="BC77" s="521"/>
      <c r="BD77" s="674"/>
      <c r="BE77" s="521"/>
      <c r="BF77" s="521"/>
      <c r="BG77" s="521"/>
      <c r="BH77" s="521"/>
      <c r="BI77" s="674"/>
      <c r="BJ77" s="521"/>
      <c r="BK77" s="521"/>
      <c r="BL77" s="522"/>
      <c r="BM77" s="521"/>
      <c r="BN77" s="674"/>
      <c r="BO77" s="521"/>
      <c r="BP77" s="521"/>
      <c r="BQ77" s="521"/>
      <c r="BR77" s="521"/>
      <c r="BS77" s="674"/>
      <c r="BT77" s="674"/>
      <c r="BU77" s="674"/>
      <c r="BV77" s="674"/>
      <c r="BW77" s="519"/>
    </row>
    <row r="78" spans="1:75" s="444" customFormat="1" hidden="1" outlineLevel="1">
      <c r="A78" s="28" t="s">
        <v>124</v>
      </c>
      <c r="B78" s="79"/>
      <c r="C78" s="700"/>
      <c r="D78" s="700"/>
      <c r="E78" s="700"/>
      <c r="F78" s="700"/>
      <c r="G78" s="523">
        <f t="shared" ref="G78:AQ78" si="119">SUM(G71:G77)</f>
        <v>46.133000000000003</v>
      </c>
      <c r="H78" s="523">
        <f t="shared" si="119"/>
        <v>55.022999999999996</v>
      </c>
      <c r="I78" s="523">
        <f t="shared" si="119"/>
        <v>61.180999999999997</v>
      </c>
      <c r="J78" s="523">
        <f t="shared" si="119"/>
        <v>70.651000000000025</v>
      </c>
      <c r="K78" s="700">
        <f t="shared" si="119"/>
        <v>232.988</v>
      </c>
      <c r="L78" s="523">
        <f t="shared" si="119"/>
        <v>76.406999999999996</v>
      </c>
      <c r="M78" s="523">
        <f t="shared" si="119"/>
        <v>88.786999999999992</v>
      </c>
      <c r="N78" s="523">
        <f t="shared" si="119"/>
        <v>102.455</v>
      </c>
      <c r="O78" s="523">
        <f t="shared" si="119"/>
        <v>109.88700000000003</v>
      </c>
      <c r="P78" s="700">
        <f t="shared" si="119"/>
        <v>377.536</v>
      </c>
      <c r="Q78" s="523">
        <f t="shared" si="119"/>
        <v>118.50799999999997</v>
      </c>
      <c r="R78" s="523">
        <f t="shared" si="119"/>
        <v>133.91300000000001</v>
      </c>
      <c r="S78" s="523">
        <f t="shared" si="119"/>
        <v>143.559</v>
      </c>
      <c r="T78" s="523">
        <f t="shared" si="119"/>
        <v>153.73099999999997</v>
      </c>
      <c r="U78" s="700">
        <f t="shared" si="119"/>
        <v>549.71100000000001</v>
      </c>
      <c r="V78" s="523">
        <f t="shared" si="119"/>
        <v>158.61299999999997</v>
      </c>
      <c r="W78" s="523">
        <f t="shared" si="119"/>
        <v>173.428</v>
      </c>
      <c r="X78" s="523">
        <f t="shared" si="119"/>
        <v>186.232</v>
      </c>
      <c r="Y78" s="523">
        <f t="shared" si="119"/>
        <v>194.80000000000004</v>
      </c>
      <c r="Z78" s="700">
        <f t="shared" si="119"/>
        <v>713.06899999999996</v>
      </c>
      <c r="AA78" s="523">
        <f t="shared" si="119"/>
        <v>198.17399999999998</v>
      </c>
      <c r="AB78" s="523">
        <f t="shared" si="119"/>
        <v>209.94499999999999</v>
      </c>
      <c r="AC78" s="523">
        <f t="shared" si="119"/>
        <v>223.28700000000001</v>
      </c>
      <c r="AD78" s="523">
        <f t="shared" si="119"/>
        <v>219.44099999999995</v>
      </c>
      <c r="AE78" s="700">
        <f t="shared" si="119"/>
        <v>850.84699999999998</v>
      </c>
      <c r="AF78" s="523">
        <f t="shared" si="119"/>
        <v>223.07400000000001</v>
      </c>
      <c r="AG78" s="523">
        <f t="shared" si="119"/>
        <v>234.86300000000003</v>
      </c>
      <c r="AH78" s="523">
        <f t="shared" si="119"/>
        <v>241.096</v>
      </c>
      <c r="AI78" s="523">
        <f t="shared" si="119"/>
        <v>243.74</v>
      </c>
      <c r="AJ78" s="700">
        <f t="shared" si="119"/>
        <v>942.77299999999991</v>
      </c>
      <c r="AK78" s="523">
        <f t="shared" si="119"/>
        <v>235.94200000000001</v>
      </c>
      <c r="AL78" s="523">
        <f t="shared" si="119"/>
        <v>246.95500000000004</v>
      </c>
      <c r="AM78" s="523">
        <f t="shared" si="119"/>
        <v>262.47400000000005</v>
      </c>
      <c r="AN78" s="523">
        <f t="shared" si="119"/>
        <v>268.82300000000004</v>
      </c>
      <c r="AO78" s="700">
        <f t="shared" si="119"/>
        <v>1014.1940000000002</v>
      </c>
      <c r="AP78" s="523">
        <f t="shared" si="119"/>
        <v>249.90099999999998</v>
      </c>
      <c r="AQ78" s="523">
        <f t="shared" si="119"/>
        <v>169.03</v>
      </c>
      <c r="AR78" s="523">
        <f>SUM(AR71:AR77)</f>
        <v>220.80700000000002</v>
      </c>
      <c r="AS78" s="523">
        <f>SUM(AS71:AS77)</f>
        <v>233.19499999999994</v>
      </c>
      <c r="AT78" s="700">
        <f>SUM(AT71:AT77)</f>
        <v>872.93299999999999</v>
      </c>
      <c r="AU78" s="523"/>
      <c r="AV78" s="523"/>
      <c r="AW78" s="523"/>
      <c r="AX78" s="523"/>
      <c r="AY78" s="700"/>
      <c r="AZ78" s="523"/>
      <c r="BA78" s="523"/>
      <c r="BB78" s="523"/>
      <c r="BC78" s="523"/>
      <c r="BD78" s="700"/>
      <c r="BE78" s="523"/>
      <c r="BF78" s="523"/>
      <c r="BG78" s="523"/>
      <c r="BH78" s="523"/>
      <c r="BI78" s="700"/>
      <c r="BJ78" s="523"/>
      <c r="BK78" s="523"/>
      <c r="BL78" s="563"/>
      <c r="BM78" s="523"/>
      <c r="BN78" s="700"/>
      <c r="BO78" s="523"/>
      <c r="BP78" s="523"/>
      <c r="BQ78" s="523"/>
      <c r="BR78" s="523"/>
      <c r="BS78" s="700"/>
      <c r="BT78" s="700"/>
      <c r="BU78" s="700"/>
      <c r="BV78" s="700"/>
      <c r="BW78" s="318"/>
    </row>
    <row r="79" spans="1:75" s="445" customFormat="1" collapsed="1">
      <c r="A79" s="66"/>
      <c r="B79" s="19"/>
      <c r="C79" s="677"/>
      <c r="D79" s="677"/>
      <c r="E79" s="677"/>
      <c r="F79" s="677"/>
      <c r="G79" s="174"/>
      <c r="H79" s="174"/>
      <c r="I79" s="174"/>
      <c r="J79" s="174"/>
      <c r="K79" s="677"/>
      <c r="L79" s="174"/>
      <c r="M79" s="174"/>
      <c r="N79" s="174"/>
      <c r="O79" s="174"/>
      <c r="P79" s="677"/>
      <c r="Q79" s="174"/>
      <c r="R79" s="174"/>
      <c r="S79" s="174"/>
      <c r="T79" s="174"/>
      <c r="U79" s="677"/>
      <c r="V79" s="174"/>
      <c r="W79" s="174"/>
      <c r="X79" s="174"/>
      <c r="Y79" s="174"/>
      <c r="Z79" s="677"/>
      <c r="AA79" s="174"/>
      <c r="AB79" s="174"/>
      <c r="AC79" s="174"/>
      <c r="AD79" s="174"/>
      <c r="AE79" s="677"/>
      <c r="AF79" s="174"/>
      <c r="AG79" s="174"/>
      <c r="AH79" s="174"/>
      <c r="AI79" s="174"/>
      <c r="AJ79" s="677"/>
      <c r="AK79" s="174"/>
      <c r="AL79" s="174"/>
      <c r="AM79" s="174"/>
      <c r="AN79" s="174"/>
      <c r="AO79" s="677"/>
      <c r="AP79" s="174"/>
      <c r="AQ79" s="174"/>
      <c r="AR79" s="174"/>
      <c r="AS79" s="174"/>
      <c r="AT79" s="677"/>
      <c r="AU79" s="174"/>
      <c r="AV79" s="174"/>
      <c r="AW79" s="174"/>
      <c r="AX79" s="174"/>
      <c r="AY79" s="677"/>
      <c r="AZ79" s="174"/>
      <c r="BA79" s="174"/>
      <c r="BB79" s="174"/>
      <c r="BC79" s="174"/>
      <c r="BD79" s="677"/>
      <c r="BE79" s="174"/>
      <c r="BF79" s="174"/>
      <c r="BG79" s="174"/>
      <c r="BH79" s="174"/>
      <c r="BI79" s="677"/>
      <c r="BJ79" s="174"/>
      <c r="BK79" s="174"/>
      <c r="BL79" s="391"/>
      <c r="BM79" s="174"/>
      <c r="BN79" s="677"/>
      <c r="BO79" s="174"/>
      <c r="BP79" s="174"/>
      <c r="BQ79" s="174"/>
      <c r="BR79" s="174"/>
      <c r="BS79" s="677"/>
      <c r="BT79" s="677"/>
      <c r="BU79" s="677"/>
      <c r="BV79" s="677"/>
      <c r="BW79" s="136"/>
    </row>
    <row r="80" spans="1:75" s="444" customFormat="1">
      <c r="A80" s="517" t="s">
        <v>169</v>
      </c>
      <c r="B80" s="517"/>
      <c r="C80" s="517"/>
      <c r="D80" s="517"/>
      <c r="E80" s="517"/>
      <c r="F80" s="517"/>
      <c r="G80" s="517"/>
      <c r="H80" s="517"/>
      <c r="I80" s="517"/>
      <c r="J80" s="517"/>
      <c r="K80" s="517"/>
      <c r="L80" s="517"/>
      <c r="M80" s="517"/>
      <c r="N80" s="517"/>
      <c r="O80" s="517"/>
      <c r="P80" s="517"/>
      <c r="Q80" s="517"/>
      <c r="R80" s="517"/>
      <c r="S80" s="517"/>
      <c r="T80" s="517"/>
      <c r="U80" s="517"/>
      <c r="V80" s="517"/>
      <c r="W80" s="517"/>
      <c r="X80" s="517"/>
      <c r="Y80" s="517"/>
      <c r="Z80" s="517"/>
      <c r="AA80" s="517"/>
      <c r="AB80" s="517"/>
      <c r="AC80" s="517"/>
      <c r="AD80" s="517"/>
      <c r="AE80" s="517"/>
      <c r="AF80" s="517"/>
      <c r="AG80" s="517"/>
      <c r="AH80" s="517"/>
      <c r="AI80" s="517"/>
      <c r="AJ80" s="517"/>
      <c r="AK80" s="517"/>
      <c r="AL80" s="517"/>
      <c r="AM80" s="517"/>
      <c r="AN80" s="517"/>
      <c r="AO80" s="517"/>
      <c r="AP80" s="517"/>
      <c r="AQ80" s="517"/>
      <c r="AR80" s="517"/>
      <c r="AS80" s="517"/>
      <c r="AT80" s="517"/>
      <c r="AU80" s="517"/>
      <c r="AV80" s="517"/>
      <c r="AW80" s="517"/>
      <c r="AX80" s="517"/>
      <c r="AY80" s="517"/>
      <c r="AZ80" s="517"/>
      <c r="BA80" s="517"/>
      <c r="BB80" s="517"/>
      <c r="BC80" s="517"/>
      <c r="BD80" s="517"/>
      <c r="BE80" s="517"/>
      <c r="BF80" s="517"/>
      <c r="BG80" s="517"/>
      <c r="BH80" s="517"/>
      <c r="BI80" s="517"/>
      <c r="BJ80" s="517"/>
      <c r="BK80" s="517"/>
      <c r="BL80" s="562"/>
      <c r="BM80" s="517"/>
      <c r="BN80" s="517"/>
      <c r="BO80" s="517"/>
      <c r="BP80" s="517"/>
      <c r="BQ80" s="517"/>
      <c r="BR80" s="517"/>
      <c r="BS80" s="517"/>
      <c r="BT80" s="517"/>
      <c r="BU80" s="517"/>
      <c r="BV80" s="517"/>
      <c r="BW80" s="318"/>
    </row>
    <row r="81" spans="1:75" s="439" customFormat="1" hidden="1" outlineLevel="1">
      <c r="A81" s="31" t="s">
        <v>170</v>
      </c>
      <c r="B81" s="24"/>
      <c r="C81" s="89"/>
      <c r="D81" s="89"/>
      <c r="E81" s="89"/>
      <c r="F81" s="89"/>
      <c r="G81" s="518"/>
      <c r="H81" s="518"/>
      <c r="I81" s="518"/>
      <c r="J81" s="518"/>
      <c r="K81" s="89"/>
      <c r="L81" s="518"/>
      <c r="M81" s="518"/>
      <c r="N81" s="518"/>
      <c r="O81" s="518"/>
      <c r="P81" s="675">
        <v>366.57900000000001</v>
      </c>
      <c r="Q81" s="518"/>
      <c r="R81" s="518"/>
      <c r="S81" s="518"/>
      <c r="T81" s="518"/>
      <c r="U81" s="675">
        <v>537.56700000000001</v>
      </c>
      <c r="V81" s="609">
        <v>155.38900000000001</v>
      </c>
      <c r="W81" s="609">
        <v>169.72399999999999</v>
      </c>
      <c r="X81" s="609">
        <v>182.29</v>
      </c>
      <c r="Y81" s="518">
        <f>Z81-SUM(V81,W81,X81)</f>
        <v>190.84100000000001</v>
      </c>
      <c r="Z81" s="675">
        <v>698.24400000000003</v>
      </c>
      <c r="AA81" s="609">
        <v>194.761</v>
      </c>
      <c r="AB81" s="609">
        <v>206.52199999999999</v>
      </c>
      <c r="AC81" s="609">
        <v>219.642</v>
      </c>
      <c r="AD81" s="518">
        <f>AE81-SUM(AA81,AB81,AC81)</f>
        <v>215.84100000000001</v>
      </c>
      <c r="AE81" s="675">
        <v>836.76599999999996</v>
      </c>
      <c r="AF81" s="609">
        <v>219.92400000000001</v>
      </c>
      <c r="AG81" s="609">
        <v>231.57499999999999</v>
      </c>
      <c r="AH81" s="609">
        <v>237.59700000000001</v>
      </c>
      <c r="AI81" s="518">
        <f>AJ81-AH81-AG81-AF81</f>
        <v>240.47299999999998</v>
      </c>
      <c r="AJ81" s="675">
        <v>929.56899999999996</v>
      </c>
      <c r="AK81" s="609">
        <v>232.71199999999999</v>
      </c>
      <c r="AL81" s="609">
        <v>243.63800000000001</v>
      </c>
      <c r="AM81" s="609">
        <v>258.82</v>
      </c>
      <c r="AN81" s="518">
        <f>AO81-AM81-AL81-AK81</f>
        <v>265.07499999999993</v>
      </c>
      <c r="AO81" s="675">
        <v>1000.245</v>
      </c>
      <c r="AP81" s="609">
        <v>246.52699999999999</v>
      </c>
      <c r="AQ81" s="609">
        <v>167.27</v>
      </c>
      <c r="AR81" s="609">
        <v>218.56299999999999</v>
      </c>
      <c r="AS81" s="518">
        <f>AT81-AR81-AQ81-AP81</f>
        <v>230.94</v>
      </c>
      <c r="AT81" s="675">
        <v>863.3</v>
      </c>
      <c r="AU81" s="609">
        <v>229.995</v>
      </c>
      <c r="AV81" s="609">
        <v>254.95400000000001</v>
      </c>
      <c r="AW81" s="609">
        <v>266.91300000000001</v>
      </c>
      <c r="AX81" s="518">
        <f>AY81-SUM(AU81,AV81,AW81)</f>
        <v>271.28099999999995</v>
      </c>
      <c r="AY81" s="675">
        <v>1023.143</v>
      </c>
      <c r="AZ81" s="609">
        <v>274.64400000000001</v>
      </c>
      <c r="BA81" s="609">
        <v>296.87599999999998</v>
      </c>
      <c r="BB81" s="609">
        <v>306.77300000000002</v>
      </c>
      <c r="BC81" s="518">
        <f>BD81-SUM(AZ81,BA81,BB81)</f>
        <v>306.90899999999999</v>
      </c>
      <c r="BD81" s="675">
        <v>1185.202</v>
      </c>
      <c r="BE81" s="609">
        <v>310.22199999999998</v>
      </c>
      <c r="BF81" s="609">
        <v>334.71300000000002</v>
      </c>
      <c r="BG81" s="609">
        <v>342.6</v>
      </c>
      <c r="BH81" s="518">
        <f>BI81-SUM(BE81,BF81,BG81)</f>
        <v>339.72799999999995</v>
      </c>
      <c r="BI81" s="675">
        <v>1327.2629999999999</v>
      </c>
      <c r="BJ81" s="609">
        <v>330.13600000000002</v>
      </c>
      <c r="BK81" s="609">
        <v>354.36700000000002</v>
      </c>
      <c r="BL81" s="610">
        <v>357.65600000000001</v>
      </c>
      <c r="BM81" s="518"/>
      <c r="BN81" s="89"/>
      <c r="BO81" s="518"/>
      <c r="BP81" s="518"/>
      <c r="BQ81" s="518"/>
      <c r="BR81" s="518"/>
      <c r="BS81" s="89"/>
      <c r="BT81" s="89"/>
      <c r="BU81" s="89"/>
      <c r="BV81" s="89"/>
      <c r="BW81" s="519"/>
    </row>
    <row r="82" spans="1:75" s="439" customFormat="1" hidden="1" outlineLevel="1">
      <c r="A82" s="31" t="s">
        <v>171</v>
      </c>
      <c r="B82" s="24"/>
      <c r="C82" s="89"/>
      <c r="D82" s="89"/>
      <c r="E82" s="89"/>
      <c r="F82" s="89"/>
      <c r="G82" s="518"/>
      <c r="H82" s="518"/>
      <c r="I82" s="518"/>
      <c r="J82" s="518"/>
      <c r="K82" s="89"/>
      <c r="L82" s="518"/>
      <c r="M82" s="518"/>
      <c r="N82" s="518"/>
      <c r="O82" s="518"/>
      <c r="P82" s="675">
        <v>10.957000000000001</v>
      </c>
      <c r="Q82" s="518"/>
      <c r="R82" s="518"/>
      <c r="S82" s="518"/>
      <c r="T82" s="518"/>
      <c r="U82" s="675">
        <v>12.144</v>
      </c>
      <c r="V82" s="609">
        <v>3.2240000000000002</v>
      </c>
      <c r="W82" s="609">
        <v>3.7040000000000002</v>
      </c>
      <c r="X82" s="609">
        <v>3.9420000000000002</v>
      </c>
      <c r="Y82" s="518">
        <f>Z82-SUM(V82,W82,X82)</f>
        <v>3.9549999999999983</v>
      </c>
      <c r="Z82" s="675">
        <v>14.824999999999999</v>
      </c>
      <c r="AA82" s="609">
        <v>3.4129999999999998</v>
      </c>
      <c r="AB82" s="609">
        <v>3.423</v>
      </c>
      <c r="AC82" s="609">
        <v>3.645</v>
      </c>
      <c r="AD82" s="518">
        <f>AE82-SUM(AA82,AB82,AC82)</f>
        <v>3.5999999999999996</v>
      </c>
      <c r="AE82" s="675">
        <v>14.081</v>
      </c>
      <c r="AF82" s="609">
        <v>3.15</v>
      </c>
      <c r="AG82" s="609">
        <v>3.2879999999999998</v>
      </c>
      <c r="AH82" s="609">
        <v>3.4990000000000001</v>
      </c>
      <c r="AI82" s="518">
        <f>AJ82-AH82-AG82-AF82</f>
        <v>3.2669999999999999</v>
      </c>
      <c r="AJ82" s="675">
        <v>13.204000000000001</v>
      </c>
      <c r="AK82" s="611">
        <v>3.23</v>
      </c>
      <c r="AL82" s="609">
        <v>3.3170000000000002</v>
      </c>
      <c r="AM82" s="609">
        <v>3.6539999999999999</v>
      </c>
      <c r="AN82" s="518">
        <f>AO82-AM82-AL82-AK82</f>
        <v>3.7479999999999998</v>
      </c>
      <c r="AO82" s="675">
        <v>13.949</v>
      </c>
      <c r="AP82" s="611">
        <v>3.3740000000000001</v>
      </c>
      <c r="AQ82" s="609">
        <v>1.76</v>
      </c>
      <c r="AR82" s="609">
        <v>2.2440000000000002</v>
      </c>
      <c r="AS82" s="518">
        <f>AT82-AR82-AQ82-AP82</f>
        <v>2.2549999999999994</v>
      </c>
      <c r="AT82" s="675">
        <v>9.6329999999999991</v>
      </c>
      <c r="AU82" s="611">
        <v>2.101</v>
      </c>
      <c r="AV82" s="609">
        <v>2.234</v>
      </c>
      <c r="AW82" s="609">
        <v>2.242</v>
      </c>
      <c r="AX82" s="518">
        <f>AY82-SUM(AU82,AV82,AW82)</f>
        <v>2.1189999999999998</v>
      </c>
      <c r="AY82" s="675">
        <v>8.6959999999999997</v>
      </c>
      <c r="AZ82" s="611">
        <v>1.984</v>
      </c>
      <c r="BA82" s="609">
        <v>2.008</v>
      </c>
      <c r="BB82" s="609">
        <v>2.1179999999999999</v>
      </c>
      <c r="BC82" s="518">
        <f>BD82-SUM(AZ82,BA82,BB82)</f>
        <v>2.1940000000000008</v>
      </c>
      <c r="BD82" s="675">
        <v>8.3040000000000003</v>
      </c>
      <c r="BE82" s="611">
        <v>2.2160000000000002</v>
      </c>
      <c r="BF82" s="609">
        <v>2.4129999999999998</v>
      </c>
      <c r="BG82" s="609">
        <v>2.5219999999999998</v>
      </c>
      <c r="BH82" s="518">
        <f>BI82-SUM(BE82,BF82,BG82)</f>
        <v>2.6479999999999997</v>
      </c>
      <c r="BI82" s="675">
        <v>9.7989999999999995</v>
      </c>
      <c r="BJ82" s="611">
        <v>2.6160000000000001</v>
      </c>
      <c r="BK82" s="609">
        <v>2.649</v>
      </c>
      <c r="BL82" s="610">
        <v>2.6880000000000002</v>
      </c>
      <c r="BM82" s="518"/>
      <c r="BN82" s="89"/>
      <c r="BO82" s="518"/>
      <c r="BP82" s="518"/>
      <c r="BQ82" s="518"/>
      <c r="BR82" s="518"/>
      <c r="BS82" s="89"/>
      <c r="BT82" s="89"/>
      <c r="BU82" s="89"/>
      <c r="BV82" s="89"/>
      <c r="BW82" s="519"/>
    </row>
    <row r="83" spans="1:75" s="444" customFormat="1" hidden="1" outlineLevel="1">
      <c r="A83" s="18" t="s">
        <v>124</v>
      </c>
      <c r="B83" s="48"/>
      <c r="C83" s="676">
        <f t="shared" ref="C83:AW83" si="120">SUM(C81:C82)</f>
        <v>0</v>
      </c>
      <c r="D83" s="676">
        <f t="shared" si="120"/>
        <v>0</v>
      </c>
      <c r="E83" s="676">
        <f t="shared" si="120"/>
        <v>0</v>
      </c>
      <c r="F83" s="676">
        <f t="shared" si="120"/>
        <v>0</v>
      </c>
      <c r="G83" s="560">
        <f t="shared" si="120"/>
        <v>0</v>
      </c>
      <c r="H83" s="560">
        <f t="shared" si="120"/>
        <v>0</v>
      </c>
      <c r="I83" s="560">
        <f t="shared" si="120"/>
        <v>0</v>
      </c>
      <c r="J83" s="560">
        <f t="shared" si="120"/>
        <v>0</v>
      </c>
      <c r="K83" s="676">
        <f t="shared" si="120"/>
        <v>0</v>
      </c>
      <c r="L83" s="560">
        <f t="shared" si="120"/>
        <v>0</v>
      </c>
      <c r="M83" s="560">
        <f t="shared" si="120"/>
        <v>0</v>
      </c>
      <c r="N83" s="560">
        <f t="shared" si="120"/>
        <v>0</v>
      </c>
      <c r="O83" s="560">
        <f t="shared" si="120"/>
        <v>0</v>
      </c>
      <c r="P83" s="676">
        <f t="shared" si="120"/>
        <v>377.536</v>
      </c>
      <c r="Q83" s="560">
        <f t="shared" si="120"/>
        <v>0</v>
      </c>
      <c r="R83" s="560">
        <f t="shared" si="120"/>
        <v>0</v>
      </c>
      <c r="S83" s="560">
        <f t="shared" si="120"/>
        <v>0</v>
      </c>
      <c r="T83" s="560">
        <f t="shared" si="120"/>
        <v>0</v>
      </c>
      <c r="U83" s="676">
        <f t="shared" si="120"/>
        <v>549.71100000000001</v>
      </c>
      <c r="V83" s="560">
        <f t="shared" si="120"/>
        <v>158.613</v>
      </c>
      <c r="W83" s="560">
        <f t="shared" si="120"/>
        <v>173.428</v>
      </c>
      <c r="X83" s="560">
        <f t="shared" si="120"/>
        <v>186.232</v>
      </c>
      <c r="Y83" s="560">
        <f t="shared" si="120"/>
        <v>194.79599999999999</v>
      </c>
      <c r="Z83" s="676">
        <f t="shared" si="120"/>
        <v>713.06900000000007</v>
      </c>
      <c r="AA83" s="560">
        <f t="shared" si="120"/>
        <v>198.17400000000001</v>
      </c>
      <c r="AB83" s="560">
        <f t="shared" si="120"/>
        <v>209.94499999999999</v>
      </c>
      <c r="AC83" s="560">
        <f t="shared" si="120"/>
        <v>223.28700000000001</v>
      </c>
      <c r="AD83" s="560">
        <f t="shared" si="120"/>
        <v>219.441</v>
      </c>
      <c r="AE83" s="676">
        <f t="shared" si="120"/>
        <v>850.84699999999998</v>
      </c>
      <c r="AF83" s="560">
        <f t="shared" si="120"/>
        <v>223.07400000000001</v>
      </c>
      <c r="AG83" s="560">
        <f t="shared" si="120"/>
        <v>234.863</v>
      </c>
      <c r="AH83" s="560">
        <f t="shared" si="120"/>
        <v>241.096</v>
      </c>
      <c r="AI83" s="560">
        <f t="shared" si="120"/>
        <v>243.73999999999998</v>
      </c>
      <c r="AJ83" s="676">
        <f t="shared" si="120"/>
        <v>942.77299999999991</v>
      </c>
      <c r="AK83" s="560">
        <f t="shared" si="120"/>
        <v>235.94199999999998</v>
      </c>
      <c r="AL83" s="560">
        <f t="shared" si="120"/>
        <v>246.95500000000001</v>
      </c>
      <c r="AM83" s="560">
        <f t="shared" si="120"/>
        <v>262.47399999999999</v>
      </c>
      <c r="AN83" s="560">
        <f t="shared" si="120"/>
        <v>268.82299999999992</v>
      </c>
      <c r="AO83" s="676">
        <f t="shared" si="120"/>
        <v>1014.194</v>
      </c>
      <c r="AP83" s="560">
        <f t="shared" si="120"/>
        <v>249.90099999999998</v>
      </c>
      <c r="AQ83" s="560">
        <f t="shared" si="120"/>
        <v>169.03</v>
      </c>
      <c r="AR83" s="560">
        <f>SUM(AR81:AR82)</f>
        <v>220.80699999999999</v>
      </c>
      <c r="AS83" s="560">
        <f t="shared" si="120"/>
        <v>233.19499999999999</v>
      </c>
      <c r="AT83" s="676">
        <f t="shared" si="120"/>
        <v>872.93299999999999</v>
      </c>
      <c r="AU83" s="560">
        <f t="shared" si="120"/>
        <v>232.096</v>
      </c>
      <c r="AV83" s="560">
        <f t="shared" si="120"/>
        <v>257.18799999999999</v>
      </c>
      <c r="AW83" s="560">
        <f t="shared" si="120"/>
        <v>269.15500000000003</v>
      </c>
      <c r="AX83" s="560">
        <f t="shared" ref="AX83:BB83" si="121">SUM(AX81:AX82)</f>
        <v>273.39999999999998</v>
      </c>
      <c r="AY83" s="676">
        <f t="shared" si="121"/>
        <v>1031.8389999999999</v>
      </c>
      <c r="AZ83" s="560">
        <f t="shared" si="121"/>
        <v>276.62799999999999</v>
      </c>
      <c r="BA83" s="560">
        <f t="shared" si="121"/>
        <v>298.88399999999996</v>
      </c>
      <c r="BB83" s="560">
        <f t="shared" si="121"/>
        <v>308.89100000000002</v>
      </c>
      <c r="BC83" s="560">
        <f>SUM(BC81:BC82)</f>
        <v>309.10300000000001</v>
      </c>
      <c r="BD83" s="676">
        <f>SUM(BD81:BD82)</f>
        <v>1193.5060000000001</v>
      </c>
      <c r="BE83" s="560">
        <f t="shared" ref="BE83:BG83" si="122">SUM(BE81:BE82)</f>
        <v>312.43799999999999</v>
      </c>
      <c r="BF83" s="560">
        <f t="shared" si="122"/>
        <v>337.12600000000003</v>
      </c>
      <c r="BG83" s="560">
        <f t="shared" si="122"/>
        <v>345.12200000000001</v>
      </c>
      <c r="BH83" s="560">
        <f>SUM(BH81:BH82)</f>
        <v>342.37599999999998</v>
      </c>
      <c r="BI83" s="676">
        <f>SUM(BI81:BI82)</f>
        <v>1337.0619999999999</v>
      </c>
      <c r="BJ83" s="560">
        <f>SUM(BJ81:BJ82)</f>
        <v>332.75200000000001</v>
      </c>
      <c r="BK83" s="560">
        <f>SUM(BK81:BK82)</f>
        <v>357.01600000000002</v>
      </c>
      <c r="BL83" s="561">
        <f t="shared" ref="BL83" si="123">SUM(BL81:BL82)</f>
        <v>360.34399999999999</v>
      </c>
      <c r="BM83" s="560"/>
      <c r="BN83" s="676"/>
      <c r="BO83" s="560"/>
      <c r="BP83" s="560"/>
      <c r="BQ83" s="560"/>
      <c r="BR83" s="560"/>
      <c r="BS83" s="676"/>
      <c r="BT83" s="676"/>
      <c r="BU83" s="676"/>
      <c r="BV83" s="676"/>
      <c r="BW83" s="318"/>
    </row>
    <row r="84" spans="1:75" s="444" customFormat="1" collapsed="1">
      <c r="A84" s="28"/>
      <c r="B84" s="79"/>
      <c r="C84" s="700"/>
      <c r="D84" s="700"/>
      <c r="E84" s="700"/>
      <c r="F84" s="700"/>
      <c r="G84" s="523"/>
      <c r="H84" s="523"/>
      <c r="I84" s="523"/>
      <c r="J84" s="523"/>
      <c r="K84" s="700"/>
      <c r="L84" s="523"/>
      <c r="M84" s="523"/>
      <c r="N84" s="523"/>
      <c r="O84" s="523"/>
      <c r="P84" s="700"/>
      <c r="Q84" s="523"/>
      <c r="R84" s="523"/>
      <c r="S84" s="523"/>
      <c r="T84" s="523"/>
      <c r="U84" s="700"/>
      <c r="V84" s="523"/>
      <c r="W84" s="523"/>
      <c r="X84" s="523"/>
      <c r="Y84" s="523"/>
      <c r="Z84" s="700"/>
      <c r="AA84" s="523"/>
      <c r="AB84" s="523"/>
      <c r="AC84" s="523"/>
      <c r="AD84" s="523"/>
      <c r="AE84" s="700"/>
      <c r="AF84" s="523"/>
      <c r="AG84" s="523"/>
      <c r="AH84" s="523"/>
      <c r="AI84" s="523"/>
      <c r="AJ84" s="700"/>
      <c r="AK84" s="523"/>
      <c r="AL84" s="523"/>
      <c r="AM84" s="523"/>
      <c r="AN84" s="523"/>
      <c r="AO84" s="700"/>
      <c r="AP84" s="523"/>
      <c r="AQ84" s="523"/>
      <c r="AR84" s="523"/>
      <c r="AS84" s="523"/>
      <c r="AT84" s="700"/>
      <c r="AU84" s="523"/>
      <c r="AV84" s="523"/>
      <c r="AW84" s="523"/>
      <c r="AX84" s="523"/>
      <c r="AY84" s="700"/>
      <c r="AZ84" s="523"/>
      <c r="BA84" s="523"/>
      <c r="BB84" s="523"/>
      <c r="BC84" s="523"/>
      <c r="BD84" s="700"/>
      <c r="BE84" s="523"/>
      <c r="BF84" s="523"/>
      <c r="BG84" s="523"/>
      <c r="BH84" s="523"/>
      <c r="BI84" s="700"/>
      <c r="BJ84" s="523"/>
      <c r="BK84" s="523"/>
      <c r="BL84" s="563"/>
      <c r="BM84" s="523"/>
      <c r="BN84" s="700"/>
      <c r="BO84" s="523"/>
      <c r="BP84" s="523"/>
      <c r="BQ84" s="523"/>
      <c r="BR84" s="523"/>
      <c r="BS84" s="700"/>
      <c r="BT84" s="700"/>
      <c r="BU84" s="700"/>
      <c r="BV84" s="700"/>
      <c r="BW84" s="318"/>
    </row>
    <row r="85" spans="1:75" s="444" customFormat="1">
      <c r="A85" s="149" t="s">
        <v>172</v>
      </c>
      <c r="B85" s="208"/>
      <c r="C85" s="517"/>
      <c r="D85" s="517"/>
      <c r="E85" s="517"/>
      <c r="F85" s="517"/>
      <c r="G85" s="517"/>
      <c r="H85" s="517"/>
      <c r="I85" s="517"/>
      <c r="J85" s="517"/>
      <c r="K85" s="517"/>
      <c r="L85" s="517"/>
      <c r="M85" s="517"/>
      <c r="N85" s="517"/>
      <c r="O85" s="517"/>
      <c r="P85" s="517"/>
      <c r="Q85" s="517"/>
      <c r="R85" s="517"/>
      <c r="S85" s="517"/>
      <c r="T85" s="517"/>
      <c r="U85" s="517"/>
      <c r="V85" s="517"/>
      <c r="W85" s="517"/>
      <c r="X85" s="517"/>
      <c r="Y85" s="517"/>
      <c r="Z85" s="517"/>
      <c r="AA85" s="517"/>
      <c r="AB85" s="517"/>
      <c r="AC85" s="517"/>
      <c r="AD85" s="517"/>
      <c r="AE85" s="517"/>
      <c r="AF85" s="517"/>
      <c r="AG85" s="517"/>
      <c r="AH85" s="517"/>
      <c r="AI85" s="517"/>
      <c r="AJ85" s="517"/>
      <c r="AK85" s="517"/>
      <c r="AL85" s="517"/>
      <c r="AM85" s="517"/>
      <c r="AN85" s="517"/>
      <c r="AO85" s="517"/>
      <c r="AP85" s="517"/>
      <c r="AQ85" s="517"/>
      <c r="AR85" s="517"/>
      <c r="AS85" s="517"/>
      <c r="AT85" s="517"/>
      <c r="AU85" s="517"/>
      <c r="AV85" s="517"/>
      <c r="AW85" s="517"/>
      <c r="AX85" s="517"/>
      <c r="AY85" s="517"/>
      <c r="AZ85" s="517"/>
      <c r="BA85" s="517"/>
      <c r="BB85" s="517"/>
      <c r="BC85" s="517"/>
      <c r="BD85" s="517"/>
      <c r="BE85" s="517"/>
      <c r="BF85" s="517"/>
      <c r="BG85" s="517"/>
      <c r="BH85" s="517"/>
      <c r="BI85" s="517"/>
      <c r="BJ85" s="517"/>
      <c r="BK85" s="517"/>
      <c r="BL85" s="562"/>
      <c r="BM85" s="517"/>
      <c r="BN85" s="517"/>
      <c r="BO85" s="517"/>
      <c r="BP85" s="517"/>
      <c r="BQ85" s="517"/>
      <c r="BR85" s="517"/>
      <c r="BS85" s="517"/>
      <c r="BT85" s="517"/>
      <c r="BU85" s="517"/>
      <c r="BV85" s="517"/>
      <c r="BW85" s="318"/>
    </row>
    <row r="86" spans="1:75" s="446" customFormat="1" hidden="1" outlineLevel="1">
      <c r="A86" s="130" t="s">
        <v>173</v>
      </c>
      <c r="B86" s="219"/>
      <c r="C86" s="678"/>
      <c r="D86" s="678"/>
      <c r="E86" s="678"/>
      <c r="F86" s="678"/>
      <c r="G86" s="43"/>
      <c r="H86" s="43"/>
      <c r="I86" s="43"/>
      <c r="J86" s="43"/>
      <c r="K86" s="678"/>
      <c r="L86" s="43"/>
      <c r="M86" s="43"/>
      <c r="N86" s="43"/>
      <c r="O86" s="613">
        <v>1547</v>
      </c>
      <c r="P86" s="678">
        <f>+O86</f>
        <v>1547</v>
      </c>
      <c r="Q86" s="43"/>
      <c r="R86" s="43"/>
      <c r="S86" s="43"/>
      <c r="T86" s="613">
        <v>2220</v>
      </c>
      <c r="U86" s="678">
        <f>+T86</f>
        <v>2220</v>
      </c>
      <c r="V86" s="613">
        <v>2300</v>
      </c>
      <c r="W86" s="613">
        <v>2400</v>
      </c>
      <c r="X86" s="613">
        <v>2550</v>
      </c>
      <c r="Y86" s="613">
        <v>2500</v>
      </c>
      <c r="Z86" s="678">
        <f>+Y86</f>
        <v>2500</v>
      </c>
      <c r="AA86" s="613">
        <v>2550</v>
      </c>
      <c r="AB86" s="613">
        <v>2750</v>
      </c>
      <c r="AC86" s="613">
        <v>3050</v>
      </c>
      <c r="AD86" s="613">
        <v>3300</v>
      </c>
      <c r="AE86" s="678">
        <f>+AD86</f>
        <v>3300</v>
      </c>
      <c r="AF86" s="613">
        <v>3300</v>
      </c>
      <c r="AG86" s="613">
        <v>3350</v>
      </c>
      <c r="AH86" s="613">
        <v>3700</v>
      </c>
      <c r="AI86" s="613">
        <v>3850</v>
      </c>
      <c r="AJ86" s="678">
        <f>+AI86</f>
        <v>3850</v>
      </c>
      <c r="AK86" s="613">
        <v>3450</v>
      </c>
      <c r="AL86" s="613">
        <v>3300</v>
      </c>
      <c r="AM86" s="613">
        <v>3650</v>
      </c>
      <c r="AN86" s="613">
        <v>3600</v>
      </c>
      <c r="AO86" s="678">
        <f>+AN86</f>
        <v>3600</v>
      </c>
      <c r="AP86" s="613">
        <v>3450</v>
      </c>
      <c r="AQ86" s="613">
        <v>1850</v>
      </c>
      <c r="AR86" s="613">
        <v>2200</v>
      </c>
      <c r="AS86" s="613">
        <v>2000</v>
      </c>
      <c r="AT86" s="678">
        <f>+AS86</f>
        <v>2000</v>
      </c>
      <c r="AU86" s="43"/>
      <c r="AV86" s="43"/>
      <c r="AW86" s="43"/>
      <c r="AX86" s="43"/>
      <c r="AY86" s="678"/>
      <c r="AZ86" s="43"/>
      <c r="BA86" s="43"/>
      <c r="BB86" s="43"/>
      <c r="BC86" s="43"/>
      <c r="BD86" s="678"/>
      <c r="BE86" s="43"/>
      <c r="BF86" s="43"/>
      <c r="BG86" s="43"/>
      <c r="BH86" s="43"/>
      <c r="BI86" s="678"/>
      <c r="BJ86" s="43"/>
      <c r="BK86" s="43"/>
      <c r="BL86" s="207"/>
      <c r="BM86" s="43"/>
      <c r="BN86" s="678"/>
      <c r="BO86" s="43"/>
      <c r="BP86" s="43"/>
      <c r="BQ86" s="43"/>
      <c r="BR86" s="43"/>
      <c r="BS86" s="678"/>
      <c r="BT86" s="678"/>
      <c r="BU86" s="678"/>
      <c r="BV86" s="678"/>
      <c r="BW86" s="124"/>
    </row>
    <row r="87" spans="1:75" s="446" customFormat="1" hidden="1" outlineLevel="1">
      <c r="A87" s="130" t="s">
        <v>174</v>
      </c>
      <c r="B87" s="219"/>
      <c r="C87" s="678"/>
      <c r="D87" s="678"/>
      <c r="E87" s="678"/>
      <c r="F87" s="678"/>
      <c r="G87" s="43"/>
      <c r="H87" s="43"/>
      <c r="I87" s="43"/>
      <c r="J87" s="43"/>
      <c r="K87" s="678"/>
      <c r="L87" s="43"/>
      <c r="M87" s="43"/>
      <c r="N87" s="43"/>
      <c r="O87" s="43">
        <f>+O88-O86</f>
        <v>1164</v>
      </c>
      <c r="P87" s="678">
        <f>+P88-P86</f>
        <v>1164</v>
      </c>
      <c r="Q87" s="43"/>
      <c r="R87" s="43"/>
      <c r="S87" s="43"/>
      <c r="T87" s="43">
        <f t="shared" ref="T87:AQ87" si="124">+T88-T86</f>
        <v>1606</v>
      </c>
      <c r="U87" s="678">
        <f t="shared" si="124"/>
        <v>1606</v>
      </c>
      <c r="V87" s="43">
        <f t="shared" si="124"/>
        <v>1750</v>
      </c>
      <c r="W87" s="43">
        <f t="shared" si="124"/>
        <v>1750</v>
      </c>
      <c r="X87" s="43">
        <f t="shared" si="124"/>
        <v>1800</v>
      </c>
      <c r="Y87" s="43">
        <f t="shared" si="124"/>
        <v>1750</v>
      </c>
      <c r="Z87" s="678">
        <f t="shared" si="124"/>
        <v>1750</v>
      </c>
      <c r="AA87" s="43">
        <f t="shared" si="124"/>
        <v>1800</v>
      </c>
      <c r="AB87" s="43">
        <f t="shared" si="124"/>
        <v>1850</v>
      </c>
      <c r="AC87" s="43">
        <f t="shared" si="124"/>
        <v>2000</v>
      </c>
      <c r="AD87" s="43">
        <f t="shared" si="124"/>
        <v>1900</v>
      </c>
      <c r="AE87" s="678">
        <f t="shared" si="124"/>
        <v>1900</v>
      </c>
      <c r="AF87" s="43">
        <f t="shared" si="124"/>
        <v>1950</v>
      </c>
      <c r="AG87" s="43">
        <f t="shared" si="124"/>
        <v>1950</v>
      </c>
      <c r="AH87" s="43">
        <f t="shared" si="124"/>
        <v>2000</v>
      </c>
      <c r="AI87" s="43">
        <f t="shared" si="124"/>
        <v>2150</v>
      </c>
      <c r="AJ87" s="678">
        <f t="shared" si="124"/>
        <v>2150</v>
      </c>
      <c r="AK87" s="43">
        <f t="shared" si="124"/>
        <v>2100</v>
      </c>
      <c r="AL87" s="43">
        <f t="shared" si="124"/>
        <v>2100</v>
      </c>
      <c r="AM87" s="43">
        <f t="shared" si="124"/>
        <v>2250</v>
      </c>
      <c r="AN87" s="43">
        <f t="shared" si="124"/>
        <v>2350</v>
      </c>
      <c r="AO87" s="678">
        <f t="shared" si="124"/>
        <v>2350</v>
      </c>
      <c r="AP87" s="43">
        <f t="shared" si="124"/>
        <v>2400</v>
      </c>
      <c r="AQ87" s="43">
        <f t="shared" si="124"/>
        <v>1750</v>
      </c>
      <c r="AR87" s="43">
        <f>+AR88-AR86</f>
        <v>1900</v>
      </c>
      <c r="AS87" s="43">
        <f>+AS88-AS86</f>
        <v>1900</v>
      </c>
      <c r="AT87" s="678">
        <f>+AT88-AT86</f>
        <v>1900</v>
      </c>
      <c r="AU87" s="43"/>
      <c r="AV87" s="43"/>
      <c r="AW87" s="43"/>
      <c r="AX87" s="43"/>
      <c r="AY87" s="678"/>
      <c r="AZ87" s="43"/>
      <c r="BA87" s="43"/>
      <c r="BB87" s="43"/>
      <c r="BC87" s="43"/>
      <c r="BD87" s="678"/>
      <c r="BE87" s="43"/>
      <c r="BF87" s="43"/>
      <c r="BG87" s="43"/>
      <c r="BH87" s="43"/>
      <c r="BI87" s="678"/>
      <c r="BJ87" s="43"/>
      <c r="BK87" s="43"/>
      <c r="BL87" s="207"/>
      <c r="BM87" s="43"/>
      <c r="BN87" s="678"/>
      <c r="BO87" s="43"/>
      <c r="BP87" s="43"/>
      <c r="BQ87" s="43"/>
      <c r="BR87" s="43"/>
      <c r="BS87" s="678"/>
      <c r="BT87" s="678"/>
      <c r="BU87" s="678"/>
      <c r="BV87" s="678"/>
      <c r="BW87" s="124"/>
    </row>
    <row r="88" spans="1:75" s="447" customFormat="1" hidden="1" outlineLevel="1">
      <c r="A88" s="220" t="s">
        <v>175</v>
      </c>
      <c r="B88" s="221"/>
      <c r="C88" s="705"/>
      <c r="D88" s="705"/>
      <c r="E88" s="706">
        <v>918</v>
      </c>
      <c r="F88" s="706">
        <v>1387</v>
      </c>
      <c r="G88" s="222"/>
      <c r="H88" s="222"/>
      <c r="I88" s="222"/>
      <c r="J88" s="627">
        <v>1984</v>
      </c>
      <c r="K88" s="705">
        <f>+J88</f>
        <v>1984</v>
      </c>
      <c r="L88" s="222"/>
      <c r="M88" s="222"/>
      <c r="N88" s="222"/>
      <c r="O88" s="627">
        <v>2711</v>
      </c>
      <c r="P88" s="705">
        <f>+O88</f>
        <v>2711</v>
      </c>
      <c r="Q88" s="222"/>
      <c r="R88" s="222"/>
      <c r="S88" s="222"/>
      <c r="T88" s="627">
        <v>3826</v>
      </c>
      <c r="U88" s="705">
        <f>+T88</f>
        <v>3826</v>
      </c>
      <c r="V88" s="627">
        <v>4050</v>
      </c>
      <c r="W88" s="627">
        <v>4150</v>
      </c>
      <c r="X88" s="627">
        <v>4350</v>
      </c>
      <c r="Y88" s="627">
        <v>4250</v>
      </c>
      <c r="Z88" s="705">
        <f>+Y88</f>
        <v>4250</v>
      </c>
      <c r="AA88" s="627">
        <v>4350</v>
      </c>
      <c r="AB88" s="627">
        <v>4600</v>
      </c>
      <c r="AC88" s="627">
        <v>5050</v>
      </c>
      <c r="AD88" s="627">
        <v>5200</v>
      </c>
      <c r="AE88" s="705">
        <f>+AD88</f>
        <v>5200</v>
      </c>
      <c r="AF88" s="627">
        <v>5250</v>
      </c>
      <c r="AG88" s="627">
        <v>5300</v>
      </c>
      <c r="AH88" s="627">
        <v>5700</v>
      </c>
      <c r="AI88" s="627">
        <v>6000</v>
      </c>
      <c r="AJ88" s="705">
        <f>+AI88</f>
        <v>6000</v>
      </c>
      <c r="AK88" s="627">
        <v>5550</v>
      </c>
      <c r="AL88" s="627">
        <v>5400</v>
      </c>
      <c r="AM88" s="627">
        <v>5900</v>
      </c>
      <c r="AN88" s="627">
        <v>5950</v>
      </c>
      <c r="AO88" s="705">
        <f>+AN88</f>
        <v>5950</v>
      </c>
      <c r="AP88" s="627">
        <v>5850</v>
      </c>
      <c r="AQ88" s="627">
        <v>3600</v>
      </c>
      <c r="AR88" s="627">
        <v>4100</v>
      </c>
      <c r="AS88" s="627">
        <v>3900</v>
      </c>
      <c r="AT88" s="705">
        <f>+AS88</f>
        <v>3900</v>
      </c>
      <c r="AU88" s="222"/>
      <c r="AV88" s="222"/>
      <c r="AW88" s="222"/>
      <c r="AX88" s="222"/>
      <c r="AY88" s="706">
        <v>4400</v>
      </c>
      <c r="AZ88" s="222"/>
      <c r="BA88" s="222"/>
      <c r="BB88" s="222"/>
      <c r="BC88" s="222"/>
      <c r="BD88" s="706">
        <v>4900</v>
      </c>
      <c r="BE88" s="222"/>
      <c r="BF88" s="222"/>
      <c r="BG88" s="222"/>
      <c r="BH88" s="222"/>
      <c r="BI88" s="706">
        <v>4713</v>
      </c>
      <c r="BJ88" s="222"/>
      <c r="BK88" s="222"/>
      <c r="BL88" s="397"/>
      <c r="BM88" s="222"/>
      <c r="BN88" s="705"/>
      <c r="BO88" s="222"/>
      <c r="BP88" s="222"/>
      <c r="BQ88" s="222"/>
      <c r="BR88" s="222"/>
      <c r="BS88" s="705"/>
      <c r="BT88" s="705"/>
      <c r="BU88" s="705"/>
      <c r="BV88" s="705"/>
      <c r="BW88" s="139"/>
    </row>
    <row r="89" spans="1:75" s="447" customFormat="1" collapsed="1">
      <c r="A89" s="223"/>
      <c r="B89" s="224"/>
      <c r="C89" s="682"/>
      <c r="D89" s="682"/>
      <c r="E89" s="682"/>
      <c r="F89" s="682"/>
      <c r="G89" s="21"/>
      <c r="H89" s="21"/>
      <c r="I89" s="21"/>
      <c r="J89" s="21"/>
      <c r="K89" s="682"/>
      <c r="L89" s="21"/>
      <c r="M89" s="21"/>
      <c r="N89" s="21"/>
      <c r="O89" s="21"/>
      <c r="P89" s="682"/>
      <c r="Q89" s="21"/>
      <c r="R89" s="21"/>
      <c r="S89" s="21"/>
      <c r="T89" s="21"/>
      <c r="U89" s="682"/>
      <c r="V89" s="21"/>
      <c r="W89" s="21"/>
      <c r="X89" s="21"/>
      <c r="Y89" s="21"/>
      <c r="Z89" s="682"/>
      <c r="AA89" s="21"/>
      <c r="AB89" s="21"/>
      <c r="AC89" s="21"/>
      <c r="AD89" s="21"/>
      <c r="AE89" s="682"/>
      <c r="AF89" s="21"/>
      <c r="AG89" s="21"/>
      <c r="AH89" s="21"/>
      <c r="AI89" s="21"/>
      <c r="AJ89" s="682"/>
      <c r="AK89" s="21"/>
      <c r="AL89" s="21"/>
      <c r="AM89" s="21"/>
      <c r="AN89" s="21"/>
      <c r="AO89" s="682"/>
      <c r="AP89" s="21"/>
      <c r="AQ89" s="21"/>
      <c r="AR89" s="21"/>
      <c r="AS89" s="21"/>
      <c r="AT89" s="682"/>
      <c r="AU89" s="21"/>
      <c r="AV89" s="21"/>
      <c r="AW89" s="21"/>
      <c r="AX89" s="21"/>
      <c r="AY89" s="682"/>
      <c r="AZ89" s="21"/>
      <c r="BA89" s="21"/>
      <c r="BB89" s="21"/>
      <c r="BC89" s="21"/>
      <c r="BD89" s="682"/>
      <c r="BE89" s="21"/>
      <c r="BF89" s="21"/>
      <c r="BG89" s="21"/>
      <c r="BH89" s="21"/>
      <c r="BI89" s="682"/>
      <c r="BJ89" s="21"/>
      <c r="BK89" s="21"/>
      <c r="BL89" s="186"/>
      <c r="BM89" s="21"/>
      <c r="BN89" s="682"/>
      <c r="BO89" s="21"/>
      <c r="BP89" s="21"/>
      <c r="BQ89" s="21"/>
      <c r="BR89" s="21"/>
      <c r="BS89" s="682"/>
      <c r="BT89" s="682"/>
      <c r="BU89" s="682"/>
      <c r="BV89" s="682"/>
      <c r="BW89" s="139"/>
    </row>
    <row r="90" spans="1:75" s="444" customFormat="1">
      <c r="A90" s="149" t="s">
        <v>176</v>
      </c>
      <c r="B90" s="208"/>
      <c r="C90" s="517"/>
      <c r="D90" s="517"/>
      <c r="E90" s="517"/>
      <c r="F90" s="517"/>
      <c r="G90" s="517"/>
      <c r="H90" s="517"/>
      <c r="I90" s="517"/>
      <c r="J90" s="517"/>
      <c r="K90" s="517"/>
      <c r="L90" s="517"/>
      <c r="M90" s="517"/>
      <c r="N90" s="517"/>
      <c r="O90" s="517"/>
      <c r="P90" s="517"/>
      <c r="Q90" s="517"/>
      <c r="R90" s="517"/>
      <c r="S90" s="517"/>
      <c r="T90" s="517"/>
      <c r="U90" s="517"/>
      <c r="V90" s="517"/>
      <c r="W90" s="517"/>
      <c r="X90" s="517"/>
      <c r="Y90" s="517"/>
      <c r="Z90" s="517"/>
      <c r="AA90" s="517"/>
      <c r="AB90" s="517"/>
      <c r="AC90" s="517"/>
      <c r="AD90" s="517"/>
      <c r="AE90" s="517"/>
      <c r="AF90" s="517"/>
      <c r="AG90" s="517"/>
      <c r="AH90" s="517"/>
      <c r="AI90" s="517"/>
      <c r="AJ90" s="517"/>
      <c r="AK90" s="517"/>
      <c r="AL90" s="517"/>
      <c r="AM90" s="517"/>
      <c r="AN90" s="517"/>
      <c r="AO90" s="517"/>
      <c r="AP90" s="517"/>
      <c r="AQ90" s="517"/>
      <c r="AR90" s="517"/>
      <c r="AS90" s="517"/>
      <c r="AT90" s="517"/>
      <c r="AU90" s="517"/>
      <c r="AV90" s="517"/>
      <c r="AW90" s="517"/>
      <c r="AX90" s="517"/>
      <c r="AY90" s="517"/>
      <c r="AZ90" s="517"/>
      <c r="BA90" s="517"/>
      <c r="BB90" s="517"/>
      <c r="BC90" s="517"/>
      <c r="BD90" s="517"/>
      <c r="BE90" s="517"/>
      <c r="BF90" s="517"/>
      <c r="BG90" s="517"/>
      <c r="BH90" s="517"/>
      <c r="BI90" s="517"/>
      <c r="BJ90" s="517"/>
      <c r="BK90" s="517"/>
      <c r="BL90" s="562"/>
      <c r="BM90" s="517"/>
      <c r="BN90" s="517"/>
      <c r="BO90" s="517"/>
      <c r="BP90" s="517"/>
      <c r="BQ90" s="517"/>
      <c r="BR90" s="517"/>
      <c r="BS90" s="517"/>
      <c r="BT90" s="517"/>
      <c r="BU90" s="517"/>
      <c r="BV90" s="517"/>
      <c r="BW90" s="318"/>
    </row>
    <row r="91" spans="1:75" s="439" customFormat="1" hidden="1" outlineLevel="1">
      <c r="A91" s="23" t="s">
        <v>177</v>
      </c>
      <c r="B91" s="24"/>
      <c r="C91" s="675">
        <v>0</v>
      </c>
      <c r="D91" s="675">
        <v>0.3</v>
      </c>
      <c r="E91" s="675">
        <v>0.5</v>
      </c>
      <c r="F91" s="675">
        <v>0.7</v>
      </c>
      <c r="G91" s="518"/>
      <c r="H91" s="518"/>
      <c r="I91" s="518"/>
      <c r="J91" s="518"/>
      <c r="K91" s="675">
        <v>1.3</v>
      </c>
      <c r="L91" s="518"/>
      <c r="M91" s="518"/>
      <c r="N91" s="518"/>
      <c r="O91" s="518"/>
      <c r="P91" s="675">
        <v>8.1</v>
      </c>
      <c r="Q91" s="518"/>
      <c r="R91" s="518"/>
      <c r="S91" s="518"/>
      <c r="T91" s="518"/>
      <c r="U91" s="675">
        <v>30.9</v>
      </c>
      <c r="V91" s="518"/>
      <c r="W91" s="518"/>
      <c r="X91" s="518"/>
      <c r="Y91" s="518"/>
      <c r="Z91" s="675">
        <v>46.9</v>
      </c>
      <c r="AA91" s="518"/>
      <c r="AB91" s="518"/>
      <c r="AC91" s="518"/>
      <c r="AD91" s="518"/>
      <c r="AE91" s="675">
        <v>50.3</v>
      </c>
      <c r="AF91" s="518"/>
      <c r="AG91" s="518"/>
      <c r="AH91" s="518"/>
      <c r="AI91" s="518"/>
      <c r="AJ91" s="675">
        <v>38</v>
      </c>
      <c r="AK91" s="518"/>
      <c r="AL91" s="518"/>
      <c r="AM91" s="518"/>
      <c r="AN91" s="518"/>
      <c r="AO91" s="675">
        <v>20.7</v>
      </c>
      <c r="AP91" s="518"/>
      <c r="AQ91" s="518"/>
      <c r="AR91" s="518"/>
      <c r="AS91" s="518"/>
      <c r="AT91" s="675">
        <v>22.2</v>
      </c>
      <c r="AU91" s="518"/>
      <c r="AV91" s="518"/>
      <c r="AW91" s="518"/>
      <c r="AX91" s="518"/>
      <c r="AY91" s="675">
        <v>56.3</v>
      </c>
      <c r="AZ91" s="518"/>
      <c r="BA91" s="518"/>
      <c r="BB91" s="518"/>
      <c r="BC91" s="518"/>
      <c r="BD91" s="675">
        <v>71.099999999999994</v>
      </c>
      <c r="BE91" s="518"/>
      <c r="BF91" s="518"/>
      <c r="BG91" s="518"/>
      <c r="BH91" s="518"/>
      <c r="BI91" s="675">
        <v>65.7</v>
      </c>
      <c r="BJ91" s="518"/>
      <c r="BK91" s="518"/>
      <c r="BL91" s="520"/>
      <c r="BM91" s="518"/>
      <c r="BN91" s="89"/>
      <c r="BO91" s="518"/>
      <c r="BP91" s="518"/>
      <c r="BQ91" s="518"/>
      <c r="BR91" s="518"/>
      <c r="BS91" s="89"/>
      <c r="BT91" s="89"/>
      <c r="BU91" s="89"/>
      <c r="BV91" s="89"/>
      <c r="BW91" s="519"/>
    </row>
    <row r="92" spans="1:75" s="449" customFormat="1" hidden="1" outlineLevel="1">
      <c r="A92" s="46" t="s">
        <v>178</v>
      </c>
      <c r="B92" s="311"/>
      <c r="C92" s="685"/>
      <c r="D92" s="685"/>
      <c r="E92" s="685">
        <f t="shared" ref="E92" si="125">E91/D91-1</f>
        <v>0.66666666666666674</v>
      </c>
      <c r="F92" s="685">
        <f>F91/E91-1</f>
        <v>0.39999999999999991</v>
      </c>
      <c r="G92" s="54"/>
      <c r="H92" s="54"/>
      <c r="I92" s="54"/>
      <c r="J92" s="54"/>
      <c r="K92" s="685">
        <f>K91/F91-1</f>
        <v>0.85714285714285743</v>
      </c>
      <c r="L92" s="54"/>
      <c r="M92" s="54"/>
      <c r="N92" s="54"/>
      <c r="O92" s="54"/>
      <c r="P92" s="685">
        <f t="shared" ref="P92" si="126">P91/K91-1</f>
        <v>5.2307692307692299</v>
      </c>
      <c r="Q92" s="54"/>
      <c r="R92" s="54"/>
      <c r="S92" s="54"/>
      <c r="T92" s="54"/>
      <c r="U92" s="685">
        <f t="shared" ref="U92" si="127">U91/P91-1</f>
        <v>2.8148148148148149</v>
      </c>
      <c r="V92" s="54"/>
      <c r="W92" s="54"/>
      <c r="X92" s="54"/>
      <c r="Y92" s="54"/>
      <c r="Z92" s="685">
        <f t="shared" ref="Z92" si="128">Z91/U91-1</f>
        <v>0.51779935275080913</v>
      </c>
      <c r="AA92" s="54"/>
      <c r="AB92" s="54"/>
      <c r="AC92" s="54"/>
      <c r="AD92" s="54"/>
      <c r="AE92" s="685">
        <f t="shared" ref="AE92" si="129">AE91/Z91-1</f>
        <v>7.2494669509594933E-2</v>
      </c>
      <c r="AF92" s="54"/>
      <c r="AG92" s="54"/>
      <c r="AH92" s="54"/>
      <c r="AI92" s="54"/>
      <c r="AJ92" s="685">
        <f t="shared" ref="AJ92" si="130">AJ91/AE91-1</f>
        <v>-0.24453280318091442</v>
      </c>
      <c r="AK92" s="54"/>
      <c r="AL92" s="54"/>
      <c r="AM92" s="54"/>
      <c r="AN92" s="54"/>
      <c r="AO92" s="685">
        <f t="shared" ref="AO92" si="131">AO91/AJ91-1</f>
        <v>-0.45526315789473681</v>
      </c>
      <c r="AP92" s="54"/>
      <c r="AQ92" s="54"/>
      <c r="AR92" s="54"/>
      <c r="AS92" s="54"/>
      <c r="AT92" s="685">
        <f t="shared" ref="AT92" si="132">AT91/AO91-1</f>
        <v>7.2463768115942129E-2</v>
      </c>
      <c r="AU92" s="54"/>
      <c r="AV92" s="54"/>
      <c r="AW92" s="54"/>
      <c r="AX92" s="54"/>
      <c r="AY92" s="685">
        <f t="shared" ref="AY92" si="133">AY91/AT91-1</f>
        <v>1.5360360360360361</v>
      </c>
      <c r="AZ92" s="54"/>
      <c r="BA92" s="54"/>
      <c r="BB92" s="54"/>
      <c r="BC92" s="54"/>
      <c r="BD92" s="685">
        <f t="shared" ref="BD92" si="134">BD91/AY91-1</f>
        <v>0.26287744227353449</v>
      </c>
      <c r="BE92" s="54"/>
      <c r="BF92" s="54"/>
      <c r="BG92" s="54"/>
      <c r="BH92" s="54"/>
      <c r="BI92" s="685">
        <f t="shared" ref="BI92" si="135">BI91/BD91-1</f>
        <v>-7.5949367088607445E-2</v>
      </c>
      <c r="BJ92" s="54"/>
      <c r="BK92" s="54"/>
      <c r="BL92" s="392"/>
      <c r="BM92" s="54"/>
      <c r="BN92" s="685"/>
      <c r="BO92" s="54"/>
      <c r="BP92" s="54"/>
      <c r="BQ92" s="54"/>
      <c r="BR92" s="54"/>
      <c r="BS92" s="685"/>
      <c r="BT92" s="685"/>
      <c r="BU92" s="685"/>
      <c r="BV92" s="685"/>
      <c r="BW92" s="204"/>
    </row>
    <row r="93" spans="1:75" s="443" customFormat="1" hidden="1" outlineLevel="1">
      <c r="A93" s="39" t="s">
        <v>179</v>
      </c>
      <c r="B93" s="315"/>
      <c r="C93" s="90">
        <f>C91/C156</f>
        <v>0</v>
      </c>
      <c r="D93" s="90">
        <f>D91/D156</f>
        <v>8.8446003714732161E-3</v>
      </c>
      <c r="E93" s="90">
        <f>E91/E156</f>
        <v>9.1677515172628767E-3</v>
      </c>
      <c r="F93" s="90">
        <f>F91/F156</f>
        <v>8.147587732060757E-3</v>
      </c>
      <c r="G93" s="26"/>
      <c r="H93" s="26"/>
      <c r="I93" s="26"/>
      <c r="J93" s="26"/>
      <c r="K93" s="90">
        <f>K91/K156</f>
        <v>9.8507236493142383E-3</v>
      </c>
      <c r="L93" s="26"/>
      <c r="M93" s="26"/>
      <c r="N93" s="26"/>
      <c r="O93" s="26"/>
      <c r="P93" s="90">
        <f>P91/P156</f>
        <v>4.0288485451380252E-2</v>
      </c>
      <c r="Q93" s="26"/>
      <c r="R93" s="26"/>
      <c r="S93" s="26"/>
      <c r="T93" s="26"/>
      <c r="U93" s="90">
        <f>U91/U156</f>
        <v>0.10239790034596571</v>
      </c>
      <c r="V93" s="26"/>
      <c r="W93" s="26"/>
      <c r="X93" s="26"/>
      <c r="Y93" s="26"/>
      <c r="Z93" s="90">
        <f>Z91/Z156</f>
        <v>0.1225010056052699</v>
      </c>
      <c r="AA93" s="26"/>
      <c r="AB93" s="26"/>
      <c r="AC93" s="26"/>
      <c r="AD93" s="26"/>
      <c r="AE93" s="90">
        <f>AE91/AE156</f>
        <v>0.11499140422107612</v>
      </c>
      <c r="AF93" s="26"/>
      <c r="AG93" s="26"/>
      <c r="AH93" s="26"/>
      <c r="AI93" s="26"/>
      <c r="AJ93" s="90">
        <f>AJ91/AJ156</f>
        <v>7.8624647999519973E-2</v>
      </c>
      <c r="AK93" s="26"/>
      <c r="AL93" s="26"/>
      <c r="AM93" s="26"/>
      <c r="AN93" s="26"/>
      <c r="AO93" s="90">
        <f>AO91/AO156</f>
        <v>4.1368063854704165E-2</v>
      </c>
      <c r="AP93" s="26"/>
      <c r="AQ93" s="26"/>
      <c r="AR93" s="26"/>
      <c r="AS93" s="26"/>
      <c r="AT93" s="90">
        <f>AT91/AT156</f>
        <v>5.0793941335285774E-2</v>
      </c>
      <c r="AU93" s="26"/>
      <c r="AV93" s="26"/>
      <c r="AW93" s="26"/>
      <c r="AX93" s="26"/>
      <c r="AY93" s="90">
        <f>AY91/AY156</f>
        <v>0.12394765578216915</v>
      </c>
      <c r="AZ93" s="26"/>
      <c r="BA93" s="26"/>
      <c r="BB93" s="26"/>
      <c r="BC93" s="26"/>
      <c r="BD93" s="90">
        <f>BD91/BD156</f>
        <v>0.13807782462368451</v>
      </c>
      <c r="BE93" s="26"/>
      <c r="BF93" s="26"/>
      <c r="BG93" s="26"/>
      <c r="BH93" s="26"/>
      <c r="BI93" s="90">
        <f>BI91/BI156</f>
        <v>0.11803702805400598</v>
      </c>
      <c r="BJ93" s="26"/>
      <c r="BK93" s="26"/>
      <c r="BL93" s="398"/>
      <c r="BM93" s="26"/>
      <c r="BN93" s="90"/>
      <c r="BO93" s="26"/>
      <c r="BP93" s="26"/>
      <c r="BQ93" s="26"/>
      <c r="BR93" s="26"/>
      <c r="BS93" s="90"/>
      <c r="BT93" s="90"/>
      <c r="BU93" s="90"/>
      <c r="BV93" s="90"/>
      <c r="BW93" s="135"/>
    </row>
    <row r="94" spans="1:75" s="447" customFormat="1" collapsed="1">
      <c r="A94" s="223"/>
      <c r="B94" s="224"/>
      <c r="C94" s="682"/>
      <c r="D94" s="682"/>
      <c r="E94" s="682"/>
      <c r="F94" s="682"/>
      <c r="G94" s="21"/>
      <c r="H94" s="21"/>
      <c r="I94" s="21"/>
      <c r="J94" s="21"/>
      <c r="K94" s="682"/>
      <c r="L94" s="21"/>
      <c r="M94" s="21"/>
      <c r="N94" s="21"/>
      <c r="O94" s="21"/>
      <c r="P94" s="682"/>
      <c r="Q94" s="21"/>
      <c r="R94" s="21"/>
      <c r="S94" s="21"/>
      <c r="T94" s="21"/>
      <c r="U94" s="682"/>
      <c r="V94" s="21"/>
      <c r="W94" s="21"/>
      <c r="X94" s="21"/>
      <c r="Y94" s="21"/>
      <c r="Z94" s="682"/>
      <c r="AA94" s="21"/>
      <c r="AB94" s="21"/>
      <c r="AC94" s="21"/>
      <c r="AD94" s="21"/>
      <c r="AE94" s="682"/>
      <c r="AF94" s="21"/>
      <c r="AG94" s="21"/>
      <c r="AH94" s="21"/>
      <c r="AI94" s="21"/>
      <c r="AJ94" s="682"/>
      <c r="AK94" s="21"/>
      <c r="AL94" s="21"/>
      <c r="AM94" s="21"/>
      <c r="AN94" s="21"/>
      <c r="AO94" s="682"/>
      <c r="AP94" s="21"/>
      <c r="AQ94" s="21"/>
      <c r="AR94" s="21"/>
      <c r="AS94" s="21"/>
      <c r="AT94" s="682"/>
      <c r="AU94" s="21"/>
      <c r="AV94" s="21"/>
      <c r="AW94" s="21"/>
      <c r="AX94" s="21"/>
      <c r="AY94" s="682"/>
      <c r="AZ94" s="21"/>
      <c r="BA94" s="21"/>
      <c r="BB94" s="21"/>
      <c r="BC94" s="21"/>
      <c r="BD94" s="682"/>
      <c r="BE94" s="21"/>
      <c r="BF94" s="21"/>
      <c r="BG94" s="21"/>
      <c r="BH94" s="21"/>
      <c r="BI94" s="682"/>
      <c r="BJ94" s="21"/>
      <c r="BK94" s="21"/>
      <c r="BL94" s="186"/>
      <c r="BM94" s="21"/>
      <c r="BN94" s="682"/>
      <c r="BO94" s="21"/>
      <c r="BP94" s="21"/>
      <c r="BQ94" s="21"/>
      <c r="BR94" s="21"/>
      <c r="BS94" s="682"/>
      <c r="BT94" s="682"/>
      <c r="BU94" s="682"/>
      <c r="BV94" s="682"/>
      <c r="BW94" s="139"/>
    </row>
    <row r="95" spans="1:75" s="444" customFormat="1">
      <c r="A95" s="149" t="s">
        <v>180</v>
      </c>
      <c r="B95" s="208"/>
      <c r="C95" s="517"/>
      <c r="D95" s="517"/>
      <c r="E95" s="517"/>
      <c r="F95" s="517"/>
      <c r="G95" s="517"/>
      <c r="H95" s="517"/>
      <c r="I95" s="517"/>
      <c r="J95" s="517"/>
      <c r="K95" s="517"/>
      <c r="L95" s="517"/>
      <c r="M95" s="517"/>
      <c r="N95" s="517"/>
      <c r="O95" s="517"/>
      <c r="P95" s="517"/>
      <c r="Q95" s="517"/>
      <c r="R95" s="517"/>
      <c r="S95" s="517"/>
      <c r="T95" s="517"/>
      <c r="U95" s="517"/>
      <c r="V95" s="517"/>
      <c r="W95" s="517"/>
      <c r="X95" s="517"/>
      <c r="Y95" s="517"/>
      <c r="Z95" s="517"/>
      <c r="AA95" s="517"/>
      <c r="AB95" s="517"/>
      <c r="AC95" s="517"/>
      <c r="AD95" s="517"/>
      <c r="AE95" s="517"/>
      <c r="AF95" s="517"/>
      <c r="AG95" s="517"/>
      <c r="AH95" s="517"/>
      <c r="AI95" s="517"/>
      <c r="AJ95" s="517"/>
      <c r="AK95" s="517"/>
      <c r="AL95" s="517"/>
      <c r="AM95" s="517"/>
      <c r="AN95" s="517"/>
      <c r="AO95" s="517"/>
      <c r="AP95" s="517"/>
      <c r="AQ95" s="517"/>
      <c r="AR95" s="517"/>
      <c r="AS95" s="517"/>
      <c r="AT95" s="517"/>
      <c r="AU95" s="517"/>
      <c r="AV95" s="517"/>
      <c r="AW95" s="517"/>
      <c r="AX95" s="517"/>
      <c r="AY95" s="517"/>
      <c r="AZ95" s="517"/>
      <c r="BA95" s="517"/>
      <c r="BB95" s="517"/>
      <c r="BC95" s="517"/>
      <c r="BD95" s="517"/>
      <c r="BE95" s="517"/>
      <c r="BF95" s="517"/>
      <c r="BG95" s="517"/>
      <c r="BH95" s="517"/>
      <c r="BI95" s="517"/>
      <c r="BJ95" s="517"/>
      <c r="BK95" s="517"/>
      <c r="BL95" s="562"/>
      <c r="BM95" s="517"/>
      <c r="BN95" s="517"/>
      <c r="BO95" s="517"/>
      <c r="BP95" s="517"/>
      <c r="BQ95" s="517"/>
      <c r="BR95" s="517"/>
      <c r="BS95" s="517"/>
      <c r="BT95" s="517"/>
      <c r="BU95" s="517"/>
      <c r="BV95" s="517"/>
      <c r="BW95" s="318"/>
    </row>
    <row r="96" spans="1:75" s="444" customFormat="1" hidden="1" outlineLevel="1">
      <c r="A96" s="28" t="s">
        <v>181</v>
      </c>
      <c r="B96" s="79"/>
      <c r="C96" s="700"/>
      <c r="D96" s="700"/>
      <c r="E96" s="700"/>
      <c r="F96" s="700"/>
      <c r="G96" s="523"/>
      <c r="H96" s="523"/>
      <c r="I96" s="523"/>
      <c r="J96" s="523"/>
      <c r="K96" s="700"/>
      <c r="L96" s="523"/>
      <c r="M96" s="523"/>
      <c r="N96" s="523"/>
      <c r="O96" s="523"/>
      <c r="P96" s="700">
        <f>K155</f>
        <v>16.561</v>
      </c>
      <c r="Q96" s="523"/>
      <c r="R96" s="523"/>
      <c r="S96" s="523"/>
      <c r="T96" s="523"/>
      <c r="U96" s="700">
        <f>P155</f>
        <v>24.382000000000001</v>
      </c>
      <c r="V96" s="523"/>
      <c r="W96" s="523"/>
      <c r="X96" s="523"/>
      <c r="Y96" s="523"/>
      <c r="Z96" s="700">
        <f t="shared" ref="Z96:AR96" si="136">U155</f>
        <v>51.015000000000001</v>
      </c>
      <c r="AA96" s="523">
        <f t="shared" si="136"/>
        <v>15.077999999999999</v>
      </c>
      <c r="AB96" s="523">
        <f t="shared" si="136"/>
        <v>15.087</v>
      </c>
      <c r="AC96" s="523">
        <f t="shared" si="136"/>
        <v>14.593999999999999</v>
      </c>
      <c r="AD96" s="523">
        <f t="shared" si="136"/>
        <v>15.603999999999999</v>
      </c>
      <c r="AE96" s="700">
        <f t="shared" si="136"/>
        <v>60.363</v>
      </c>
      <c r="AF96" s="523">
        <f t="shared" si="136"/>
        <v>16.914000000000001</v>
      </c>
      <c r="AG96" s="523">
        <f t="shared" si="136"/>
        <v>18.056000000000001</v>
      </c>
      <c r="AH96" s="523">
        <f t="shared" si="136"/>
        <v>19.312000000000001</v>
      </c>
      <c r="AI96" s="523">
        <f t="shared" si="136"/>
        <v>16.236000000000001</v>
      </c>
      <c r="AJ96" s="700">
        <f t="shared" si="136"/>
        <v>70.518000000000001</v>
      </c>
      <c r="AK96" s="523">
        <f t="shared" si="136"/>
        <v>14.731999999999999</v>
      </c>
      <c r="AL96" s="523">
        <f t="shared" si="136"/>
        <v>14.708</v>
      </c>
      <c r="AM96" s="523">
        <f t="shared" si="136"/>
        <v>14.177</v>
      </c>
      <c r="AN96" s="523">
        <f t="shared" si="136"/>
        <v>14.255000000000003</v>
      </c>
      <c r="AO96" s="700">
        <f t="shared" si="136"/>
        <v>57.872</v>
      </c>
      <c r="AP96" s="523">
        <f t="shared" si="136"/>
        <v>14.265000000000001</v>
      </c>
      <c r="AQ96" s="523">
        <f t="shared" si="136"/>
        <v>14.975</v>
      </c>
      <c r="AR96" s="523">
        <f t="shared" si="136"/>
        <v>16.513999999999999</v>
      </c>
      <c r="AS96" s="523"/>
      <c r="AT96" s="700">
        <f>AO155</f>
        <v>62.41</v>
      </c>
      <c r="AU96" s="523">
        <f>AP155</f>
        <v>16.847000000000001</v>
      </c>
      <c r="AV96" s="523">
        <f>AQ155</f>
        <v>11.824999999999999</v>
      </c>
      <c r="AW96" s="523">
        <f>AR155</f>
        <v>13.193</v>
      </c>
      <c r="AX96" s="523"/>
      <c r="AY96" s="700">
        <f>AT155</f>
        <v>57.186</v>
      </c>
      <c r="AZ96" s="523">
        <f>AU155</f>
        <v>14.874000000000001</v>
      </c>
      <c r="BA96" s="523">
        <f>AV155</f>
        <v>17.992999999999999</v>
      </c>
      <c r="BB96" s="523">
        <f>AW155</f>
        <v>21.184999999999999</v>
      </c>
      <c r="BC96" s="523"/>
      <c r="BD96" s="700">
        <f>AY155</f>
        <v>78.096999999999994</v>
      </c>
      <c r="BE96" s="523">
        <f>AZ155</f>
        <v>23.428999999999998</v>
      </c>
      <c r="BF96" s="523">
        <f>BA155</f>
        <v>26.988</v>
      </c>
      <c r="BG96" s="523">
        <f>BB155</f>
        <v>26.805</v>
      </c>
      <c r="BH96" s="523"/>
      <c r="BI96" s="700">
        <f>BD155</f>
        <v>105.705</v>
      </c>
      <c r="BJ96" s="523">
        <f>BE155</f>
        <v>26.059000000000001</v>
      </c>
      <c r="BK96" s="523">
        <f>BF155</f>
        <v>30.184000000000001</v>
      </c>
      <c r="BL96" s="563">
        <f>BG155</f>
        <v>28.37</v>
      </c>
      <c r="BM96" s="523"/>
      <c r="BN96" s="700"/>
      <c r="BO96" s="523"/>
      <c r="BP96" s="523"/>
      <c r="BQ96" s="523"/>
      <c r="BR96" s="523"/>
      <c r="BS96" s="700"/>
      <c r="BT96" s="700"/>
      <c r="BU96" s="700"/>
      <c r="BV96" s="700"/>
      <c r="BW96" s="318"/>
    </row>
    <row r="97" spans="1:75" s="439" customFormat="1" hidden="1" outlineLevel="1">
      <c r="A97" s="31" t="s">
        <v>182</v>
      </c>
      <c r="B97" s="24"/>
      <c r="C97" s="89"/>
      <c r="D97" s="89"/>
      <c r="E97" s="89"/>
      <c r="F97" s="89"/>
      <c r="G97" s="518"/>
      <c r="H97" s="518"/>
      <c r="I97" s="518"/>
      <c r="J97" s="518"/>
      <c r="K97" s="89"/>
      <c r="L97" s="518"/>
      <c r="M97" s="518"/>
      <c r="N97" s="518"/>
      <c r="O97" s="518"/>
      <c r="P97" s="89"/>
      <c r="Q97" s="518"/>
      <c r="R97" s="518"/>
      <c r="S97" s="518"/>
      <c r="T97" s="518"/>
      <c r="U97" s="89"/>
      <c r="V97" s="518"/>
      <c r="W97" s="518"/>
      <c r="X97" s="518"/>
      <c r="Y97" s="518"/>
      <c r="Z97" s="89"/>
      <c r="AA97" s="518"/>
      <c r="AB97" s="518"/>
      <c r="AC97" s="518"/>
      <c r="AD97" s="518"/>
      <c r="AE97" s="89"/>
      <c r="AF97" s="609">
        <v>0</v>
      </c>
      <c r="AG97" s="609">
        <v>0</v>
      </c>
      <c r="AH97" s="609">
        <v>0</v>
      </c>
      <c r="AI97" s="518"/>
      <c r="AJ97" s="89"/>
      <c r="AK97" s="518"/>
      <c r="AL97" s="518"/>
      <c r="AM97" s="609">
        <v>1.4</v>
      </c>
      <c r="AN97" s="518">
        <f>AO97-SUM(AK97,AL97,AM97)</f>
        <v>2.3000000000000003</v>
      </c>
      <c r="AO97" s="675">
        <v>3.7</v>
      </c>
      <c r="AP97" s="609">
        <v>1.6</v>
      </c>
      <c r="AQ97" s="518"/>
      <c r="AR97" s="518"/>
      <c r="AS97" s="518"/>
      <c r="AT97" s="675">
        <v>3.4</v>
      </c>
      <c r="AU97" s="518"/>
      <c r="AV97" s="609">
        <v>2.2999999999999998</v>
      </c>
      <c r="AW97" s="609">
        <v>3.5</v>
      </c>
      <c r="AX97" s="518"/>
      <c r="AY97" s="675">
        <v>10.3</v>
      </c>
      <c r="AZ97" s="609">
        <v>3.2</v>
      </c>
      <c r="BA97" s="609">
        <v>3.8</v>
      </c>
      <c r="BB97" s="609">
        <v>2.2999999999999998</v>
      </c>
      <c r="BC97" s="518"/>
      <c r="BD97" s="675">
        <v>11.1</v>
      </c>
      <c r="BE97" s="609">
        <v>1.2</v>
      </c>
      <c r="BF97" s="609">
        <v>2</v>
      </c>
      <c r="BG97" s="518"/>
      <c r="BH97" s="518"/>
      <c r="BI97" s="675">
        <v>2.7</v>
      </c>
      <c r="BJ97" s="518"/>
      <c r="BK97" s="609">
        <v>-1.6</v>
      </c>
      <c r="BL97" s="520"/>
      <c r="BM97" s="518"/>
      <c r="BN97" s="89"/>
      <c r="BO97" s="518"/>
      <c r="BP97" s="518"/>
      <c r="BQ97" s="518"/>
      <c r="BR97" s="518"/>
      <c r="BS97" s="89"/>
      <c r="BT97" s="89"/>
      <c r="BU97" s="89"/>
      <c r="BV97" s="89"/>
      <c r="BW97" s="519"/>
    </row>
    <row r="98" spans="1:75" s="439" customFormat="1" hidden="1" outlineLevel="1">
      <c r="A98" s="31" t="s">
        <v>183</v>
      </c>
      <c r="B98" s="24"/>
      <c r="C98" s="89"/>
      <c r="D98" s="89"/>
      <c r="E98" s="89"/>
      <c r="F98" s="89"/>
      <c r="G98" s="518"/>
      <c r="H98" s="518"/>
      <c r="I98" s="518"/>
      <c r="J98" s="518"/>
      <c r="K98" s="89"/>
      <c r="L98" s="518"/>
      <c r="M98" s="518"/>
      <c r="N98" s="518"/>
      <c r="O98" s="518"/>
      <c r="P98" s="675">
        <f>4.3+0.4</f>
        <v>4.7</v>
      </c>
      <c r="Q98" s="518"/>
      <c r="R98" s="518"/>
      <c r="S98" s="518"/>
      <c r="T98" s="518"/>
      <c r="U98" s="675">
        <v>12.2</v>
      </c>
      <c r="V98" s="518"/>
      <c r="W98" s="518"/>
      <c r="X98" s="518"/>
      <c r="Y98" s="518"/>
      <c r="Z98" s="675">
        <v>1</v>
      </c>
      <c r="AA98" s="609">
        <v>-0.1</v>
      </c>
      <c r="AB98" s="609">
        <v>1</v>
      </c>
      <c r="AC98" s="609">
        <v>2.1</v>
      </c>
      <c r="AD98" s="518">
        <f>AE98-SUM(AA98,AB98,AC98)</f>
        <v>2.4000000000000004</v>
      </c>
      <c r="AE98" s="675">
        <v>5.4</v>
      </c>
      <c r="AF98" s="609">
        <v>0.9</v>
      </c>
      <c r="AG98" s="609">
        <v>1.2</v>
      </c>
      <c r="AH98" s="609">
        <v>0.7</v>
      </c>
      <c r="AI98" s="518">
        <f>AJ98-SUM(AF98,AG98,AH98)</f>
        <v>-9.9999999999999645E-2</v>
      </c>
      <c r="AJ98" s="675">
        <v>2.7</v>
      </c>
      <c r="AK98" s="518"/>
      <c r="AL98" s="518"/>
      <c r="AM98" s="609">
        <v>0.7</v>
      </c>
      <c r="AN98" s="518">
        <f>AO98-SUM(AK98,AL98,AM98)</f>
        <v>2.2999999999999998</v>
      </c>
      <c r="AO98" s="675">
        <v>3</v>
      </c>
      <c r="AP98" s="609">
        <v>0.7</v>
      </c>
      <c r="AQ98" s="609">
        <v>-2.4</v>
      </c>
      <c r="AR98" s="609">
        <v>-2.4</v>
      </c>
      <c r="AS98" s="518"/>
      <c r="AT98" s="675">
        <v>-6</v>
      </c>
      <c r="AU98" s="518"/>
      <c r="AV98" s="609">
        <v>2.6</v>
      </c>
      <c r="AW98" s="609">
        <v>3.1</v>
      </c>
      <c r="AX98" s="518"/>
      <c r="AY98" s="675">
        <v>7.9</v>
      </c>
      <c r="AZ98" s="609">
        <v>4.0999999999999996</v>
      </c>
      <c r="BA98" s="609">
        <v>3.6</v>
      </c>
      <c r="BB98" s="609">
        <v>2.6</v>
      </c>
      <c r="BC98" s="518"/>
      <c r="BD98" s="675">
        <v>12.1</v>
      </c>
      <c r="BE98" s="609">
        <v>0.5</v>
      </c>
      <c r="BF98" s="609">
        <v>0.5</v>
      </c>
      <c r="BG98" s="609">
        <v>0.9</v>
      </c>
      <c r="BH98" s="518"/>
      <c r="BI98" s="675">
        <v>2.1</v>
      </c>
      <c r="BJ98" s="609">
        <v>1.6</v>
      </c>
      <c r="BK98" s="609">
        <v>1.5</v>
      </c>
      <c r="BL98" s="610">
        <v>2.8</v>
      </c>
      <c r="BM98" s="518"/>
      <c r="BN98" s="89"/>
      <c r="BO98" s="518"/>
      <c r="BP98" s="518"/>
      <c r="BQ98" s="518"/>
      <c r="BR98" s="518"/>
      <c r="BS98" s="89"/>
      <c r="BT98" s="89"/>
      <c r="BU98" s="89"/>
      <c r="BV98" s="89"/>
      <c r="BW98" s="519"/>
    </row>
    <row r="99" spans="1:75" s="439" customFormat="1" hidden="1" outlineLevel="1">
      <c r="A99" s="31" t="s">
        <v>184</v>
      </c>
      <c r="B99" s="24"/>
      <c r="C99" s="89"/>
      <c r="D99" s="89"/>
      <c r="E99" s="89"/>
      <c r="F99" s="89"/>
      <c r="G99" s="518"/>
      <c r="H99" s="518"/>
      <c r="I99" s="518"/>
      <c r="J99" s="518"/>
      <c r="K99" s="89"/>
      <c r="L99" s="518"/>
      <c r="M99" s="518"/>
      <c r="N99" s="518"/>
      <c r="O99" s="518"/>
      <c r="P99" s="675">
        <v>2</v>
      </c>
      <c r="Q99" s="518"/>
      <c r="R99" s="518"/>
      <c r="S99" s="518"/>
      <c r="T99" s="518"/>
      <c r="U99" s="675">
        <v>9.1</v>
      </c>
      <c r="V99" s="518"/>
      <c r="W99" s="518"/>
      <c r="X99" s="518"/>
      <c r="Y99" s="518"/>
      <c r="Z99" s="675">
        <v>6.9</v>
      </c>
      <c r="AA99" s="609">
        <v>1.2</v>
      </c>
      <c r="AB99" s="609">
        <v>1.1000000000000001</v>
      </c>
      <c r="AC99" s="609">
        <v>1</v>
      </c>
      <c r="AD99" s="518">
        <f>AE99-SUM(AA99,AB99,AC99)</f>
        <v>-0.89999999999999991</v>
      </c>
      <c r="AE99" s="675">
        <v>2.4</v>
      </c>
      <c r="AF99" s="609">
        <v>-1.5</v>
      </c>
      <c r="AG99" s="609">
        <v>-1.8</v>
      </c>
      <c r="AH99" s="609">
        <v>-2.5</v>
      </c>
      <c r="AI99" s="518">
        <f>AJ99-SUM(AF99,AG99,AH99)</f>
        <v>-1</v>
      </c>
      <c r="AJ99" s="675">
        <v>-6.8</v>
      </c>
      <c r="AK99" s="609">
        <v>-0.5</v>
      </c>
      <c r="AL99" s="518"/>
      <c r="AM99" s="518"/>
      <c r="AN99" s="518">
        <f>AO99-SUM(AK99,AL99,AM99)</f>
        <v>-0.19999999999999996</v>
      </c>
      <c r="AO99" s="675">
        <v>-0.7</v>
      </c>
      <c r="AP99" s="518"/>
      <c r="AQ99" s="609">
        <v>-1.2</v>
      </c>
      <c r="AR99" s="609">
        <v>-0.8</v>
      </c>
      <c r="AS99" s="518"/>
      <c r="AT99" s="675">
        <v>-2.1</v>
      </c>
      <c r="AU99" s="518"/>
      <c r="AV99" s="609">
        <v>1.3</v>
      </c>
      <c r="AW99" s="609">
        <v>1</v>
      </c>
      <c r="AX99" s="518"/>
      <c r="AY99" s="675">
        <v>2.6</v>
      </c>
      <c r="AZ99" s="609">
        <v>0.9</v>
      </c>
      <c r="BA99" s="609">
        <v>0.9</v>
      </c>
      <c r="BB99" s="609">
        <v>0.8</v>
      </c>
      <c r="BC99" s="518"/>
      <c r="BD99" s="675">
        <v>3.4</v>
      </c>
      <c r="BE99" s="609">
        <v>0.7</v>
      </c>
      <c r="BF99" s="609">
        <v>0.6</v>
      </c>
      <c r="BG99" s="609">
        <v>0.8</v>
      </c>
      <c r="BH99" s="518"/>
      <c r="BI99" s="675">
        <v>2.9</v>
      </c>
      <c r="BJ99" s="518"/>
      <c r="BK99" s="609">
        <v>0.3</v>
      </c>
      <c r="BL99" s="520"/>
      <c r="BM99" s="518"/>
      <c r="BN99" s="89"/>
      <c r="BO99" s="518"/>
      <c r="BP99" s="518"/>
      <c r="BQ99" s="518"/>
      <c r="BR99" s="518"/>
      <c r="BS99" s="89"/>
      <c r="BT99" s="89"/>
      <c r="BU99" s="89"/>
      <c r="BV99" s="89"/>
      <c r="BW99" s="519"/>
    </row>
    <row r="100" spans="1:75" s="439" customFormat="1" hidden="1" outlineLevel="1">
      <c r="A100" s="31" t="s">
        <v>185</v>
      </c>
      <c r="B100" s="24"/>
      <c r="C100" s="89"/>
      <c r="D100" s="89"/>
      <c r="E100" s="89"/>
      <c r="F100" s="89"/>
      <c r="G100" s="518"/>
      <c r="H100" s="518"/>
      <c r="I100" s="518"/>
      <c r="J100" s="518"/>
      <c r="K100" s="89"/>
      <c r="L100" s="518"/>
      <c r="M100" s="518"/>
      <c r="N100" s="518"/>
      <c r="O100" s="518"/>
      <c r="P100" s="675">
        <v>0</v>
      </c>
      <c r="Q100" s="518"/>
      <c r="R100" s="518"/>
      <c r="S100" s="518"/>
      <c r="T100" s="518"/>
      <c r="U100" s="675">
        <v>2.9</v>
      </c>
      <c r="V100" s="518"/>
      <c r="W100" s="518"/>
      <c r="X100" s="518"/>
      <c r="Y100" s="518"/>
      <c r="Z100" s="675">
        <v>0.2</v>
      </c>
      <c r="AA100" s="609">
        <v>1.1000000000000001</v>
      </c>
      <c r="AB100" s="609">
        <v>1.2</v>
      </c>
      <c r="AC100" s="609">
        <v>1.4</v>
      </c>
      <c r="AD100" s="518">
        <f>AE100-SUM(AA100,AB100,AC100)</f>
        <v>-0.59999999999999964</v>
      </c>
      <c r="AE100" s="675">
        <v>3.1</v>
      </c>
      <c r="AF100" s="609">
        <v>-1.1000000000000001</v>
      </c>
      <c r="AG100" s="609">
        <v>-1.6</v>
      </c>
      <c r="AH100" s="609">
        <v>-2</v>
      </c>
      <c r="AI100" s="518">
        <f>AJ100-SUM(AF100,AG100,AH100)</f>
        <v>0</v>
      </c>
      <c r="AJ100" s="675">
        <v>-4.7</v>
      </c>
      <c r="AK100" s="518"/>
      <c r="AL100" s="518"/>
      <c r="AM100" s="518"/>
      <c r="AN100" s="518">
        <f>AO100-SUM(AK100,AL100,AM100)</f>
        <v>0</v>
      </c>
      <c r="AO100" s="89"/>
      <c r="AP100" s="518"/>
      <c r="AQ100" s="518"/>
      <c r="AR100" s="518"/>
      <c r="AS100" s="518"/>
      <c r="AT100" s="89"/>
      <c r="AU100" s="518"/>
      <c r="AV100" s="518"/>
      <c r="AW100" s="518"/>
      <c r="AX100" s="518"/>
      <c r="AY100" s="89"/>
      <c r="AZ100" s="518"/>
      <c r="BA100" s="518"/>
      <c r="BB100" s="518"/>
      <c r="BC100" s="518"/>
      <c r="BD100" s="89"/>
      <c r="BE100" s="518"/>
      <c r="BF100" s="518"/>
      <c r="BG100" s="518"/>
      <c r="BH100" s="518"/>
      <c r="BI100" s="89"/>
      <c r="BJ100" s="518"/>
      <c r="BK100" s="518"/>
      <c r="BL100" s="520"/>
      <c r="BM100" s="518"/>
      <c r="BN100" s="89"/>
      <c r="BO100" s="518"/>
      <c r="BP100" s="518"/>
      <c r="BQ100" s="518"/>
      <c r="BR100" s="518"/>
      <c r="BS100" s="89"/>
      <c r="BT100" s="89"/>
      <c r="BU100" s="89"/>
      <c r="BV100" s="89"/>
      <c r="BW100" s="519"/>
    </row>
    <row r="101" spans="1:75" s="439" customFormat="1" hidden="1" outlineLevel="1">
      <c r="A101" s="31" t="s">
        <v>186</v>
      </c>
      <c r="B101" s="24"/>
      <c r="C101" s="89"/>
      <c r="D101" s="89"/>
      <c r="E101" s="89"/>
      <c r="F101" s="89"/>
      <c r="G101" s="518"/>
      <c r="H101" s="518"/>
      <c r="I101" s="518"/>
      <c r="J101" s="518"/>
      <c r="K101" s="89"/>
      <c r="L101" s="518"/>
      <c r="M101" s="518"/>
      <c r="N101" s="518"/>
      <c r="O101" s="518"/>
      <c r="P101" s="675">
        <f>0.4+0.7</f>
        <v>1.1000000000000001</v>
      </c>
      <c r="Q101" s="518"/>
      <c r="R101" s="518"/>
      <c r="S101" s="518"/>
      <c r="T101" s="518"/>
      <c r="U101" s="675">
        <v>2.4</v>
      </c>
      <c r="V101" s="518"/>
      <c r="W101" s="518"/>
      <c r="X101" s="518"/>
      <c r="Y101" s="518"/>
      <c r="Z101" s="675">
        <v>1.2</v>
      </c>
      <c r="AA101" s="609">
        <v>-0.4</v>
      </c>
      <c r="AB101" s="518"/>
      <c r="AC101" s="518"/>
      <c r="AD101" s="518">
        <f>AE101-SUM(AA101,AB101,AC101)</f>
        <v>-0.29999999999999993</v>
      </c>
      <c r="AE101" s="675">
        <v>-0.7</v>
      </c>
      <c r="AF101" s="609">
        <v>-0.5</v>
      </c>
      <c r="AG101" s="609">
        <v>-1.1000000000000001</v>
      </c>
      <c r="AH101" s="609">
        <v>-1.3</v>
      </c>
      <c r="AI101" s="518">
        <f>AJ101-SUM(AF101,AG101,AH101)</f>
        <v>-0.89999999999999947</v>
      </c>
      <c r="AJ101" s="675">
        <v>-3.8</v>
      </c>
      <c r="AK101" s="518"/>
      <c r="AL101" s="518"/>
      <c r="AM101" s="518"/>
      <c r="AN101" s="518">
        <f>AO101-SUM(AK101,AL101,AM101)</f>
        <v>0</v>
      </c>
      <c r="AO101" s="89"/>
      <c r="AP101" s="518"/>
      <c r="AQ101" s="518"/>
      <c r="AR101" s="518"/>
      <c r="AS101" s="518"/>
      <c r="AT101" s="89"/>
      <c r="AU101" s="518"/>
      <c r="AV101" s="518"/>
      <c r="AW101" s="518"/>
      <c r="AX101" s="518"/>
      <c r="AY101" s="89"/>
      <c r="AZ101" s="518"/>
      <c r="BA101" s="518"/>
      <c r="BB101" s="518"/>
      <c r="BC101" s="518"/>
      <c r="BD101" s="89"/>
      <c r="BE101" s="518"/>
      <c r="BF101" s="518"/>
      <c r="BG101" s="518"/>
      <c r="BH101" s="518"/>
      <c r="BI101" s="89"/>
      <c r="BJ101" s="518"/>
      <c r="BK101" s="518"/>
      <c r="BL101" s="520"/>
      <c r="BM101" s="518"/>
      <c r="BN101" s="89"/>
      <c r="BO101" s="518"/>
      <c r="BP101" s="518"/>
      <c r="BQ101" s="518"/>
      <c r="BR101" s="518"/>
      <c r="BS101" s="89"/>
      <c r="BT101" s="89"/>
      <c r="BU101" s="89"/>
      <c r="BV101" s="89"/>
      <c r="BW101" s="519"/>
    </row>
    <row r="102" spans="1:75" s="439" customFormat="1" hidden="1" outlineLevel="1">
      <c r="A102" s="31" t="s">
        <v>187</v>
      </c>
      <c r="B102" s="24"/>
      <c r="C102" s="89"/>
      <c r="D102" s="89"/>
      <c r="E102" s="89"/>
      <c r="F102" s="89"/>
      <c r="G102" s="518"/>
      <c r="H102" s="518"/>
      <c r="I102" s="518"/>
      <c r="J102" s="518"/>
      <c r="K102" s="89"/>
      <c r="L102" s="518"/>
      <c r="M102" s="518"/>
      <c r="N102" s="518"/>
      <c r="O102" s="518"/>
      <c r="P102" s="89">
        <f>P103-SUM(P96:P101)</f>
        <v>2.1000000000000796E-2</v>
      </c>
      <c r="Q102" s="518"/>
      <c r="R102" s="518"/>
      <c r="S102" s="518"/>
      <c r="T102" s="518"/>
      <c r="U102" s="89">
        <f>U103-SUM(U96:U101)</f>
        <v>3.3000000000001251E-2</v>
      </c>
      <c r="V102" s="518"/>
      <c r="W102" s="518"/>
      <c r="X102" s="518"/>
      <c r="Y102" s="518"/>
      <c r="Z102" s="89">
        <f t="shared" ref="Z102:AR102" si="137">Z103-SUM(Z96:Z101)</f>
        <v>4.7999999999994714E-2</v>
      </c>
      <c r="AA102" s="518">
        <f t="shared" si="137"/>
        <v>3.5999999999997812E-2</v>
      </c>
      <c r="AB102" s="518">
        <f t="shared" si="137"/>
        <v>-0.33099999999999952</v>
      </c>
      <c r="AC102" s="518">
        <f t="shared" si="137"/>
        <v>0.21800000000000352</v>
      </c>
      <c r="AD102" s="518">
        <f t="shared" si="137"/>
        <v>3.2000000000003581E-2</v>
      </c>
      <c r="AE102" s="89">
        <f t="shared" si="137"/>
        <v>-4.5000000000001705E-2</v>
      </c>
      <c r="AF102" s="518">
        <f t="shared" si="137"/>
        <v>1.7999999999998906E-2</v>
      </c>
      <c r="AG102" s="518">
        <f t="shared" si="137"/>
        <v>-4.8000000000000043E-2</v>
      </c>
      <c r="AH102" s="518">
        <f t="shared" si="137"/>
        <v>-3.5000000000000142E-2</v>
      </c>
      <c r="AI102" s="518">
        <f t="shared" si="137"/>
        <v>1.8999999999998352E-2</v>
      </c>
      <c r="AJ102" s="89">
        <f t="shared" si="137"/>
        <v>-4.600000000000648E-2</v>
      </c>
      <c r="AK102" s="518">
        <f t="shared" si="137"/>
        <v>3.3000000000001251E-2</v>
      </c>
      <c r="AL102" s="518">
        <f t="shared" si="137"/>
        <v>0.26699999999999946</v>
      </c>
      <c r="AM102" s="518">
        <f t="shared" si="137"/>
        <v>0.23699999999999832</v>
      </c>
      <c r="AN102" s="518">
        <f t="shared" si="137"/>
        <v>-1.999000000000013</v>
      </c>
      <c r="AO102" s="89">
        <f t="shared" si="137"/>
        <v>-1.4620000000000033</v>
      </c>
      <c r="AP102" s="518">
        <f t="shared" si="137"/>
        <v>0.28200000000000003</v>
      </c>
      <c r="AQ102" s="518">
        <f t="shared" si="137"/>
        <v>0.44999999999999929</v>
      </c>
      <c r="AR102" s="518">
        <f t="shared" si="137"/>
        <v>-0.12099999999999866</v>
      </c>
      <c r="AS102" s="518"/>
      <c r="AT102" s="89">
        <f>AT103-SUM(AT96:AT101)</f>
        <v>-0.52400000000000091</v>
      </c>
      <c r="AU102" s="518">
        <f>AU103-SUM(AU96:AU101)</f>
        <v>-1.9730000000000008</v>
      </c>
      <c r="AV102" s="518">
        <f>AV103-SUM(AV96:AV101)</f>
        <v>-3.2000000000003581E-2</v>
      </c>
      <c r="AW102" s="518">
        <f>AW103-SUM(AW96:AW101)</f>
        <v>0.39199999999999946</v>
      </c>
      <c r="AX102" s="518"/>
      <c r="AY102" s="89">
        <f>AY103-SUM(AY96:AY101)</f>
        <v>0.11099999999999</v>
      </c>
      <c r="AZ102" s="518">
        <f>AZ103-SUM(AZ96:AZ101)</f>
        <v>0.35500000000000043</v>
      </c>
      <c r="BA102" s="518">
        <f>BA103-SUM(BA96:BA101)</f>
        <v>0.69500000000000028</v>
      </c>
      <c r="BB102" s="518">
        <f>BB103-SUM(BB96:BB101)</f>
        <v>-8.0000000000001847E-2</v>
      </c>
      <c r="BC102" s="518"/>
      <c r="BD102" s="89">
        <f>BD103-SUM(BD96:BD101)</f>
        <v>1.0080000000000098</v>
      </c>
      <c r="BE102" s="518">
        <f>BE103-SUM(BE96:BE101)</f>
        <v>0.23000000000000398</v>
      </c>
      <c r="BF102" s="518">
        <f>BF103-SUM(BF96:BF101)</f>
        <v>9.6000000000000085E-2</v>
      </c>
      <c r="BG102" s="518">
        <f>BG103-SUM(BG96:BG101)</f>
        <v>-0.13499999999999801</v>
      </c>
      <c r="BH102" s="518"/>
      <c r="BI102" s="89">
        <f>BI103-SUM(BI96:BI101)</f>
        <v>0.82399999999999807</v>
      </c>
      <c r="BJ102" s="518">
        <f>BJ103-SUM(BJ96:BJ101)</f>
        <v>-0.30400000000000205</v>
      </c>
      <c r="BK102" s="518">
        <f>BK103-SUM(BK96:BK101)</f>
        <v>0.29299999999999926</v>
      </c>
      <c r="BL102" s="520">
        <f>BL103-SUM(BL96:BL101)</f>
        <v>1.2119999999999962</v>
      </c>
      <c r="BM102" s="518"/>
      <c r="BN102" s="89"/>
      <c r="BO102" s="518"/>
      <c r="BP102" s="518"/>
      <c r="BQ102" s="518"/>
      <c r="BR102" s="518"/>
      <c r="BS102" s="89"/>
      <c r="BT102" s="89"/>
      <c r="BU102" s="89"/>
      <c r="BV102" s="89"/>
      <c r="BW102" s="519"/>
    </row>
    <row r="103" spans="1:75" s="444" customFormat="1" hidden="1" outlineLevel="1">
      <c r="A103" s="18" t="s">
        <v>188</v>
      </c>
      <c r="B103" s="48"/>
      <c r="C103" s="676"/>
      <c r="D103" s="676"/>
      <c r="E103" s="676"/>
      <c r="F103" s="676"/>
      <c r="G103" s="560"/>
      <c r="H103" s="560"/>
      <c r="I103" s="560"/>
      <c r="J103" s="560"/>
      <c r="K103" s="676"/>
      <c r="L103" s="560"/>
      <c r="M103" s="560"/>
      <c r="N103" s="560"/>
      <c r="O103" s="560"/>
      <c r="P103" s="676">
        <f>P155</f>
        <v>24.382000000000001</v>
      </c>
      <c r="Q103" s="560"/>
      <c r="R103" s="560"/>
      <c r="S103" s="560"/>
      <c r="T103" s="560"/>
      <c r="U103" s="676">
        <f>U155</f>
        <v>51.015000000000001</v>
      </c>
      <c r="V103" s="560"/>
      <c r="W103" s="560"/>
      <c r="X103" s="560"/>
      <c r="Y103" s="560"/>
      <c r="Z103" s="676">
        <f t="shared" ref="Z103:AR103" si="138">Z155</f>
        <v>60.363</v>
      </c>
      <c r="AA103" s="560">
        <f t="shared" si="138"/>
        <v>16.914000000000001</v>
      </c>
      <c r="AB103" s="560">
        <f t="shared" si="138"/>
        <v>18.056000000000001</v>
      </c>
      <c r="AC103" s="560">
        <f t="shared" si="138"/>
        <v>19.312000000000001</v>
      </c>
      <c r="AD103" s="560">
        <f t="shared" si="138"/>
        <v>16.236000000000001</v>
      </c>
      <c r="AE103" s="676">
        <f t="shared" si="138"/>
        <v>70.518000000000001</v>
      </c>
      <c r="AF103" s="560">
        <f t="shared" si="138"/>
        <v>14.731999999999999</v>
      </c>
      <c r="AG103" s="560">
        <f t="shared" si="138"/>
        <v>14.708</v>
      </c>
      <c r="AH103" s="560">
        <f t="shared" si="138"/>
        <v>14.177</v>
      </c>
      <c r="AI103" s="560">
        <f t="shared" si="138"/>
        <v>14.255000000000003</v>
      </c>
      <c r="AJ103" s="676">
        <f t="shared" si="138"/>
        <v>57.872</v>
      </c>
      <c r="AK103" s="560">
        <f t="shared" si="138"/>
        <v>14.265000000000001</v>
      </c>
      <c r="AL103" s="560">
        <f t="shared" si="138"/>
        <v>14.975</v>
      </c>
      <c r="AM103" s="560">
        <f t="shared" si="138"/>
        <v>16.513999999999999</v>
      </c>
      <c r="AN103" s="560">
        <f t="shared" si="138"/>
        <v>16.655999999999992</v>
      </c>
      <c r="AO103" s="676">
        <f t="shared" si="138"/>
        <v>62.41</v>
      </c>
      <c r="AP103" s="560">
        <f t="shared" si="138"/>
        <v>16.847000000000001</v>
      </c>
      <c r="AQ103" s="560">
        <f t="shared" si="138"/>
        <v>11.824999999999999</v>
      </c>
      <c r="AR103" s="560">
        <f t="shared" si="138"/>
        <v>13.193</v>
      </c>
      <c r="AS103" s="560"/>
      <c r="AT103" s="676">
        <f>AT155</f>
        <v>57.186</v>
      </c>
      <c r="AU103" s="560">
        <f>AU155</f>
        <v>14.874000000000001</v>
      </c>
      <c r="AV103" s="560">
        <f>AV155</f>
        <v>17.992999999999999</v>
      </c>
      <c r="AW103" s="560">
        <f>AW155</f>
        <v>21.184999999999999</v>
      </c>
      <c r="AX103" s="560"/>
      <c r="AY103" s="676">
        <f>AY155</f>
        <v>78.096999999999994</v>
      </c>
      <c r="AZ103" s="560">
        <f>AZ155</f>
        <v>23.428999999999998</v>
      </c>
      <c r="BA103" s="560">
        <f>BA155</f>
        <v>26.988</v>
      </c>
      <c r="BB103" s="560">
        <f>BB155</f>
        <v>26.805</v>
      </c>
      <c r="BC103" s="560"/>
      <c r="BD103" s="676">
        <f>BD155</f>
        <v>105.705</v>
      </c>
      <c r="BE103" s="560">
        <f>BE155</f>
        <v>26.059000000000001</v>
      </c>
      <c r="BF103" s="560">
        <f>BF155</f>
        <v>30.184000000000001</v>
      </c>
      <c r="BG103" s="560">
        <f>BG155</f>
        <v>28.37</v>
      </c>
      <c r="BH103" s="560"/>
      <c r="BI103" s="676">
        <f>BI155</f>
        <v>114.229</v>
      </c>
      <c r="BJ103" s="560">
        <f>BJ155</f>
        <v>27.355</v>
      </c>
      <c r="BK103" s="560">
        <f>BK155</f>
        <v>30.677</v>
      </c>
      <c r="BL103" s="561">
        <f>BL155</f>
        <v>32.381999999999998</v>
      </c>
      <c r="BM103" s="560"/>
      <c r="BN103" s="676"/>
      <c r="BO103" s="560"/>
      <c r="BP103" s="560"/>
      <c r="BQ103" s="560"/>
      <c r="BR103" s="560"/>
      <c r="BS103" s="676"/>
      <c r="BT103" s="676"/>
      <c r="BU103" s="676"/>
      <c r="BV103" s="676"/>
      <c r="BW103" s="318"/>
    </row>
    <row r="104" spans="1:75" s="444" customFormat="1" hidden="1" outlineLevel="1">
      <c r="A104" s="28"/>
      <c r="B104" s="79"/>
      <c r="C104" s="700"/>
      <c r="D104" s="700"/>
      <c r="E104" s="700"/>
      <c r="F104" s="700"/>
      <c r="G104" s="523"/>
      <c r="H104" s="523"/>
      <c r="I104" s="523"/>
      <c r="J104" s="523"/>
      <c r="K104" s="700"/>
      <c r="L104" s="523"/>
      <c r="M104" s="523"/>
      <c r="N104" s="523"/>
      <c r="O104" s="523"/>
      <c r="P104" s="700"/>
      <c r="Q104" s="523"/>
      <c r="R104" s="523"/>
      <c r="S104" s="523"/>
      <c r="T104" s="523"/>
      <c r="U104" s="700"/>
      <c r="V104" s="523"/>
      <c r="W104" s="523"/>
      <c r="X104" s="523"/>
      <c r="Y104" s="523"/>
      <c r="Z104" s="700"/>
      <c r="AA104" s="523"/>
      <c r="AB104" s="523"/>
      <c r="AC104" s="523"/>
      <c r="AD104" s="523"/>
      <c r="AE104" s="700"/>
      <c r="AF104" s="523"/>
      <c r="AG104" s="523"/>
      <c r="AH104" s="523"/>
      <c r="AI104" s="523"/>
      <c r="AJ104" s="700"/>
      <c r="AK104" s="523"/>
      <c r="AL104" s="523"/>
      <c r="AM104" s="523"/>
      <c r="AN104" s="523"/>
      <c r="AO104" s="700"/>
      <c r="AP104" s="523"/>
      <c r="AQ104" s="523"/>
      <c r="AR104" s="523"/>
      <c r="AS104" s="523"/>
      <c r="AT104" s="700"/>
      <c r="AU104" s="523"/>
      <c r="AV104" s="523"/>
      <c r="AW104" s="523"/>
      <c r="AX104" s="523"/>
      <c r="AY104" s="700"/>
      <c r="AZ104" s="523"/>
      <c r="BA104" s="523"/>
      <c r="BB104" s="523"/>
      <c r="BC104" s="523"/>
      <c r="BD104" s="700"/>
      <c r="BE104" s="523"/>
      <c r="BF104" s="523"/>
      <c r="BG104" s="523"/>
      <c r="BH104" s="523"/>
      <c r="BI104" s="700"/>
      <c r="BJ104" s="523"/>
      <c r="BK104" s="523"/>
      <c r="BL104" s="563"/>
      <c r="BM104" s="523"/>
      <c r="BN104" s="700"/>
      <c r="BO104" s="523"/>
      <c r="BP104" s="523"/>
      <c r="BQ104" s="523"/>
      <c r="BR104" s="523"/>
      <c r="BS104" s="700"/>
      <c r="BT104" s="700"/>
      <c r="BU104" s="700"/>
      <c r="BV104" s="700"/>
      <c r="BW104" s="318"/>
    </row>
    <row r="105" spans="1:75" s="444" customFormat="1" hidden="1" outlineLevel="1">
      <c r="A105" s="28" t="s">
        <v>189</v>
      </c>
      <c r="B105" s="79"/>
      <c r="C105" s="700"/>
      <c r="D105" s="700"/>
      <c r="E105" s="700"/>
      <c r="F105" s="700"/>
      <c r="G105" s="523"/>
      <c r="H105" s="523"/>
      <c r="I105" s="523"/>
      <c r="J105" s="523"/>
      <c r="K105" s="700"/>
      <c r="L105" s="523"/>
      <c r="M105" s="523"/>
      <c r="N105" s="523"/>
      <c r="O105" s="523"/>
      <c r="P105" s="700">
        <f>K156</f>
        <v>131.97</v>
      </c>
      <c r="Q105" s="523"/>
      <c r="R105" s="523"/>
      <c r="S105" s="523"/>
      <c r="T105" s="523"/>
      <c r="U105" s="700">
        <f>P156</f>
        <v>201.05</v>
      </c>
      <c r="V105" s="523"/>
      <c r="W105" s="523"/>
      <c r="X105" s="523"/>
      <c r="Y105" s="523"/>
      <c r="Z105" s="700">
        <f t="shared" ref="Z105:AR105" si="139">U156</f>
        <v>301.76400000000001</v>
      </c>
      <c r="AA105" s="523">
        <f t="shared" si="139"/>
        <v>95.628</v>
      </c>
      <c r="AB105" s="523">
        <f t="shared" si="139"/>
        <v>94.402000000000001</v>
      </c>
      <c r="AC105" s="523">
        <f t="shared" si="139"/>
        <v>99.274000000000001</v>
      </c>
      <c r="AD105" s="523">
        <f t="shared" si="139"/>
        <v>93.550000000000011</v>
      </c>
      <c r="AE105" s="700">
        <f t="shared" si="139"/>
        <v>382.85399999999998</v>
      </c>
      <c r="AF105" s="523">
        <f t="shared" si="139"/>
        <v>108.532</v>
      </c>
      <c r="AG105" s="523">
        <f t="shared" si="139"/>
        <v>104.92100000000001</v>
      </c>
      <c r="AH105" s="523">
        <f t="shared" si="139"/>
        <v>112.958</v>
      </c>
      <c r="AI105" s="523">
        <f t="shared" si="139"/>
        <v>111.01300000000001</v>
      </c>
      <c r="AJ105" s="700">
        <f t="shared" si="139"/>
        <v>437.42399999999998</v>
      </c>
      <c r="AK105" s="523">
        <f t="shared" si="139"/>
        <v>119.64100000000001</v>
      </c>
      <c r="AL105" s="523">
        <f t="shared" si="139"/>
        <v>120.65300000000001</v>
      </c>
      <c r="AM105" s="523">
        <f t="shared" si="139"/>
        <v>121.759</v>
      </c>
      <c r="AN105" s="523">
        <f t="shared" si="139"/>
        <v>121.25600000000003</v>
      </c>
      <c r="AO105" s="700">
        <f t="shared" si="139"/>
        <v>483.30900000000003</v>
      </c>
      <c r="AP105" s="523">
        <f t="shared" si="139"/>
        <v>124.316</v>
      </c>
      <c r="AQ105" s="523">
        <f t="shared" si="139"/>
        <v>122.045</v>
      </c>
      <c r="AR105" s="523">
        <f t="shared" si="139"/>
        <v>127.655</v>
      </c>
      <c r="AS105" s="523"/>
      <c r="AT105" s="700">
        <f>AO156</f>
        <v>500.38600000000002</v>
      </c>
      <c r="AU105" s="523">
        <f>AP156</f>
        <v>137.297</v>
      </c>
      <c r="AV105" s="523">
        <f>AQ156</f>
        <v>96.289000000000001</v>
      </c>
      <c r="AW105" s="523">
        <f>AR156</f>
        <v>101.301</v>
      </c>
      <c r="AX105" s="523"/>
      <c r="AY105" s="700">
        <f>AT156</f>
        <v>437.06</v>
      </c>
      <c r="AZ105" s="523">
        <f>AU156</f>
        <v>112.90900000000001</v>
      </c>
      <c r="BA105" s="523">
        <f>AV156</f>
        <v>113.64100000000001</v>
      </c>
      <c r="BB105" s="523">
        <f>AW156</f>
        <v>114.295</v>
      </c>
      <c r="BC105" s="523"/>
      <c r="BD105" s="700">
        <f>AY156</f>
        <v>454.22399999999999</v>
      </c>
      <c r="BE105" s="523">
        <f>AZ156</f>
        <v>126.09699999999999</v>
      </c>
      <c r="BF105" s="523">
        <f>BA156</f>
        <v>129.41200000000001</v>
      </c>
      <c r="BG105" s="523">
        <f>BB156</f>
        <v>133.06100000000001</v>
      </c>
      <c r="BH105" s="523"/>
      <c r="BI105" s="700">
        <f>BD156</f>
        <v>514.92700000000002</v>
      </c>
      <c r="BJ105" s="523">
        <f>BE156</f>
        <v>147.45500000000001</v>
      </c>
      <c r="BK105" s="523">
        <f>BF156</f>
        <v>139.15</v>
      </c>
      <c r="BL105" s="563">
        <f>BG156</f>
        <v>137.703</v>
      </c>
      <c r="BM105" s="523"/>
      <c r="BN105" s="700"/>
      <c r="BO105" s="523"/>
      <c r="BP105" s="523"/>
      <c r="BQ105" s="523"/>
      <c r="BR105" s="523"/>
      <c r="BS105" s="700"/>
      <c r="BT105" s="700"/>
      <c r="BU105" s="700"/>
      <c r="BV105" s="700"/>
      <c r="BW105" s="318"/>
    </row>
    <row r="106" spans="1:75" s="439" customFormat="1" hidden="1" outlineLevel="1">
      <c r="A106" s="31" t="s">
        <v>190</v>
      </c>
      <c r="B106" s="24"/>
      <c r="C106" s="89"/>
      <c r="D106" s="89"/>
      <c r="E106" s="89"/>
      <c r="F106" s="89"/>
      <c r="G106" s="518"/>
      <c r="H106" s="518"/>
      <c r="I106" s="518"/>
      <c r="J106" s="518"/>
      <c r="K106" s="89"/>
      <c r="L106" s="518"/>
      <c r="M106" s="518"/>
      <c r="N106" s="518"/>
      <c r="O106" s="518"/>
      <c r="P106" s="675">
        <v>42.9</v>
      </c>
      <c r="Q106" s="518"/>
      <c r="R106" s="518"/>
      <c r="S106" s="518"/>
      <c r="T106" s="518"/>
      <c r="U106" s="675">
        <v>57.1</v>
      </c>
      <c r="V106" s="518"/>
      <c r="W106" s="518"/>
      <c r="X106" s="518"/>
      <c r="Y106" s="518"/>
      <c r="Z106" s="675">
        <v>48.5</v>
      </c>
      <c r="AA106" s="609">
        <v>9.9</v>
      </c>
      <c r="AB106" s="609">
        <v>9.3000000000000007</v>
      </c>
      <c r="AC106" s="609">
        <v>11.2</v>
      </c>
      <c r="AD106" s="518">
        <f>AE106-SUM(AA106,AB106,AC106)</f>
        <v>12.399999999999995</v>
      </c>
      <c r="AE106" s="675">
        <v>42.8</v>
      </c>
      <c r="AF106" s="609">
        <v>11.9</v>
      </c>
      <c r="AG106" s="609">
        <v>12.4</v>
      </c>
      <c r="AH106" s="609">
        <v>9</v>
      </c>
      <c r="AI106" s="518">
        <f>AJ106-SUM(AF106,AG106,AH106)</f>
        <v>10.700000000000003</v>
      </c>
      <c r="AJ106" s="675">
        <v>44</v>
      </c>
      <c r="AK106" s="609">
        <v>8.1999999999999993</v>
      </c>
      <c r="AL106" s="609">
        <v>6.4</v>
      </c>
      <c r="AM106" s="609">
        <v>10.1</v>
      </c>
      <c r="AN106" s="518">
        <f>AO106-SUM(AK106,AL106,AM106)</f>
        <v>7.1000000000000014</v>
      </c>
      <c r="AO106" s="675">
        <v>31.8</v>
      </c>
      <c r="AP106" s="518"/>
      <c r="AQ106" s="609">
        <v>-18.5</v>
      </c>
      <c r="AR106" s="609">
        <v>-22.9</v>
      </c>
      <c r="AS106" s="518"/>
      <c r="AT106" s="675">
        <v>-49</v>
      </c>
      <c r="AU106" s="609">
        <v>-25.7</v>
      </c>
      <c r="AV106" s="609">
        <v>5.3</v>
      </c>
      <c r="AW106" s="609">
        <v>4.4000000000000004</v>
      </c>
      <c r="AX106" s="518"/>
      <c r="AY106" s="675">
        <v>-10.5</v>
      </c>
      <c r="AZ106" s="609">
        <v>7.5</v>
      </c>
      <c r="BA106" s="609">
        <v>12</v>
      </c>
      <c r="BB106" s="609">
        <v>16.399999999999999</v>
      </c>
      <c r="BC106" s="518"/>
      <c r="BD106" s="675">
        <v>54</v>
      </c>
      <c r="BE106" s="609">
        <v>22.2</v>
      </c>
      <c r="BF106" s="609">
        <v>16.3</v>
      </c>
      <c r="BG106" s="609">
        <v>11.2</v>
      </c>
      <c r="BH106" s="518"/>
      <c r="BI106" s="675">
        <v>54.5</v>
      </c>
      <c r="BJ106" s="609">
        <v>1.4</v>
      </c>
      <c r="BK106" s="609">
        <v>3.8</v>
      </c>
      <c r="BL106" s="610">
        <v>5</v>
      </c>
      <c r="BM106" s="518"/>
      <c r="BN106" s="89"/>
      <c r="BO106" s="518"/>
      <c r="BP106" s="518"/>
      <c r="BQ106" s="518"/>
      <c r="BR106" s="518"/>
      <c r="BS106" s="89"/>
      <c r="BT106" s="89"/>
      <c r="BU106" s="89"/>
      <c r="BV106" s="89"/>
      <c r="BW106" s="519"/>
    </row>
    <row r="107" spans="1:75" s="439" customFormat="1" hidden="1" outlineLevel="1">
      <c r="A107" s="31" t="s">
        <v>191</v>
      </c>
      <c r="B107" s="24"/>
      <c r="C107" s="89"/>
      <c r="D107" s="89"/>
      <c r="E107" s="89"/>
      <c r="F107" s="89"/>
      <c r="G107" s="518"/>
      <c r="H107" s="518"/>
      <c r="I107" s="518"/>
      <c r="J107" s="518"/>
      <c r="K107" s="89"/>
      <c r="L107" s="518"/>
      <c r="M107" s="518"/>
      <c r="N107" s="518"/>
      <c r="O107" s="518"/>
      <c r="P107" s="89"/>
      <c r="Q107" s="518"/>
      <c r="R107" s="518"/>
      <c r="S107" s="518"/>
      <c r="T107" s="518"/>
      <c r="U107" s="89"/>
      <c r="V107" s="518"/>
      <c r="W107" s="518"/>
      <c r="X107" s="518"/>
      <c r="Y107" s="518"/>
      <c r="Z107" s="89"/>
      <c r="AA107" s="518"/>
      <c r="AB107" s="518"/>
      <c r="AC107" s="518"/>
      <c r="AD107" s="518"/>
      <c r="AE107" s="89"/>
      <c r="AF107" s="518"/>
      <c r="AG107" s="518"/>
      <c r="AH107" s="518"/>
      <c r="AI107" s="518"/>
      <c r="AJ107" s="89"/>
      <c r="AK107" s="518"/>
      <c r="AL107" s="518"/>
      <c r="AM107" s="518"/>
      <c r="AN107" s="518"/>
      <c r="AO107" s="89"/>
      <c r="AP107" s="518"/>
      <c r="AQ107" s="518"/>
      <c r="AR107" s="518"/>
      <c r="AS107" s="518"/>
      <c r="AT107" s="89"/>
      <c r="AU107" s="518"/>
      <c r="AV107" s="518"/>
      <c r="AW107" s="518"/>
      <c r="AX107" s="518"/>
      <c r="AY107" s="89"/>
      <c r="AZ107" s="518"/>
      <c r="BA107" s="518"/>
      <c r="BB107" s="518"/>
      <c r="BC107" s="518"/>
      <c r="BD107" s="89"/>
      <c r="BE107" s="518"/>
      <c r="BF107" s="518"/>
      <c r="BG107" s="518"/>
      <c r="BH107" s="518"/>
      <c r="BI107" s="89"/>
      <c r="BJ107" s="609">
        <v>-3.7</v>
      </c>
      <c r="BK107" s="609">
        <v>-3</v>
      </c>
      <c r="BL107" s="610">
        <v>-3</v>
      </c>
      <c r="BM107" s="518"/>
      <c r="BN107" s="89"/>
      <c r="BO107" s="518"/>
      <c r="BP107" s="518"/>
      <c r="BQ107" s="518"/>
      <c r="BR107" s="518"/>
      <c r="BS107" s="89"/>
      <c r="BT107" s="89"/>
      <c r="BU107" s="89"/>
      <c r="BV107" s="89"/>
      <c r="BW107" s="519"/>
    </row>
    <row r="108" spans="1:75" s="439" customFormat="1" hidden="1" outlineLevel="1">
      <c r="A108" s="31" t="s">
        <v>192</v>
      </c>
      <c r="B108" s="24"/>
      <c r="C108" s="89"/>
      <c r="D108" s="89"/>
      <c r="E108" s="89"/>
      <c r="F108" s="89"/>
      <c r="G108" s="518"/>
      <c r="H108" s="518"/>
      <c r="I108" s="518"/>
      <c r="J108" s="518"/>
      <c r="K108" s="89"/>
      <c r="L108" s="518"/>
      <c r="M108" s="518"/>
      <c r="N108" s="518"/>
      <c r="O108" s="518"/>
      <c r="P108" s="675">
        <v>11.8</v>
      </c>
      <c r="Q108" s="518"/>
      <c r="R108" s="518"/>
      <c r="S108" s="518"/>
      <c r="T108" s="518"/>
      <c r="U108" s="675">
        <v>17.100000000000001</v>
      </c>
      <c r="V108" s="518"/>
      <c r="W108" s="518"/>
      <c r="X108" s="518"/>
      <c r="Y108" s="518"/>
      <c r="Z108" s="675">
        <v>10</v>
      </c>
      <c r="AA108" s="609">
        <v>1.8</v>
      </c>
      <c r="AB108" s="609">
        <v>0.5</v>
      </c>
      <c r="AC108" s="609">
        <v>2.6</v>
      </c>
      <c r="AD108" s="518">
        <f>AE108-SUM(AA108,AB108,AC108)</f>
        <v>1.1999999999999993</v>
      </c>
      <c r="AE108" s="675">
        <v>6.1</v>
      </c>
      <c r="AF108" s="609">
        <v>2.7</v>
      </c>
      <c r="AG108" s="609">
        <v>3.4</v>
      </c>
      <c r="AH108" s="609">
        <v>1.5</v>
      </c>
      <c r="AI108" s="518">
        <f>AJ108-SUM(AF108,AG108,AH108)</f>
        <v>3</v>
      </c>
      <c r="AJ108" s="675">
        <v>10.6</v>
      </c>
      <c r="AK108" s="609">
        <v>1.3</v>
      </c>
      <c r="AL108" s="609">
        <v>0.8</v>
      </c>
      <c r="AM108" s="518"/>
      <c r="AN108" s="518">
        <f>AO108-SUM(AK108,AL108,AM108)</f>
        <v>-2.1</v>
      </c>
      <c r="AO108" s="675">
        <v>0</v>
      </c>
      <c r="AP108" s="518"/>
      <c r="AQ108" s="609">
        <v>-4</v>
      </c>
      <c r="AR108" s="609">
        <v>-3.7</v>
      </c>
      <c r="AS108" s="518"/>
      <c r="AT108" s="675">
        <v>-12.5</v>
      </c>
      <c r="AU108" s="609">
        <v>-3.6</v>
      </c>
      <c r="AV108" s="609">
        <v>-1.3</v>
      </c>
      <c r="AW108" s="518"/>
      <c r="AX108" s="518"/>
      <c r="AY108" s="675">
        <v>-8.1999999999999993</v>
      </c>
      <c r="AZ108" s="609">
        <v>-2.6</v>
      </c>
      <c r="BA108" s="609">
        <v>-1.9</v>
      </c>
      <c r="BB108" s="609">
        <v>-2</v>
      </c>
      <c r="BC108" s="518"/>
      <c r="BD108" s="675">
        <v>-9.6999999999999993</v>
      </c>
      <c r="BE108" s="609">
        <v>-1.4</v>
      </c>
      <c r="BF108" s="609">
        <v>-1.3</v>
      </c>
      <c r="BG108" s="609">
        <v>-1.8</v>
      </c>
      <c r="BH108" s="518"/>
      <c r="BI108" s="675">
        <v>-5.8</v>
      </c>
      <c r="BJ108" s="518"/>
      <c r="BK108" s="518"/>
      <c r="BL108" s="520"/>
      <c r="BM108" s="518"/>
      <c r="BN108" s="89"/>
      <c r="BO108" s="518"/>
      <c r="BP108" s="518"/>
      <c r="BQ108" s="518"/>
      <c r="BR108" s="518"/>
      <c r="BS108" s="89"/>
      <c r="BT108" s="89"/>
      <c r="BU108" s="89"/>
      <c r="BV108" s="89"/>
      <c r="BW108" s="519"/>
    </row>
    <row r="109" spans="1:75" s="439" customFormat="1" hidden="1" outlineLevel="1">
      <c r="A109" s="31" t="s">
        <v>193</v>
      </c>
      <c r="B109" s="24"/>
      <c r="C109" s="89"/>
      <c r="D109" s="89"/>
      <c r="E109" s="89"/>
      <c r="F109" s="89"/>
      <c r="G109" s="518"/>
      <c r="H109" s="518"/>
      <c r="I109" s="518"/>
      <c r="J109" s="518"/>
      <c r="K109" s="89"/>
      <c r="L109" s="518"/>
      <c r="M109" s="518"/>
      <c r="N109" s="518"/>
      <c r="O109" s="518"/>
      <c r="P109" s="675">
        <v>5.2</v>
      </c>
      <c r="Q109" s="518"/>
      <c r="R109" s="518"/>
      <c r="S109" s="518"/>
      <c r="T109" s="518"/>
      <c r="U109" s="675">
        <v>2.7</v>
      </c>
      <c r="V109" s="518"/>
      <c r="W109" s="518"/>
      <c r="X109" s="518"/>
      <c r="Y109" s="518"/>
      <c r="Z109" s="675">
        <v>7.8</v>
      </c>
      <c r="AA109" s="609">
        <v>-1.1000000000000001</v>
      </c>
      <c r="AB109" s="609">
        <v>0</v>
      </c>
      <c r="AC109" s="609">
        <v>0</v>
      </c>
      <c r="AD109" s="518">
        <f>AE109-SUM(AA109,AB109,AC109)</f>
        <v>5.6999999999999993</v>
      </c>
      <c r="AE109" s="675">
        <v>4.5999999999999996</v>
      </c>
      <c r="AF109" s="609">
        <v>2.4</v>
      </c>
      <c r="AG109" s="609">
        <v>1.5</v>
      </c>
      <c r="AH109" s="609">
        <v>1.7</v>
      </c>
      <c r="AI109" s="518">
        <f>AJ109-SUM(AF109,AG109,AH109)</f>
        <v>-0.89999999999999947</v>
      </c>
      <c r="AJ109" s="675">
        <v>4.7</v>
      </c>
      <c r="AK109" s="518"/>
      <c r="AL109" s="518"/>
      <c r="AM109" s="518"/>
      <c r="AN109" s="518">
        <f>AO109-SUM(AK109,AL109,AM109)</f>
        <v>0</v>
      </c>
      <c r="AO109" s="89"/>
      <c r="AP109" s="518"/>
      <c r="AQ109" s="518"/>
      <c r="AR109" s="518"/>
      <c r="AS109" s="518"/>
      <c r="AT109" s="89"/>
      <c r="AU109" s="518"/>
      <c r="AV109" s="518"/>
      <c r="AW109" s="518"/>
      <c r="AX109" s="518"/>
      <c r="AY109" s="89"/>
      <c r="AZ109" s="518"/>
      <c r="BA109" s="518"/>
      <c r="BB109" s="518"/>
      <c r="BC109" s="518"/>
      <c r="BD109" s="89"/>
      <c r="BE109" s="518"/>
      <c r="BF109" s="518"/>
      <c r="BG109" s="518"/>
      <c r="BH109" s="518"/>
      <c r="BI109" s="89"/>
      <c r="BJ109" s="518"/>
      <c r="BK109" s="518"/>
      <c r="BL109" s="520"/>
      <c r="BM109" s="518"/>
      <c r="BN109" s="89"/>
      <c r="BO109" s="518"/>
      <c r="BP109" s="518"/>
      <c r="BQ109" s="518"/>
      <c r="BR109" s="518"/>
      <c r="BS109" s="89"/>
      <c r="BT109" s="89"/>
      <c r="BU109" s="89"/>
      <c r="BV109" s="89"/>
      <c r="BW109" s="519"/>
    </row>
    <row r="110" spans="1:75" s="439" customFormat="1" hidden="1" outlineLevel="1">
      <c r="A110" s="31" t="s">
        <v>194</v>
      </c>
      <c r="B110" s="24"/>
      <c r="C110" s="89"/>
      <c r="D110" s="89"/>
      <c r="E110" s="89"/>
      <c r="F110" s="89"/>
      <c r="G110" s="518"/>
      <c r="H110" s="518"/>
      <c r="I110" s="518"/>
      <c r="J110" s="518"/>
      <c r="K110" s="89"/>
      <c r="L110" s="518"/>
      <c r="M110" s="518"/>
      <c r="N110" s="518"/>
      <c r="O110" s="518"/>
      <c r="P110" s="675">
        <v>9.1999999999999993</v>
      </c>
      <c r="Q110" s="518"/>
      <c r="R110" s="518"/>
      <c r="S110" s="518"/>
      <c r="T110" s="518"/>
      <c r="U110" s="675">
        <v>23.8</v>
      </c>
      <c r="V110" s="518"/>
      <c r="W110" s="518"/>
      <c r="X110" s="518"/>
      <c r="Y110" s="518"/>
      <c r="Z110" s="675">
        <v>14.8</v>
      </c>
      <c r="AA110" s="609">
        <v>3.1</v>
      </c>
      <c r="AB110" s="609">
        <v>0.5</v>
      </c>
      <c r="AC110" s="609">
        <v>0</v>
      </c>
      <c r="AD110" s="518">
        <f>AE110-SUM(AA110,AB110,AC110)</f>
        <v>-1.3000000000000003</v>
      </c>
      <c r="AE110" s="675">
        <v>2.2999999999999998</v>
      </c>
      <c r="AF110" s="609">
        <v>-5.9</v>
      </c>
      <c r="AG110" s="609">
        <v>-1.6</v>
      </c>
      <c r="AH110" s="609">
        <v>-3.4</v>
      </c>
      <c r="AI110" s="518">
        <f>AJ110-SUM(AF110,AG110,AH110)</f>
        <v>-2.5</v>
      </c>
      <c r="AJ110" s="675">
        <v>-13.4</v>
      </c>
      <c r="AK110" s="609">
        <v>-4.8</v>
      </c>
      <c r="AL110" s="609">
        <v>-5.8</v>
      </c>
      <c r="AM110" s="609">
        <v>-3.9</v>
      </c>
      <c r="AN110" s="518">
        <f>AO110-SUM(AK110,AL110,AM110)</f>
        <v>-1.3000000000000007</v>
      </c>
      <c r="AO110" s="675">
        <v>-15.8</v>
      </c>
      <c r="AP110" s="518"/>
      <c r="AQ110" s="609">
        <v>-3.3</v>
      </c>
      <c r="AR110" s="518"/>
      <c r="AS110" s="518"/>
      <c r="AT110" s="89"/>
      <c r="AU110" s="609">
        <v>4.9000000000000004</v>
      </c>
      <c r="AV110" s="609">
        <v>13.4</v>
      </c>
      <c r="AW110" s="609">
        <v>9.6999999999999993</v>
      </c>
      <c r="AX110" s="518"/>
      <c r="AY110" s="675">
        <v>35.799999999999997</v>
      </c>
      <c r="AZ110" s="609">
        <v>8.3000000000000007</v>
      </c>
      <c r="BA110" s="609">
        <v>5.7</v>
      </c>
      <c r="BB110" s="609">
        <v>4.4000000000000004</v>
      </c>
      <c r="BC110" s="518"/>
      <c r="BD110" s="675">
        <v>16.399999999999999</v>
      </c>
      <c r="BE110" s="518"/>
      <c r="BF110" s="609">
        <v>-5.3</v>
      </c>
      <c r="BG110" s="609">
        <v>-4.8</v>
      </c>
      <c r="BH110" s="518"/>
      <c r="BI110" s="675">
        <v>-7</v>
      </c>
      <c r="BJ110" s="609">
        <v>2.6</v>
      </c>
      <c r="BK110" s="609">
        <v>10.3</v>
      </c>
      <c r="BL110" s="610">
        <v>5</v>
      </c>
      <c r="BM110" s="518"/>
      <c r="BN110" s="89"/>
      <c r="BO110" s="518"/>
      <c r="BP110" s="518"/>
      <c r="BQ110" s="518"/>
      <c r="BR110" s="518"/>
      <c r="BS110" s="89"/>
      <c r="BT110" s="89"/>
      <c r="BU110" s="89"/>
      <c r="BV110" s="89"/>
      <c r="BW110" s="519"/>
    </row>
    <row r="111" spans="1:75" s="439" customFormat="1" hidden="1" outlineLevel="1">
      <c r="A111" s="31" t="s">
        <v>195</v>
      </c>
      <c r="B111" s="24"/>
      <c r="C111" s="89"/>
      <c r="D111" s="89"/>
      <c r="E111" s="89"/>
      <c r="F111" s="89"/>
      <c r="G111" s="518"/>
      <c r="H111" s="518"/>
      <c r="I111" s="518"/>
      <c r="J111" s="518"/>
      <c r="K111" s="89"/>
      <c r="L111" s="518"/>
      <c r="M111" s="518"/>
      <c r="N111" s="518"/>
      <c r="O111" s="518"/>
      <c r="P111" s="89">
        <f>P112-SUM(P105:P110)</f>
        <v>-1.999999999998181E-2</v>
      </c>
      <c r="Q111" s="518"/>
      <c r="R111" s="518"/>
      <c r="S111" s="518"/>
      <c r="T111" s="518"/>
      <c r="U111" s="89">
        <f>U112-SUM(U105:U110)</f>
        <v>1.3999999999953161E-2</v>
      </c>
      <c r="V111" s="518"/>
      <c r="W111" s="518"/>
      <c r="X111" s="518"/>
      <c r="Y111" s="518"/>
      <c r="Z111" s="89">
        <f t="shared" ref="Z111:AR111" si="140">Z112-SUM(Z105:Z110)</f>
        <v>-1.0000000000047748E-2</v>
      </c>
      <c r="AA111" s="518">
        <f t="shared" si="140"/>
        <v>-4.2000000000001592E-2</v>
      </c>
      <c r="AB111" s="518">
        <f t="shared" si="140"/>
        <v>0.53000000000000114</v>
      </c>
      <c r="AC111" s="518">
        <f t="shared" si="140"/>
        <v>-3.3000000000001251E-2</v>
      </c>
      <c r="AD111" s="518">
        <f t="shared" si="140"/>
        <v>-0.53700000000000614</v>
      </c>
      <c r="AE111" s="89">
        <f t="shared" si="140"/>
        <v>-1.1000000000080945E-2</v>
      </c>
      <c r="AF111" s="518">
        <f t="shared" si="140"/>
        <v>9.0000000000003411E-3</v>
      </c>
      <c r="AG111" s="518">
        <f t="shared" si="140"/>
        <v>3.1999999999982265E-2</v>
      </c>
      <c r="AH111" s="518">
        <f t="shared" si="140"/>
        <v>1.0000000000047748E-3</v>
      </c>
      <c r="AI111" s="518">
        <f t="shared" si="140"/>
        <v>-5.6999999999973738E-2</v>
      </c>
      <c r="AJ111" s="89">
        <f t="shared" si="140"/>
        <v>-1.4999999999986358E-2</v>
      </c>
      <c r="AK111" s="518">
        <f t="shared" si="140"/>
        <v>-2.5000000000019895E-2</v>
      </c>
      <c r="AL111" s="518">
        <f t="shared" si="140"/>
        <v>-8.0000000000097771E-3</v>
      </c>
      <c r="AM111" s="518">
        <f t="shared" si="140"/>
        <v>-0.30400000000000205</v>
      </c>
      <c r="AN111" s="518">
        <f t="shared" si="140"/>
        <v>1.4140000000000299</v>
      </c>
      <c r="AO111" s="89">
        <f t="shared" si="140"/>
        <v>1.0769999999999982</v>
      </c>
      <c r="AP111" s="518">
        <f t="shared" si="140"/>
        <v>12.980999999999995</v>
      </c>
      <c r="AQ111" s="518">
        <f t="shared" si="140"/>
        <v>4.399999999999693E-2</v>
      </c>
      <c r="AR111" s="518">
        <f t="shared" si="140"/>
        <v>0.24600000000000932</v>
      </c>
      <c r="AS111" s="518"/>
      <c r="AT111" s="89">
        <f>AT112-SUM(AT105:AT110)</f>
        <v>-1.8260000000000218</v>
      </c>
      <c r="AU111" s="518">
        <f>AU112-SUM(AU105:AU110)</f>
        <v>1.2000000000000455E-2</v>
      </c>
      <c r="AV111" s="518">
        <f>AV112-SUM(AV105:AV110)</f>
        <v>-4.8000000000001819E-2</v>
      </c>
      <c r="AW111" s="518">
        <f>AW112-SUM(AW105:AW110)</f>
        <v>-1.1060000000000088</v>
      </c>
      <c r="AX111" s="518"/>
      <c r="AY111" s="89">
        <f>AY112-SUM(AY105:AY110)</f>
        <v>6.399999999996453E-2</v>
      </c>
      <c r="AZ111" s="518">
        <f>AZ112-SUM(AZ105:AZ110)</f>
        <v>-1.2000000000014666E-2</v>
      </c>
      <c r="BA111" s="518">
        <f>BA112-SUM(BA105:BA110)</f>
        <v>-2.8999999999996362E-2</v>
      </c>
      <c r="BB111" s="518">
        <f>BB112-SUM(BB105:BB110)</f>
        <v>-3.3999999999991815E-2</v>
      </c>
      <c r="BC111" s="518"/>
      <c r="BD111" s="89">
        <f>BD112-SUM(BD105:BD110)</f>
        <v>3.0000000000427463E-3</v>
      </c>
      <c r="BE111" s="518">
        <f>BE112-SUM(BE105:BE110)</f>
        <v>0.55800000000002115</v>
      </c>
      <c r="BF111" s="518">
        <f>BF112-SUM(BF105:BF110)</f>
        <v>3.8000000000010914E-2</v>
      </c>
      <c r="BG111" s="518">
        <f>BG112-SUM(BG105:BG110)</f>
        <v>4.2000000000030013E-2</v>
      </c>
      <c r="BH111" s="518"/>
      <c r="BI111" s="89">
        <f>BI112-SUM(BI105:BI110)</f>
        <v>-2.2000000000048203E-2</v>
      </c>
      <c r="BJ111" s="518">
        <f>BJ112-SUM(BJ105:BJ110)</f>
        <v>3.5999999999972943E-2</v>
      </c>
      <c r="BK111" s="518">
        <f>BK112-SUM(BK105:BK110)</f>
        <v>4.2999999999977945E-2</v>
      </c>
      <c r="BL111" s="520">
        <f>BL112-SUM(BL105:BL110)</f>
        <v>-7.2000000000002728E-2</v>
      </c>
      <c r="BM111" s="518"/>
      <c r="BN111" s="89"/>
      <c r="BO111" s="518"/>
      <c r="BP111" s="518"/>
      <c r="BQ111" s="518"/>
      <c r="BR111" s="518"/>
      <c r="BS111" s="89"/>
      <c r="BT111" s="89"/>
      <c r="BU111" s="89"/>
      <c r="BV111" s="89"/>
      <c r="BW111" s="519"/>
    </row>
    <row r="112" spans="1:75" s="444" customFormat="1" hidden="1" outlineLevel="1">
      <c r="A112" s="18" t="s">
        <v>196</v>
      </c>
      <c r="B112" s="48"/>
      <c r="C112" s="676"/>
      <c r="D112" s="676"/>
      <c r="E112" s="676"/>
      <c r="F112" s="676"/>
      <c r="G112" s="560"/>
      <c r="H112" s="560"/>
      <c r="I112" s="560"/>
      <c r="J112" s="560"/>
      <c r="K112" s="676"/>
      <c r="L112" s="560"/>
      <c r="M112" s="560"/>
      <c r="N112" s="560"/>
      <c r="O112" s="560"/>
      <c r="P112" s="676">
        <f>P156</f>
        <v>201.05</v>
      </c>
      <c r="Q112" s="560"/>
      <c r="R112" s="560"/>
      <c r="S112" s="560"/>
      <c r="T112" s="560"/>
      <c r="U112" s="676">
        <f>U156</f>
        <v>301.76400000000001</v>
      </c>
      <c r="V112" s="560"/>
      <c r="W112" s="560"/>
      <c r="X112" s="560"/>
      <c r="Y112" s="560"/>
      <c r="Z112" s="676">
        <f>Z156</f>
        <v>382.85399999999998</v>
      </c>
      <c r="AA112" s="620">
        <v>109.286</v>
      </c>
      <c r="AB112" s="620">
        <v>105.232</v>
      </c>
      <c r="AC112" s="620">
        <v>113.041</v>
      </c>
      <c r="AD112" s="560">
        <f>AD156</f>
        <v>111.01300000000001</v>
      </c>
      <c r="AE112" s="698">
        <v>438.64299999999997</v>
      </c>
      <c r="AF112" s="560">
        <f t="shared" ref="AF112:AR112" si="141">AF156</f>
        <v>119.64100000000001</v>
      </c>
      <c r="AG112" s="560">
        <f t="shared" si="141"/>
        <v>120.65300000000001</v>
      </c>
      <c r="AH112" s="560">
        <f t="shared" si="141"/>
        <v>121.759</v>
      </c>
      <c r="AI112" s="560">
        <f t="shared" si="141"/>
        <v>121.25600000000003</v>
      </c>
      <c r="AJ112" s="676">
        <f t="shared" si="141"/>
        <v>483.30900000000003</v>
      </c>
      <c r="AK112" s="560">
        <f t="shared" si="141"/>
        <v>124.316</v>
      </c>
      <c r="AL112" s="560">
        <f t="shared" si="141"/>
        <v>122.045</v>
      </c>
      <c r="AM112" s="560">
        <f t="shared" si="141"/>
        <v>127.655</v>
      </c>
      <c r="AN112" s="560">
        <f t="shared" si="141"/>
        <v>126.37000000000006</v>
      </c>
      <c r="AO112" s="676">
        <f t="shared" si="141"/>
        <v>500.38600000000002</v>
      </c>
      <c r="AP112" s="560">
        <f t="shared" si="141"/>
        <v>137.297</v>
      </c>
      <c r="AQ112" s="560">
        <f t="shared" si="141"/>
        <v>96.289000000000001</v>
      </c>
      <c r="AR112" s="560">
        <f t="shared" si="141"/>
        <v>101.301</v>
      </c>
      <c r="AS112" s="560"/>
      <c r="AT112" s="676">
        <f>AT156</f>
        <v>437.06</v>
      </c>
      <c r="AU112" s="560">
        <f>AU156</f>
        <v>112.90900000000001</v>
      </c>
      <c r="AV112" s="560">
        <f>AV156</f>
        <v>113.64100000000001</v>
      </c>
      <c r="AW112" s="560">
        <f>AW156</f>
        <v>114.295</v>
      </c>
      <c r="AX112" s="560"/>
      <c r="AY112" s="676">
        <f>AY156</f>
        <v>454.22399999999999</v>
      </c>
      <c r="AZ112" s="560">
        <f>AZ156</f>
        <v>126.09699999999999</v>
      </c>
      <c r="BA112" s="560">
        <f>BA156</f>
        <v>129.41200000000001</v>
      </c>
      <c r="BB112" s="560">
        <f>BB156</f>
        <v>133.06100000000001</v>
      </c>
      <c r="BC112" s="560"/>
      <c r="BD112" s="676">
        <f>BD156</f>
        <v>514.92700000000002</v>
      </c>
      <c r="BE112" s="560">
        <f>BE156</f>
        <v>147.45500000000001</v>
      </c>
      <c r="BF112" s="560">
        <f>BF156</f>
        <v>139.15</v>
      </c>
      <c r="BG112" s="560">
        <f>BG156</f>
        <v>137.703</v>
      </c>
      <c r="BH112" s="560"/>
      <c r="BI112" s="676">
        <f>BI156</f>
        <v>556.60500000000002</v>
      </c>
      <c r="BJ112" s="560">
        <f>BJ156</f>
        <v>147.791</v>
      </c>
      <c r="BK112" s="560">
        <f>BK156</f>
        <v>150.29300000000001</v>
      </c>
      <c r="BL112" s="561">
        <f>BL156</f>
        <v>144.631</v>
      </c>
      <c r="BM112" s="560"/>
      <c r="BN112" s="676"/>
      <c r="BO112" s="560"/>
      <c r="BP112" s="560"/>
      <c r="BQ112" s="560"/>
      <c r="BR112" s="560"/>
      <c r="BS112" s="676"/>
      <c r="BT112" s="676"/>
      <c r="BU112" s="676"/>
      <c r="BV112" s="676"/>
      <c r="BW112" s="318"/>
    </row>
    <row r="113" spans="1:75" s="444" customFormat="1" hidden="1" outlineLevel="1">
      <c r="A113" s="28"/>
      <c r="B113" s="79"/>
      <c r="C113" s="700"/>
      <c r="D113" s="700"/>
      <c r="E113" s="700"/>
      <c r="F113" s="700"/>
      <c r="G113" s="523"/>
      <c r="H113" s="523"/>
      <c r="I113" s="523"/>
      <c r="J113" s="523"/>
      <c r="K113" s="700"/>
      <c r="L113" s="523"/>
      <c r="M113" s="523"/>
      <c r="N113" s="523"/>
      <c r="O113" s="523"/>
      <c r="P113" s="700"/>
      <c r="Q113" s="523"/>
      <c r="R113" s="523"/>
      <c r="S113" s="523"/>
      <c r="T113" s="523"/>
      <c r="U113" s="700"/>
      <c r="V113" s="523"/>
      <c r="W113" s="523"/>
      <c r="X113" s="523"/>
      <c r="Y113" s="523"/>
      <c r="Z113" s="700"/>
      <c r="AA113" s="523"/>
      <c r="AB113" s="523"/>
      <c r="AC113" s="523"/>
      <c r="AD113" s="523"/>
      <c r="AE113" s="700"/>
      <c r="AF113" s="523"/>
      <c r="AG113" s="523"/>
      <c r="AH113" s="523"/>
      <c r="AI113" s="523"/>
      <c r="AJ113" s="700"/>
      <c r="AK113" s="523"/>
      <c r="AL113" s="523"/>
      <c r="AM113" s="523"/>
      <c r="AN113" s="523"/>
      <c r="AO113" s="700"/>
      <c r="AP113" s="523"/>
      <c r="AQ113" s="523"/>
      <c r="AR113" s="523"/>
      <c r="AS113" s="523"/>
      <c r="AT113" s="700"/>
      <c r="AU113" s="523"/>
      <c r="AV113" s="523"/>
      <c r="AW113" s="523"/>
      <c r="AX113" s="523"/>
      <c r="AY113" s="700"/>
      <c r="AZ113" s="523"/>
      <c r="BA113" s="523"/>
      <c r="BB113" s="523"/>
      <c r="BC113" s="523"/>
      <c r="BD113" s="700"/>
      <c r="BE113" s="523"/>
      <c r="BF113" s="523"/>
      <c r="BG113" s="523"/>
      <c r="BH113" s="523"/>
      <c r="BI113" s="700"/>
      <c r="BJ113" s="523"/>
      <c r="BK113" s="523"/>
      <c r="BL113" s="563"/>
      <c r="BM113" s="523"/>
      <c r="BN113" s="700"/>
      <c r="BO113" s="523"/>
      <c r="BP113" s="523"/>
      <c r="BQ113" s="523"/>
      <c r="BR113" s="523"/>
      <c r="BS113" s="700"/>
      <c r="BT113" s="700"/>
      <c r="BU113" s="700"/>
      <c r="BV113" s="700"/>
      <c r="BW113" s="318"/>
    </row>
    <row r="114" spans="1:75" s="444" customFormat="1" hidden="1" outlineLevel="1">
      <c r="A114" s="28" t="s">
        <v>197</v>
      </c>
      <c r="B114" s="79"/>
      <c r="C114" s="700"/>
      <c r="D114" s="700"/>
      <c r="E114" s="700"/>
      <c r="F114" s="700"/>
      <c r="G114" s="523"/>
      <c r="H114" s="523"/>
      <c r="I114" s="523"/>
      <c r="J114" s="523"/>
      <c r="K114" s="700"/>
      <c r="L114" s="523"/>
      <c r="M114" s="523"/>
      <c r="N114" s="523"/>
      <c r="O114" s="523"/>
      <c r="P114" s="700">
        <f>K157</f>
        <v>38.243000000000002</v>
      </c>
      <c r="Q114" s="523"/>
      <c r="R114" s="523"/>
      <c r="S114" s="523"/>
      <c r="T114" s="523"/>
      <c r="U114" s="700">
        <f>P157</f>
        <v>65.180999999999997</v>
      </c>
      <c r="V114" s="523"/>
      <c r="W114" s="523"/>
      <c r="X114" s="523"/>
      <c r="Y114" s="523"/>
      <c r="Z114" s="700">
        <f t="shared" ref="Z114:AR114" si="142">U157</f>
        <v>107.786</v>
      </c>
      <c r="AA114" s="523">
        <f t="shared" si="142"/>
        <v>32.222000000000001</v>
      </c>
      <c r="AB114" s="523">
        <f t="shared" si="142"/>
        <v>33.097999999999999</v>
      </c>
      <c r="AC114" s="523">
        <f t="shared" si="142"/>
        <v>36.369</v>
      </c>
      <c r="AD114" s="523">
        <f t="shared" si="142"/>
        <v>36.860000000000014</v>
      </c>
      <c r="AE114" s="700">
        <f t="shared" si="142"/>
        <v>138.54900000000001</v>
      </c>
      <c r="AF114" s="523">
        <f t="shared" si="142"/>
        <v>39.871000000000002</v>
      </c>
      <c r="AG114" s="523">
        <f t="shared" si="142"/>
        <v>42.088000000000001</v>
      </c>
      <c r="AH114" s="523">
        <f t="shared" si="142"/>
        <v>45.834000000000003</v>
      </c>
      <c r="AI114" s="523">
        <f t="shared" si="142"/>
        <v>47.994</v>
      </c>
      <c r="AJ114" s="700">
        <f t="shared" si="142"/>
        <v>175.78700000000001</v>
      </c>
      <c r="AK114" s="523">
        <f t="shared" si="142"/>
        <v>51.493000000000002</v>
      </c>
      <c r="AL114" s="523">
        <f t="shared" si="142"/>
        <v>52.789000000000001</v>
      </c>
      <c r="AM114" s="523">
        <f t="shared" si="142"/>
        <v>53.764000000000003</v>
      </c>
      <c r="AN114" s="523">
        <f t="shared" si="142"/>
        <v>54.272999999999968</v>
      </c>
      <c r="AO114" s="700">
        <f t="shared" si="142"/>
        <v>212.31899999999999</v>
      </c>
      <c r="AP114" s="523">
        <f t="shared" si="142"/>
        <v>58.075000000000003</v>
      </c>
      <c r="AQ114" s="523">
        <f t="shared" si="142"/>
        <v>54.566000000000003</v>
      </c>
      <c r="AR114" s="523">
        <f t="shared" si="142"/>
        <v>56.661000000000001</v>
      </c>
      <c r="AS114" s="523"/>
      <c r="AT114" s="700">
        <f>AO157</f>
        <v>230.44</v>
      </c>
      <c r="AU114" s="523">
        <f>AP157</f>
        <v>67.113</v>
      </c>
      <c r="AV114" s="523">
        <f>AQ157</f>
        <v>53.969000000000001</v>
      </c>
      <c r="AW114" s="523">
        <f>AR157</f>
        <v>53.021999999999998</v>
      </c>
      <c r="AX114" s="523"/>
      <c r="AY114" s="700">
        <f>AT157</f>
        <v>232.56100000000001</v>
      </c>
      <c r="AZ114" s="523">
        <f>AU157</f>
        <v>67.992000000000004</v>
      </c>
      <c r="BA114" s="523">
        <f>AV157</f>
        <v>68.694999999999993</v>
      </c>
      <c r="BB114" s="523">
        <f>AW157</f>
        <v>69.402000000000001</v>
      </c>
      <c r="BC114" s="523"/>
      <c r="BD114" s="700">
        <f>AY157</f>
        <v>276.47300000000001</v>
      </c>
      <c r="BE114" s="523">
        <f>AZ157</f>
        <v>80.685000000000002</v>
      </c>
      <c r="BF114" s="523">
        <f>BA157</f>
        <v>76.847999999999999</v>
      </c>
      <c r="BG114" s="523">
        <f>BB157</f>
        <v>75.802999999999997</v>
      </c>
      <c r="BH114" s="523"/>
      <c r="BI114" s="700">
        <f>BD157</f>
        <v>305.56099999999998</v>
      </c>
      <c r="BJ114" s="523">
        <f>BE157</f>
        <v>88.197000000000003</v>
      </c>
      <c r="BK114" s="523">
        <f>BF157</f>
        <v>85.03</v>
      </c>
      <c r="BL114" s="563">
        <f>BG157</f>
        <v>81.02</v>
      </c>
      <c r="BM114" s="523"/>
      <c r="BN114" s="700"/>
      <c r="BO114" s="523"/>
      <c r="BP114" s="523"/>
      <c r="BQ114" s="523"/>
      <c r="BR114" s="523"/>
      <c r="BS114" s="700"/>
      <c r="BT114" s="700"/>
      <c r="BU114" s="700"/>
      <c r="BV114" s="700"/>
      <c r="BW114" s="318"/>
    </row>
    <row r="115" spans="1:75" s="439" customFormat="1" hidden="1" outlineLevel="1">
      <c r="A115" s="31" t="s">
        <v>198</v>
      </c>
      <c r="B115" s="24"/>
      <c r="C115" s="89"/>
      <c r="D115" s="89"/>
      <c r="E115" s="89"/>
      <c r="F115" s="89"/>
      <c r="G115" s="518"/>
      <c r="H115" s="518"/>
      <c r="I115" s="518"/>
      <c r="J115" s="518"/>
      <c r="K115" s="89"/>
      <c r="L115" s="518"/>
      <c r="M115" s="518"/>
      <c r="N115" s="518"/>
      <c r="O115" s="518"/>
      <c r="P115" s="675">
        <v>24.9</v>
      </c>
      <c r="Q115" s="518"/>
      <c r="R115" s="518"/>
      <c r="S115" s="518"/>
      <c r="T115" s="518"/>
      <c r="U115" s="675">
        <v>35.200000000000003</v>
      </c>
      <c r="V115" s="518"/>
      <c r="W115" s="518"/>
      <c r="X115" s="518"/>
      <c r="Y115" s="518"/>
      <c r="Z115" s="675">
        <v>27.9</v>
      </c>
      <c r="AA115" s="609">
        <v>5.6</v>
      </c>
      <c r="AB115" s="609">
        <v>7.1</v>
      </c>
      <c r="AC115" s="609">
        <v>8</v>
      </c>
      <c r="AD115" s="518">
        <f>AE115-SUM(AA115,AB115,AC115)</f>
        <v>9.6999999999999993</v>
      </c>
      <c r="AE115" s="675">
        <v>30.4</v>
      </c>
      <c r="AF115" s="609">
        <v>10.5</v>
      </c>
      <c r="AG115" s="609">
        <v>9.1999999999999993</v>
      </c>
      <c r="AH115" s="609">
        <v>7.2</v>
      </c>
      <c r="AI115" s="518">
        <f>AJ115-SUM(AF115,AG115,AH115)</f>
        <v>5.2000000000000028</v>
      </c>
      <c r="AJ115" s="675">
        <v>32.1</v>
      </c>
      <c r="AK115" s="609">
        <v>5.7</v>
      </c>
      <c r="AL115" s="609">
        <v>1.4</v>
      </c>
      <c r="AM115" s="609">
        <v>2.2999999999999998</v>
      </c>
      <c r="AN115" s="518">
        <f>AO115-SUM(AK115,AL115,AM115)</f>
        <v>6.2000000000000011</v>
      </c>
      <c r="AO115" s="675">
        <v>15.6</v>
      </c>
      <c r="AP115" s="609">
        <v>8.1999999999999993</v>
      </c>
      <c r="AQ115" s="518"/>
      <c r="AR115" s="609">
        <v>-2.8</v>
      </c>
      <c r="AS115" s="518"/>
      <c r="AT115" s="675">
        <v>3.7</v>
      </c>
      <c r="AU115" s="518"/>
      <c r="AV115" s="609">
        <v>13</v>
      </c>
      <c r="AW115" s="609">
        <v>15.8</v>
      </c>
      <c r="AX115" s="518"/>
      <c r="AY115" s="675">
        <v>41.6</v>
      </c>
      <c r="AZ115" s="609">
        <v>13</v>
      </c>
      <c r="BA115" s="609">
        <v>9.1</v>
      </c>
      <c r="BB115" s="609">
        <v>6.3</v>
      </c>
      <c r="BC115" s="518"/>
      <c r="BD115" s="675">
        <v>31.1</v>
      </c>
      <c r="BE115" s="609">
        <v>7.6</v>
      </c>
      <c r="BF115" s="609">
        <v>7.7</v>
      </c>
      <c r="BG115" s="609">
        <v>5.5</v>
      </c>
      <c r="BH115" s="518"/>
      <c r="BI115" s="675">
        <v>26.8</v>
      </c>
      <c r="BJ115" s="609">
        <v>3.1</v>
      </c>
      <c r="BK115" s="609">
        <v>-2.4</v>
      </c>
      <c r="BL115" s="610">
        <v>-3</v>
      </c>
      <c r="BM115" s="518"/>
      <c r="BN115" s="89"/>
      <c r="BO115" s="518"/>
      <c r="BP115" s="518"/>
      <c r="BQ115" s="518"/>
      <c r="BR115" s="518"/>
      <c r="BS115" s="89"/>
      <c r="BT115" s="89"/>
      <c r="BU115" s="89"/>
      <c r="BV115" s="89"/>
      <c r="BW115" s="519"/>
    </row>
    <row r="116" spans="1:75" s="439" customFormat="1" hidden="1" outlineLevel="1">
      <c r="A116" s="31" t="s">
        <v>199</v>
      </c>
      <c r="B116" s="24"/>
      <c r="C116" s="89"/>
      <c r="D116" s="89"/>
      <c r="E116" s="89"/>
      <c r="F116" s="89"/>
      <c r="G116" s="518"/>
      <c r="H116" s="518"/>
      <c r="I116" s="518"/>
      <c r="J116" s="518"/>
      <c r="K116" s="89"/>
      <c r="L116" s="518"/>
      <c r="M116" s="518"/>
      <c r="N116" s="518"/>
      <c r="O116" s="518"/>
      <c r="P116" s="89"/>
      <c r="Q116" s="518"/>
      <c r="R116" s="518"/>
      <c r="S116" s="518"/>
      <c r="T116" s="518"/>
      <c r="U116" s="89"/>
      <c r="V116" s="518"/>
      <c r="W116" s="518"/>
      <c r="X116" s="518"/>
      <c r="Y116" s="518"/>
      <c r="Z116" s="89"/>
      <c r="AA116" s="518"/>
      <c r="AB116" s="518"/>
      <c r="AC116" s="518"/>
      <c r="AD116" s="518"/>
      <c r="AE116" s="89"/>
      <c r="AF116" s="518"/>
      <c r="AG116" s="518"/>
      <c r="AH116" s="518"/>
      <c r="AI116" s="518"/>
      <c r="AJ116" s="89"/>
      <c r="AK116" s="518"/>
      <c r="AL116" s="518"/>
      <c r="AM116" s="518"/>
      <c r="AN116" s="518"/>
      <c r="AO116" s="89"/>
      <c r="AP116" s="518"/>
      <c r="AQ116" s="518"/>
      <c r="AR116" s="518"/>
      <c r="AS116" s="518"/>
      <c r="AT116" s="89"/>
      <c r="AU116" s="518"/>
      <c r="AV116" s="518"/>
      <c r="AW116" s="518"/>
      <c r="AX116" s="518"/>
      <c r="AY116" s="89"/>
      <c r="AZ116" s="518"/>
      <c r="BA116" s="518"/>
      <c r="BB116" s="518"/>
      <c r="BC116" s="518"/>
      <c r="BD116" s="89"/>
      <c r="BE116" s="518"/>
      <c r="BF116" s="518"/>
      <c r="BG116" s="518"/>
      <c r="BH116" s="518"/>
      <c r="BI116" s="89"/>
      <c r="BJ116" s="518"/>
      <c r="BK116" s="518"/>
      <c r="BL116" s="610">
        <v>-0.6</v>
      </c>
      <c r="BM116" s="518"/>
      <c r="BN116" s="89"/>
      <c r="BO116" s="518"/>
      <c r="BP116" s="518"/>
      <c r="BQ116" s="518"/>
      <c r="BR116" s="518"/>
      <c r="BS116" s="89"/>
      <c r="BT116" s="89"/>
      <c r="BU116" s="89"/>
      <c r="BV116" s="89"/>
      <c r="BW116" s="519"/>
    </row>
    <row r="117" spans="1:75" s="439" customFormat="1" hidden="1" outlineLevel="1">
      <c r="A117" s="31" t="s">
        <v>200</v>
      </c>
      <c r="B117" s="24"/>
      <c r="C117" s="89"/>
      <c r="D117" s="89"/>
      <c r="E117" s="89"/>
      <c r="F117" s="89"/>
      <c r="G117" s="518"/>
      <c r="H117" s="518"/>
      <c r="I117" s="518"/>
      <c r="J117" s="518"/>
      <c r="K117" s="89"/>
      <c r="L117" s="518"/>
      <c r="M117" s="518"/>
      <c r="N117" s="518"/>
      <c r="O117" s="518"/>
      <c r="P117" s="675">
        <v>2.5</v>
      </c>
      <c r="Q117" s="518"/>
      <c r="R117" s="518"/>
      <c r="S117" s="518"/>
      <c r="T117" s="518"/>
      <c r="U117" s="675">
        <v>5.8</v>
      </c>
      <c r="V117" s="518"/>
      <c r="W117" s="518"/>
      <c r="X117" s="518"/>
      <c r="Y117" s="518"/>
      <c r="Z117" s="675">
        <v>5</v>
      </c>
      <c r="AA117" s="609">
        <v>1.9</v>
      </c>
      <c r="AB117" s="609">
        <v>1.9</v>
      </c>
      <c r="AC117" s="609">
        <v>1.1000000000000001</v>
      </c>
      <c r="AD117" s="518">
        <f>AE117-SUM(AA117,AB117,AC117)</f>
        <v>1.0999999999999996</v>
      </c>
      <c r="AE117" s="675">
        <v>6</v>
      </c>
      <c r="AF117" s="609">
        <v>1.1000000000000001</v>
      </c>
      <c r="AG117" s="609">
        <v>1.5</v>
      </c>
      <c r="AH117" s="609">
        <v>0.6</v>
      </c>
      <c r="AI117" s="518">
        <f>AJ117-SUM(AF117,AG117,AH117)</f>
        <v>0.59999999999999964</v>
      </c>
      <c r="AJ117" s="675">
        <v>3.8</v>
      </c>
      <c r="AK117" s="609">
        <v>0.9</v>
      </c>
      <c r="AL117" s="518">
        <f>1.1-AK117</f>
        <v>0.20000000000000007</v>
      </c>
      <c r="AM117" s="518">
        <f>1.6-AL117-AK117</f>
        <v>0.49999999999999989</v>
      </c>
      <c r="AN117" s="518">
        <f>AO117-SUM(AK117,AL117,AM117)</f>
        <v>1</v>
      </c>
      <c r="AO117" s="675">
        <v>2.6</v>
      </c>
      <c r="AP117" s="609">
        <v>0</v>
      </c>
      <c r="AQ117" s="518"/>
      <c r="AR117" s="518"/>
      <c r="AS117" s="518"/>
      <c r="AT117" s="89"/>
      <c r="AU117" s="518"/>
      <c r="AV117" s="518"/>
      <c r="AW117" s="518"/>
      <c r="AX117" s="518"/>
      <c r="AY117" s="89"/>
      <c r="AZ117" s="518"/>
      <c r="BA117" s="518"/>
      <c r="BB117" s="518"/>
      <c r="BC117" s="518"/>
      <c r="BD117" s="89"/>
      <c r="BE117" s="518"/>
      <c r="BF117" s="518"/>
      <c r="BG117" s="518"/>
      <c r="BH117" s="518"/>
      <c r="BI117" s="89"/>
      <c r="BJ117" s="518"/>
      <c r="BK117" s="518"/>
      <c r="BL117" s="520"/>
      <c r="BM117" s="518"/>
      <c r="BN117" s="89"/>
      <c r="BO117" s="518"/>
      <c r="BP117" s="518"/>
      <c r="BQ117" s="518"/>
      <c r="BR117" s="518"/>
      <c r="BS117" s="89"/>
      <c r="BT117" s="89"/>
      <c r="BU117" s="89"/>
      <c r="BV117" s="89"/>
      <c r="BW117" s="519"/>
    </row>
    <row r="118" spans="1:75" s="439" customFormat="1" hidden="1" outlineLevel="1">
      <c r="A118" s="31" t="s">
        <v>201</v>
      </c>
      <c r="B118" s="24"/>
      <c r="C118" s="89"/>
      <c r="D118" s="89"/>
      <c r="E118" s="89"/>
      <c r="F118" s="89"/>
      <c r="G118" s="518"/>
      <c r="H118" s="518"/>
      <c r="I118" s="518"/>
      <c r="J118" s="518"/>
      <c r="K118" s="89"/>
      <c r="L118" s="518"/>
      <c r="M118" s="518"/>
      <c r="N118" s="518"/>
      <c r="O118" s="518"/>
      <c r="P118" s="675">
        <v>-0.5</v>
      </c>
      <c r="Q118" s="518"/>
      <c r="R118" s="518"/>
      <c r="S118" s="518"/>
      <c r="T118" s="518"/>
      <c r="U118" s="675">
        <v>1.6</v>
      </c>
      <c r="V118" s="518"/>
      <c r="W118" s="518"/>
      <c r="X118" s="518"/>
      <c r="Y118" s="518"/>
      <c r="Z118" s="675">
        <v>-2.1</v>
      </c>
      <c r="AA118" s="518"/>
      <c r="AB118" s="518"/>
      <c r="AC118" s="609">
        <v>0</v>
      </c>
      <c r="AD118" s="518"/>
      <c r="AE118" s="89"/>
      <c r="AF118" s="518"/>
      <c r="AG118" s="518"/>
      <c r="AH118" s="518"/>
      <c r="AI118" s="518"/>
      <c r="AJ118" s="89"/>
      <c r="AK118" s="518"/>
      <c r="AL118" s="518"/>
      <c r="AM118" s="518"/>
      <c r="AN118" s="518"/>
      <c r="AO118" s="89"/>
      <c r="AP118" s="518"/>
      <c r="AQ118" s="518"/>
      <c r="AR118" s="518"/>
      <c r="AS118" s="518"/>
      <c r="AT118" s="89"/>
      <c r="AU118" s="518"/>
      <c r="AV118" s="518"/>
      <c r="AW118" s="518"/>
      <c r="AX118" s="518"/>
      <c r="AY118" s="89"/>
      <c r="AZ118" s="518"/>
      <c r="BA118" s="518"/>
      <c r="BB118" s="518"/>
      <c r="BC118" s="518"/>
      <c r="BD118" s="89"/>
      <c r="BE118" s="518"/>
      <c r="BF118" s="518"/>
      <c r="BG118" s="518"/>
      <c r="BH118" s="518"/>
      <c r="BI118" s="89"/>
      <c r="BJ118" s="518"/>
      <c r="BK118" s="518"/>
      <c r="BL118" s="610">
        <v>0.4</v>
      </c>
      <c r="BM118" s="518"/>
      <c r="BN118" s="89"/>
      <c r="BO118" s="518"/>
      <c r="BP118" s="518"/>
      <c r="BQ118" s="518"/>
      <c r="BR118" s="518"/>
      <c r="BS118" s="89"/>
      <c r="BT118" s="89"/>
      <c r="BU118" s="89"/>
      <c r="BV118" s="89"/>
      <c r="BW118" s="519"/>
    </row>
    <row r="119" spans="1:75" s="439" customFormat="1" hidden="1" outlineLevel="1">
      <c r="A119" s="31" t="s">
        <v>202</v>
      </c>
      <c r="B119" s="24"/>
      <c r="C119" s="89"/>
      <c r="D119" s="89"/>
      <c r="E119" s="89"/>
      <c r="F119" s="89"/>
      <c r="G119" s="518"/>
      <c r="H119" s="518"/>
      <c r="I119" s="518"/>
      <c r="J119" s="518"/>
      <c r="K119" s="89"/>
      <c r="L119" s="518"/>
      <c r="M119" s="518"/>
      <c r="N119" s="518"/>
      <c r="O119" s="518"/>
      <c r="P119" s="89">
        <f>P120-SUM(P114:P118)</f>
        <v>3.7999999999996703E-2</v>
      </c>
      <c r="Q119" s="518"/>
      <c r="R119" s="518"/>
      <c r="S119" s="518"/>
      <c r="T119" s="518"/>
      <c r="U119" s="89">
        <f t="shared" ref="U119:AR119" si="143">U120-SUM(U114:U118)</f>
        <v>5.0000000000096634E-3</v>
      </c>
      <c r="V119" s="518">
        <f t="shared" si="143"/>
        <v>0</v>
      </c>
      <c r="W119" s="518">
        <f t="shared" si="143"/>
        <v>0</v>
      </c>
      <c r="X119" s="518">
        <f t="shared" si="143"/>
        <v>0</v>
      </c>
      <c r="Y119" s="518">
        <f t="shared" si="143"/>
        <v>0</v>
      </c>
      <c r="Z119" s="89">
        <f t="shared" si="143"/>
        <v>-3.7000000000006139E-2</v>
      </c>
      <c r="AA119" s="518">
        <f t="shared" si="143"/>
        <v>0.14900000000000091</v>
      </c>
      <c r="AB119" s="518">
        <f t="shared" si="143"/>
        <v>-9.9999999999980105E-3</v>
      </c>
      <c r="AC119" s="518">
        <f t="shared" si="143"/>
        <v>0.36500000000000199</v>
      </c>
      <c r="AD119" s="518">
        <f t="shared" si="143"/>
        <v>0.33399999999998187</v>
      </c>
      <c r="AE119" s="89">
        <f t="shared" si="143"/>
        <v>0.83799999999999386</v>
      </c>
      <c r="AF119" s="518">
        <f t="shared" si="143"/>
        <v>2.1999999999998465E-2</v>
      </c>
      <c r="AG119" s="518">
        <f t="shared" si="143"/>
        <v>1.0000000000047748E-3</v>
      </c>
      <c r="AH119" s="518">
        <f t="shared" si="143"/>
        <v>0.12999999999999545</v>
      </c>
      <c r="AI119" s="518">
        <f t="shared" si="143"/>
        <v>0.47899999999996368</v>
      </c>
      <c r="AJ119" s="89">
        <f t="shared" si="143"/>
        <v>0.63199999999997658</v>
      </c>
      <c r="AK119" s="518">
        <f t="shared" si="143"/>
        <v>-1.8000000000000682E-2</v>
      </c>
      <c r="AL119" s="518">
        <f t="shared" si="143"/>
        <v>0.1769999999999996</v>
      </c>
      <c r="AM119" s="518">
        <f t="shared" si="143"/>
        <v>9.7000000000001307E-2</v>
      </c>
      <c r="AN119" s="518">
        <f t="shared" si="143"/>
        <v>-0.33499999999999375</v>
      </c>
      <c r="AO119" s="89">
        <f t="shared" si="143"/>
        <v>-7.8999999999979309E-2</v>
      </c>
      <c r="AP119" s="518">
        <f t="shared" si="143"/>
        <v>0.83799999999999386</v>
      </c>
      <c r="AQ119" s="518">
        <f t="shared" si="143"/>
        <v>-0.59700000000000131</v>
      </c>
      <c r="AR119" s="518">
        <f t="shared" si="143"/>
        <v>-0.83900000000000574</v>
      </c>
      <c r="AS119" s="518"/>
      <c r="AT119" s="89">
        <f>AT120-SUM(AT114:AT118)</f>
        <v>-1.5789999999999793</v>
      </c>
      <c r="AU119" s="518">
        <f>AU120-SUM(AU114:AU118)</f>
        <v>0.87900000000000489</v>
      </c>
      <c r="AV119" s="518">
        <f>AV120-SUM(AV114:AV118)</f>
        <v>1.7259999999999991</v>
      </c>
      <c r="AW119" s="518">
        <f>AW120-SUM(AW114:AW118)</f>
        <v>0.57999999999999829</v>
      </c>
      <c r="AX119" s="518"/>
      <c r="AY119" s="89">
        <f>AY120-SUM(AY114:AY118)</f>
        <v>2.3120000000000118</v>
      </c>
      <c r="AZ119" s="518">
        <f>AZ120-SUM(AZ114:AZ118)</f>
        <v>-0.30700000000000216</v>
      </c>
      <c r="BA119" s="518">
        <f>BA120-SUM(BA114:BA118)</f>
        <v>-0.94699999999998852</v>
      </c>
      <c r="BB119" s="518">
        <f>BB120-SUM(BB114:BB118)</f>
        <v>0.10099999999999909</v>
      </c>
      <c r="BC119" s="518"/>
      <c r="BD119" s="89">
        <f>BD120-SUM(BD114:BD118)</f>
        <v>-2.0120000000000573</v>
      </c>
      <c r="BE119" s="518">
        <f>BE120-SUM(BE114:BE118)</f>
        <v>-8.7999999999993861E-2</v>
      </c>
      <c r="BF119" s="518">
        <f>BF120-SUM(BF114:BF118)</f>
        <v>0.48199999999999932</v>
      </c>
      <c r="BG119" s="518">
        <f>BG120-SUM(BG114:BG118)</f>
        <v>-0.28300000000000125</v>
      </c>
      <c r="BH119" s="518"/>
      <c r="BI119" s="89">
        <f>BI120-SUM(BI114:BI118)</f>
        <v>0.20900000000000318</v>
      </c>
      <c r="BJ119" s="518">
        <f>BJ120-SUM(BJ114:BJ118)</f>
        <v>-6.9999999999993179E-2</v>
      </c>
      <c r="BK119" s="518">
        <f>BK120-SUM(BK114:BK118)</f>
        <v>-0.54999999999999716</v>
      </c>
      <c r="BL119" s="520">
        <f>BL120-SUM(BL114:BL118)</f>
        <v>-7.2000000000002728E-2</v>
      </c>
      <c r="BM119" s="518"/>
      <c r="BN119" s="89"/>
      <c r="BO119" s="518"/>
      <c r="BP119" s="518"/>
      <c r="BQ119" s="518"/>
      <c r="BR119" s="518"/>
      <c r="BS119" s="89"/>
      <c r="BT119" s="89"/>
      <c r="BU119" s="89"/>
      <c r="BV119" s="89"/>
      <c r="BW119" s="519"/>
    </row>
    <row r="120" spans="1:75" s="444" customFormat="1" hidden="1" outlineLevel="1">
      <c r="A120" s="18" t="s">
        <v>203</v>
      </c>
      <c r="B120" s="48"/>
      <c r="C120" s="676"/>
      <c r="D120" s="676"/>
      <c r="E120" s="676"/>
      <c r="F120" s="676"/>
      <c r="G120" s="560"/>
      <c r="H120" s="560"/>
      <c r="I120" s="560"/>
      <c r="J120" s="560"/>
      <c r="K120" s="676"/>
      <c r="L120" s="560"/>
      <c r="M120" s="560"/>
      <c r="N120" s="560"/>
      <c r="O120" s="560"/>
      <c r="P120" s="676">
        <f>P157</f>
        <v>65.180999999999997</v>
      </c>
      <c r="Q120" s="560"/>
      <c r="R120" s="560"/>
      <c r="S120" s="560"/>
      <c r="T120" s="560"/>
      <c r="U120" s="676">
        <f>U157</f>
        <v>107.786</v>
      </c>
      <c r="V120" s="560"/>
      <c r="W120" s="560"/>
      <c r="X120" s="560"/>
      <c r="Y120" s="560"/>
      <c r="Z120" s="676">
        <f t="shared" ref="Z120:AR120" si="144">Z157</f>
        <v>138.54900000000001</v>
      </c>
      <c r="AA120" s="560">
        <f t="shared" si="144"/>
        <v>39.871000000000002</v>
      </c>
      <c r="AB120" s="560">
        <f t="shared" si="144"/>
        <v>42.088000000000001</v>
      </c>
      <c r="AC120" s="560">
        <f t="shared" si="144"/>
        <v>45.834000000000003</v>
      </c>
      <c r="AD120" s="560">
        <f t="shared" si="144"/>
        <v>47.994</v>
      </c>
      <c r="AE120" s="676">
        <f t="shared" si="144"/>
        <v>175.78700000000001</v>
      </c>
      <c r="AF120" s="560">
        <f t="shared" si="144"/>
        <v>51.493000000000002</v>
      </c>
      <c r="AG120" s="560">
        <f t="shared" si="144"/>
        <v>52.789000000000001</v>
      </c>
      <c r="AH120" s="560">
        <f t="shared" si="144"/>
        <v>53.764000000000003</v>
      </c>
      <c r="AI120" s="560">
        <f t="shared" si="144"/>
        <v>54.272999999999968</v>
      </c>
      <c r="AJ120" s="676">
        <f t="shared" si="144"/>
        <v>212.31899999999999</v>
      </c>
      <c r="AK120" s="560">
        <f t="shared" si="144"/>
        <v>58.075000000000003</v>
      </c>
      <c r="AL120" s="560">
        <f t="shared" si="144"/>
        <v>54.566000000000003</v>
      </c>
      <c r="AM120" s="560">
        <f t="shared" si="144"/>
        <v>56.661000000000001</v>
      </c>
      <c r="AN120" s="560">
        <f t="shared" si="144"/>
        <v>61.137999999999977</v>
      </c>
      <c r="AO120" s="676">
        <f t="shared" si="144"/>
        <v>230.44</v>
      </c>
      <c r="AP120" s="560">
        <f t="shared" si="144"/>
        <v>67.113</v>
      </c>
      <c r="AQ120" s="560">
        <f t="shared" si="144"/>
        <v>53.969000000000001</v>
      </c>
      <c r="AR120" s="560">
        <f t="shared" si="144"/>
        <v>53.021999999999998</v>
      </c>
      <c r="AS120" s="560"/>
      <c r="AT120" s="676">
        <f>AT157</f>
        <v>232.56100000000001</v>
      </c>
      <c r="AU120" s="560">
        <f>AU157</f>
        <v>67.992000000000004</v>
      </c>
      <c r="AV120" s="560">
        <f>AV157</f>
        <v>68.694999999999993</v>
      </c>
      <c r="AW120" s="560">
        <f>AW157</f>
        <v>69.402000000000001</v>
      </c>
      <c r="AX120" s="560"/>
      <c r="AY120" s="676">
        <f>AY157</f>
        <v>276.47300000000001</v>
      </c>
      <c r="AZ120" s="560">
        <f>AZ157</f>
        <v>80.685000000000002</v>
      </c>
      <c r="BA120" s="560">
        <f>BA157</f>
        <v>76.847999999999999</v>
      </c>
      <c r="BB120" s="560">
        <f>BB157</f>
        <v>75.802999999999997</v>
      </c>
      <c r="BC120" s="560"/>
      <c r="BD120" s="676">
        <f>BD157</f>
        <v>305.56099999999998</v>
      </c>
      <c r="BE120" s="560">
        <f>BE157</f>
        <v>88.197000000000003</v>
      </c>
      <c r="BF120" s="560">
        <f>BF157</f>
        <v>85.03</v>
      </c>
      <c r="BG120" s="560">
        <f>BG157</f>
        <v>81.02</v>
      </c>
      <c r="BH120" s="560"/>
      <c r="BI120" s="676">
        <f>BI157</f>
        <v>332.57</v>
      </c>
      <c r="BJ120" s="560">
        <f>BJ157</f>
        <v>91.227000000000004</v>
      </c>
      <c r="BK120" s="560">
        <f>BK157</f>
        <v>82.08</v>
      </c>
      <c r="BL120" s="561">
        <f>BL157</f>
        <v>77.748000000000005</v>
      </c>
      <c r="BM120" s="560"/>
      <c r="BN120" s="676"/>
      <c r="BO120" s="560"/>
      <c r="BP120" s="560"/>
      <c r="BQ120" s="560"/>
      <c r="BR120" s="560"/>
      <c r="BS120" s="676"/>
      <c r="BT120" s="676"/>
      <c r="BU120" s="676"/>
      <c r="BV120" s="676"/>
      <c r="BW120" s="318"/>
    </row>
    <row r="121" spans="1:75" s="444" customFormat="1" hidden="1" outlineLevel="1">
      <c r="A121" s="28"/>
      <c r="B121" s="79"/>
      <c r="C121" s="700"/>
      <c r="D121" s="700"/>
      <c r="E121" s="700"/>
      <c r="F121" s="700"/>
      <c r="G121" s="523"/>
      <c r="H121" s="523"/>
      <c r="I121" s="523"/>
      <c r="J121" s="523"/>
      <c r="K121" s="700"/>
      <c r="L121" s="523"/>
      <c r="M121" s="523"/>
      <c r="N121" s="523"/>
      <c r="O121" s="523"/>
      <c r="P121" s="700"/>
      <c r="Q121" s="523"/>
      <c r="R121" s="523"/>
      <c r="S121" s="523"/>
      <c r="T121" s="523"/>
      <c r="U121" s="700"/>
      <c r="V121" s="523"/>
      <c r="W121" s="523"/>
      <c r="X121" s="523"/>
      <c r="Y121" s="523"/>
      <c r="Z121" s="700"/>
      <c r="AA121" s="523"/>
      <c r="AB121" s="523"/>
      <c r="AC121" s="523"/>
      <c r="AD121" s="523"/>
      <c r="AE121" s="700"/>
      <c r="AF121" s="523"/>
      <c r="AG121" s="523"/>
      <c r="AH121" s="523"/>
      <c r="AI121" s="523"/>
      <c r="AJ121" s="700"/>
      <c r="AK121" s="523"/>
      <c r="AL121" s="523"/>
      <c r="AM121" s="523"/>
      <c r="AN121" s="523"/>
      <c r="AO121" s="700"/>
      <c r="AP121" s="523"/>
      <c r="AQ121" s="523"/>
      <c r="AR121" s="523"/>
      <c r="AS121" s="523"/>
      <c r="AT121" s="700"/>
      <c r="AU121" s="523"/>
      <c r="AV121" s="523"/>
      <c r="AW121" s="523"/>
      <c r="AX121" s="523"/>
      <c r="AY121" s="700"/>
      <c r="AZ121" s="523"/>
      <c r="BA121" s="523"/>
      <c r="BB121" s="523"/>
      <c r="BC121" s="523"/>
      <c r="BD121" s="700"/>
      <c r="BE121" s="523"/>
      <c r="BF121" s="523"/>
      <c r="BG121" s="523"/>
      <c r="BH121" s="523"/>
      <c r="BI121" s="700"/>
      <c r="BJ121" s="523"/>
      <c r="BK121" s="523"/>
      <c r="BL121" s="563"/>
      <c r="BM121" s="523"/>
      <c r="BN121" s="700"/>
      <c r="BO121" s="523"/>
      <c r="BP121" s="523"/>
      <c r="BQ121" s="523"/>
      <c r="BR121" s="523"/>
      <c r="BS121" s="700"/>
      <c r="BT121" s="700"/>
      <c r="BU121" s="700"/>
      <c r="BV121" s="700"/>
      <c r="BW121" s="318"/>
    </row>
    <row r="122" spans="1:75" s="444" customFormat="1" hidden="1" outlineLevel="1">
      <c r="A122" s="28" t="s">
        <v>204</v>
      </c>
      <c r="B122" s="79"/>
      <c r="C122" s="700"/>
      <c r="D122" s="700"/>
      <c r="E122" s="700"/>
      <c r="F122" s="700"/>
      <c r="G122" s="523"/>
      <c r="H122" s="523"/>
      <c r="I122" s="523"/>
      <c r="J122" s="523"/>
      <c r="K122" s="700"/>
      <c r="L122" s="523"/>
      <c r="M122" s="523"/>
      <c r="N122" s="523"/>
      <c r="O122" s="523"/>
      <c r="P122" s="700">
        <f>K158</f>
        <v>42.906999999999996</v>
      </c>
      <c r="Q122" s="523"/>
      <c r="R122" s="523"/>
      <c r="S122" s="523"/>
      <c r="T122" s="523"/>
      <c r="U122" s="700">
        <f>P158</f>
        <v>58.274000000000001</v>
      </c>
      <c r="V122" s="523"/>
      <c r="W122" s="523"/>
      <c r="X122" s="523"/>
      <c r="Y122" s="523"/>
      <c r="Z122" s="700">
        <f t="shared" ref="Z122:AR122" si="145">U158</f>
        <v>80.866</v>
      </c>
      <c r="AA122" s="523">
        <f t="shared" si="145"/>
        <v>21.768999999999998</v>
      </c>
      <c r="AB122" s="523">
        <f t="shared" si="145"/>
        <v>23.463999999999999</v>
      </c>
      <c r="AC122" s="523">
        <f t="shared" si="145"/>
        <v>24.876000000000001</v>
      </c>
      <c r="AD122" s="523">
        <f t="shared" si="145"/>
        <v>27.372</v>
      </c>
      <c r="AE122" s="700">
        <f t="shared" si="145"/>
        <v>97.480999999999995</v>
      </c>
      <c r="AF122" s="523">
        <f t="shared" si="145"/>
        <v>27.166</v>
      </c>
      <c r="AG122" s="523">
        <f t="shared" si="145"/>
        <v>27.042000000000002</v>
      </c>
      <c r="AH122" s="523">
        <f t="shared" si="145"/>
        <v>27.600999999999999</v>
      </c>
      <c r="AI122" s="523">
        <f t="shared" si="145"/>
        <v>27.898</v>
      </c>
      <c r="AJ122" s="700">
        <f t="shared" si="145"/>
        <v>109.70699999999999</v>
      </c>
      <c r="AK122" s="523">
        <f t="shared" si="145"/>
        <v>32.006999999999998</v>
      </c>
      <c r="AL122" s="523">
        <f t="shared" si="145"/>
        <v>28.582999999999998</v>
      </c>
      <c r="AM122" s="523">
        <f t="shared" si="145"/>
        <v>30.302</v>
      </c>
      <c r="AN122" s="523">
        <f t="shared" si="145"/>
        <v>29.677000000000007</v>
      </c>
      <c r="AO122" s="700">
        <f t="shared" si="145"/>
        <v>120.569</v>
      </c>
      <c r="AP122" s="523">
        <f t="shared" si="145"/>
        <v>31.292000000000002</v>
      </c>
      <c r="AQ122" s="523">
        <f t="shared" si="145"/>
        <v>30.931999999999999</v>
      </c>
      <c r="AR122" s="523">
        <f t="shared" si="145"/>
        <v>39.703000000000003</v>
      </c>
      <c r="AS122" s="523"/>
      <c r="AT122" s="700">
        <f>AO158</f>
        <v>136.09100000000001</v>
      </c>
      <c r="AU122" s="523">
        <f>AP158</f>
        <v>43.536000000000001</v>
      </c>
      <c r="AV122" s="523">
        <f>AQ158</f>
        <v>26.402000000000001</v>
      </c>
      <c r="AW122" s="523">
        <f>AR158</f>
        <v>30.887</v>
      </c>
      <c r="AX122" s="523"/>
      <c r="AY122" s="700">
        <f>AT158</f>
        <v>130.44999999999999</v>
      </c>
      <c r="AZ122" s="523">
        <f>AU158</f>
        <v>31.861000000000001</v>
      </c>
      <c r="BA122" s="523">
        <f>AV158</f>
        <v>45.094999999999999</v>
      </c>
      <c r="BB122" s="523">
        <f>AW158</f>
        <v>30.001000000000001</v>
      </c>
      <c r="BC122" s="523"/>
      <c r="BD122" s="700">
        <f>AY158</f>
        <v>135.816</v>
      </c>
      <c r="BE122" s="523">
        <f>AZ158</f>
        <v>39.383000000000003</v>
      </c>
      <c r="BF122" s="523">
        <f>BA158</f>
        <v>38.377000000000002</v>
      </c>
      <c r="BG122" s="523">
        <f>BB158</f>
        <v>48.381</v>
      </c>
      <c r="BH122" s="523"/>
      <c r="BI122" s="700">
        <f>BD158</f>
        <v>164.108</v>
      </c>
      <c r="BJ122" s="523">
        <f>BE158</f>
        <v>46.509</v>
      </c>
      <c r="BK122" s="523">
        <f>BF158</f>
        <v>53.405000000000001</v>
      </c>
      <c r="BL122" s="563">
        <f>BG158</f>
        <v>45.695</v>
      </c>
      <c r="BM122" s="523"/>
      <c r="BN122" s="700"/>
      <c r="BO122" s="523"/>
      <c r="BP122" s="523"/>
      <c r="BQ122" s="523"/>
      <c r="BR122" s="523"/>
      <c r="BS122" s="700"/>
      <c r="BT122" s="700"/>
      <c r="BU122" s="700"/>
      <c r="BV122" s="700"/>
      <c r="BW122" s="318"/>
    </row>
    <row r="123" spans="1:75" s="439" customFormat="1" hidden="1" outlineLevel="1">
      <c r="A123" s="31" t="s">
        <v>205</v>
      </c>
      <c r="B123" s="24"/>
      <c r="C123" s="89"/>
      <c r="D123" s="89"/>
      <c r="E123" s="89"/>
      <c r="F123" s="89"/>
      <c r="G123" s="518"/>
      <c r="H123" s="518"/>
      <c r="I123" s="518"/>
      <c r="J123" s="518"/>
      <c r="K123" s="89"/>
      <c r="L123" s="518"/>
      <c r="M123" s="518"/>
      <c r="N123" s="518"/>
      <c r="O123" s="518"/>
      <c r="P123" s="89"/>
      <c r="Q123" s="518"/>
      <c r="R123" s="518"/>
      <c r="S123" s="518"/>
      <c r="T123" s="518"/>
      <c r="U123" s="89"/>
      <c r="V123" s="518"/>
      <c r="W123" s="518"/>
      <c r="X123" s="518"/>
      <c r="Y123" s="518"/>
      <c r="Z123" s="89"/>
      <c r="AA123" s="518"/>
      <c r="AB123" s="518"/>
      <c r="AC123" s="609">
        <v>0</v>
      </c>
      <c r="AD123" s="518"/>
      <c r="AE123" s="89"/>
      <c r="AF123" s="518"/>
      <c r="AG123" s="609">
        <v>0</v>
      </c>
      <c r="AH123" s="609">
        <v>0</v>
      </c>
      <c r="AI123" s="518"/>
      <c r="AJ123" s="89"/>
      <c r="AK123" s="609">
        <v>2.7</v>
      </c>
      <c r="AL123" s="609">
        <v>3.1</v>
      </c>
      <c r="AM123" s="609">
        <v>7.1</v>
      </c>
      <c r="AN123" s="518">
        <f>AO123-SUM(AK123,AL123,AM123)</f>
        <v>-5.8000000000000007</v>
      </c>
      <c r="AO123" s="675">
        <v>7.1</v>
      </c>
      <c r="AP123" s="518"/>
      <c r="AQ123" s="518"/>
      <c r="AR123" s="609">
        <v>-7.1</v>
      </c>
      <c r="AS123" s="518"/>
      <c r="AT123" s="675">
        <v>-7.1</v>
      </c>
      <c r="AU123" s="518"/>
      <c r="AV123" s="518"/>
      <c r="AW123" s="518"/>
      <c r="AX123" s="518"/>
      <c r="AY123" s="89"/>
      <c r="AZ123" s="518"/>
      <c r="BA123" s="518"/>
      <c r="BB123" s="518"/>
      <c r="BC123" s="518"/>
      <c r="BD123" s="89"/>
      <c r="BE123" s="518"/>
      <c r="BF123" s="518"/>
      <c r="BG123" s="518"/>
      <c r="BH123" s="518"/>
      <c r="BI123" s="89"/>
      <c r="BJ123" s="518"/>
      <c r="BK123" s="518"/>
      <c r="BL123" s="520"/>
      <c r="BM123" s="518"/>
      <c r="BN123" s="89"/>
      <c r="BO123" s="518"/>
      <c r="BP123" s="518"/>
      <c r="BQ123" s="518"/>
      <c r="BR123" s="518"/>
      <c r="BS123" s="89"/>
      <c r="BT123" s="89"/>
      <c r="BU123" s="89"/>
      <c r="BV123" s="89"/>
      <c r="BW123" s="519"/>
    </row>
    <row r="124" spans="1:75" s="439" customFormat="1" hidden="1" outlineLevel="1">
      <c r="A124" s="31" t="s">
        <v>206</v>
      </c>
      <c r="B124" s="24"/>
      <c r="C124" s="89"/>
      <c r="D124" s="89"/>
      <c r="E124" s="89"/>
      <c r="F124" s="89"/>
      <c r="G124" s="518"/>
      <c r="H124" s="518"/>
      <c r="I124" s="518"/>
      <c r="J124" s="518"/>
      <c r="K124" s="89"/>
      <c r="L124" s="518"/>
      <c r="M124" s="518"/>
      <c r="N124" s="518"/>
      <c r="O124" s="518"/>
      <c r="P124" s="675">
        <f>8.3+2.4</f>
        <v>10.700000000000001</v>
      </c>
      <c r="Q124" s="518"/>
      <c r="R124" s="518"/>
      <c r="S124" s="518"/>
      <c r="T124" s="518"/>
      <c r="U124" s="675">
        <f>11.7+4.7</f>
        <v>16.399999999999999</v>
      </c>
      <c r="V124" s="518"/>
      <c r="W124" s="518"/>
      <c r="X124" s="518"/>
      <c r="Y124" s="518"/>
      <c r="Z124" s="675">
        <f>12.1-2.6</f>
        <v>9.5</v>
      </c>
      <c r="AA124" s="609">
        <v>2.1</v>
      </c>
      <c r="AB124" s="609">
        <v>2.2999999999999998</v>
      </c>
      <c r="AC124" s="609">
        <v>1.1000000000000001</v>
      </c>
      <c r="AD124" s="518">
        <f>AE124-SUM(AA124,AB124,AC124)</f>
        <v>1.5999999999999996</v>
      </c>
      <c r="AE124" s="675">
        <f>5.7+1.4</f>
        <v>7.1</v>
      </c>
      <c r="AF124" s="609">
        <v>2.1</v>
      </c>
      <c r="AG124" s="609">
        <v>0.7</v>
      </c>
      <c r="AH124" s="609">
        <v>0.9</v>
      </c>
      <c r="AI124" s="518">
        <f>AJ124-SUM(AF124,AG124,AH124)</f>
        <v>2.4999999999999996</v>
      </c>
      <c r="AJ124" s="675">
        <f>4.8+1.4</f>
        <v>6.1999999999999993</v>
      </c>
      <c r="AK124" s="518"/>
      <c r="AL124" s="518"/>
      <c r="AM124" s="609">
        <v>2.1</v>
      </c>
      <c r="AN124" s="518">
        <f>AO124-SUM(AK124,AL124,AM124)</f>
        <v>8.2000000000000011</v>
      </c>
      <c r="AO124" s="675">
        <v>10.3</v>
      </c>
      <c r="AP124" s="518"/>
      <c r="AQ124" s="609">
        <f>-5-1.1</f>
        <v>-6.1</v>
      </c>
      <c r="AR124" s="518"/>
      <c r="AS124" s="518"/>
      <c r="AT124" s="675">
        <v>-6.5</v>
      </c>
      <c r="AU124" s="518"/>
      <c r="AV124" s="609">
        <v>9.5</v>
      </c>
      <c r="AW124" s="609">
        <v>0.8</v>
      </c>
      <c r="AX124" s="518"/>
      <c r="AY124" s="675">
        <v>15.5</v>
      </c>
      <c r="AZ124" s="609">
        <v>3.2</v>
      </c>
      <c r="BA124" s="609">
        <v>3.3</v>
      </c>
      <c r="BB124" s="609">
        <v>5.0999999999999996</v>
      </c>
      <c r="BC124" s="518"/>
      <c r="BD124" s="675">
        <v>15.1</v>
      </c>
      <c r="BE124" s="609">
        <v>5.2</v>
      </c>
      <c r="BF124" s="609">
        <v>1.9</v>
      </c>
      <c r="BG124" s="609">
        <v>2.2999999999999998</v>
      </c>
      <c r="BH124" s="518"/>
      <c r="BI124" s="675">
        <v>10.6</v>
      </c>
      <c r="BJ124" s="609">
        <v>-3.1</v>
      </c>
      <c r="BK124" s="609">
        <v>-1.4</v>
      </c>
      <c r="BL124" s="610">
        <v>-0.8</v>
      </c>
      <c r="BM124" s="518"/>
      <c r="BN124" s="89"/>
      <c r="BO124" s="518"/>
      <c r="BP124" s="518"/>
      <c r="BQ124" s="518"/>
      <c r="BR124" s="518"/>
      <c r="BS124" s="89"/>
      <c r="BT124" s="89"/>
      <c r="BU124" s="89"/>
      <c r="BV124" s="89"/>
      <c r="BW124" s="519"/>
    </row>
    <row r="125" spans="1:75" s="439" customFormat="1" hidden="1" outlineLevel="1">
      <c r="A125" s="31" t="s">
        <v>207</v>
      </c>
      <c r="B125" s="24"/>
      <c r="C125" s="89"/>
      <c r="D125" s="89"/>
      <c r="E125" s="89"/>
      <c r="F125" s="89"/>
      <c r="G125" s="518"/>
      <c r="H125" s="518"/>
      <c r="I125" s="518"/>
      <c r="J125" s="518"/>
      <c r="K125" s="89"/>
      <c r="L125" s="518"/>
      <c r="M125" s="518"/>
      <c r="N125" s="518"/>
      <c r="O125" s="518"/>
      <c r="P125" s="675">
        <v>3.1</v>
      </c>
      <c r="Q125" s="518"/>
      <c r="R125" s="518"/>
      <c r="S125" s="518"/>
      <c r="T125" s="518"/>
      <c r="U125" s="675">
        <v>3.9</v>
      </c>
      <c r="V125" s="518"/>
      <c r="W125" s="518"/>
      <c r="X125" s="518"/>
      <c r="Y125" s="518"/>
      <c r="Z125" s="675">
        <v>5.6</v>
      </c>
      <c r="AA125" s="609">
        <v>2</v>
      </c>
      <c r="AB125" s="609">
        <v>-0.2</v>
      </c>
      <c r="AC125" s="609">
        <v>-0.1</v>
      </c>
      <c r="AD125" s="518">
        <f>AE125-SUM(AA125,AB125,AC125)</f>
        <v>-0.7</v>
      </c>
      <c r="AE125" s="675">
        <v>1</v>
      </c>
      <c r="AF125" s="609">
        <v>2.1</v>
      </c>
      <c r="AG125" s="609">
        <v>0.7</v>
      </c>
      <c r="AH125" s="609">
        <v>1.2</v>
      </c>
      <c r="AI125" s="518">
        <f>AJ125-SUM(AF125,AG125,AH125)</f>
        <v>-0.39999999999999991</v>
      </c>
      <c r="AJ125" s="675">
        <v>3.6</v>
      </c>
      <c r="AK125" s="609">
        <v>-3.4</v>
      </c>
      <c r="AL125" s="609">
        <v>-0.8</v>
      </c>
      <c r="AM125" s="518">
        <f>-4-AL125-AK125</f>
        <v>0.19999999999999973</v>
      </c>
      <c r="AN125" s="518">
        <f>AO125-SUM(AK125,AL125,AM125)</f>
        <v>2</v>
      </c>
      <c r="AO125" s="675">
        <v>-2</v>
      </c>
      <c r="AP125" s="609">
        <v>11.7</v>
      </c>
      <c r="AQ125" s="609">
        <v>1.5</v>
      </c>
      <c r="AR125" s="518"/>
      <c r="AS125" s="518"/>
      <c r="AT125" s="675">
        <v>9.6999999999999993</v>
      </c>
      <c r="AU125" s="609">
        <v>-12.6</v>
      </c>
      <c r="AV125" s="609">
        <v>-2</v>
      </c>
      <c r="AW125" s="609">
        <v>-2.2999999999999998</v>
      </c>
      <c r="AX125" s="518"/>
      <c r="AY125" s="675">
        <v>-17.7</v>
      </c>
      <c r="AZ125" s="609">
        <v>4.3</v>
      </c>
      <c r="BA125" s="609">
        <v>1.2</v>
      </c>
      <c r="BB125" s="609">
        <v>3</v>
      </c>
      <c r="BC125" s="518"/>
      <c r="BD125" s="675">
        <v>10.4</v>
      </c>
      <c r="BE125" s="609">
        <v>-0.8</v>
      </c>
      <c r="BF125" s="609">
        <v>2.7</v>
      </c>
      <c r="BG125" s="609">
        <v>6.5</v>
      </c>
      <c r="BH125" s="518"/>
      <c r="BI125" s="675">
        <v>15.7</v>
      </c>
      <c r="BJ125" s="609">
        <v>4.9000000000000004</v>
      </c>
      <c r="BK125" s="518"/>
      <c r="BL125" s="610">
        <v>-0.9</v>
      </c>
      <c r="BM125" s="518"/>
      <c r="BN125" s="89"/>
      <c r="BO125" s="518"/>
      <c r="BP125" s="518"/>
      <c r="BQ125" s="518"/>
      <c r="BR125" s="518"/>
      <c r="BS125" s="89"/>
      <c r="BT125" s="89"/>
      <c r="BU125" s="89"/>
      <c r="BV125" s="89"/>
      <c r="BW125" s="519"/>
    </row>
    <row r="126" spans="1:75" s="439" customFormat="1" hidden="1" outlineLevel="1">
      <c r="A126" s="31" t="s">
        <v>208</v>
      </c>
      <c r="B126" s="24"/>
      <c r="C126" s="89"/>
      <c r="D126" s="89"/>
      <c r="E126" s="89"/>
      <c r="F126" s="89"/>
      <c r="G126" s="518"/>
      <c r="H126" s="518"/>
      <c r="I126" s="518"/>
      <c r="J126" s="518"/>
      <c r="K126" s="89"/>
      <c r="L126" s="518"/>
      <c r="M126" s="518"/>
      <c r="N126" s="518"/>
      <c r="O126" s="518"/>
      <c r="P126" s="89"/>
      <c r="Q126" s="518"/>
      <c r="R126" s="518"/>
      <c r="S126" s="518"/>
      <c r="T126" s="518"/>
      <c r="U126" s="89"/>
      <c r="V126" s="518"/>
      <c r="W126" s="518"/>
      <c r="X126" s="518"/>
      <c r="Y126" s="518"/>
      <c r="Z126" s="89"/>
      <c r="AA126" s="518"/>
      <c r="AB126" s="518"/>
      <c r="AC126" s="518"/>
      <c r="AD126" s="518"/>
      <c r="AE126" s="89"/>
      <c r="AF126" s="518"/>
      <c r="AG126" s="518"/>
      <c r="AH126" s="518"/>
      <c r="AI126" s="518"/>
      <c r="AJ126" s="89"/>
      <c r="AK126" s="518"/>
      <c r="AL126" s="518"/>
      <c r="AM126" s="518"/>
      <c r="AN126" s="518"/>
      <c r="AO126" s="89"/>
      <c r="AP126" s="518"/>
      <c r="AQ126" s="518"/>
      <c r="AR126" s="518"/>
      <c r="AS126" s="518"/>
      <c r="AT126" s="89"/>
      <c r="AU126" s="518"/>
      <c r="AV126" s="609">
        <v>11.2</v>
      </c>
      <c r="AW126" s="518"/>
      <c r="AX126" s="518"/>
      <c r="AY126" s="675">
        <f>11.2-3.7</f>
        <v>7.4999999999999991</v>
      </c>
      <c r="AZ126" s="518"/>
      <c r="BA126" s="609">
        <v>-11.2</v>
      </c>
      <c r="BB126" s="609">
        <v>10.5</v>
      </c>
      <c r="BC126" s="518"/>
      <c r="BD126" s="89"/>
      <c r="BE126" s="609">
        <v>3.6</v>
      </c>
      <c r="BF126" s="518"/>
      <c r="BG126" s="609">
        <v>-10.5</v>
      </c>
      <c r="BH126" s="518"/>
      <c r="BI126" s="675">
        <v>13.1</v>
      </c>
      <c r="BJ126" s="609">
        <v>-3.6</v>
      </c>
      <c r="BK126" s="518"/>
      <c r="BL126" s="610">
        <v>5.9</v>
      </c>
      <c r="BM126" s="518"/>
      <c r="BN126" s="89"/>
      <c r="BO126" s="518"/>
      <c r="BP126" s="518"/>
      <c r="BQ126" s="518"/>
      <c r="BR126" s="518"/>
      <c r="BS126" s="89"/>
      <c r="BT126" s="89"/>
      <c r="BU126" s="89"/>
      <c r="BV126" s="89"/>
      <c r="BW126" s="519"/>
    </row>
    <row r="127" spans="1:75" s="439" customFormat="1" hidden="1" outlineLevel="1">
      <c r="A127" s="31" t="s">
        <v>209</v>
      </c>
      <c r="B127" s="24"/>
      <c r="C127" s="89"/>
      <c r="D127" s="89"/>
      <c r="E127" s="89"/>
      <c r="F127" s="89"/>
      <c r="G127" s="518"/>
      <c r="H127" s="518"/>
      <c r="I127" s="518"/>
      <c r="J127" s="518"/>
      <c r="K127" s="89"/>
      <c r="L127" s="518"/>
      <c r="M127" s="518"/>
      <c r="N127" s="518"/>
      <c r="O127" s="518"/>
      <c r="P127" s="89"/>
      <c r="Q127" s="518"/>
      <c r="R127" s="518"/>
      <c r="S127" s="518"/>
      <c r="T127" s="518"/>
      <c r="U127" s="89"/>
      <c r="V127" s="518"/>
      <c r="W127" s="518"/>
      <c r="X127" s="518"/>
      <c r="Y127" s="518"/>
      <c r="Z127" s="89"/>
      <c r="AA127" s="518"/>
      <c r="AB127" s="518"/>
      <c r="AC127" s="518"/>
      <c r="AD127" s="518"/>
      <c r="AE127" s="89"/>
      <c r="AF127" s="518"/>
      <c r="AG127" s="518"/>
      <c r="AH127" s="518"/>
      <c r="AI127" s="518"/>
      <c r="AJ127" s="89"/>
      <c r="AK127" s="518"/>
      <c r="AL127" s="518"/>
      <c r="AM127" s="518"/>
      <c r="AN127" s="518"/>
      <c r="AO127" s="89"/>
      <c r="AP127" s="518"/>
      <c r="AQ127" s="518"/>
      <c r="AR127" s="518"/>
      <c r="AS127" s="518"/>
      <c r="AT127" s="89"/>
      <c r="AU127" s="518"/>
      <c r="AV127" s="518"/>
      <c r="AW127" s="518"/>
      <c r="AX127" s="518"/>
      <c r="AY127" s="89"/>
      <c r="AZ127" s="518"/>
      <c r="BA127" s="518"/>
      <c r="BB127" s="518"/>
      <c r="BC127" s="518"/>
      <c r="BD127" s="89"/>
      <c r="BE127" s="609">
        <v>-0.6</v>
      </c>
      <c r="BF127" s="518"/>
      <c r="BG127" s="518"/>
      <c r="BH127" s="518"/>
      <c r="BI127" s="89"/>
      <c r="BJ127" s="518"/>
      <c r="BK127" s="518"/>
      <c r="BL127" s="520"/>
      <c r="BM127" s="518"/>
      <c r="BN127" s="89"/>
      <c r="BO127" s="518"/>
      <c r="BP127" s="518"/>
      <c r="BQ127" s="518"/>
      <c r="BR127" s="518"/>
      <c r="BS127" s="89"/>
      <c r="BT127" s="89"/>
      <c r="BU127" s="89"/>
      <c r="BV127" s="89"/>
      <c r="BW127" s="519"/>
    </row>
    <row r="128" spans="1:75" s="439" customFormat="1" hidden="1" outlineLevel="1">
      <c r="A128" s="31" t="s">
        <v>210</v>
      </c>
      <c r="B128" s="24"/>
      <c r="C128" s="89"/>
      <c r="D128" s="89"/>
      <c r="E128" s="89"/>
      <c r="F128" s="89"/>
      <c r="G128" s="518"/>
      <c r="H128" s="518"/>
      <c r="I128" s="518"/>
      <c r="J128" s="518"/>
      <c r="K128" s="89"/>
      <c r="L128" s="518"/>
      <c r="M128" s="518"/>
      <c r="N128" s="518"/>
      <c r="O128" s="518"/>
      <c r="P128" s="675">
        <v>1.6</v>
      </c>
      <c r="Q128" s="518"/>
      <c r="R128" s="518"/>
      <c r="S128" s="518"/>
      <c r="T128" s="518"/>
      <c r="U128" s="675">
        <v>2.2999999999999998</v>
      </c>
      <c r="V128" s="518"/>
      <c r="W128" s="518"/>
      <c r="X128" s="518"/>
      <c r="Y128" s="518"/>
      <c r="Z128" s="675">
        <v>1.5</v>
      </c>
      <c r="AA128" s="609">
        <v>0.2</v>
      </c>
      <c r="AB128" s="518"/>
      <c r="AC128" s="518"/>
      <c r="AD128" s="518">
        <f>AE128-SUM(AA128,AB128,AC128)</f>
        <v>-0.2</v>
      </c>
      <c r="AE128" s="89"/>
      <c r="AF128" s="518"/>
      <c r="AG128" s="518"/>
      <c r="AH128" s="518"/>
      <c r="AI128" s="518"/>
      <c r="AJ128" s="89"/>
      <c r="AK128" s="518"/>
      <c r="AL128" s="518"/>
      <c r="AM128" s="518"/>
      <c r="AN128" s="518"/>
      <c r="AO128" s="89"/>
      <c r="AP128" s="518"/>
      <c r="AQ128" s="518"/>
      <c r="AR128" s="518"/>
      <c r="AS128" s="518"/>
      <c r="AT128" s="89"/>
      <c r="AU128" s="518"/>
      <c r="AV128" s="518"/>
      <c r="AW128" s="518"/>
      <c r="AX128" s="518"/>
      <c r="AY128" s="89"/>
      <c r="AZ128" s="518"/>
      <c r="BA128" s="518"/>
      <c r="BB128" s="518"/>
      <c r="BC128" s="518"/>
      <c r="BD128" s="89"/>
      <c r="BE128" s="518"/>
      <c r="BF128" s="518"/>
      <c r="BG128" s="518"/>
      <c r="BH128" s="518"/>
      <c r="BI128" s="89"/>
      <c r="BJ128" s="518"/>
      <c r="BK128" s="518"/>
      <c r="BL128" s="520"/>
      <c r="BM128" s="518"/>
      <c r="BN128" s="89"/>
      <c r="BO128" s="518"/>
      <c r="BP128" s="518"/>
      <c r="BQ128" s="518"/>
      <c r="BR128" s="518"/>
      <c r="BS128" s="89"/>
      <c r="BT128" s="89"/>
      <c r="BU128" s="89"/>
      <c r="BV128" s="89"/>
      <c r="BW128" s="519"/>
    </row>
    <row r="129" spans="1:75" s="439" customFormat="1" hidden="1" outlineLevel="1">
      <c r="A129" s="31" t="s">
        <v>211</v>
      </c>
      <c r="B129" s="24"/>
      <c r="C129" s="89"/>
      <c r="D129" s="89"/>
      <c r="E129" s="89"/>
      <c r="F129" s="89"/>
      <c r="G129" s="518"/>
      <c r="H129" s="518"/>
      <c r="I129" s="518"/>
      <c r="J129" s="518"/>
      <c r="K129" s="89"/>
      <c r="L129" s="518"/>
      <c r="M129" s="518"/>
      <c r="N129" s="518"/>
      <c r="O129" s="518"/>
      <c r="P129" s="89"/>
      <c r="Q129" s="518"/>
      <c r="R129" s="518"/>
      <c r="S129" s="518"/>
      <c r="T129" s="518"/>
      <c r="U129" s="89"/>
      <c r="V129" s="518"/>
      <c r="W129" s="518"/>
      <c r="X129" s="518"/>
      <c r="Y129" s="518"/>
      <c r="Z129" s="89"/>
      <c r="AA129" s="518"/>
      <c r="AB129" s="518"/>
      <c r="AC129" s="518"/>
      <c r="AD129" s="518"/>
      <c r="AE129" s="89"/>
      <c r="AF129" s="518"/>
      <c r="AG129" s="518"/>
      <c r="AH129" s="518"/>
      <c r="AI129" s="518"/>
      <c r="AJ129" s="89"/>
      <c r="AK129" s="518"/>
      <c r="AL129" s="518"/>
      <c r="AM129" s="518"/>
      <c r="AN129" s="518"/>
      <c r="AO129" s="89"/>
      <c r="AP129" s="518"/>
      <c r="AQ129" s="518"/>
      <c r="AR129" s="518"/>
      <c r="AS129" s="518"/>
      <c r="AT129" s="89"/>
      <c r="AU129" s="518"/>
      <c r="AV129" s="518"/>
      <c r="AW129" s="518"/>
      <c r="AX129" s="518"/>
      <c r="AY129" s="89"/>
      <c r="AZ129" s="518"/>
      <c r="BA129" s="518"/>
      <c r="BB129" s="518"/>
      <c r="BC129" s="518"/>
      <c r="BD129" s="89"/>
      <c r="BE129" s="518"/>
      <c r="BF129" s="609">
        <v>11</v>
      </c>
      <c r="BG129" s="518"/>
      <c r="BH129" s="518"/>
      <c r="BI129" s="675">
        <v>11</v>
      </c>
      <c r="BJ129" s="518"/>
      <c r="BK129" s="609">
        <v>-11</v>
      </c>
      <c r="BL129" s="520"/>
      <c r="BM129" s="518"/>
      <c r="BN129" s="89"/>
      <c r="BO129" s="518"/>
      <c r="BP129" s="518"/>
      <c r="BQ129" s="518"/>
      <c r="BR129" s="518"/>
      <c r="BS129" s="89"/>
      <c r="BT129" s="89"/>
      <c r="BU129" s="89"/>
      <c r="BV129" s="89"/>
      <c r="BW129" s="519"/>
    </row>
    <row r="130" spans="1:75" s="439" customFormat="1" hidden="1" outlineLevel="1">
      <c r="A130" s="31" t="s">
        <v>212</v>
      </c>
      <c r="B130" s="24"/>
      <c r="C130" s="89"/>
      <c r="D130" s="89"/>
      <c r="E130" s="89"/>
      <c r="F130" s="89"/>
      <c r="G130" s="518"/>
      <c r="H130" s="518"/>
      <c r="I130" s="518"/>
      <c r="J130" s="518"/>
      <c r="K130" s="89"/>
      <c r="L130" s="518"/>
      <c r="M130" s="518"/>
      <c r="N130" s="518"/>
      <c r="O130" s="518"/>
      <c r="P130" s="89">
        <f t="shared" ref="P130:BB130" si="146">P131-SUM(P122:P129)</f>
        <v>-3.3000000000001251E-2</v>
      </c>
      <c r="Q130" s="518">
        <f t="shared" si="146"/>
        <v>0</v>
      </c>
      <c r="R130" s="518">
        <f t="shared" si="146"/>
        <v>0</v>
      </c>
      <c r="S130" s="518">
        <f t="shared" si="146"/>
        <v>0</v>
      </c>
      <c r="T130" s="518">
        <f t="shared" si="146"/>
        <v>0</v>
      </c>
      <c r="U130" s="89">
        <f t="shared" si="146"/>
        <v>-8.0000000000097771E-3</v>
      </c>
      <c r="V130" s="518">
        <f t="shared" si="146"/>
        <v>0</v>
      </c>
      <c r="W130" s="518">
        <f t="shared" si="146"/>
        <v>0</v>
      </c>
      <c r="X130" s="518">
        <f t="shared" si="146"/>
        <v>0</v>
      </c>
      <c r="Y130" s="518">
        <f t="shared" si="146"/>
        <v>0</v>
      </c>
      <c r="Z130" s="89">
        <f t="shared" si="146"/>
        <v>1.5000000000000568E-2</v>
      </c>
      <c r="AA130" s="518">
        <f t="shared" si="146"/>
        <v>0.24600000000000222</v>
      </c>
      <c r="AB130" s="518">
        <f t="shared" si="146"/>
        <v>0.39699999999999847</v>
      </c>
      <c r="AC130" s="518">
        <f t="shared" si="146"/>
        <v>0.81799999999999784</v>
      </c>
      <c r="AD130" s="518">
        <f t="shared" si="146"/>
        <v>-0.17400000000000304</v>
      </c>
      <c r="AE130" s="89">
        <f t="shared" si="146"/>
        <v>9.200000000001296E-2</v>
      </c>
      <c r="AF130" s="518">
        <f t="shared" si="146"/>
        <v>0.64099999999999469</v>
      </c>
      <c r="AG130" s="518">
        <f t="shared" si="146"/>
        <v>0.14099999999999824</v>
      </c>
      <c r="AH130" s="518">
        <f t="shared" si="146"/>
        <v>0.60100000000000264</v>
      </c>
      <c r="AI130" s="518">
        <f t="shared" si="146"/>
        <v>-0.3209999999999944</v>
      </c>
      <c r="AJ130" s="89">
        <f t="shared" si="146"/>
        <v>1.0620000000000118</v>
      </c>
      <c r="AK130" s="518">
        <f t="shared" si="146"/>
        <v>-1.5000000000000568E-2</v>
      </c>
      <c r="AL130" s="518">
        <f t="shared" si="146"/>
        <v>4.8999999999999488E-2</v>
      </c>
      <c r="AM130" s="518">
        <f t="shared" si="146"/>
        <v>9.9999999999766942E-4</v>
      </c>
      <c r="AN130" s="518">
        <f t="shared" si="146"/>
        <v>8.6999999999996191E-2</v>
      </c>
      <c r="AO130" s="89">
        <f t="shared" si="146"/>
        <v>0.1220000000000141</v>
      </c>
      <c r="AP130" s="518">
        <f t="shared" si="146"/>
        <v>0.54399999999999693</v>
      </c>
      <c r="AQ130" s="518">
        <f t="shared" si="146"/>
        <v>7.0000000000000284E-2</v>
      </c>
      <c r="AR130" s="518">
        <f t="shared" si="146"/>
        <v>-1.7160000000000011</v>
      </c>
      <c r="AS130" s="518">
        <f t="shared" si="146"/>
        <v>0</v>
      </c>
      <c r="AT130" s="89">
        <f t="shared" si="146"/>
        <v>-1.7410000000000139</v>
      </c>
      <c r="AU130" s="518">
        <f t="shared" si="146"/>
        <v>0.92500000000000071</v>
      </c>
      <c r="AV130" s="518">
        <f t="shared" si="146"/>
        <v>-7.0000000000050022E-3</v>
      </c>
      <c r="AW130" s="518">
        <f t="shared" si="146"/>
        <v>0.61400000000000077</v>
      </c>
      <c r="AX130" s="518">
        <f t="shared" si="146"/>
        <v>0</v>
      </c>
      <c r="AY130" s="89">
        <f t="shared" si="146"/>
        <v>6.6000000000002501E-2</v>
      </c>
      <c r="AZ130" s="518">
        <f t="shared" si="146"/>
        <v>2.2000000000005571E-2</v>
      </c>
      <c r="BA130" s="518">
        <f t="shared" si="146"/>
        <v>-1.7999999999993577E-2</v>
      </c>
      <c r="BB130" s="518">
        <f t="shared" si="146"/>
        <v>-0.21999999999999886</v>
      </c>
      <c r="BC130" s="518"/>
      <c r="BD130" s="89">
        <f>BD131-SUM(BD122:BD129)</f>
        <v>2.7920000000000016</v>
      </c>
      <c r="BE130" s="518">
        <f>BE131-SUM(BE122:BE129)</f>
        <v>-0.27400000000000801</v>
      </c>
      <c r="BF130" s="518">
        <f>BF131-SUM(BF122:BF129)</f>
        <v>-0.57200000000000273</v>
      </c>
      <c r="BG130" s="518">
        <f>BG131-SUM(BG122:BG129)</f>
        <v>-0.9859999999999971</v>
      </c>
      <c r="BH130" s="518"/>
      <c r="BI130" s="89">
        <f>BI131-SUM(BI122:BI129)</f>
        <v>-2.0769999999999698</v>
      </c>
      <c r="BJ130" s="518">
        <f>BJ131-SUM(BJ122:BJ129)</f>
        <v>0.52300000000000324</v>
      </c>
      <c r="BK130" s="518">
        <f>BK131-SUM(BK122:BK129)</f>
        <v>3.6289999999999978</v>
      </c>
      <c r="BL130" s="520">
        <f>BL131-SUM(BL122:BL129)</f>
        <v>-0.29000000000000625</v>
      </c>
      <c r="BM130" s="518"/>
      <c r="BN130" s="89"/>
      <c r="BO130" s="518"/>
      <c r="BP130" s="518"/>
      <c r="BQ130" s="518"/>
      <c r="BR130" s="518"/>
      <c r="BS130" s="89"/>
      <c r="BT130" s="89"/>
      <c r="BU130" s="89"/>
      <c r="BV130" s="89"/>
      <c r="BW130" s="519"/>
    </row>
    <row r="131" spans="1:75" s="444" customFormat="1" hidden="1" outlineLevel="1">
      <c r="A131" s="18" t="s">
        <v>213</v>
      </c>
      <c r="B131" s="48"/>
      <c r="C131" s="676"/>
      <c r="D131" s="676"/>
      <c r="E131" s="676"/>
      <c r="F131" s="676"/>
      <c r="G131" s="560"/>
      <c r="H131" s="560"/>
      <c r="I131" s="560"/>
      <c r="J131" s="560"/>
      <c r="K131" s="676"/>
      <c r="L131" s="560"/>
      <c r="M131" s="560"/>
      <c r="N131" s="560"/>
      <c r="O131" s="560"/>
      <c r="P131" s="676">
        <f>P158</f>
        <v>58.274000000000001</v>
      </c>
      <c r="Q131" s="560"/>
      <c r="R131" s="560"/>
      <c r="S131" s="560"/>
      <c r="T131" s="560"/>
      <c r="U131" s="676">
        <f>U158</f>
        <v>80.866</v>
      </c>
      <c r="V131" s="560"/>
      <c r="W131" s="560"/>
      <c r="X131" s="560"/>
      <c r="Y131" s="560"/>
      <c r="Z131" s="676">
        <f>Z158</f>
        <v>97.480999999999995</v>
      </c>
      <c r="AA131" s="620">
        <v>26.315000000000001</v>
      </c>
      <c r="AB131" s="620">
        <v>25.960999999999999</v>
      </c>
      <c r="AC131" s="620">
        <v>26.693999999999999</v>
      </c>
      <c r="AD131" s="560">
        <f>AD158</f>
        <v>27.898</v>
      </c>
      <c r="AE131" s="698">
        <v>105.673</v>
      </c>
      <c r="AF131" s="560">
        <f t="shared" ref="AF131:AR131" si="147">AF158</f>
        <v>32.006999999999998</v>
      </c>
      <c r="AG131" s="560">
        <f t="shared" si="147"/>
        <v>28.582999999999998</v>
      </c>
      <c r="AH131" s="560">
        <f t="shared" si="147"/>
        <v>30.302</v>
      </c>
      <c r="AI131" s="560">
        <f t="shared" si="147"/>
        <v>29.677000000000007</v>
      </c>
      <c r="AJ131" s="676">
        <f t="shared" si="147"/>
        <v>120.569</v>
      </c>
      <c r="AK131" s="560">
        <f t="shared" si="147"/>
        <v>31.292000000000002</v>
      </c>
      <c r="AL131" s="560">
        <f t="shared" si="147"/>
        <v>30.931999999999999</v>
      </c>
      <c r="AM131" s="560">
        <f t="shared" si="147"/>
        <v>39.703000000000003</v>
      </c>
      <c r="AN131" s="560">
        <f t="shared" si="147"/>
        <v>34.164000000000001</v>
      </c>
      <c r="AO131" s="676">
        <f t="shared" si="147"/>
        <v>136.09100000000001</v>
      </c>
      <c r="AP131" s="560">
        <f t="shared" si="147"/>
        <v>43.536000000000001</v>
      </c>
      <c r="AQ131" s="560">
        <f t="shared" si="147"/>
        <v>26.402000000000001</v>
      </c>
      <c r="AR131" s="560">
        <f t="shared" si="147"/>
        <v>30.887</v>
      </c>
      <c r="AS131" s="560"/>
      <c r="AT131" s="676">
        <f>AT158</f>
        <v>130.44999999999999</v>
      </c>
      <c r="AU131" s="560">
        <f>AU158</f>
        <v>31.861000000000001</v>
      </c>
      <c r="AV131" s="560">
        <f>AV158</f>
        <v>45.094999999999999</v>
      </c>
      <c r="AW131" s="560">
        <f>AW158</f>
        <v>30.001000000000001</v>
      </c>
      <c r="AX131" s="560"/>
      <c r="AY131" s="676">
        <f>AY158</f>
        <v>135.816</v>
      </c>
      <c r="AZ131" s="560">
        <f>AZ158</f>
        <v>39.383000000000003</v>
      </c>
      <c r="BA131" s="560">
        <f>BA158</f>
        <v>38.377000000000002</v>
      </c>
      <c r="BB131" s="560">
        <f>BB158</f>
        <v>48.381</v>
      </c>
      <c r="BC131" s="560"/>
      <c r="BD131" s="676">
        <f>BD158</f>
        <v>164.108</v>
      </c>
      <c r="BE131" s="560">
        <f>BE158</f>
        <v>46.509</v>
      </c>
      <c r="BF131" s="560">
        <f>BF158</f>
        <v>53.405000000000001</v>
      </c>
      <c r="BG131" s="560">
        <f>BG158</f>
        <v>45.695</v>
      </c>
      <c r="BH131" s="560"/>
      <c r="BI131" s="676">
        <f>BI158</f>
        <v>212.43100000000001</v>
      </c>
      <c r="BJ131" s="560">
        <f>BJ158</f>
        <v>45.231999999999999</v>
      </c>
      <c r="BK131" s="560">
        <f>BK158</f>
        <v>44.634</v>
      </c>
      <c r="BL131" s="561">
        <f>BL158</f>
        <v>49.604999999999997</v>
      </c>
      <c r="BM131" s="560"/>
      <c r="BN131" s="676"/>
      <c r="BO131" s="560"/>
      <c r="BP131" s="560"/>
      <c r="BQ131" s="560"/>
      <c r="BR131" s="560"/>
      <c r="BS131" s="676"/>
      <c r="BT131" s="676"/>
      <c r="BU131" s="676"/>
      <c r="BV131" s="676"/>
      <c r="BW131" s="318"/>
    </row>
    <row r="132" spans="1:75" s="444" customFormat="1" collapsed="1">
      <c r="A132" s="28"/>
      <c r="B132" s="79"/>
      <c r="C132" s="700"/>
      <c r="D132" s="700"/>
      <c r="E132" s="700"/>
      <c r="F132" s="700"/>
      <c r="G132" s="523"/>
      <c r="H132" s="523"/>
      <c r="I132" s="523"/>
      <c r="J132" s="523"/>
      <c r="K132" s="700"/>
      <c r="L132" s="523"/>
      <c r="M132" s="523"/>
      <c r="N132" s="523"/>
      <c r="O132" s="523"/>
      <c r="P132" s="700"/>
      <c r="Q132" s="523"/>
      <c r="R132" s="523"/>
      <c r="S132" s="523"/>
      <c r="T132" s="523"/>
      <c r="U132" s="700"/>
      <c r="V132" s="523"/>
      <c r="W132" s="523"/>
      <c r="X132" s="523"/>
      <c r="Y132" s="523"/>
      <c r="Z132" s="700"/>
      <c r="AA132" s="523"/>
      <c r="AB132" s="523"/>
      <c r="AC132" s="523"/>
      <c r="AD132" s="523"/>
      <c r="AE132" s="700"/>
      <c r="AF132" s="523"/>
      <c r="AG132" s="523"/>
      <c r="AH132" s="523"/>
      <c r="AI132" s="523"/>
      <c r="AJ132" s="700"/>
      <c r="AK132" s="523"/>
      <c r="AL132" s="523"/>
      <c r="AM132" s="523"/>
      <c r="AN132" s="523"/>
      <c r="AO132" s="700"/>
      <c r="AP132" s="523"/>
      <c r="AQ132" s="523"/>
      <c r="AR132" s="523"/>
      <c r="AS132" s="523"/>
      <c r="AT132" s="700"/>
      <c r="AU132" s="523"/>
      <c r="AV132" s="523"/>
      <c r="AW132" s="523"/>
      <c r="AX132" s="523"/>
      <c r="AY132" s="700"/>
      <c r="AZ132" s="523"/>
      <c r="BA132" s="523"/>
      <c r="BB132" s="523"/>
      <c r="BC132" s="523"/>
      <c r="BD132" s="700"/>
      <c r="BE132" s="523"/>
      <c r="BF132" s="523"/>
      <c r="BG132" s="523"/>
      <c r="BH132" s="523"/>
      <c r="BI132" s="700"/>
      <c r="BJ132" s="523"/>
      <c r="BK132" s="523"/>
      <c r="BL132" s="563"/>
      <c r="BM132" s="523"/>
      <c r="BN132" s="700"/>
      <c r="BO132" s="523"/>
      <c r="BP132" s="523"/>
      <c r="BQ132" s="523"/>
      <c r="BR132" s="523"/>
      <c r="BS132" s="700"/>
      <c r="BT132" s="700"/>
      <c r="BU132" s="700"/>
      <c r="BV132" s="700"/>
      <c r="BW132" s="318"/>
    </row>
    <row r="133" spans="1:75" s="442" customFormat="1">
      <c r="A133" s="3" t="s">
        <v>214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52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84"/>
    </row>
    <row r="134" spans="1:75" s="442" customFormat="1">
      <c r="A134" s="67" t="s">
        <v>215</v>
      </c>
      <c r="B134" s="17"/>
      <c r="C134" s="707">
        <f t="shared" ref="C134:AH134" si="148">C217/C214</f>
        <v>4.3436143831370115E-2</v>
      </c>
      <c r="D134" s="707">
        <f t="shared" si="148"/>
        <v>6.5722486434392741E-2</v>
      </c>
      <c r="E134" s="707">
        <f t="shared" si="148"/>
        <v>7.1213303716155377E-2</v>
      </c>
      <c r="F134" s="707">
        <f t="shared" si="148"/>
        <v>7.21684706361264E-2</v>
      </c>
      <c r="G134" s="537">
        <f t="shared" si="148"/>
        <v>7.2399367047449759E-2</v>
      </c>
      <c r="H134" s="537">
        <f t="shared" si="148"/>
        <v>7.3024008142049679E-2</v>
      </c>
      <c r="I134" s="537">
        <f t="shared" si="148"/>
        <v>6.9907324169268245E-2</v>
      </c>
      <c r="J134" s="537">
        <f t="shared" si="148"/>
        <v>6.9723004628384599E-2</v>
      </c>
      <c r="K134" s="707">
        <f t="shared" si="148"/>
        <v>7.1080914038491247E-2</v>
      </c>
      <c r="L134" s="537">
        <f t="shared" si="148"/>
        <v>6.6446791524336773E-2</v>
      </c>
      <c r="M134" s="537">
        <f t="shared" si="148"/>
        <v>6.5831709597125698E-2</v>
      </c>
      <c r="N134" s="537">
        <f t="shared" si="148"/>
        <v>6.0260602215606855E-2</v>
      </c>
      <c r="O134" s="537">
        <f t="shared" si="148"/>
        <v>6.6304476416682592E-2</v>
      </c>
      <c r="P134" s="707">
        <f t="shared" si="148"/>
        <v>6.4581920664519413E-2</v>
      </c>
      <c r="Q134" s="537">
        <f t="shared" si="148"/>
        <v>7.3404327134033151E-2</v>
      </c>
      <c r="R134" s="537">
        <f t="shared" si="148"/>
        <v>9.7503603085585408E-2</v>
      </c>
      <c r="S134" s="537">
        <f t="shared" si="148"/>
        <v>9.9325016195431853E-2</v>
      </c>
      <c r="T134" s="537">
        <f t="shared" si="148"/>
        <v>9.7573033415511518E-2</v>
      </c>
      <c r="U134" s="707">
        <f t="shared" si="148"/>
        <v>9.2803309375289925E-2</v>
      </c>
      <c r="V134" s="537">
        <f t="shared" si="148"/>
        <v>9.5061564941083004E-2</v>
      </c>
      <c r="W134" s="537">
        <f t="shared" si="148"/>
        <v>8.6992873123140441E-2</v>
      </c>
      <c r="X134" s="537">
        <f t="shared" si="148"/>
        <v>7.8364620473388033E-2</v>
      </c>
      <c r="Y134" s="537">
        <f t="shared" si="148"/>
        <v>8.0104314256966291E-2</v>
      </c>
      <c r="Z134" s="707">
        <f t="shared" si="148"/>
        <v>8.4652396892867313E-2</v>
      </c>
      <c r="AA134" s="537">
        <f t="shared" si="148"/>
        <v>8.5349238547942727E-2</v>
      </c>
      <c r="AB134" s="537">
        <f t="shared" si="148"/>
        <v>8.6003477101145545E-2</v>
      </c>
      <c r="AC134" s="537">
        <f t="shared" si="148"/>
        <v>8.6489585152740647E-2</v>
      </c>
      <c r="AD134" s="537">
        <f t="shared" si="148"/>
        <v>7.3987996773620252E-2</v>
      </c>
      <c r="AE134" s="707">
        <f t="shared" si="148"/>
        <v>8.2879765692304264E-2</v>
      </c>
      <c r="AF134" s="537">
        <f t="shared" si="148"/>
        <v>6.6040865363063375E-2</v>
      </c>
      <c r="AG134" s="537">
        <f t="shared" si="148"/>
        <v>6.2623742351924319E-2</v>
      </c>
      <c r="AH134" s="537">
        <f t="shared" si="148"/>
        <v>5.8802302817135083E-2</v>
      </c>
      <c r="AI134" s="537">
        <f t="shared" ref="AI134:BN134" si="149">AI217/AI214</f>
        <v>5.8484450644129E-2</v>
      </c>
      <c r="AJ134" s="707">
        <f t="shared" si="149"/>
        <v>6.1384872074189648E-2</v>
      </c>
      <c r="AK134" s="537">
        <f t="shared" si="149"/>
        <v>6.0459774012257252E-2</v>
      </c>
      <c r="AL134" s="537">
        <f t="shared" si="149"/>
        <v>6.0638577878560869E-2</v>
      </c>
      <c r="AM134" s="537">
        <f t="shared" si="149"/>
        <v>6.291670794059602E-2</v>
      </c>
      <c r="AN134" s="537">
        <f t="shared" si="149"/>
        <v>6.1958984164301414E-2</v>
      </c>
      <c r="AO134" s="707">
        <f t="shared" si="149"/>
        <v>6.153655020637077E-2</v>
      </c>
      <c r="AP134" s="537">
        <f t="shared" si="149"/>
        <v>6.7414696219703002E-2</v>
      </c>
      <c r="AQ134" s="537">
        <f t="shared" si="149"/>
        <v>6.9957995622078911E-2</v>
      </c>
      <c r="AR134" s="537">
        <f t="shared" si="149"/>
        <v>5.9749011580248819E-2</v>
      </c>
      <c r="AS134" s="537">
        <f t="shared" si="149"/>
        <v>6.5700379510709922E-2</v>
      </c>
      <c r="AT134" s="707">
        <f t="shared" si="149"/>
        <v>6.551018233930897E-2</v>
      </c>
      <c r="AU134" s="537">
        <f t="shared" si="149"/>
        <v>6.4085550806562808E-2</v>
      </c>
      <c r="AV134" s="537">
        <f t="shared" si="149"/>
        <v>6.9960495824066438E-2</v>
      </c>
      <c r="AW134" s="537">
        <f t="shared" si="149"/>
        <v>7.8709293901283645E-2</v>
      </c>
      <c r="AX134" s="537">
        <f t="shared" si="149"/>
        <v>8.794806144842722E-2</v>
      </c>
      <c r="AY134" s="707">
        <f t="shared" si="149"/>
        <v>7.5687195386101899E-2</v>
      </c>
      <c r="AZ134" s="537">
        <f t="shared" si="149"/>
        <v>8.4694969417412558E-2</v>
      </c>
      <c r="BA134" s="537">
        <f t="shared" si="149"/>
        <v>9.029590075079294E-2</v>
      </c>
      <c r="BB134" s="537">
        <f t="shared" si="149"/>
        <v>8.6778183890110092E-2</v>
      </c>
      <c r="BC134" s="537">
        <f t="shared" si="149"/>
        <v>9.2147277768251948E-2</v>
      </c>
      <c r="BD134" s="707">
        <f t="shared" si="149"/>
        <v>8.856679396668303E-2</v>
      </c>
      <c r="BE134" s="537">
        <f t="shared" si="149"/>
        <v>8.3405347620968004E-2</v>
      </c>
      <c r="BF134" s="537">
        <f t="shared" si="149"/>
        <v>8.9533290223833231E-2</v>
      </c>
      <c r="BG134" s="537">
        <f t="shared" si="149"/>
        <v>8.2202815236351201E-2</v>
      </c>
      <c r="BH134" s="537">
        <f t="shared" ref="BH134:BM134" si="150">BH217/BH214</f>
        <v>8.6501390284365737E-2</v>
      </c>
      <c r="BI134" s="707">
        <f t="shared" si="150"/>
        <v>8.5432837071130585E-2</v>
      </c>
      <c r="BJ134" s="537">
        <f>BJ217/BJ214</f>
        <v>8.2208371399721106E-2</v>
      </c>
      <c r="BK134" s="537">
        <f>BK217/BK214</f>
        <v>8.5926120958164334E-2</v>
      </c>
      <c r="BL134" s="502">
        <f>BL217/BL214</f>
        <v>8.9864129831494347E-2</v>
      </c>
      <c r="BM134" s="10">
        <f t="shared" si="150"/>
        <v>0.10700000000000007</v>
      </c>
      <c r="BN134" s="673">
        <f t="shared" si="149"/>
        <v>9.1328891543182286E-2</v>
      </c>
      <c r="BO134" s="10">
        <f t="shared" ref="BO134:BV134" si="151">BO217/BO214</f>
        <v>8.9999999999999941E-2</v>
      </c>
      <c r="BP134" s="10">
        <f t="shared" si="151"/>
        <v>9.9999999999999908E-2</v>
      </c>
      <c r="BQ134" s="10">
        <f t="shared" si="151"/>
        <v>8.4999999999999909E-2</v>
      </c>
      <c r="BR134" s="10">
        <f t="shared" si="151"/>
        <v>0.10000000000000005</v>
      </c>
      <c r="BS134" s="673">
        <f t="shared" si="151"/>
        <v>9.3872131234845835E-2</v>
      </c>
      <c r="BT134" s="673">
        <f t="shared" si="151"/>
        <v>8.0000000000000029E-2</v>
      </c>
      <c r="BU134" s="673">
        <f t="shared" si="151"/>
        <v>7.9999999999999946E-2</v>
      </c>
      <c r="BV134" s="673">
        <f t="shared" si="151"/>
        <v>7.9999999999999988E-2</v>
      </c>
      <c r="BW134" s="84"/>
    </row>
    <row r="135" spans="1:75" s="455" customFormat="1">
      <c r="A135" s="68" t="s">
        <v>216</v>
      </c>
      <c r="B135" s="17"/>
      <c r="C135" s="673">
        <f t="shared" ref="C135" si="152">1-C134</f>
        <v>0.95656385616862993</v>
      </c>
      <c r="D135" s="673">
        <f t="shared" ref="D135" si="153">1-D134</f>
        <v>0.93427751356560729</v>
      </c>
      <c r="E135" s="673">
        <f t="shared" ref="E135" si="154">1-E134</f>
        <v>0.92878669628384458</v>
      </c>
      <c r="F135" s="673">
        <f t="shared" ref="F135" si="155">1-F134</f>
        <v>0.92783152936387359</v>
      </c>
      <c r="G135" s="10">
        <f t="shared" ref="G135" si="156">1-G134</f>
        <v>0.92760063295255024</v>
      </c>
      <c r="H135" s="10">
        <f t="shared" ref="H135" si="157">1-H134</f>
        <v>0.92697599185795032</v>
      </c>
      <c r="I135" s="10">
        <f t="shared" ref="I135" si="158">1-I134</f>
        <v>0.93009267583073174</v>
      </c>
      <c r="J135" s="10">
        <f t="shared" ref="J135" si="159">1-J134</f>
        <v>0.93027699537161546</v>
      </c>
      <c r="K135" s="673">
        <f t="shared" ref="K135" si="160">1-K134</f>
        <v>0.92891908596150874</v>
      </c>
      <c r="L135" s="10">
        <f t="shared" ref="L135" si="161">1-L134</f>
        <v>0.93355320847566325</v>
      </c>
      <c r="M135" s="10">
        <f t="shared" ref="M135" si="162">1-M134</f>
        <v>0.9341682904028743</v>
      </c>
      <c r="N135" s="10">
        <f t="shared" ref="N135" si="163">1-N134</f>
        <v>0.93973939778439319</v>
      </c>
      <c r="O135" s="10">
        <f t="shared" ref="O135" si="164">1-O134</f>
        <v>0.93369552358331742</v>
      </c>
      <c r="P135" s="673">
        <f t="shared" ref="P135" si="165">1-P134</f>
        <v>0.9354180793354806</v>
      </c>
      <c r="Q135" s="10">
        <f t="shared" ref="Q135" si="166">1-Q134</f>
        <v>0.92659567286596689</v>
      </c>
      <c r="R135" s="10">
        <f t="shared" ref="R135" si="167">1-R134</f>
        <v>0.90249639691441463</v>
      </c>
      <c r="S135" s="10">
        <f t="shared" ref="S135" si="168">1-S134</f>
        <v>0.90067498380456812</v>
      </c>
      <c r="T135" s="10">
        <f t="shared" ref="T135" si="169">1-T134</f>
        <v>0.90242696658448851</v>
      </c>
      <c r="U135" s="673">
        <f t="shared" ref="U135" si="170">1-U134</f>
        <v>0.90719669062471009</v>
      </c>
      <c r="V135" s="10">
        <f t="shared" ref="V135" si="171">1-V134</f>
        <v>0.90493843505891702</v>
      </c>
      <c r="W135" s="10">
        <f t="shared" ref="W135" si="172">1-W134</f>
        <v>0.91300712687685959</v>
      </c>
      <c r="X135" s="10">
        <f t="shared" ref="X135" si="173">1-X134</f>
        <v>0.92163537952661201</v>
      </c>
      <c r="Y135" s="10">
        <f t="shared" ref="Y135" si="174">1-Y134</f>
        <v>0.91989568574303371</v>
      </c>
      <c r="Z135" s="673">
        <f t="shared" ref="Z135" si="175">1-Z134</f>
        <v>0.9153476031071327</v>
      </c>
      <c r="AA135" s="10">
        <f t="shared" ref="AA135" si="176">1-AA134</f>
        <v>0.91465076145205726</v>
      </c>
      <c r="AB135" s="10">
        <f t="shared" ref="AB135" si="177">1-AB134</f>
        <v>0.91399652289885447</v>
      </c>
      <c r="AC135" s="10">
        <f t="shared" ref="AC135" si="178">1-AC134</f>
        <v>0.91351041484725937</v>
      </c>
      <c r="AD135" s="10">
        <f t="shared" ref="AD135" si="179">1-AD134</f>
        <v>0.92601200322637978</v>
      </c>
      <c r="AE135" s="673">
        <f t="shared" ref="AE135" si="180">1-AE134</f>
        <v>0.91712023430769574</v>
      </c>
      <c r="AF135" s="10">
        <f t="shared" ref="AF135" si="181">1-AF134</f>
        <v>0.93395913463693658</v>
      </c>
      <c r="AG135" s="10">
        <f t="shared" ref="AG135" si="182">1-AG134</f>
        <v>0.93737625764807564</v>
      </c>
      <c r="AH135" s="10">
        <f t="shared" ref="AH135" si="183">1-AH134</f>
        <v>0.94119769718286495</v>
      </c>
      <c r="AI135" s="10">
        <f t="shared" ref="AI135" si="184">1-AI134</f>
        <v>0.94151554935587101</v>
      </c>
      <c r="AJ135" s="673">
        <f t="shared" ref="AJ135" si="185">1-AJ134</f>
        <v>0.93861512792581037</v>
      </c>
      <c r="AK135" s="10">
        <f t="shared" ref="AK135" si="186">1-AK134</f>
        <v>0.93954022598774278</v>
      </c>
      <c r="AL135" s="10">
        <f t="shared" ref="AL135" si="187">1-AL134</f>
        <v>0.93936142212143914</v>
      </c>
      <c r="AM135" s="10">
        <f t="shared" ref="AM135" si="188">1-AM134</f>
        <v>0.93708329205940399</v>
      </c>
      <c r="AN135" s="10">
        <f t="shared" ref="AN135" si="189">1-AN134</f>
        <v>0.93804101583569854</v>
      </c>
      <c r="AO135" s="673">
        <f t="shared" ref="AO135" si="190">1-AO134</f>
        <v>0.93846344979362928</v>
      </c>
      <c r="AP135" s="10">
        <f t="shared" ref="AP135" si="191">1-AP134</f>
        <v>0.93258530378029703</v>
      </c>
      <c r="AQ135" s="10">
        <f t="shared" ref="AQ135" si="192">1-AQ134</f>
        <v>0.93004200437792106</v>
      </c>
      <c r="AR135" s="10">
        <f t="shared" ref="AR135" si="193">1-AR134</f>
        <v>0.94025098841975119</v>
      </c>
      <c r="AS135" s="10">
        <f t="shared" ref="AS135" si="194">1-AS134</f>
        <v>0.93429962048929005</v>
      </c>
      <c r="AT135" s="673">
        <f t="shared" ref="AT135" si="195">1-AT134</f>
        <v>0.93448981766069106</v>
      </c>
      <c r="AU135" s="10">
        <f t="shared" ref="AU135" si="196">1-AU134</f>
        <v>0.93591444919343725</v>
      </c>
      <c r="AV135" s="10">
        <f t="shared" ref="AV135" si="197">1-AV134</f>
        <v>0.93003950417593351</v>
      </c>
      <c r="AW135" s="10">
        <f t="shared" ref="AW135" si="198">1-AW134</f>
        <v>0.92129070609871633</v>
      </c>
      <c r="AX135" s="10">
        <f t="shared" ref="AX135" si="199">1-AX134</f>
        <v>0.91205193855157274</v>
      </c>
      <c r="AY135" s="673">
        <f t="shared" ref="AY135" si="200">1-AY134</f>
        <v>0.92431280461389809</v>
      </c>
      <c r="AZ135" s="10">
        <f t="shared" ref="AZ135" si="201">1-AZ134</f>
        <v>0.91530503058258739</v>
      </c>
      <c r="BA135" s="10">
        <f t="shared" ref="BA135" si="202">1-BA134</f>
        <v>0.90970409924920703</v>
      </c>
      <c r="BB135" s="10">
        <f t="shared" ref="BB135" si="203">1-BB134</f>
        <v>0.91322181610988995</v>
      </c>
      <c r="BC135" s="10">
        <f t="shared" ref="BC135" si="204">1-BC134</f>
        <v>0.90785272223174807</v>
      </c>
      <c r="BD135" s="673">
        <f t="shared" ref="BD135" si="205">1-BD134</f>
        <v>0.91143320603331701</v>
      </c>
      <c r="BE135" s="10">
        <f t="shared" ref="BE135" si="206">1-BE134</f>
        <v>0.91659465237903204</v>
      </c>
      <c r="BF135" s="10">
        <f t="shared" ref="BF135" si="207">1-BF134</f>
        <v>0.91046670977616673</v>
      </c>
      <c r="BG135" s="10">
        <f t="shared" ref="BG135" si="208">1-BG134</f>
        <v>0.9177971847636488</v>
      </c>
      <c r="BH135" s="10">
        <f>1-BH134</f>
        <v>0.91349860971563424</v>
      </c>
      <c r="BI135" s="673">
        <f>1-BI134</f>
        <v>0.91456716292886941</v>
      </c>
      <c r="BJ135" s="10">
        <f>1-BJ134</f>
        <v>0.91779162860027885</v>
      </c>
      <c r="BK135" s="10">
        <f>1-BK134</f>
        <v>0.91407387904183568</v>
      </c>
      <c r="BL135" s="390">
        <f>1-BL134</f>
        <v>0.91013587016850561</v>
      </c>
      <c r="BM135" s="628">
        <v>0.89300000000000002</v>
      </c>
      <c r="BN135" s="673">
        <f t="shared" ref="BN135" si="209">1-BN134</f>
        <v>0.90867110845681776</v>
      </c>
      <c r="BO135" s="628">
        <v>0.91</v>
      </c>
      <c r="BP135" s="628">
        <v>0.9</v>
      </c>
      <c r="BQ135" s="628">
        <v>0.91500000000000004</v>
      </c>
      <c r="BR135" s="628">
        <v>0.9</v>
      </c>
      <c r="BS135" s="673">
        <f>1-BS134</f>
        <v>0.90612786876515417</v>
      </c>
      <c r="BT135" s="708">
        <v>0.92</v>
      </c>
      <c r="BU135" s="708">
        <v>0.92</v>
      </c>
      <c r="BV135" s="708">
        <v>0.92</v>
      </c>
      <c r="BW135" s="34"/>
    </row>
    <row r="136" spans="1:75" s="456" customFormat="1">
      <c r="A136" s="378" t="s">
        <v>217</v>
      </c>
      <c r="B136" s="71"/>
      <c r="C136" s="685"/>
      <c r="D136" s="685"/>
      <c r="E136" s="685"/>
      <c r="F136" s="685"/>
      <c r="G136" s="54"/>
      <c r="H136" s="54"/>
      <c r="I136" s="54"/>
      <c r="J136" s="54"/>
      <c r="K136" s="685"/>
      <c r="L136" s="54"/>
      <c r="M136" s="54"/>
      <c r="N136" s="54"/>
      <c r="O136" s="54"/>
      <c r="P136" s="685"/>
      <c r="Q136" s="54"/>
      <c r="R136" s="54"/>
      <c r="S136" s="54"/>
      <c r="T136" s="54"/>
      <c r="U136" s="685"/>
      <c r="V136" s="54"/>
      <c r="W136" s="538"/>
      <c r="X136" s="538"/>
      <c r="Y136" s="538"/>
      <c r="Z136" s="709"/>
      <c r="AA136" s="54"/>
      <c r="AB136" s="538"/>
      <c r="AC136" s="538"/>
      <c r="AD136" s="538"/>
      <c r="AE136" s="709"/>
      <c r="AF136" s="54"/>
      <c r="AG136" s="538"/>
      <c r="AH136" s="538"/>
      <c r="AI136" s="538"/>
      <c r="AJ136" s="709"/>
      <c r="AK136" s="54"/>
      <c r="AL136" s="538"/>
      <c r="AM136" s="538"/>
      <c r="AN136" s="538"/>
      <c r="AO136" s="709"/>
      <c r="AP136" s="54"/>
      <c r="AQ136" s="538"/>
      <c r="AR136" s="538"/>
      <c r="AS136" s="538"/>
      <c r="AT136" s="709"/>
      <c r="AU136" s="54"/>
      <c r="AV136" s="538"/>
      <c r="AW136" s="538"/>
      <c r="AX136" s="538"/>
      <c r="AY136" s="709"/>
      <c r="AZ136" s="54"/>
      <c r="BA136" s="538"/>
      <c r="BB136" s="538"/>
      <c r="BC136" s="538"/>
      <c r="BD136" s="709"/>
      <c r="BE136" s="54"/>
      <c r="BF136" s="538"/>
      <c r="BG136" s="538"/>
      <c r="BH136" s="538"/>
      <c r="BI136" s="709"/>
      <c r="BJ136" s="54"/>
      <c r="BK136" s="538"/>
      <c r="BL136" s="432"/>
      <c r="BM136" s="366" t="str">
        <f t="shared" ref="BM136:BS136" ca="1" si="210">IFERROR(VLOOKUP($A136,tb_ConsensusEstimate,MATCH(BM$5,OFFSET(tb_ConsensusEstimate,0,0,1,COLUMNS(tb_ConsensusEstimate)),0),FALSE),"-")</f>
        <v>N/A</v>
      </c>
      <c r="BN136" s="709" t="str">
        <f t="shared" ca="1" si="210"/>
        <v>N/A</v>
      </c>
      <c r="BO136" s="366" t="str">
        <f t="shared" ca="1" si="210"/>
        <v>N/A</v>
      </c>
      <c r="BP136" s="366" t="str">
        <f t="shared" ca="1" si="210"/>
        <v>N/A</v>
      </c>
      <c r="BQ136" s="366" t="str">
        <f t="shared" ca="1" si="210"/>
        <v>N/A</v>
      </c>
      <c r="BR136" s="366" t="str">
        <f t="shared" ca="1" si="210"/>
        <v>N/A</v>
      </c>
      <c r="BS136" s="709" t="str">
        <f t="shared" ca="1" si="210"/>
        <v>N/A</v>
      </c>
      <c r="BT136" s="709" t="str">
        <f ca="1">IFERROR(VLOOKUP($A136,tb_ConsensusEstimate,MATCH(BT5,OFFSET(tb_ConsensusEstimate,0,0,1,COLUMNS(tb_ConsensusEstimate)),0),FALSE),"-")</f>
        <v>N/A</v>
      </c>
      <c r="BU136" s="709" t="str">
        <f ca="1">IFERROR(VLOOKUP($A136,tb_ConsensusEstimate,MATCH(BU5,OFFSET(tb_ConsensusEstimate,0,0,1,COLUMNS(tb_ConsensusEstimate)),0),FALSE),"-")</f>
        <v>N/A</v>
      </c>
      <c r="BV136" s="709" t="str">
        <f ca="1">IFERROR(VLOOKUP($A136,tb_ConsensusEstimate,MATCH(BV5,OFFSET(tb_ConsensusEstimate,0,0,1,COLUMNS(tb_ConsensusEstimate)),0),FALSE),"-")</f>
        <v>N/A</v>
      </c>
      <c r="BW136" s="54"/>
    </row>
    <row r="137" spans="1:75" s="442" customFormat="1">
      <c r="A137" s="68"/>
      <c r="B137" s="17"/>
      <c r="C137" s="673"/>
      <c r="D137" s="673"/>
      <c r="E137" s="673"/>
      <c r="F137" s="673"/>
      <c r="G137" s="10"/>
      <c r="H137" s="10"/>
      <c r="I137" s="10"/>
      <c r="J137" s="10"/>
      <c r="K137" s="673"/>
      <c r="L137" s="10"/>
      <c r="M137" s="10"/>
      <c r="N137" s="10"/>
      <c r="O137" s="10"/>
      <c r="P137" s="673"/>
      <c r="Q137" s="10"/>
      <c r="R137" s="10"/>
      <c r="S137" s="10"/>
      <c r="T137" s="10"/>
      <c r="U137" s="673"/>
      <c r="V137" s="10"/>
      <c r="W137" s="10"/>
      <c r="X137" s="10"/>
      <c r="Y137" s="10"/>
      <c r="Z137" s="673"/>
      <c r="AA137" s="10"/>
      <c r="AB137" s="10"/>
      <c r="AC137" s="10"/>
      <c r="AD137" s="10"/>
      <c r="AE137" s="673"/>
      <c r="AF137" s="10"/>
      <c r="AG137" s="10"/>
      <c r="AH137" s="10"/>
      <c r="AI137" s="10"/>
      <c r="AJ137" s="673"/>
      <c r="AK137" s="10"/>
      <c r="AL137" s="10"/>
      <c r="AM137" s="10"/>
      <c r="AN137" s="10"/>
      <c r="AO137" s="673"/>
      <c r="AP137" s="10"/>
      <c r="AQ137" s="10"/>
      <c r="AR137" s="10"/>
      <c r="AS137" s="10"/>
      <c r="AT137" s="673"/>
      <c r="AU137" s="10"/>
      <c r="AV137" s="10"/>
      <c r="AW137" s="10"/>
      <c r="AX137" s="10"/>
      <c r="AY137" s="673"/>
      <c r="AZ137" s="10"/>
      <c r="BA137" s="10"/>
      <c r="BB137" s="10"/>
      <c r="BC137" s="10"/>
      <c r="BD137" s="673"/>
      <c r="BE137" s="10"/>
      <c r="BF137" s="10"/>
      <c r="BG137" s="10"/>
      <c r="BH137" s="10"/>
      <c r="BI137" s="673"/>
      <c r="BJ137" s="10"/>
      <c r="BK137" s="10"/>
      <c r="BL137" s="390"/>
      <c r="BM137" s="10"/>
      <c r="BN137" s="673"/>
      <c r="BO137" s="10"/>
      <c r="BP137" s="10"/>
      <c r="BQ137" s="10"/>
      <c r="BR137" s="10"/>
      <c r="BS137" s="673"/>
      <c r="BT137" s="673"/>
      <c r="BU137" s="673"/>
      <c r="BV137" s="673"/>
      <c r="BW137" s="84"/>
    </row>
    <row r="138" spans="1:75" s="442" customFormat="1">
      <c r="A138" s="68" t="s">
        <v>218</v>
      </c>
      <c r="B138" s="17"/>
      <c r="C138" s="673">
        <f t="shared" ref="C138:BF142" si="211">C220/C$214</f>
        <v>0.12565871047737134</v>
      </c>
      <c r="D138" s="673">
        <f t="shared" si="211"/>
        <v>0.13743688588129307</v>
      </c>
      <c r="E138" s="673">
        <f t="shared" si="211"/>
        <v>0.13911268535750737</v>
      </c>
      <c r="F138" s="673">
        <f t="shared" si="211"/>
        <v>0.14882202853882107</v>
      </c>
      <c r="G138" s="10">
        <f t="shared" si="211"/>
        <v>0.15685084429800791</v>
      </c>
      <c r="H138" s="10">
        <f t="shared" si="211"/>
        <v>0.1453392217799829</v>
      </c>
      <c r="I138" s="10">
        <f t="shared" si="211"/>
        <v>0.18319412889622597</v>
      </c>
      <c r="J138" s="10">
        <f t="shared" si="211"/>
        <v>0.16704646784900426</v>
      </c>
      <c r="K138" s="673">
        <f t="shared" si="211"/>
        <v>0.16414150084982917</v>
      </c>
      <c r="L138" s="10">
        <f t="shared" si="211"/>
        <v>0.18299370476527019</v>
      </c>
      <c r="M138" s="10">
        <f t="shared" si="211"/>
        <v>0.16585761429038035</v>
      </c>
      <c r="N138" s="10">
        <f t="shared" si="211"/>
        <v>0.16980137621394759</v>
      </c>
      <c r="O138" s="10">
        <f t="shared" si="211"/>
        <v>0.17359651278131172</v>
      </c>
      <c r="P138" s="673">
        <f t="shared" si="211"/>
        <v>0.17264843617562298</v>
      </c>
      <c r="Q138" s="10">
        <f t="shared" si="211"/>
        <v>0.2021804435143619</v>
      </c>
      <c r="R138" s="10">
        <f t="shared" si="211"/>
        <v>0.19673220673123593</v>
      </c>
      <c r="S138" s="10">
        <f t="shared" si="211"/>
        <v>0.19860127195090521</v>
      </c>
      <c r="T138" s="10">
        <f t="shared" si="211"/>
        <v>0.18844605186982458</v>
      </c>
      <c r="U138" s="673">
        <f t="shared" si="211"/>
        <v>0.19607757530775261</v>
      </c>
      <c r="V138" s="10">
        <f t="shared" si="211"/>
        <v>0.20314854394028234</v>
      </c>
      <c r="W138" s="10">
        <f t="shared" si="211"/>
        <v>0.19084576884932075</v>
      </c>
      <c r="X138" s="10">
        <f t="shared" si="211"/>
        <v>0.19528867219382276</v>
      </c>
      <c r="Y138" s="10">
        <f t="shared" si="211"/>
        <v>0.18922359802049338</v>
      </c>
      <c r="Z138" s="673">
        <f t="shared" si="211"/>
        <v>0.19429956988734612</v>
      </c>
      <c r="AA138" s="10">
        <f t="shared" si="211"/>
        <v>0.20119188188157883</v>
      </c>
      <c r="AB138" s="10">
        <f t="shared" si="211"/>
        <v>0.20047155207316203</v>
      </c>
      <c r="AC138" s="10">
        <f t="shared" si="211"/>
        <v>0.20526945142350428</v>
      </c>
      <c r="AD138" s="10">
        <f t="shared" si="211"/>
        <v>0.21871026836370597</v>
      </c>
      <c r="AE138" s="673">
        <f t="shared" si="211"/>
        <v>0.20660236211680832</v>
      </c>
      <c r="AF138" s="10">
        <f t="shared" si="211"/>
        <v>0.23083371437280903</v>
      </c>
      <c r="AG138" s="10">
        <f t="shared" si="211"/>
        <v>0.22476507581015315</v>
      </c>
      <c r="AH138" s="10">
        <f t="shared" si="211"/>
        <v>0.22299830772804194</v>
      </c>
      <c r="AI138" s="10">
        <f t="shared" si="211"/>
        <v>0.22266759661934835</v>
      </c>
      <c r="AJ138" s="673">
        <f t="shared" si="211"/>
        <v>0.22520691619297539</v>
      </c>
      <c r="AK138" s="10">
        <f t="shared" si="211"/>
        <v>0.24614100075442269</v>
      </c>
      <c r="AL138" s="10">
        <f t="shared" si="211"/>
        <v>0.22095523475936912</v>
      </c>
      <c r="AM138" s="10">
        <f t="shared" si="211"/>
        <v>0.21587281025930188</v>
      </c>
      <c r="AN138" s="10">
        <f t="shared" si="211"/>
        <v>0.22742845664247482</v>
      </c>
      <c r="AO138" s="673">
        <f t="shared" si="211"/>
        <v>0.22721491154552287</v>
      </c>
      <c r="AP138" s="10">
        <f t="shared" si="211"/>
        <v>0.26855834910624604</v>
      </c>
      <c r="AQ138" s="10">
        <f t="shared" si="211"/>
        <v>0.3192865171862983</v>
      </c>
      <c r="AR138" s="10">
        <f t="shared" si="211"/>
        <v>0.24012825680345279</v>
      </c>
      <c r="AS138" s="10">
        <f t="shared" si="211"/>
        <v>0.25067861660841784</v>
      </c>
      <c r="AT138" s="673">
        <f t="shared" si="211"/>
        <v>0.26641334443766018</v>
      </c>
      <c r="AU138" s="10">
        <f t="shared" si="211"/>
        <v>0.29294774576037502</v>
      </c>
      <c r="AV138" s="10">
        <f t="shared" si="211"/>
        <v>0.26710033127517613</v>
      </c>
      <c r="AW138" s="10">
        <f t="shared" si="211"/>
        <v>0.25785142390072635</v>
      </c>
      <c r="AX138" s="10">
        <f t="shared" si="211"/>
        <v>0.2574396488661303</v>
      </c>
      <c r="AY138" s="673">
        <f t="shared" si="211"/>
        <v>0.26794199482671233</v>
      </c>
      <c r="AZ138" s="10">
        <f t="shared" si="211"/>
        <v>0.29167329409893433</v>
      </c>
      <c r="BA138" s="10">
        <f t="shared" si="211"/>
        <v>0.25711647328060383</v>
      </c>
      <c r="BB138" s="10">
        <f t="shared" si="211"/>
        <v>0.24540371846379463</v>
      </c>
      <c r="BC138" s="10">
        <f t="shared" si="211"/>
        <v>0.23365997741853023</v>
      </c>
      <c r="BD138" s="673">
        <f t="shared" si="211"/>
        <v>0.2560196597252129</v>
      </c>
      <c r="BE138" s="10">
        <f t="shared" si="211"/>
        <v>0.2822864056228756</v>
      </c>
      <c r="BF138" s="10">
        <f t="shared" si="211"/>
        <v>0.25222023813055061</v>
      </c>
      <c r="BG138" s="10">
        <f t="shared" ref="BG138:BL138" si="212">BG220/BG$214</f>
        <v>0.23475756399186373</v>
      </c>
      <c r="BH138" s="10">
        <f t="shared" si="212"/>
        <v>0.22876311423697918</v>
      </c>
      <c r="BI138" s="673">
        <f t="shared" si="212"/>
        <v>0.24873192118241338</v>
      </c>
      <c r="BJ138" s="10">
        <f t="shared" si="212"/>
        <v>0.27415913352887439</v>
      </c>
      <c r="BK138" s="10">
        <f t="shared" si="212"/>
        <v>0.22990566249131689</v>
      </c>
      <c r="BL138" s="390">
        <f t="shared" si="212"/>
        <v>0.21576049552649693</v>
      </c>
      <c r="BM138" s="628">
        <v>0.23</v>
      </c>
      <c r="BN138" s="673">
        <f t="shared" ref="BN138:BN140" si="213">BN220/BN$214</f>
        <v>0.23680398498336089</v>
      </c>
      <c r="BO138" s="628">
        <v>0.24</v>
      </c>
      <c r="BP138" s="628">
        <v>0.24</v>
      </c>
      <c r="BQ138" s="628">
        <v>0.25</v>
      </c>
      <c r="BR138" s="628">
        <v>0.25</v>
      </c>
      <c r="BS138" s="673">
        <f t="shared" ref="BS138:BS144" si="214">BS220/BS$214</f>
        <v>0.24515211060304604</v>
      </c>
      <c r="BT138" s="708">
        <v>0.25</v>
      </c>
      <c r="BU138" s="708">
        <v>0.25</v>
      </c>
      <c r="BV138" s="708">
        <v>0.25</v>
      </c>
      <c r="BW138" s="84"/>
    </row>
    <row r="139" spans="1:75" s="442" customFormat="1">
      <c r="A139" s="68" t="s">
        <v>219</v>
      </c>
      <c r="B139" s="17"/>
      <c r="C139" s="673">
        <f t="shared" si="211"/>
        <v>0.69664445133291997</v>
      </c>
      <c r="D139" s="673">
        <f t="shared" si="211"/>
        <v>0.71062831283652128</v>
      </c>
      <c r="E139" s="673">
        <f t="shared" si="211"/>
        <v>0.65484781173080386</v>
      </c>
      <c r="F139" s="673">
        <f t="shared" si="211"/>
        <v>0.62453204620294112</v>
      </c>
      <c r="G139" s="10">
        <f t="shared" si="211"/>
        <v>0.61114603429215519</v>
      </c>
      <c r="H139" s="10">
        <f t="shared" si="211"/>
        <v>0.55982043872562381</v>
      </c>
      <c r="I139" s="10">
        <f t="shared" si="211"/>
        <v>0.55778754842189571</v>
      </c>
      <c r="J139" s="10">
        <f t="shared" si="211"/>
        <v>0.54984359740131072</v>
      </c>
      <c r="K139" s="673">
        <f t="shared" si="211"/>
        <v>0.56642402183803453</v>
      </c>
      <c r="L139" s="10">
        <f t="shared" si="211"/>
        <v>0.59053489863494191</v>
      </c>
      <c r="M139" s="10">
        <f t="shared" si="211"/>
        <v>0.53834457747192721</v>
      </c>
      <c r="N139" s="10">
        <f t="shared" si="211"/>
        <v>0.53243863159435856</v>
      </c>
      <c r="O139" s="10">
        <f t="shared" si="211"/>
        <v>0.48759179884790738</v>
      </c>
      <c r="P139" s="673">
        <f t="shared" si="211"/>
        <v>0.5325319969486354</v>
      </c>
      <c r="Q139" s="10">
        <f t="shared" si="211"/>
        <v>0.53385425456509261</v>
      </c>
      <c r="R139" s="10">
        <f t="shared" si="211"/>
        <v>0.50789691814835003</v>
      </c>
      <c r="S139" s="10">
        <f t="shared" si="211"/>
        <v>0.57780424773089811</v>
      </c>
      <c r="T139" s="10">
        <f t="shared" si="211"/>
        <v>0.56940369866845331</v>
      </c>
      <c r="U139" s="673">
        <f t="shared" si="211"/>
        <v>0.54895026659462887</v>
      </c>
      <c r="V139" s="10">
        <f t="shared" si="211"/>
        <v>0.60290140152446525</v>
      </c>
      <c r="W139" s="10">
        <f t="shared" si="211"/>
        <v>0.5443296353529995</v>
      </c>
      <c r="X139" s="10">
        <f t="shared" si="211"/>
        <v>0.53306628291593283</v>
      </c>
      <c r="Y139" s="10">
        <f t="shared" si="211"/>
        <v>0.48024600094457814</v>
      </c>
      <c r="Z139" s="673">
        <f t="shared" si="211"/>
        <v>0.53691017278832764</v>
      </c>
      <c r="AA139" s="10">
        <f t="shared" si="211"/>
        <v>0.54766013705127814</v>
      </c>
      <c r="AB139" s="10">
        <f t="shared" si="211"/>
        <v>0.49975469765891073</v>
      </c>
      <c r="AC139" s="10">
        <f t="shared" si="211"/>
        <v>0.50588704223712078</v>
      </c>
      <c r="AD139" s="10">
        <f t="shared" si="211"/>
        <v>0.50588996586781865</v>
      </c>
      <c r="AE139" s="673">
        <f t="shared" si="211"/>
        <v>0.51410418089268695</v>
      </c>
      <c r="AF139" s="10">
        <f t="shared" si="211"/>
        <v>0.53632875189399032</v>
      </c>
      <c r="AG139" s="10">
        <f t="shared" si="211"/>
        <v>0.51371650707007921</v>
      </c>
      <c r="AH139" s="10">
        <f t="shared" si="211"/>
        <v>0.50502289544413848</v>
      </c>
      <c r="AI139" s="10">
        <f t="shared" si="211"/>
        <v>0.49748092229424806</v>
      </c>
      <c r="AJ139" s="673">
        <f t="shared" si="211"/>
        <v>0.51264620433550812</v>
      </c>
      <c r="AK139" s="10">
        <f t="shared" si="211"/>
        <v>0.52689220232090939</v>
      </c>
      <c r="AL139" s="10">
        <f t="shared" si="211"/>
        <v>0.494199348059363</v>
      </c>
      <c r="AM139" s="10">
        <f t="shared" si="211"/>
        <v>0.48635293400489193</v>
      </c>
      <c r="AN139" s="10">
        <f t="shared" si="211"/>
        <v>0.47008626494012834</v>
      </c>
      <c r="AO139" s="673">
        <f t="shared" si="211"/>
        <v>0.49338292279386392</v>
      </c>
      <c r="AP139" s="10">
        <f t="shared" si="211"/>
        <v>0.54940556460358303</v>
      </c>
      <c r="AQ139" s="10">
        <f t="shared" si="211"/>
        <v>0.56965627403419516</v>
      </c>
      <c r="AR139" s="10">
        <f t="shared" si="211"/>
        <v>0.45877621633372134</v>
      </c>
      <c r="AS139" s="10">
        <f t="shared" si="211"/>
        <v>0.43814404253950556</v>
      </c>
      <c r="AT139" s="673">
        <f t="shared" si="211"/>
        <v>0.50067989181300288</v>
      </c>
      <c r="AU139" s="10">
        <f t="shared" si="211"/>
        <v>0.48647542396249832</v>
      </c>
      <c r="AV139" s="10">
        <f t="shared" si="211"/>
        <v>0.44185965130565974</v>
      </c>
      <c r="AW139" s="10">
        <f t="shared" si="211"/>
        <v>0.42464379261020607</v>
      </c>
      <c r="AX139" s="10">
        <f t="shared" si="211"/>
        <v>0.41470007315288943</v>
      </c>
      <c r="AY139" s="673">
        <f t="shared" si="211"/>
        <v>0.4402082107770689</v>
      </c>
      <c r="AZ139" s="10">
        <f t="shared" si="211"/>
        <v>0.45583599635611727</v>
      </c>
      <c r="BA139" s="10">
        <f t="shared" si="211"/>
        <v>0.43298403393958862</v>
      </c>
      <c r="BB139" s="10">
        <f t="shared" si="211"/>
        <v>0.43077007747069357</v>
      </c>
      <c r="BC139" s="10">
        <f t="shared" si="211"/>
        <v>0.40878606807439571</v>
      </c>
      <c r="BD139" s="673">
        <f t="shared" si="211"/>
        <v>0.43144064629754686</v>
      </c>
      <c r="BE139" s="10">
        <f t="shared" si="211"/>
        <v>0.47194963480754587</v>
      </c>
      <c r="BF139" s="10">
        <f t="shared" si="211"/>
        <v>0.41275368853188427</v>
      </c>
      <c r="BG139" s="10">
        <f t="shared" ref="BG139:BN144" si="215">BG221/BG$214</f>
        <v>0.39899803547730944</v>
      </c>
      <c r="BH139" s="10">
        <f t="shared" ref="BH139:BI144" si="216">BH221/BH$214</f>
        <v>0.38640850994228576</v>
      </c>
      <c r="BI139" s="673">
        <f t="shared" si="216"/>
        <v>0.41628959614438227</v>
      </c>
      <c r="BJ139" s="10">
        <f t="shared" ref="BJ139:BJ144" si="217">BJ221/BJ$214</f>
        <v>0.44414759340289461</v>
      </c>
      <c r="BK139" s="10">
        <f t="shared" ref="BK139:BK144" si="218">BK221/BK$214</f>
        <v>0.42096992851860981</v>
      </c>
      <c r="BL139" s="390">
        <f t="shared" ref="BL139:BL144" si="219">BL221/BL$214</f>
        <v>0.40136924716382122</v>
      </c>
      <c r="BM139" s="628">
        <v>0.42</v>
      </c>
      <c r="BN139" s="673">
        <f t="shared" si="213"/>
        <v>0.421190942277962</v>
      </c>
      <c r="BO139" s="628">
        <v>0.42</v>
      </c>
      <c r="BP139" s="628">
        <v>0.41</v>
      </c>
      <c r="BQ139" s="628">
        <v>0.41</v>
      </c>
      <c r="BR139" s="628">
        <v>0.41</v>
      </c>
      <c r="BS139" s="673">
        <f t="shared" si="214"/>
        <v>0.41230860701797156</v>
      </c>
      <c r="BT139" s="708">
        <v>0.44</v>
      </c>
      <c r="BU139" s="708">
        <v>0.41</v>
      </c>
      <c r="BV139" s="708">
        <v>0.45</v>
      </c>
      <c r="BW139" s="84"/>
    </row>
    <row r="140" spans="1:75" s="442" customFormat="1">
      <c r="A140" s="68" t="s">
        <v>220</v>
      </c>
      <c r="B140" s="17"/>
      <c r="C140" s="673">
        <f t="shared" si="211"/>
        <v>0.17812306261624306</v>
      </c>
      <c r="D140" s="673">
        <f t="shared" si="211"/>
        <v>0.23647105654606021</v>
      </c>
      <c r="E140" s="673">
        <f t="shared" si="211"/>
        <v>0.20692801825058538</v>
      </c>
      <c r="F140" s="673">
        <f t="shared" si="211"/>
        <v>0.22920467844759279</v>
      </c>
      <c r="G140" s="10">
        <f t="shared" si="211"/>
        <v>0.18997247089935618</v>
      </c>
      <c r="H140" s="10">
        <f t="shared" si="211"/>
        <v>0.18443196481471383</v>
      </c>
      <c r="I140" s="10">
        <f t="shared" si="211"/>
        <v>0.17219398179173273</v>
      </c>
      <c r="J140" s="10">
        <f t="shared" si="211"/>
        <v>0.19051393469306876</v>
      </c>
      <c r="K140" s="673">
        <f t="shared" si="211"/>
        <v>0.18415969921197656</v>
      </c>
      <c r="L140" s="10">
        <f t="shared" si="211"/>
        <v>0.17236640621932547</v>
      </c>
      <c r="M140" s="10">
        <f t="shared" si="211"/>
        <v>0.14931239933774088</v>
      </c>
      <c r="N140" s="10">
        <f t="shared" si="211"/>
        <v>0.14821140988726758</v>
      </c>
      <c r="O140" s="10">
        <f t="shared" si="211"/>
        <v>0.15162849108629772</v>
      </c>
      <c r="P140" s="673">
        <f t="shared" si="211"/>
        <v>0.15435349211730803</v>
      </c>
      <c r="Q140" s="10">
        <f t="shared" si="211"/>
        <v>0.16823336821142879</v>
      </c>
      <c r="R140" s="10">
        <f t="shared" si="211"/>
        <v>0.14397407271885476</v>
      </c>
      <c r="S140" s="10">
        <f t="shared" si="211"/>
        <v>0.14621166210408262</v>
      </c>
      <c r="T140" s="10">
        <f t="shared" si="211"/>
        <v>0.13438408648873681</v>
      </c>
      <c r="U140" s="673">
        <f t="shared" si="211"/>
        <v>0.14710638862966177</v>
      </c>
      <c r="V140" s="10">
        <f t="shared" si="211"/>
        <v>0.13724600127354</v>
      </c>
      <c r="W140" s="10">
        <f t="shared" si="211"/>
        <v>0.13529533869963328</v>
      </c>
      <c r="X140" s="10">
        <f t="shared" si="211"/>
        <v>0.13357532540057562</v>
      </c>
      <c r="Y140" s="10">
        <f t="shared" si="211"/>
        <v>0.14051623236616773</v>
      </c>
      <c r="Z140" s="673">
        <f t="shared" si="211"/>
        <v>0.13670626545257192</v>
      </c>
      <c r="AA140" s="10">
        <f t="shared" si="211"/>
        <v>0.1370815545934381</v>
      </c>
      <c r="AB140" s="10">
        <f t="shared" si="211"/>
        <v>0.12880516325704353</v>
      </c>
      <c r="AC140" s="10">
        <f t="shared" si="211"/>
        <v>0.12361221208579093</v>
      </c>
      <c r="AD140" s="10">
        <f t="shared" si="211"/>
        <v>0.12713212207381483</v>
      </c>
      <c r="AE140" s="673">
        <f t="shared" si="211"/>
        <v>0.12893857532552855</v>
      </c>
      <c r="AF140" s="10">
        <f t="shared" si="211"/>
        <v>0.14348153527528978</v>
      </c>
      <c r="AG140" s="10">
        <f t="shared" si="211"/>
        <v>0.12170073617385453</v>
      </c>
      <c r="AH140" s="10">
        <f t="shared" si="211"/>
        <v>0.1256843746889206</v>
      </c>
      <c r="AI140" s="10">
        <f t="shared" si="211"/>
        <v>0.12175679002215478</v>
      </c>
      <c r="AJ140" s="673">
        <f t="shared" si="211"/>
        <v>0.12788762512290869</v>
      </c>
      <c r="AK140" s="10">
        <f t="shared" si="211"/>
        <v>0.13262581481889618</v>
      </c>
      <c r="AL140" s="10">
        <f t="shared" si="211"/>
        <v>0.1252535887104938</v>
      </c>
      <c r="AM140" s="10">
        <f t="shared" si="211"/>
        <v>0.15126450619870924</v>
      </c>
      <c r="AN140" s="10">
        <f t="shared" si="211"/>
        <v>0.12708733999694974</v>
      </c>
      <c r="AO140" s="673">
        <f t="shared" si="211"/>
        <v>0.13418635882286822</v>
      </c>
      <c r="AP140" s="10">
        <f t="shared" si="211"/>
        <v>0.17421298834338397</v>
      </c>
      <c r="AQ140" s="10">
        <f t="shared" si="211"/>
        <v>0.15619712477075076</v>
      </c>
      <c r="AR140" s="10">
        <f t="shared" si="211"/>
        <v>0.13988234068666303</v>
      </c>
      <c r="AS140" s="10">
        <f t="shared" si="211"/>
        <v>0.12703960204978668</v>
      </c>
      <c r="AT140" s="673">
        <f t="shared" si="211"/>
        <v>0.14943873126574433</v>
      </c>
      <c r="AU140" s="10">
        <f t="shared" si="211"/>
        <v>0.13727509306493865</v>
      </c>
      <c r="AV140" s="10">
        <f t="shared" si="211"/>
        <v>0.17533866276809182</v>
      </c>
      <c r="AW140" s="10">
        <f t="shared" si="211"/>
        <v>0.11146365477141426</v>
      </c>
      <c r="AX140" s="10">
        <f t="shared" si="211"/>
        <v>0.10555596196049744</v>
      </c>
      <c r="AY140" s="673">
        <f t="shared" si="211"/>
        <v>0.13162518571211207</v>
      </c>
      <c r="AZ140" s="10">
        <f t="shared" si="211"/>
        <v>0.14236808999812023</v>
      </c>
      <c r="BA140" s="10">
        <f t="shared" si="211"/>
        <v>0.12840098499752411</v>
      </c>
      <c r="BB140" s="10">
        <f t="shared" si="211"/>
        <v>0.15662806621105826</v>
      </c>
      <c r="BC140" s="10">
        <f t="shared" si="211"/>
        <v>0.12282960695949244</v>
      </c>
      <c r="BD140" s="673">
        <f t="shared" si="211"/>
        <v>0.13750077502752395</v>
      </c>
      <c r="BE140" s="10">
        <f t="shared" si="211"/>
        <v>0.14885833349336508</v>
      </c>
      <c r="BF140" s="10">
        <f t="shared" si="211"/>
        <v>0.15841258164603148</v>
      </c>
      <c r="BG140" s="10">
        <f t="shared" si="215"/>
        <v>0.13240245478410534</v>
      </c>
      <c r="BH140" s="10">
        <f t="shared" si="216"/>
        <v>0.19517139051802698</v>
      </c>
      <c r="BI140" s="673">
        <f t="shared" si="216"/>
        <v>0.15887894503022301</v>
      </c>
      <c r="BJ140" s="10">
        <f t="shared" si="217"/>
        <v>0.1359330672693177</v>
      </c>
      <c r="BK140" s="10">
        <f t="shared" si="218"/>
        <v>0.12501960696439374</v>
      </c>
      <c r="BL140" s="390">
        <f t="shared" si="219"/>
        <v>0.13766012476966455</v>
      </c>
      <c r="BM140" s="628">
        <v>0.1</v>
      </c>
      <c r="BN140" s="673">
        <f t="shared" si="213"/>
        <v>0.12460468638943088</v>
      </c>
      <c r="BO140" s="628">
        <v>0.17</v>
      </c>
      <c r="BP140" s="628">
        <v>0.1</v>
      </c>
      <c r="BQ140" s="628">
        <v>0.12</v>
      </c>
      <c r="BR140" s="628">
        <v>0.1</v>
      </c>
      <c r="BS140" s="673">
        <f t="shared" si="214"/>
        <v>0.12125259812204421</v>
      </c>
      <c r="BT140" s="708">
        <v>0.1</v>
      </c>
      <c r="BU140" s="708">
        <v>0.12</v>
      </c>
      <c r="BV140" s="708">
        <v>0.12</v>
      </c>
      <c r="BW140" s="84"/>
    </row>
    <row r="141" spans="1:75" s="442" customFormat="1">
      <c r="A141" s="68" t="s">
        <v>221</v>
      </c>
      <c r="B141" s="17"/>
      <c r="C141" s="673">
        <f t="shared" si="211"/>
        <v>4.6535957842529452E-2</v>
      </c>
      <c r="D141" s="673">
        <f t="shared" si="211"/>
        <v>4.8899038360813725E-2</v>
      </c>
      <c r="E141" s="673">
        <f t="shared" si="211"/>
        <v>5.0885513597886782E-2</v>
      </c>
      <c r="F141" s="673">
        <f t="shared" si="211"/>
        <v>5.2505324678156821E-2</v>
      </c>
      <c r="G141" s="10">
        <f t="shared" si="211"/>
        <v>5.371426094119177E-2</v>
      </c>
      <c r="H141" s="10">
        <f t="shared" si="211"/>
        <v>4.7925413009105279E-2</v>
      </c>
      <c r="I141" s="10">
        <f t="shared" si="211"/>
        <v>4.602736143573985E-2</v>
      </c>
      <c r="J141" s="10">
        <f t="shared" si="211"/>
        <v>4.9878982604634046E-2</v>
      </c>
      <c r="K141" s="673">
        <f t="shared" si="211"/>
        <v>4.9165622263807579E-2</v>
      </c>
      <c r="L141" s="10">
        <f t="shared" si="211"/>
        <v>4.7914458099388803E-2</v>
      </c>
      <c r="M141" s="10">
        <f t="shared" si="211"/>
        <v>4.5434579386621911E-2</v>
      </c>
      <c r="N141" s="10">
        <f t="shared" si="211"/>
        <v>4.4936801522619689E-2</v>
      </c>
      <c r="O141" s="10">
        <f t="shared" si="211"/>
        <v>4.8149462629792424E-2</v>
      </c>
      <c r="P141" s="673">
        <f t="shared" si="211"/>
        <v>4.6591583319206646E-2</v>
      </c>
      <c r="Q141" s="10">
        <f t="shared" si="211"/>
        <v>5.8181726128193875E-2</v>
      </c>
      <c r="R141" s="10">
        <f t="shared" si="211"/>
        <v>5.3519822571370959E-2</v>
      </c>
      <c r="S141" s="10">
        <f t="shared" si="211"/>
        <v>5.2675206709436539E-2</v>
      </c>
      <c r="T141" s="10">
        <f t="shared" si="211"/>
        <v>5.1908853777052129E-2</v>
      </c>
      <c r="U141" s="673">
        <f t="shared" si="211"/>
        <v>5.3853752244361126E-2</v>
      </c>
      <c r="V141" s="10">
        <f t="shared" si="211"/>
        <v>5.1628807222611012E-2</v>
      </c>
      <c r="W141" s="10">
        <f t="shared" si="211"/>
        <v>4.9380722835989578E-2</v>
      </c>
      <c r="X141" s="10">
        <f t="shared" si="211"/>
        <v>4.9180591949826026E-2</v>
      </c>
      <c r="Y141" s="10">
        <f t="shared" si="211"/>
        <v>4.8430152569867969E-2</v>
      </c>
      <c r="Z141" s="673">
        <f t="shared" si="211"/>
        <v>4.9568835554483506E-2</v>
      </c>
      <c r="AA141" s="10">
        <f t="shared" si="211"/>
        <v>5.1222662912390117E-2</v>
      </c>
      <c r="AB141" s="10">
        <f t="shared" si="211"/>
        <v>5.0784729333873166E-2</v>
      </c>
      <c r="AC141" s="10">
        <f t="shared" si="211"/>
        <v>4.7723333646831206E-2</v>
      </c>
      <c r="AD141" s="10">
        <f t="shared" si="211"/>
        <v>4.4335379441398821E-2</v>
      </c>
      <c r="AE141" s="673">
        <f t="shared" si="211"/>
        <v>4.8419986201984615E-2</v>
      </c>
      <c r="AF141" s="10">
        <f t="shared" si="211"/>
        <v>4.49536924966603E-2</v>
      </c>
      <c r="AG141" s="10">
        <f t="shared" si="211"/>
        <v>4.4745234455831701E-2</v>
      </c>
      <c r="AH141" s="10">
        <f t="shared" si="211"/>
        <v>4.4434582075189959E-2</v>
      </c>
      <c r="AI141" s="10">
        <f t="shared" si="211"/>
        <v>4.7415278575531308E-2</v>
      </c>
      <c r="AJ141" s="673">
        <f t="shared" si="211"/>
        <v>4.5405415725736739E-2</v>
      </c>
      <c r="AK141" s="10">
        <f t="shared" si="211"/>
        <v>5.0334404217985775E-2</v>
      </c>
      <c r="AL141" s="10">
        <f t="shared" si="211"/>
        <v>4.9563685691725208E-2</v>
      </c>
      <c r="AM141" s="10">
        <f t="shared" si="211"/>
        <v>4.7208485411888421E-2</v>
      </c>
      <c r="AN141" s="10">
        <f t="shared" si="211"/>
        <v>4.7797249491301007E-2</v>
      </c>
      <c r="AO141" s="673">
        <f t="shared" si="211"/>
        <v>4.8665245505297806E-2</v>
      </c>
      <c r="AP141" s="10">
        <f t="shared" si="211"/>
        <v>4.9451582826799415E-2</v>
      </c>
      <c r="AQ141" s="10">
        <f t="shared" si="211"/>
        <v>7.4436490563805247E-2</v>
      </c>
      <c r="AR141" s="10">
        <f t="shared" si="211"/>
        <v>5.6809793167789072E-2</v>
      </c>
      <c r="AS141" s="10">
        <f t="shared" si="211"/>
        <v>5.6283367996740927E-2</v>
      </c>
      <c r="AT141" s="673">
        <f t="shared" si="211"/>
        <v>5.7975812576681142E-2</v>
      </c>
      <c r="AU141" s="10">
        <f t="shared" si="211"/>
        <v>5.6368916310492213E-2</v>
      </c>
      <c r="AV141" s="10">
        <f t="shared" si="211"/>
        <v>4.9897351353873437E-2</v>
      </c>
      <c r="AW141" s="10">
        <f t="shared" si="211"/>
        <v>4.6913488510337914E-2</v>
      </c>
      <c r="AX141" s="10">
        <f t="shared" si="211"/>
        <v>6.2692026335040243E-2</v>
      </c>
      <c r="AY141" s="673">
        <f t="shared" si="211"/>
        <v>5.3964814278196507E-2</v>
      </c>
      <c r="AZ141" s="10">
        <f t="shared" si="211"/>
        <v>4.1535925502841367E-2</v>
      </c>
      <c r="BA141" s="10">
        <f t="shared" si="211"/>
        <v>3.7666787114733473E-2</v>
      </c>
      <c r="BB141" s="10">
        <f t="shared" si="211"/>
        <v>3.6961258178451292E-2</v>
      </c>
      <c r="BC141" s="10">
        <f t="shared" si="211"/>
        <v>3.4574235772541824E-2</v>
      </c>
      <c r="BD141" s="673">
        <f t="shared" si="211"/>
        <v>3.7580037301865259E-2</v>
      </c>
      <c r="BE141" s="10">
        <f t="shared" si="211"/>
        <v>3.458286123966995E-2</v>
      </c>
      <c r="BF141" s="10">
        <f t="shared" si="211"/>
        <v>3.1486743828716864E-2</v>
      </c>
      <c r="BG141" s="10">
        <f t="shared" si="215"/>
        <v>3.0311020450739159E-2</v>
      </c>
      <c r="BH141" s="10">
        <f t="shared" si="216"/>
        <v>3.0092646680842109E-2</v>
      </c>
      <c r="BI141" s="673">
        <f t="shared" si="216"/>
        <v>3.1549771065216121E-2</v>
      </c>
      <c r="BJ141" s="10">
        <f t="shared" si="217"/>
        <v>2.9842044525652738E-2</v>
      </c>
      <c r="BK141" s="10">
        <f t="shared" si="218"/>
        <v>2.6847536244874182E-2</v>
      </c>
      <c r="BL141" s="390">
        <f t="shared" si="219"/>
        <v>2.5880824989454522E-2</v>
      </c>
      <c r="BM141" s="10">
        <f>BM223/BM$214</f>
        <v>3.0143506383793896E-2</v>
      </c>
      <c r="BN141" s="673">
        <f t="shared" si="215"/>
        <v>2.8134951361233881E-2</v>
      </c>
      <c r="BO141" s="10">
        <f>BO223/BO$214</f>
        <v>2.6901468691048949E-2</v>
      </c>
      <c r="BP141" s="10">
        <f>BP223/BP$214</f>
        <v>2.4959396944603519E-2</v>
      </c>
      <c r="BQ141" s="10">
        <f>BQ223/BQ$214</f>
        <v>2.5332793215121271E-2</v>
      </c>
      <c r="BR141" s="10">
        <f>BR223/BR$214</f>
        <v>2.4859768048622721E-2</v>
      </c>
      <c r="BS141" s="673">
        <f t="shared" si="214"/>
        <v>2.5476855543383931E-2</v>
      </c>
      <c r="BT141" s="673">
        <f>BT223/BT$214</f>
        <v>2.4921748495135947E-2</v>
      </c>
      <c r="BU141" s="673">
        <f>BU223/BU$214</f>
        <v>2.3557479418039227E-2</v>
      </c>
      <c r="BV141" s="673">
        <f>BV223/BV$214</f>
        <v>2.172637741623705E-2</v>
      </c>
      <c r="BW141" s="84"/>
    </row>
    <row r="142" spans="1:75" s="442" customFormat="1">
      <c r="A142" s="68" t="s">
        <v>222</v>
      </c>
      <c r="B142" s="17"/>
      <c r="C142" s="673">
        <f t="shared" si="211"/>
        <v>0</v>
      </c>
      <c r="D142" s="673">
        <f t="shared" si="211"/>
        <v>0</v>
      </c>
      <c r="E142" s="673">
        <f t="shared" si="211"/>
        <v>7.1177282824037943E-2</v>
      </c>
      <c r="F142" s="673">
        <f t="shared" si="211"/>
        <v>9.1737117186534555E-3</v>
      </c>
      <c r="G142" s="10">
        <f t="shared" si="211"/>
        <v>1.46316086098888E-2</v>
      </c>
      <c r="H142" s="10">
        <f t="shared" si="211"/>
        <v>0</v>
      </c>
      <c r="I142" s="10">
        <f t="shared" si="211"/>
        <v>0</v>
      </c>
      <c r="J142" s="10">
        <f t="shared" si="211"/>
        <v>0</v>
      </c>
      <c r="K142" s="673">
        <f t="shared" si="211"/>
        <v>2.8971449173347988E-3</v>
      </c>
      <c r="L142" s="10">
        <f t="shared" si="211"/>
        <v>0</v>
      </c>
      <c r="M142" s="10">
        <f t="shared" si="211"/>
        <v>0</v>
      </c>
      <c r="N142" s="10">
        <f t="shared" si="211"/>
        <v>0</v>
      </c>
      <c r="O142" s="10">
        <f t="shared" si="211"/>
        <v>0</v>
      </c>
      <c r="P142" s="673">
        <f t="shared" si="211"/>
        <v>0</v>
      </c>
      <c r="Q142" s="10">
        <f t="shared" si="211"/>
        <v>0</v>
      </c>
      <c r="R142" s="10">
        <f t="shared" si="211"/>
        <v>0</v>
      </c>
      <c r="S142" s="10">
        <f t="shared" si="211"/>
        <v>0</v>
      </c>
      <c r="T142" s="10">
        <f t="shared" si="211"/>
        <v>0</v>
      </c>
      <c r="U142" s="673">
        <f t="shared" si="211"/>
        <v>0</v>
      </c>
      <c r="V142" s="10">
        <f t="shared" si="211"/>
        <v>0</v>
      </c>
      <c r="W142" s="10">
        <f t="shared" si="211"/>
        <v>0</v>
      </c>
      <c r="X142" s="10">
        <f t="shared" si="211"/>
        <v>0</v>
      </c>
      <c r="Y142" s="10">
        <f t="shared" si="211"/>
        <v>1.7736503829647431E-2</v>
      </c>
      <c r="Z142" s="673">
        <f t="shared" si="211"/>
        <v>4.8452534046494805E-3</v>
      </c>
      <c r="AA142" s="10">
        <f t="shared" si="211"/>
        <v>1.1656423143298314E-3</v>
      </c>
      <c r="AB142" s="10">
        <f t="shared" si="211"/>
        <v>1.0002619733739789E-4</v>
      </c>
      <c r="AC142" s="10">
        <f t="shared" si="211"/>
        <v>1.5674893746613105E-4</v>
      </c>
      <c r="AD142" s="10">
        <f t="shared" si="211"/>
        <v>-0.74596816456359571</v>
      </c>
      <c r="AE142" s="673">
        <f t="shared" si="211"/>
        <v>-0.19205450568668633</v>
      </c>
      <c r="AF142" s="10">
        <f t="shared" si="211"/>
        <v>0</v>
      </c>
      <c r="AG142" s="10">
        <f t="shared" si="211"/>
        <v>0</v>
      </c>
      <c r="AH142" s="10">
        <f t="shared" ref="C142:BF144" si="220">AH224/AH$214</f>
        <v>0</v>
      </c>
      <c r="AI142" s="10">
        <f t="shared" si="220"/>
        <v>0</v>
      </c>
      <c r="AJ142" s="673">
        <f t="shared" si="220"/>
        <v>0</v>
      </c>
      <c r="AK142" s="10">
        <f t="shared" si="220"/>
        <v>0</v>
      </c>
      <c r="AL142" s="10">
        <f t="shared" si="220"/>
        <v>0</v>
      </c>
      <c r="AM142" s="10">
        <f t="shared" si="220"/>
        <v>0</v>
      </c>
      <c r="AN142" s="10">
        <f t="shared" si="220"/>
        <v>0</v>
      </c>
      <c r="AO142" s="673">
        <f t="shared" si="220"/>
        <v>0</v>
      </c>
      <c r="AP142" s="10">
        <f t="shared" si="220"/>
        <v>0</v>
      </c>
      <c r="AQ142" s="10">
        <f t="shared" si="220"/>
        <v>1.9594154883748445E-2</v>
      </c>
      <c r="AR142" s="10">
        <f t="shared" si="220"/>
        <v>2.422930432459116E-3</v>
      </c>
      <c r="AS142" s="10">
        <f t="shared" si="220"/>
        <v>6.432384913913249E-5</v>
      </c>
      <c r="AT142" s="673">
        <f t="shared" si="220"/>
        <v>4.4241654285036769E-3</v>
      </c>
      <c r="AU142" s="10">
        <f t="shared" si="220"/>
        <v>8.6171239487108786E-5</v>
      </c>
      <c r="AV142" s="10">
        <f t="shared" si="220"/>
        <v>4.6658475512076769E-5</v>
      </c>
      <c r="AW142" s="10">
        <f t="shared" si="220"/>
        <v>0</v>
      </c>
      <c r="AX142" s="10">
        <f t="shared" si="220"/>
        <v>0</v>
      </c>
      <c r="AY142" s="673">
        <f t="shared" si="220"/>
        <v>3.1012590142454395E-5</v>
      </c>
      <c r="AZ142" s="10">
        <f t="shared" si="220"/>
        <v>0</v>
      </c>
      <c r="BA142" s="10">
        <f t="shared" si="220"/>
        <v>0</v>
      </c>
      <c r="BB142" s="10">
        <f t="shared" si="220"/>
        <v>0</v>
      </c>
      <c r="BC142" s="10">
        <f t="shared" si="220"/>
        <v>0</v>
      </c>
      <c r="BD142" s="673">
        <f t="shared" si="220"/>
        <v>0</v>
      </c>
      <c r="BE142" s="10">
        <f t="shared" si="220"/>
        <v>0</v>
      </c>
      <c r="BF142" s="10">
        <f t="shared" si="220"/>
        <v>0</v>
      </c>
      <c r="BG142" s="10">
        <f t="shared" si="215"/>
        <v>0</v>
      </c>
      <c r="BH142" s="10">
        <f t="shared" si="216"/>
        <v>0</v>
      </c>
      <c r="BI142" s="673">
        <f t="shared" si="216"/>
        <v>0</v>
      </c>
      <c r="BJ142" s="10">
        <f t="shared" si="217"/>
        <v>0</v>
      </c>
      <c r="BK142" s="10">
        <f t="shared" si="218"/>
        <v>0</v>
      </c>
      <c r="BL142" s="390">
        <f t="shared" si="219"/>
        <v>0</v>
      </c>
      <c r="BM142" s="628">
        <v>0</v>
      </c>
      <c r="BN142" s="673">
        <f t="shared" ref="BN142" si="221">BN224/BN$214</f>
        <v>0</v>
      </c>
      <c r="BO142" s="628">
        <v>0</v>
      </c>
      <c r="BP142" s="628">
        <v>0</v>
      </c>
      <c r="BQ142" s="628">
        <v>0</v>
      </c>
      <c r="BR142" s="628">
        <v>0</v>
      </c>
      <c r="BS142" s="673">
        <f t="shared" si="214"/>
        <v>0</v>
      </c>
      <c r="BT142" s="708">
        <v>0</v>
      </c>
      <c r="BU142" s="708">
        <v>0</v>
      </c>
      <c r="BV142" s="708">
        <v>0</v>
      </c>
      <c r="BW142" s="84"/>
    </row>
    <row r="143" spans="1:75" s="442" customFormat="1">
      <c r="A143" s="25" t="s">
        <v>223</v>
      </c>
      <c r="B143" s="50"/>
      <c r="C143" s="710">
        <f t="shared" si="220"/>
        <v>-9.0398326100433912E-2</v>
      </c>
      <c r="D143" s="710">
        <f t="shared" si="220"/>
        <v>-0.19915778005908111</v>
      </c>
      <c r="E143" s="710">
        <f t="shared" si="220"/>
        <v>-0.19416461547697672</v>
      </c>
      <c r="F143" s="710">
        <f t="shared" si="220"/>
        <v>-0.13640626022229177</v>
      </c>
      <c r="G143" s="5">
        <f t="shared" si="220"/>
        <v>-9.8714586088049658E-2</v>
      </c>
      <c r="H143" s="5">
        <f t="shared" si="220"/>
        <v>-1.0541046471475404E-2</v>
      </c>
      <c r="I143" s="5">
        <f t="shared" si="220"/>
        <v>-2.9110344714862554E-2</v>
      </c>
      <c r="J143" s="5">
        <f t="shared" si="220"/>
        <v>-2.7005987176402537E-2</v>
      </c>
      <c r="K143" s="710">
        <f t="shared" si="220"/>
        <v>-3.786890311947412E-2</v>
      </c>
      <c r="L143" s="5">
        <f t="shared" si="220"/>
        <v>-6.0256259243263041E-2</v>
      </c>
      <c r="M143" s="5">
        <f t="shared" si="220"/>
        <v>3.5219119916203891E-2</v>
      </c>
      <c r="N143" s="5">
        <f t="shared" si="220"/>
        <v>4.4351178566199627E-2</v>
      </c>
      <c r="O143" s="5">
        <f t="shared" si="220"/>
        <v>7.2729258238008049E-2</v>
      </c>
      <c r="P143" s="710">
        <f t="shared" si="220"/>
        <v>2.9292570774707646E-2</v>
      </c>
      <c r="Q143" s="5">
        <f t="shared" si="220"/>
        <v>-3.5854119553110297E-2</v>
      </c>
      <c r="R143" s="5">
        <f t="shared" si="220"/>
        <v>3.7337674460292405E-4</v>
      </c>
      <c r="S143" s="5">
        <f t="shared" si="220"/>
        <v>-7.4617404690754244E-2</v>
      </c>
      <c r="T143" s="5">
        <f t="shared" si="220"/>
        <v>-4.171572421957824E-2</v>
      </c>
      <c r="U143" s="710">
        <f t="shared" si="220"/>
        <v>-3.8791292151694169E-2</v>
      </c>
      <c r="V143" s="5">
        <f t="shared" si="220"/>
        <v>-8.9986318901981527E-2</v>
      </c>
      <c r="W143" s="5">
        <f t="shared" si="220"/>
        <v>-6.8443388610834668E-3</v>
      </c>
      <c r="X143" s="5">
        <f t="shared" si="220"/>
        <v>1.0524507066454787E-2</v>
      </c>
      <c r="Y143" s="5">
        <f t="shared" si="220"/>
        <v>4.3743198012279022E-2</v>
      </c>
      <c r="Z143" s="710">
        <f t="shared" si="220"/>
        <v>-6.9824939802461692E-3</v>
      </c>
      <c r="AA143" s="5">
        <f t="shared" si="220"/>
        <v>-2.3671117300957757E-2</v>
      </c>
      <c r="AB143" s="5">
        <f t="shared" si="220"/>
        <v>3.4080354378527578E-2</v>
      </c>
      <c r="AC143" s="5">
        <f t="shared" si="220"/>
        <v>3.0861626516545931E-2</v>
      </c>
      <c r="AD143" s="5">
        <f t="shared" si="220"/>
        <v>0.77591243204323712</v>
      </c>
      <c r="AE143" s="710">
        <f t="shared" si="220"/>
        <v>0.2111096354573736</v>
      </c>
      <c r="AF143" s="5">
        <f t="shared" si="220"/>
        <v>-2.1638559401812842E-2</v>
      </c>
      <c r="AG143" s="5">
        <f t="shared" si="220"/>
        <v>3.2448704138157175E-2</v>
      </c>
      <c r="AH143" s="5">
        <f t="shared" si="220"/>
        <v>4.3057537246574094E-2</v>
      </c>
      <c r="AI143" s="5">
        <f t="shared" si="220"/>
        <v>5.2194961844588411E-2</v>
      </c>
      <c r="AJ143" s="710">
        <f t="shared" si="220"/>
        <v>2.7468966548681441E-2</v>
      </c>
      <c r="AK143" s="5">
        <f t="shared" si="220"/>
        <v>-1.6453196124471291E-2</v>
      </c>
      <c r="AL143" s="5">
        <f t="shared" si="220"/>
        <v>4.938956490048807E-2</v>
      </c>
      <c r="AM143" s="5">
        <f t="shared" si="220"/>
        <v>3.6384556184612504E-2</v>
      </c>
      <c r="AN143" s="5">
        <f t="shared" si="220"/>
        <v>6.5641704764844724E-2</v>
      </c>
      <c r="AO143" s="710">
        <f t="shared" si="220"/>
        <v>3.5014011126076439E-2</v>
      </c>
      <c r="AP143" s="5">
        <f t="shared" si="220"/>
        <v>-0.10904318109971536</v>
      </c>
      <c r="AQ143" s="5">
        <f t="shared" si="220"/>
        <v>-0.20912855706087688</v>
      </c>
      <c r="AR143" s="5">
        <f t="shared" si="220"/>
        <v>4.223145099566572E-2</v>
      </c>
      <c r="AS143" s="5">
        <f t="shared" si="220"/>
        <v>6.2089667445700013E-2</v>
      </c>
      <c r="AT143" s="710">
        <f t="shared" si="220"/>
        <v>-4.4442127860901078E-2</v>
      </c>
      <c r="AU143" s="5">
        <f t="shared" si="220"/>
        <v>-3.7238901144354061E-2</v>
      </c>
      <c r="AV143" s="5">
        <f t="shared" si="220"/>
        <v>-4.2031510023796499E-3</v>
      </c>
      <c r="AW143" s="5">
        <f t="shared" si="220"/>
        <v>8.0418346306031674E-2</v>
      </c>
      <c r="AX143" s="5">
        <f t="shared" si="220"/>
        <v>7.1664228237015432E-2</v>
      </c>
      <c r="AY143" s="710">
        <f t="shared" si="220"/>
        <v>3.0541586429665771E-2</v>
      </c>
      <c r="AZ143" s="5">
        <f t="shared" si="220"/>
        <v>-1.6108275373425643E-2</v>
      </c>
      <c r="BA143" s="5">
        <f t="shared" si="220"/>
        <v>5.3535819916757016E-2</v>
      </c>
      <c r="BB143" s="5">
        <f t="shared" si="220"/>
        <v>4.3458695785892225E-2</v>
      </c>
      <c r="BC143" s="5">
        <f t="shared" si="220"/>
        <v>0.10800283400678777</v>
      </c>
      <c r="BD143" s="710">
        <f t="shared" si="220"/>
        <v>4.889208768116797E-2</v>
      </c>
      <c r="BE143" s="5">
        <f t="shared" si="220"/>
        <v>-2.1082582784424576E-2</v>
      </c>
      <c r="BF143" s="5">
        <f t="shared" si="220"/>
        <v>5.5593457638983365E-2</v>
      </c>
      <c r="BG143" s="5">
        <f t="shared" si="215"/>
        <v>0.12132811005963105</v>
      </c>
      <c r="BH143" s="5">
        <f t="shared" si="216"/>
        <v>7.3062948337500253E-2</v>
      </c>
      <c r="BI143" s="710">
        <f t="shared" si="216"/>
        <v>5.9116929506634622E-2</v>
      </c>
      <c r="BJ143" s="5">
        <f t="shared" si="217"/>
        <v>3.3709789873539404E-2</v>
      </c>
      <c r="BK143" s="5">
        <f t="shared" si="218"/>
        <v>0.11133114482264103</v>
      </c>
      <c r="BL143" s="503">
        <f t="shared" si="219"/>
        <v>0.12946517771906826</v>
      </c>
      <c r="BM143" s="5">
        <f>BM225/BM$214</f>
        <v>0.11285649361620614</v>
      </c>
      <c r="BN143" s="710">
        <f t="shared" ref="BN143" si="222">BN225/BN$214</f>
        <v>9.7936543444830243E-2</v>
      </c>
      <c r="BO143" s="5">
        <f t="shared" ref="BO143:BR144" si="223">BO225/BO$214</f>
        <v>5.309853130895123E-2</v>
      </c>
      <c r="BP143" s="5">
        <f t="shared" si="223"/>
        <v>0.12504060305539652</v>
      </c>
      <c r="BQ143" s="5">
        <f t="shared" si="223"/>
        <v>0.10966720678487886</v>
      </c>
      <c r="BR143" s="5">
        <f t="shared" si="223"/>
        <v>0.11514023195137725</v>
      </c>
      <c r="BS143" s="710">
        <f t="shared" si="214"/>
        <v>0.10193769747870837</v>
      </c>
      <c r="BT143" s="710">
        <f t="shared" ref="BT143:BV144" si="224">BT225/BT$214</f>
        <v>0.10507825150486415</v>
      </c>
      <c r="BU143" s="710">
        <f t="shared" si="224"/>
        <v>0.11644252058196093</v>
      </c>
      <c r="BV143" s="710">
        <f t="shared" si="224"/>
        <v>7.8273622583762983E-2</v>
      </c>
      <c r="BW143" s="84"/>
    </row>
    <row r="144" spans="1:75" s="442" customFormat="1">
      <c r="A144" s="65" t="s">
        <v>224</v>
      </c>
      <c r="B144" s="17"/>
      <c r="C144" s="673">
        <f t="shared" si="220"/>
        <v>-9.0398326100433912E-2</v>
      </c>
      <c r="D144" s="673">
        <f t="shared" si="220"/>
        <v>-0.19915778005908111</v>
      </c>
      <c r="E144" s="673">
        <f t="shared" si="220"/>
        <v>-0.19416461547697672</v>
      </c>
      <c r="F144" s="673">
        <f t="shared" si="220"/>
        <v>-0.13640626022229177</v>
      </c>
      <c r="G144" s="10">
        <f t="shared" si="220"/>
        <v>-9.8714586088049658E-2</v>
      </c>
      <c r="H144" s="10">
        <f t="shared" si="220"/>
        <v>-1.0541046471475404E-2</v>
      </c>
      <c r="I144" s="10">
        <f t="shared" si="220"/>
        <v>-2.9110344714862554E-2</v>
      </c>
      <c r="J144" s="10">
        <f t="shared" si="220"/>
        <v>-2.7005987176402537E-2</v>
      </c>
      <c r="K144" s="673">
        <f t="shared" si="220"/>
        <v>-3.786890311947412E-2</v>
      </c>
      <c r="L144" s="10">
        <f t="shared" si="220"/>
        <v>-6.0256259243263041E-2</v>
      </c>
      <c r="M144" s="10">
        <f t="shared" si="220"/>
        <v>3.5219119916203891E-2</v>
      </c>
      <c r="N144" s="10">
        <f t="shared" si="220"/>
        <v>4.4351178566199627E-2</v>
      </c>
      <c r="O144" s="10">
        <f t="shared" si="220"/>
        <v>7.2729258238008049E-2</v>
      </c>
      <c r="P144" s="673">
        <f t="shared" si="220"/>
        <v>2.9292570774707646E-2</v>
      </c>
      <c r="Q144" s="10">
        <f t="shared" si="220"/>
        <v>-3.5854119553110297E-2</v>
      </c>
      <c r="R144" s="10">
        <f t="shared" si="220"/>
        <v>3.7337674460292405E-4</v>
      </c>
      <c r="S144" s="10">
        <f t="shared" si="220"/>
        <v>-7.4617404690754244E-2</v>
      </c>
      <c r="T144" s="10">
        <f t="shared" si="220"/>
        <v>-4.171572421957824E-2</v>
      </c>
      <c r="U144" s="673">
        <f t="shared" si="220"/>
        <v>-3.8791292151694169E-2</v>
      </c>
      <c r="V144" s="10">
        <f t="shared" si="220"/>
        <v>-8.9986318901981527E-2</v>
      </c>
      <c r="W144" s="10">
        <f t="shared" si="220"/>
        <v>-6.8443388610834668E-3</v>
      </c>
      <c r="X144" s="10">
        <f t="shared" si="220"/>
        <v>1.0524507066454787E-2</v>
      </c>
      <c r="Y144" s="10">
        <f t="shared" si="220"/>
        <v>4.3743198012279022E-2</v>
      </c>
      <c r="Z144" s="673">
        <f t="shared" si="220"/>
        <v>-6.9824939802461692E-3</v>
      </c>
      <c r="AA144" s="10">
        <f t="shared" si="220"/>
        <v>-2.3671117300957757E-2</v>
      </c>
      <c r="AB144" s="10">
        <f t="shared" si="220"/>
        <v>3.4080354378527578E-2</v>
      </c>
      <c r="AC144" s="10">
        <f t="shared" si="220"/>
        <v>3.0861626516545931E-2</v>
      </c>
      <c r="AD144" s="10">
        <f t="shared" si="220"/>
        <v>0.77591243204323712</v>
      </c>
      <c r="AE144" s="673">
        <f t="shared" si="220"/>
        <v>0.2111096354573736</v>
      </c>
      <c r="AF144" s="10">
        <f t="shared" si="220"/>
        <v>-2.1638559401812842E-2</v>
      </c>
      <c r="AG144" s="10">
        <f t="shared" si="220"/>
        <v>3.2448704138157175E-2</v>
      </c>
      <c r="AH144" s="10">
        <f t="shared" si="220"/>
        <v>4.3057537246574094E-2</v>
      </c>
      <c r="AI144" s="10">
        <f t="shared" si="220"/>
        <v>5.2194961844588411E-2</v>
      </c>
      <c r="AJ144" s="673">
        <f t="shared" si="220"/>
        <v>2.7468966548681441E-2</v>
      </c>
      <c r="AK144" s="10">
        <f t="shared" si="220"/>
        <v>-1.6453196124471291E-2</v>
      </c>
      <c r="AL144" s="10">
        <f t="shared" si="220"/>
        <v>4.938956490048807E-2</v>
      </c>
      <c r="AM144" s="10">
        <f t="shared" si="220"/>
        <v>3.6384556184612504E-2</v>
      </c>
      <c r="AN144" s="10">
        <f t="shared" si="220"/>
        <v>6.5641704764844724E-2</v>
      </c>
      <c r="AO144" s="673">
        <f t="shared" si="220"/>
        <v>3.5014011126076439E-2</v>
      </c>
      <c r="AP144" s="10">
        <f t="shared" si="220"/>
        <v>-0.10904318109971536</v>
      </c>
      <c r="AQ144" s="10">
        <f t="shared" si="220"/>
        <v>-0.20912855706087688</v>
      </c>
      <c r="AR144" s="10">
        <f t="shared" si="220"/>
        <v>4.223145099566572E-2</v>
      </c>
      <c r="AS144" s="10">
        <f t="shared" si="220"/>
        <v>6.2089667445700013E-2</v>
      </c>
      <c r="AT144" s="673">
        <f t="shared" si="220"/>
        <v>-4.4442127860901078E-2</v>
      </c>
      <c r="AU144" s="10">
        <f t="shared" si="220"/>
        <v>-3.7238901144354061E-2</v>
      </c>
      <c r="AV144" s="10">
        <f t="shared" si="220"/>
        <v>-4.2031510023796499E-3</v>
      </c>
      <c r="AW144" s="10">
        <f t="shared" si="220"/>
        <v>8.0418346306031674E-2</v>
      </c>
      <c r="AX144" s="10">
        <f t="shared" si="220"/>
        <v>7.1664228237015432E-2</v>
      </c>
      <c r="AY144" s="673">
        <f t="shared" si="220"/>
        <v>3.0541586429665771E-2</v>
      </c>
      <c r="AZ144" s="10">
        <f t="shared" si="220"/>
        <v>-1.6108275373425643E-2</v>
      </c>
      <c r="BA144" s="10">
        <f t="shared" si="220"/>
        <v>5.3535819916757016E-2</v>
      </c>
      <c r="BB144" s="10">
        <f t="shared" si="220"/>
        <v>4.3458695785892225E-2</v>
      </c>
      <c r="BC144" s="10">
        <f t="shared" si="220"/>
        <v>0.10800283400678777</v>
      </c>
      <c r="BD144" s="673">
        <f t="shared" si="220"/>
        <v>4.889208768116797E-2</v>
      </c>
      <c r="BE144" s="10">
        <f t="shared" si="220"/>
        <v>-2.1082582784424576E-2</v>
      </c>
      <c r="BF144" s="10">
        <f t="shared" si="220"/>
        <v>5.5593457638983365E-2</v>
      </c>
      <c r="BG144" s="10">
        <f t="shared" si="215"/>
        <v>0.12132811005963105</v>
      </c>
      <c r="BH144" s="10">
        <f t="shared" si="216"/>
        <v>7.3062948337500253E-2</v>
      </c>
      <c r="BI144" s="673">
        <f t="shared" si="216"/>
        <v>5.9116929506634622E-2</v>
      </c>
      <c r="BJ144" s="10">
        <f t="shared" si="217"/>
        <v>3.3709789873539404E-2</v>
      </c>
      <c r="BK144" s="10">
        <f t="shared" si="218"/>
        <v>0.11133114482264103</v>
      </c>
      <c r="BL144" s="390">
        <f t="shared" si="219"/>
        <v>0.12946517771906826</v>
      </c>
      <c r="BM144" s="10">
        <f>BM226/BM$214</f>
        <v>0.11285649361620614</v>
      </c>
      <c r="BN144" s="673">
        <f t="shared" ref="BN144" si="225">BN226/BN$214</f>
        <v>9.7936543444829965E-2</v>
      </c>
      <c r="BO144" s="10">
        <f t="shared" si="223"/>
        <v>5.309853130895123E-2</v>
      </c>
      <c r="BP144" s="10">
        <f t="shared" si="223"/>
        <v>0.12504060305539652</v>
      </c>
      <c r="BQ144" s="10">
        <f t="shared" si="223"/>
        <v>0.10966720678487886</v>
      </c>
      <c r="BR144" s="10">
        <f t="shared" si="223"/>
        <v>0.11514023195137725</v>
      </c>
      <c r="BS144" s="673">
        <f t="shared" si="214"/>
        <v>0.10193769747870851</v>
      </c>
      <c r="BT144" s="673">
        <f t="shared" si="224"/>
        <v>0.10507825150486415</v>
      </c>
      <c r="BU144" s="673">
        <f t="shared" si="224"/>
        <v>0.11644252058196093</v>
      </c>
      <c r="BV144" s="673">
        <f t="shared" si="224"/>
        <v>7.8273622583762983E-2</v>
      </c>
      <c r="BW144" s="84"/>
    </row>
    <row r="145" spans="1:75" s="449" customFormat="1">
      <c r="A145" s="46" t="s">
        <v>225</v>
      </c>
      <c r="B145" s="384"/>
      <c r="C145" s="709"/>
      <c r="D145" s="709"/>
      <c r="E145" s="709"/>
      <c r="F145" s="709"/>
      <c r="G145" s="366"/>
      <c r="H145" s="366"/>
      <c r="I145" s="366"/>
      <c r="J145" s="366"/>
      <c r="K145" s="709"/>
      <c r="L145" s="366"/>
      <c r="M145" s="366"/>
      <c r="N145" s="366"/>
      <c r="O145" s="366"/>
      <c r="P145" s="709"/>
      <c r="Q145" s="366"/>
      <c r="R145" s="366"/>
      <c r="S145" s="366"/>
      <c r="T145" s="366"/>
      <c r="U145" s="709"/>
      <c r="V145" s="366"/>
      <c r="W145" s="366"/>
      <c r="X145" s="366"/>
      <c r="Y145" s="366"/>
      <c r="Z145" s="709"/>
      <c r="AA145" s="366"/>
      <c r="AB145" s="366"/>
      <c r="AC145" s="366"/>
      <c r="AD145" s="366"/>
      <c r="AE145" s="709"/>
      <c r="AF145" s="366"/>
      <c r="AG145" s="366"/>
      <c r="AH145" s="366"/>
      <c r="AI145" s="366"/>
      <c r="AJ145" s="709"/>
      <c r="AK145" s="366"/>
      <c r="AL145" s="366"/>
      <c r="AM145" s="366"/>
      <c r="AN145" s="366"/>
      <c r="AO145" s="709"/>
      <c r="AP145" s="366"/>
      <c r="AQ145" s="366"/>
      <c r="AR145" s="366"/>
      <c r="AS145" s="366"/>
      <c r="AT145" s="709"/>
      <c r="AU145" s="366"/>
      <c r="AV145" s="366"/>
      <c r="AW145" s="366"/>
      <c r="AX145" s="366"/>
      <c r="AY145" s="709"/>
      <c r="AZ145" s="366"/>
      <c r="BA145" s="366"/>
      <c r="BB145" s="366"/>
      <c r="BC145" s="366"/>
      <c r="BD145" s="709"/>
      <c r="BE145" s="366"/>
      <c r="BF145" s="366"/>
      <c r="BG145" s="366"/>
      <c r="BH145" s="366"/>
      <c r="BI145" s="709"/>
      <c r="BJ145" s="366"/>
      <c r="BK145" s="366"/>
      <c r="BL145" s="399"/>
      <c r="BM145" s="366">
        <f ca="1">IFERROR(BM227/BM215,0)</f>
        <v>0</v>
      </c>
      <c r="BN145" s="709">
        <f t="shared" ref="BN145" ca="1" si="226">IFERROR(BN227/BN215,0)</f>
        <v>0</v>
      </c>
      <c r="BO145" s="366">
        <f t="shared" ref="BO145:BV145" ca="1" si="227">IFERROR(BO227/BO215,0)</f>
        <v>0</v>
      </c>
      <c r="BP145" s="366">
        <f t="shared" ca="1" si="227"/>
        <v>0</v>
      </c>
      <c r="BQ145" s="366">
        <f t="shared" ca="1" si="227"/>
        <v>0</v>
      </c>
      <c r="BR145" s="366">
        <f t="shared" ca="1" si="227"/>
        <v>0</v>
      </c>
      <c r="BS145" s="709">
        <f t="shared" ca="1" si="227"/>
        <v>0</v>
      </c>
      <c r="BT145" s="709">
        <f t="shared" ca="1" si="227"/>
        <v>0</v>
      </c>
      <c r="BU145" s="709">
        <f t="shared" ca="1" si="227"/>
        <v>0</v>
      </c>
      <c r="BV145" s="709">
        <f t="shared" ca="1" si="227"/>
        <v>0</v>
      </c>
      <c r="BW145" s="204"/>
    </row>
    <row r="146" spans="1:75" s="442" customFormat="1">
      <c r="A146" s="65"/>
      <c r="B146" s="17"/>
      <c r="C146" s="673"/>
      <c r="D146" s="673"/>
      <c r="E146" s="673"/>
      <c r="F146" s="673"/>
      <c r="G146" s="10"/>
      <c r="H146" s="10"/>
      <c r="I146" s="10"/>
      <c r="J146" s="10"/>
      <c r="K146" s="673"/>
      <c r="L146" s="10"/>
      <c r="M146" s="10"/>
      <c r="N146" s="10"/>
      <c r="O146" s="10"/>
      <c r="P146" s="673"/>
      <c r="Q146" s="10"/>
      <c r="R146" s="10"/>
      <c r="S146" s="10"/>
      <c r="T146" s="10"/>
      <c r="U146" s="673"/>
      <c r="V146" s="10"/>
      <c r="W146" s="10"/>
      <c r="X146" s="10"/>
      <c r="Y146" s="10"/>
      <c r="Z146" s="673"/>
      <c r="AA146" s="10"/>
      <c r="AB146" s="10"/>
      <c r="AC146" s="10"/>
      <c r="AD146" s="10"/>
      <c r="AE146" s="673"/>
      <c r="AF146" s="10"/>
      <c r="AG146" s="10"/>
      <c r="AH146" s="10"/>
      <c r="AI146" s="10"/>
      <c r="AJ146" s="673"/>
      <c r="AK146" s="10"/>
      <c r="AL146" s="10"/>
      <c r="AM146" s="10"/>
      <c r="AN146" s="10"/>
      <c r="AO146" s="673"/>
      <c r="AP146" s="10"/>
      <c r="AQ146" s="10"/>
      <c r="AR146" s="10"/>
      <c r="AS146" s="10"/>
      <c r="AT146" s="673"/>
      <c r="AU146" s="10"/>
      <c r="AV146" s="10"/>
      <c r="AW146" s="10"/>
      <c r="AX146" s="10"/>
      <c r="AY146" s="673"/>
      <c r="AZ146" s="10"/>
      <c r="BA146" s="10"/>
      <c r="BB146" s="10"/>
      <c r="BC146" s="10"/>
      <c r="BD146" s="673"/>
      <c r="BE146" s="10"/>
      <c r="BF146" s="10"/>
      <c r="BG146" s="10"/>
      <c r="BH146" s="10"/>
      <c r="BI146" s="673"/>
      <c r="BJ146" s="10"/>
      <c r="BK146" s="10"/>
      <c r="BL146" s="390"/>
      <c r="BM146" s="10"/>
      <c r="BN146" s="673"/>
      <c r="BO146" s="10"/>
      <c r="BP146" s="10"/>
      <c r="BQ146" s="10"/>
      <c r="BR146" s="10"/>
      <c r="BS146" s="673"/>
      <c r="BT146" s="673"/>
      <c r="BU146" s="673"/>
      <c r="BV146" s="673"/>
      <c r="BW146" s="84"/>
    </row>
    <row r="147" spans="1:75" s="442" customFormat="1">
      <c r="A147" s="14" t="s">
        <v>226</v>
      </c>
      <c r="B147" s="27"/>
      <c r="C147" s="668">
        <f t="shared" ref="C147:AH147" si="228">C229/C214</f>
        <v>4.6535957842529452E-2</v>
      </c>
      <c r="D147" s="668">
        <f t="shared" si="228"/>
        <v>4.8899038360813725E-2</v>
      </c>
      <c r="E147" s="668">
        <f t="shared" si="228"/>
        <v>5.0885513597886782E-2</v>
      </c>
      <c r="F147" s="668">
        <f t="shared" si="228"/>
        <v>5.2505324678156821E-2</v>
      </c>
      <c r="G147" s="13">
        <f t="shared" si="228"/>
        <v>5.371426094119177E-2</v>
      </c>
      <c r="H147" s="13">
        <f t="shared" si="228"/>
        <v>4.7925413009105279E-2</v>
      </c>
      <c r="I147" s="13">
        <f t="shared" si="228"/>
        <v>4.602736143573985E-2</v>
      </c>
      <c r="J147" s="13">
        <f t="shared" si="228"/>
        <v>4.9878982604634046E-2</v>
      </c>
      <c r="K147" s="668">
        <f t="shared" si="228"/>
        <v>4.9165622263807579E-2</v>
      </c>
      <c r="L147" s="13">
        <f t="shared" si="228"/>
        <v>4.7914458099388803E-2</v>
      </c>
      <c r="M147" s="13">
        <f t="shared" si="228"/>
        <v>4.8475565116514803E-2</v>
      </c>
      <c r="N147" s="13">
        <f t="shared" si="228"/>
        <v>4.4936801522619689E-2</v>
      </c>
      <c r="O147" s="13">
        <f t="shared" si="228"/>
        <v>4.8149462629792424E-2</v>
      </c>
      <c r="P147" s="668">
        <f t="shared" si="228"/>
        <v>4.6591583319206646E-2</v>
      </c>
      <c r="Q147" s="13">
        <f t="shared" si="228"/>
        <v>5.8181726128193875E-2</v>
      </c>
      <c r="R147" s="13">
        <f t="shared" si="228"/>
        <v>5.3519822571370959E-2</v>
      </c>
      <c r="S147" s="13">
        <f t="shared" si="228"/>
        <v>5.2675206709436539E-2</v>
      </c>
      <c r="T147" s="13">
        <f t="shared" si="228"/>
        <v>5.1908853777052129E-2</v>
      </c>
      <c r="U147" s="668">
        <f t="shared" si="228"/>
        <v>5.3853752244361126E-2</v>
      </c>
      <c r="V147" s="13">
        <f t="shared" si="228"/>
        <v>5.1628807222611012E-2</v>
      </c>
      <c r="W147" s="13">
        <f t="shared" si="228"/>
        <v>4.9380722835989578E-2</v>
      </c>
      <c r="X147" s="13">
        <f t="shared" si="228"/>
        <v>4.9180591949826026E-2</v>
      </c>
      <c r="Y147" s="13">
        <f t="shared" si="228"/>
        <v>4.8430152569867976E-2</v>
      </c>
      <c r="Z147" s="668">
        <f t="shared" si="228"/>
        <v>4.9568835554483506E-2</v>
      </c>
      <c r="AA147" s="13">
        <f t="shared" si="228"/>
        <v>5.1222662912390117E-2</v>
      </c>
      <c r="AB147" s="13">
        <f t="shared" si="228"/>
        <v>5.0784729333873166E-2</v>
      </c>
      <c r="AC147" s="13">
        <f t="shared" si="228"/>
        <v>4.7723333646831206E-2</v>
      </c>
      <c r="AD147" s="13">
        <f t="shared" si="228"/>
        <v>4.4335379441398821E-2</v>
      </c>
      <c r="AE147" s="668">
        <f t="shared" si="228"/>
        <v>4.8419986201984615E-2</v>
      </c>
      <c r="AF147" s="13">
        <f t="shared" si="228"/>
        <v>4.49536924966603E-2</v>
      </c>
      <c r="AG147" s="13">
        <f t="shared" si="228"/>
        <v>4.4745234455831701E-2</v>
      </c>
      <c r="AH147" s="13">
        <f t="shared" si="228"/>
        <v>4.4434582075189959E-2</v>
      </c>
      <c r="AI147" s="13">
        <f t="shared" ref="AI147:BF147" si="229">AI229/AI214</f>
        <v>4.7415278575531308E-2</v>
      </c>
      <c r="AJ147" s="668">
        <f t="shared" si="229"/>
        <v>4.5405415725736739E-2</v>
      </c>
      <c r="AK147" s="13">
        <f t="shared" si="229"/>
        <v>5.0334404217985775E-2</v>
      </c>
      <c r="AL147" s="13">
        <f t="shared" si="229"/>
        <v>4.9563685691725208E-2</v>
      </c>
      <c r="AM147" s="13">
        <f t="shared" si="229"/>
        <v>4.7208485411888421E-2</v>
      </c>
      <c r="AN147" s="13">
        <f t="shared" si="229"/>
        <v>4.7797249491301007E-2</v>
      </c>
      <c r="AO147" s="668">
        <f t="shared" si="229"/>
        <v>4.8665245505297806E-2</v>
      </c>
      <c r="AP147" s="13">
        <f t="shared" si="229"/>
        <v>4.9451582826799415E-2</v>
      </c>
      <c r="AQ147" s="13">
        <f t="shared" si="229"/>
        <v>7.4436490563805247E-2</v>
      </c>
      <c r="AR147" s="13">
        <f t="shared" si="229"/>
        <v>5.6809793167789072E-2</v>
      </c>
      <c r="AS147" s="13">
        <f t="shared" si="229"/>
        <v>5.6283367996740927E-2</v>
      </c>
      <c r="AT147" s="668">
        <f t="shared" si="229"/>
        <v>5.7975812576681142E-2</v>
      </c>
      <c r="AU147" s="13">
        <f t="shared" si="229"/>
        <v>5.6368916310492213E-2</v>
      </c>
      <c r="AV147" s="13">
        <f t="shared" si="229"/>
        <v>4.9897351353873437E-2</v>
      </c>
      <c r="AW147" s="13">
        <f t="shared" si="229"/>
        <v>4.6913488510337914E-2</v>
      </c>
      <c r="AX147" s="13">
        <f t="shared" si="229"/>
        <v>6.2692026335040243E-2</v>
      </c>
      <c r="AY147" s="668">
        <f t="shared" si="229"/>
        <v>5.3964814278196507E-2</v>
      </c>
      <c r="AZ147" s="13">
        <f t="shared" si="229"/>
        <v>4.1535925502841367E-2</v>
      </c>
      <c r="BA147" s="13">
        <f t="shared" si="229"/>
        <v>3.7666787114733473E-2</v>
      </c>
      <c r="BB147" s="13">
        <f t="shared" si="229"/>
        <v>3.6961258178451292E-2</v>
      </c>
      <c r="BC147" s="13">
        <f t="shared" si="229"/>
        <v>3.4574235772541831E-2</v>
      </c>
      <c r="BD147" s="668">
        <f t="shared" si="229"/>
        <v>3.7580037301865259E-2</v>
      </c>
      <c r="BE147" s="13">
        <f t="shared" si="229"/>
        <v>3.458286123966995E-2</v>
      </c>
      <c r="BF147" s="13">
        <f t="shared" si="229"/>
        <v>3.1486743828716864E-2</v>
      </c>
      <c r="BG147" s="13">
        <f>BG229/BG$214</f>
        <v>3.0311020450739159E-2</v>
      </c>
      <c r="BH147" s="13">
        <f t="shared" ref="BH147:BM147" si="230">BH229/BH214</f>
        <v>3.0092646680842119E-2</v>
      </c>
      <c r="BI147" s="668">
        <f t="shared" si="230"/>
        <v>3.1549771065216121E-2</v>
      </c>
      <c r="BJ147" s="13">
        <f>BJ229/BJ214</f>
        <v>2.9842044525652738E-2</v>
      </c>
      <c r="BK147" s="13">
        <f>BK229/BK214</f>
        <v>2.6847536244874182E-2</v>
      </c>
      <c r="BL147" s="388">
        <f>BL229/BL$214</f>
        <v>2.5880824989454522E-2</v>
      </c>
      <c r="BM147" s="13">
        <f t="shared" si="230"/>
        <v>3.0143506383793896E-2</v>
      </c>
      <c r="BN147" s="668">
        <f t="shared" ref="BN147" si="231">BN229/BN214</f>
        <v>2.8134951361233881E-2</v>
      </c>
      <c r="BO147" s="13">
        <f t="shared" ref="BO147:BV147" si="232">BO229/BO214</f>
        <v>2.6901468691048949E-2</v>
      </c>
      <c r="BP147" s="13">
        <f t="shared" si="232"/>
        <v>2.4959396944603519E-2</v>
      </c>
      <c r="BQ147" s="13">
        <f t="shared" si="232"/>
        <v>2.5332793215121271E-2</v>
      </c>
      <c r="BR147" s="13">
        <f t="shared" si="232"/>
        <v>2.4859768048622721E-2</v>
      </c>
      <c r="BS147" s="668">
        <f t="shared" si="232"/>
        <v>2.5476855543383931E-2</v>
      </c>
      <c r="BT147" s="668">
        <f t="shared" si="232"/>
        <v>2.4921748495135947E-2</v>
      </c>
      <c r="BU147" s="668">
        <f t="shared" si="232"/>
        <v>2.3557479418039227E-2</v>
      </c>
      <c r="BV147" s="668">
        <f t="shared" si="232"/>
        <v>2.172637741623705E-2</v>
      </c>
      <c r="BW147" s="84"/>
    </row>
    <row r="148" spans="1:75" s="442" customFormat="1">
      <c r="A148" s="14" t="s">
        <v>227</v>
      </c>
      <c r="B148" s="27"/>
      <c r="C148" s="668">
        <f t="shared" ref="C148:BF148" si="233">C230/C$214</f>
        <v>0</v>
      </c>
      <c r="D148" s="668">
        <f t="shared" si="233"/>
        <v>0</v>
      </c>
      <c r="E148" s="668">
        <f t="shared" si="233"/>
        <v>7.1177282824037957E-2</v>
      </c>
      <c r="F148" s="668">
        <f t="shared" si="233"/>
        <v>9.1737117186534538E-3</v>
      </c>
      <c r="G148" s="13">
        <f t="shared" si="233"/>
        <v>1.46316086098888E-2</v>
      </c>
      <c r="H148" s="13">
        <f t="shared" si="233"/>
        <v>0</v>
      </c>
      <c r="I148" s="13">
        <f t="shared" si="233"/>
        <v>0</v>
      </c>
      <c r="J148" s="13">
        <f t="shared" si="233"/>
        <v>0</v>
      </c>
      <c r="K148" s="668">
        <f t="shared" si="233"/>
        <v>2.8971449173347975E-3</v>
      </c>
      <c r="L148" s="13">
        <f t="shared" si="233"/>
        <v>0</v>
      </c>
      <c r="M148" s="13">
        <f t="shared" si="233"/>
        <v>0</v>
      </c>
      <c r="N148" s="13">
        <f t="shared" si="233"/>
        <v>0</v>
      </c>
      <c r="O148" s="13">
        <f t="shared" si="233"/>
        <v>0</v>
      </c>
      <c r="P148" s="668">
        <f t="shared" si="233"/>
        <v>0</v>
      </c>
      <c r="Q148" s="13">
        <f t="shared" si="233"/>
        <v>0</v>
      </c>
      <c r="R148" s="13">
        <f t="shared" si="233"/>
        <v>0</v>
      </c>
      <c r="S148" s="13">
        <f t="shared" si="233"/>
        <v>0</v>
      </c>
      <c r="T148" s="13">
        <f t="shared" si="233"/>
        <v>0</v>
      </c>
      <c r="U148" s="668">
        <f t="shared" si="233"/>
        <v>0</v>
      </c>
      <c r="V148" s="13">
        <f t="shared" si="233"/>
        <v>0</v>
      </c>
      <c r="W148" s="13">
        <f t="shared" si="233"/>
        <v>0</v>
      </c>
      <c r="X148" s="13">
        <f t="shared" si="233"/>
        <v>0</v>
      </c>
      <c r="Y148" s="13">
        <f t="shared" si="233"/>
        <v>0</v>
      </c>
      <c r="Z148" s="668">
        <f t="shared" si="233"/>
        <v>0</v>
      </c>
      <c r="AA148" s="13">
        <f t="shared" si="233"/>
        <v>0</v>
      </c>
      <c r="AB148" s="13">
        <f t="shared" si="233"/>
        <v>0</v>
      </c>
      <c r="AC148" s="13">
        <f t="shared" si="233"/>
        <v>0</v>
      </c>
      <c r="AD148" s="13">
        <f t="shared" si="233"/>
        <v>0</v>
      </c>
      <c r="AE148" s="668">
        <f t="shared" si="233"/>
        <v>0</v>
      </c>
      <c r="AF148" s="13">
        <f t="shared" si="233"/>
        <v>0</v>
      </c>
      <c r="AG148" s="13">
        <f t="shared" si="233"/>
        <v>0</v>
      </c>
      <c r="AH148" s="13">
        <f t="shared" si="233"/>
        <v>0</v>
      </c>
      <c r="AI148" s="13">
        <f t="shared" si="233"/>
        <v>0</v>
      </c>
      <c r="AJ148" s="668">
        <f t="shared" si="233"/>
        <v>0</v>
      </c>
      <c r="AK148" s="13">
        <f t="shared" si="233"/>
        <v>0</v>
      </c>
      <c r="AL148" s="13">
        <f t="shared" si="233"/>
        <v>0</v>
      </c>
      <c r="AM148" s="13">
        <f t="shared" si="233"/>
        <v>0</v>
      </c>
      <c r="AN148" s="13">
        <f t="shared" si="233"/>
        <v>0</v>
      </c>
      <c r="AO148" s="668">
        <f t="shared" si="233"/>
        <v>0</v>
      </c>
      <c r="AP148" s="13">
        <f t="shared" si="233"/>
        <v>0</v>
      </c>
      <c r="AQ148" s="13">
        <f t="shared" si="233"/>
        <v>0</v>
      </c>
      <c r="AR148" s="13">
        <f t="shared" si="233"/>
        <v>0</v>
      </c>
      <c r="AS148" s="13">
        <f t="shared" si="233"/>
        <v>0</v>
      </c>
      <c r="AT148" s="668">
        <f t="shared" si="233"/>
        <v>0</v>
      </c>
      <c r="AU148" s="13">
        <f t="shared" si="233"/>
        <v>0</v>
      </c>
      <c r="AV148" s="13">
        <f t="shared" si="233"/>
        <v>0</v>
      </c>
      <c r="AW148" s="13">
        <f t="shared" si="233"/>
        <v>0</v>
      </c>
      <c r="AX148" s="13">
        <f t="shared" si="233"/>
        <v>0</v>
      </c>
      <c r="AY148" s="668">
        <f t="shared" si="233"/>
        <v>0</v>
      </c>
      <c r="AZ148" s="13">
        <f t="shared" si="233"/>
        <v>0</v>
      </c>
      <c r="BA148" s="13">
        <f t="shared" si="233"/>
        <v>0</v>
      </c>
      <c r="BB148" s="13">
        <f t="shared" si="233"/>
        <v>0</v>
      </c>
      <c r="BC148" s="13">
        <f t="shared" si="233"/>
        <v>0</v>
      </c>
      <c r="BD148" s="668">
        <f t="shared" si="233"/>
        <v>0</v>
      </c>
      <c r="BE148" s="13">
        <f t="shared" si="233"/>
        <v>0</v>
      </c>
      <c r="BF148" s="13">
        <f t="shared" si="233"/>
        <v>0</v>
      </c>
      <c r="BG148" s="13">
        <f>BG230/BG$214</f>
        <v>0</v>
      </c>
      <c r="BH148" s="13">
        <f t="shared" ref="BH148:BM148" si="234">BH230/BH$214</f>
        <v>0</v>
      </c>
      <c r="BI148" s="668">
        <f t="shared" si="234"/>
        <v>0</v>
      </c>
      <c r="BJ148" s="13">
        <f>BJ230/BJ$214</f>
        <v>0</v>
      </c>
      <c r="BK148" s="13">
        <f>BK230/BK$214</f>
        <v>0</v>
      </c>
      <c r="BL148" s="388">
        <f>BL230/BL$214</f>
        <v>0</v>
      </c>
      <c r="BM148" s="13">
        <f t="shared" si="234"/>
        <v>0</v>
      </c>
      <c r="BN148" s="668">
        <f t="shared" ref="BN148" si="235">BN230/BN$214</f>
        <v>0</v>
      </c>
      <c r="BO148" s="13" t="e">
        <f t="shared" ref="BO148:BV148" si="236">BO230/BO$214</f>
        <v>#VALUE!</v>
      </c>
      <c r="BP148" s="13" t="e">
        <f t="shared" si="236"/>
        <v>#VALUE!</v>
      </c>
      <c r="BQ148" s="13" t="e">
        <f t="shared" si="236"/>
        <v>#VALUE!</v>
      </c>
      <c r="BR148" s="13" t="e">
        <f t="shared" si="236"/>
        <v>#VALUE!</v>
      </c>
      <c r="BS148" s="668" t="e">
        <f t="shared" si="236"/>
        <v>#VALUE!</v>
      </c>
      <c r="BT148" s="668" t="e">
        <f t="shared" si="236"/>
        <v>#VALUE!</v>
      </c>
      <c r="BU148" s="668" t="e">
        <f t="shared" si="236"/>
        <v>#VALUE!</v>
      </c>
      <c r="BV148" s="668" t="e">
        <f t="shared" si="236"/>
        <v>#VALUE!</v>
      </c>
      <c r="BW148" s="84"/>
    </row>
    <row r="149" spans="1:75" s="442" customFormat="1">
      <c r="A149" s="25" t="s">
        <v>228</v>
      </c>
      <c r="B149" s="50"/>
      <c r="C149" s="710">
        <f t="shared" ref="C149:AH149" si="237">C231/C214</f>
        <v>-4.386236825790446E-2</v>
      </c>
      <c r="D149" s="710">
        <f t="shared" si="237"/>
        <v>-0.15025874169826739</v>
      </c>
      <c r="E149" s="710">
        <f t="shared" si="237"/>
        <v>-7.2101819055052002E-2</v>
      </c>
      <c r="F149" s="710">
        <f t="shared" si="237"/>
        <v>-7.4727223825481512E-2</v>
      </c>
      <c r="G149" s="5">
        <f t="shared" si="237"/>
        <v>-3.0368716536969077E-2</v>
      </c>
      <c r="H149" s="5">
        <f t="shared" si="237"/>
        <v>3.7384366537629873E-2</v>
      </c>
      <c r="I149" s="5">
        <f t="shared" si="237"/>
        <v>1.6917016720877299E-2</v>
      </c>
      <c r="J149" s="5">
        <f t="shared" si="237"/>
        <v>2.2872995428231513E-2</v>
      </c>
      <c r="K149" s="710">
        <f t="shared" si="237"/>
        <v>1.4193864061668254E-2</v>
      </c>
      <c r="L149" s="5">
        <f t="shared" si="237"/>
        <v>-1.2341801143874242E-2</v>
      </c>
      <c r="M149" s="5">
        <f t="shared" si="237"/>
        <v>8.3694685032718694E-2</v>
      </c>
      <c r="N149" s="5">
        <f t="shared" si="237"/>
        <v>8.9287980088819302E-2</v>
      </c>
      <c r="O149" s="5">
        <f t="shared" si="237"/>
        <v>0.12087872086780048</v>
      </c>
      <c r="P149" s="710">
        <f t="shared" si="237"/>
        <v>7.5884154093914288E-2</v>
      </c>
      <c r="Q149" s="5">
        <f t="shared" si="237"/>
        <v>2.2327606575083578E-2</v>
      </c>
      <c r="R149" s="5">
        <f t="shared" si="237"/>
        <v>5.3893199315973882E-2</v>
      </c>
      <c r="S149" s="5">
        <f t="shared" si="237"/>
        <v>-2.1942197981317708E-2</v>
      </c>
      <c r="T149" s="5">
        <f t="shared" si="237"/>
        <v>1.0193129557473887E-2</v>
      </c>
      <c r="U149" s="710">
        <f t="shared" si="237"/>
        <v>1.5062460092666954E-2</v>
      </c>
      <c r="V149" s="5">
        <f t="shared" si="237"/>
        <v>-3.8357511679370522E-2</v>
      </c>
      <c r="W149" s="5">
        <f t="shared" si="237"/>
        <v>4.2536383974906111E-2</v>
      </c>
      <c r="X149" s="5">
        <f t="shared" si="237"/>
        <v>5.9705099016280815E-2</v>
      </c>
      <c r="Y149" s="5">
        <f t="shared" si="237"/>
        <v>9.2173350582146985E-2</v>
      </c>
      <c r="Z149" s="710">
        <f t="shared" si="237"/>
        <v>4.2586341574237338E-2</v>
      </c>
      <c r="AA149" s="5">
        <f t="shared" si="237"/>
        <v>2.7551545611432363E-2</v>
      </c>
      <c r="AB149" s="5">
        <f t="shared" si="237"/>
        <v>8.486508371240073E-2</v>
      </c>
      <c r="AC149" s="5">
        <f t="shared" si="237"/>
        <v>7.8584960163377127E-2</v>
      </c>
      <c r="AD149" s="5">
        <f t="shared" si="237"/>
        <v>0.82024781148463588</v>
      </c>
      <c r="AE149" s="710">
        <f t="shared" si="237"/>
        <v>0.25952962165935822</v>
      </c>
      <c r="AF149" s="5">
        <f t="shared" si="237"/>
        <v>2.3315133094847458E-2</v>
      </c>
      <c r="AG149" s="5">
        <f t="shared" si="237"/>
        <v>7.7193938593988876E-2</v>
      </c>
      <c r="AH149" s="5">
        <f t="shared" si="237"/>
        <v>8.7492119321764067E-2</v>
      </c>
      <c r="AI149" s="5">
        <f t="shared" ref="AI149:BN149" si="238">AI231/AI214</f>
        <v>9.9610240420119719E-2</v>
      </c>
      <c r="AJ149" s="710">
        <f t="shared" si="238"/>
        <v>7.2874382274418184E-2</v>
      </c>
      <c r="AK149" s="5">
        <f t="shared" si="238"/>
        <v>3.3881208093514484E-2</v>
      </c>
      <c r="AL149" s="5">
        <f t="shared" si="238"/>
        <v>9.8953250592213285E-2</v>
      </c>
      <c r="AM149" s="5">
        <f t="shared" si="238"/>
        <v>8.3593041596500925E-2</v>
      </c>
      <c r="AN149" s="5">
        <f t="shared" si="238"/>
        <v>0.11343895425614572</v>
      </c>
      <c r="AO149" s="710">
        <f t="shared" si="238"/>
        <v>8.3679256631374238E-2</v>
      </c>
      <c r="AP149" s="5">
        <f t="shared" si="238"/>
        <v>-5.9591598272915956E-2</v>
      </c>
      <c r="AQ149" s="5">
        <f t="shared" si="238"/>
        <v>-0.13469206649707163</v>
      </c>
      <c r="AR149" s="5">
        <f t="shared" si="238"/>
        <v>9.9041244163454792E-2</v>
      </c>
      <c r="AS149" s="5">
        <f t="shared" si="238"/>
        <v>0.11837303544244093</v>
      </c>
      <c r="AT149" s="710">
        <f t="shared" si="238"/>
        <v>1.353368471578007E-2</v>
      </c>
      <c r="AU149" s="5">
        <f t="shared" si="238"/>
        <v>1.9130015166138149E-2</v>
      </c>
      <c r="AV149" s="5">
        <f t="shared" si="238"/>
        <v>4.5694200351493783E-2</v>
      </c>
      <c r="AW149" s="5">
        <f t="shared" si="238"/>
        <v>0.12733183481636959</v>
      </c>
      <c r="AX149" s="5">
        <f t="shared" si="238"/>
        <v>0.13435625457205566</v>
      </c>
      <c r="AY149" s="710">
        <f t="shared" si="238"/>
        <v>8.4506400707862264E-2</v>
      </c>
      <c r="AZ149" s="5">
        <f t="shared" si="238"/>
        <v>2.5427650129415721E-2</v>
      </c>
      <c r="BA149" s="5">
        <f t="shared" si="238"/>
        <v>9.1202607031490482E-2</v>
      </c>
      <c r="BB149" s="5">
        <f t="shared" si="238"/>
        <v>8.0419953964343524E-2</v>
      </c>
      <c r="BC149" s="5">
        <f t="shared" si="238"/>
        <v>0.1425770697793296</v>
      </c>
      <c r="BD149" s="710">
        <f t="shared" si="238"/>
        <v>8.6472124983033236E-2</v>
      </c>
      <c r="BE149" s="5">
        <f t="shared" si="238"/>
        <v>1.3500278455245374E-2</v>
      </c>
      <c r="BF149" s="5">
        <f t="shared" si="238"/>
        <v>8.7080201467700236E-2</v>
      </c>
      <c r="BG149" s="5">
        <f t="shared" si="238"/>
        <v>0.1516391305103702</v>
      </c>
      <c r="BH149" s="5">
        <f t="shared" ref="BH149:BM149" si="239">BH231/BH214</f>
        <v>0.10315559501834237</v>
      </c>
      <c r="BI149" s="710">
        <f t="shared" si="239"/>
        <v>9.066670057185075E-2</v>
      </c>
      <c r="BJ149" s="5">
        <f>BJ231/BJ214</f>
        <v>6.3551834399192139E-2</v>
      </c>
      <c r="BK149" s="5">
        <f>BK231/BK214</f>
        <v>0.13817868106751521</v>
      </c>
      <c r="BL149" s="503">
        <f>BL231/BL214</f>
        <v>0.15534600270852278</v>
      </c>
      <c r="BM149" s="5">
        <f t="shared" si="239"/>
        <v>0.14300000000000004</v>
      </c>
      <c r="BN149" s="710">
        <f t="shared" si="238"/>
        <v>0.12607149480606414</v>
      </c>
      <c r="BO149" s="5" t="e">
        <f t="shared" ref="BO149:BV149" si="240">BO231/BO214</f>
        <v>#VALUE!</v>
      </c>
      <c r="BP149" s="5" t="e">
        <f t="shared" si="240"/>
        <v>#VALUE!</v>
      </c>
      <c r="BQ149" s="5" t="e">
        <f t="shared" si="240"/>
        <v>#VALUE!</v>
      </c>
      <c r="BR149" s="5" t="e">
        <f t="shared" si="240"/>
        <v>#VALUE!</v>
      </c>
      <c r="BS149" s="710" t="e">
        <f t="shared" si="240"/>
        <v>#VALUE!</v>
      </c>
      <c r="BT149" s="710" t="e">
        <f t="shared" si="240"/>
        <v>#VALUE!</v>
      </c>
      <c r="BU149" s="710" t="e">
        <f t="shared" si="240"/>
        <v>#VALUE!</v>
      </c>
      <c r="BV149" s="710" t="e">
        <f t="shared" si="240"/>
        <v>#VALUE!</v>
      </c>
      <c r="BW149" s="84"/>
    </row>
    <row r="150" spans="1:75" s="442" customFormat="1">
      <c r="A150" s="65" t="s">
        <v>229</v>
      </c>
      <c r="B150" s="17"/>
      <c r="C150" s="673">
        <f t="shared" ref="C150:AH150" si="241">C232/C214</f>
        <v>-2.2279913205207672E-2</v>
      </c>
      <c r="D150" s="673">
        <f t="shared" si="241"/>
        <v>-0.12027822589093047</v>
      </c>
      <c r="E150" s="673">
        <f t="shared" si="241"/>
        <v>-1.3543855436153034E-2</v>
      </c>
      <c r="F150" s="673">
        <f t="shared" si="241"/>
        <v>3.3423713535949848E-2</v>
      </c>
      <c r="G150" s="10">
        <f t="shared" si="241"/>
        <v>6.9451368868272301E-2</v>
      </c>
      <c r="H150" s="10">
        <f t="shared" si="241"/>
        <v>0.14121367428166404</v>
      </c>
      <c r="I150" s="10">
        <f t="shared" si="241"/>
        <v>0.13157679671793529</v>
      </c>
      <c r="J150" s="10">
        <f t="shared" si="241"/>
        <v>0.14727321623190046</v>
      </c>
      <c r="K150" s="673">
        <f t="shared" si="241"/>
        <v>0.12631122632925298</v>
      </c>
      <c r="L150" s="10">
        <f t="shared" si="241"/>
        <v>0.11141649325323597</v>
      </c>
      <c r="M150" s="10">
        <f t="shared" si="241"/>
        <v>0.19725860767905221</v>
      </c>
      <c r="N150" s="10">
        <f t="shared" si="241"/>
        <v>0.19585183739202572</v>
      </c>
      <c r="O150" s="10">
        <f t="shared" si="241"/>
        <v>0.22840736392839928</v>
      </c>
      <c r="P150" s="673">
        <f t="shared" si="241"/>
        <v>0.1878549330394983</v>
      </c>
      <c r="Q150" s="10">
        <f t="shared" si="241"/>
        <v>0.13768690721301508</v>
      </c>
      <c r="R150" s="10">
        <f t="shared" si="241"/>
        <v>0.16975947070112693</v>
      </c>
      <c r="S150" s="10">
        <f t="shared" si="241"/>
        <v>8.7302084857097145E-2</v>
      </c>
      <c r="T150" s="10">
        <f t="shared" si="241"/>
        <v>0.11408889553831036</v>
      </c>
      <c r="U150" s="673">
        <f t="shared" si="241"/>
        <v>0.12574243557069087</v>
      </c>
      <c r="V150" s="10">
        <f t="shared" si="241"/>
        <v>8.2124416031472858E-2</v>
      </c>
      <c r="W150" s="10">
        <f t="shared" si="241"/>
        <v>0.16204419124939456</v>
      </c>
      <c r="X150" s="10">
        <f t="shared" si="241"/>
        <v>0.18084432320975988</v>
      </c>
      <c r="Y150" s="10">
        <f t="shared" si="241"/>
        <v>0.23241750343949577</v>
      </c>
      <c r="Z150" s="673">
        <f t="shared" si="241"/>
        <v>0.16840305776860304</v>
      </c>
      <c r="AA150" s="10">
        <f t="shared" si="241"/>
        <v>0.15150827050975404</v>
      </c>
      <c r="AB150" s="10">
        <f t="shared" si="241"/>
        <v>0.20578246683655246</v>
      </c>
      <c r="AC150" s="10">
        <f t="shared" si="241"/>
        <v>0.19208910505313784</v>
      </c>
      <c r="AD150" s="10">
        <f t="shared" si="241"/>
        <v>0.19006019841324084</v>
      </c>
      <c r="AE150" s="673">
        <f t="shared" si="241"/>
        <v>0.18549280893039527</v>
      </c>
      <c r="AF150" s="10">
        <f t="shared" si="241"/>
        <v>0.14764158978634906</v>
      </c>
      <c r="AG150" s="10">
        <f t="shared" si="241"/>
        <v>0.19983990666899418</v>
      </c>
      <c r="AH150" s="10">
        <f t="shared" si="241"/>
        <v>0.20858081428144803</v>
      </c>
      <c r="AI150" s="10">
        <f t="shared" ref="AI150:BN150" si="242">AI232/AI214</f>
        <v>0.21716583244440785</v>
      </c>
      <c r="AJ150" s="673">
        <f t="shared" si="242"/>
        <v>0.19420369484488839</v>
      </c>
      <c r="AK150" s="10">
        <f t="shared" si="242"/>
        <v>0.16662145781590387</v>
      </c>
      <c r="AL150" s="10">
        <f t="shared" si="242"/>
        <v>0.22226316535401186</v>
      </c>
      <c r="AM150" s="10">
        <f t="shared" si="242"/>
        <v>0.22209056897064083</v>
      </c>
      <c r="AN150" s="10">
        <f t="shared" si="242"/>
        <v>0.22691510771027729</v>
      </c>
      <c r="AO150" s="673">
        <f t="shared" si="242"/>
        <v>0.21050706275130779</v>
      </c>
      <c r="AP150" s="10">
        <f t="shared" si="242"/>
        <v>6.7458713650605642E-2</v>
      </c>
      <c r="AQ150" s="10">
        <f t="shared" si="242"/>
        <v>6.5846299473466152E-2</v>
      </c>
      <c r="AR150" s="10">
        <f t="shared" si="242"/>
        <v>0.23848428718292439</v>
      </c>
      <c r="AS150" s="10">
        <f t="shared" si="242"/>
        <v>0.25559295868264764</v>
      </c>
      <c r="AT150" s="673">
        <f t="shared" si="242"/>
        <v>0.16066525151414826</v>
      </c>
      <c r="AU150" s="10">
        <f t="shared" si="242"/>
        <v>0.18830570108920447</v>
      </c>
      <c r="AV150" s="10">
        <f t="shared" si="242"/>
        <v>0.24801701479073668</v>
      </c>
      <c r="AW150" s="10">
        <f t="shared" si="242"/>
        <v>0.26272593858557325</v>
      </c>
      <c r="AX150" s="10">
        <f t="shared" si="242"/>
        <v>0.24915142648134611</v>
      </c>
      <c r="AY150" s="673">
        <f t="shared" si="242"/>
        <v>0.23872328919531047</v>
      </c>
      <c r="AZ150" s="10">
        <f t="shared" si="242"/>
        <v>0.17385803317090096</v>
      </c>
      <c r="BA150" s="10">
        <f t="shared" si="242"/>
        <v>0.22523788493194696</v>
      </c>
      <c r="BB150" s="10">
        <f t="shared" si="242"/>
        <v>0.23936275255672723</v>
      </c>
      <c r="BC150" s="10">
        <f t="shared" si="242"/>
        <v>0.26013335360705042</v>
      </c>
      <c r="BD150" s="673">
        <f t="shared" si="242"/>
        <v>0.22602232414416029</v>
      </c>
      <c r="BE150" s="10">
        <f t="shared" si="242"/>
        <v>0.17293030937337953</v>
      </c>
      <c r="BF150" s="10">
        <f t="shared" si="242"/>
        <v>0.24897812687244519</v>
      </c>
      <c r="BG150" s="10">
        <f t="shared" si="242"/>
        <v>0.2795301371688852</v>
      </c>
      <c r="BH150" s="10">
        <f t="shared" ref="BH150:BM150" si="243">BH232/BH214</f>
        <v>0.28055120686029394</v>
      </c>
      <c r="BI150" s="673">
        <f t="shared" si="243"/>
        <v>0.24717851528201379</v>
      </c>
      <c r="BJ150" s="10">
        <f>BJ232/BJ214</f>
        <v>0.19370582295523389</v>
      </c>
      <c r="BK150" s="10">
        <f>BK232/BK214</f>
        <v>0.25521265153382489</v>
      </c>
      <c r="BL150" s="390">
        <f>BL232/BL214</f>
        <v>0.28129787092333974</v>
      </c>
      <c r="BM150" s="10">
        <f t="shared" si="243"/>
        <v>0.24715891703669299</v>
      </c>
      <c r="BN150" s="673">
        <f t="shared" si="242"/>
        <v>0.24529567265777483</v>
      </c>
      <c r="BO150" s="10" t="e">
        <f t="shared" ref="BO150:BV150" si="244">BO232/BO214</f>
        <v>#VALUE!</v>
      </c>
      <c r="BP150" s="10" t="e">
        <f t="shared" si="244"/>
        <v>#VALUE!</v>
      </c>
      <c r="BQ150" s="10" t="e">
        <f t="shared" si="244"/>
        <v>#VALUE!</v>
      </c>
      <c r="BR150" s="10" t="e">
        <f t="shared" si="244"/>
        <v>#VALUE!</v>
      </c>
      <c r="BS150" s="673" t="e">
        <f t="shared" si="244"/>
        <v>#VALUE!</v>
      </c>
      <c r="BT150" s="673" t="e">
        <f t="shared" si="244"/>
        <v>#VALUE!</v>
      </c>
      <c r="BU150" s="673" t="e">
        <f t="shared" si="244"/>
        <v>#VALUE!</v>
      </c>
      <c r="BV150" s="673" t="e">
        <f t="shared" si="244"/>
        <v>#VALUE!</v>
      </c>
      <c r="BW150" s="84"/>
    </row>
    <row r="151" spans="1:75" s="457" customFormat="1">
      <c r="A151" s="46" t="s">
        <v>230</v>
      </c>
      <c r="B151" s="51"/>
      <c r="C151" s="711"/>
      <c r="D151" s="711"/>
      <c r="E151" s="711"/>
      <c r="F151" s="711"/>
      <c r="G151" s="46"/>
      <c r="H151" s="46"/>
      <c r="I151" s="46"/>
      <c r="J151" s="46"/>
      <c r="K151" s="711"/>
      <c r="L151" s="46"/>
      <c r="M151" s="46"/>
      <c r="N151" s="46"/>
      <c r="O151" s="46"/>
      <c r="P151" s="711"/>
      <c r="Q151" s="46"/>
      <c r="R151" s="46"/>
      <c r="S151" s="46"/>
      <c r="T151" s="46"/>
      <c r="U151" s="711"/>
      <c r="V151" s="46"/>
      <c r="W151" s="46"/>
      <c r="X151" s="46"/>
      <c r="Y151" s="46"/>
      <c r="Z151" s="711"/>
      <c r="AA151" s="46"/>
      <c r="AB151" s="46"/>
      <c r="AC151" s="46"/>
      <c r="AD151" s="46"/>
      <c r="AE151" s="711"/>
      <c r="AF151" s="46"/>
      <c r="AG151" s="46"/>
      <c r="AH151" s="46"/>
      <c r="AI151" s="46"/>
      <c r="AJ151" s="711"/>
      <c r="AK151" s="46"/>
      <c r="AL151" s="46"/>
      <c r="AM151" s="46"/>
      <c r="AN151" s="46"/>
      <c r="AO151" s="711"/>
      <c r="AP151" s="46"/>
      <c r="AQ151" s="46"/>
      <c r="AR151" s="46"/>
      <c r="AS151" s="46"/>
      <c r="AT151" s="711"/>
      <c r="AU151" s="46"/>
      <c r="AV151" s="46"/>
      <c r="AW151" s="46"/>
      <c r="AX151" s="46"/>
      <c r="AY151" s="711"/>
      <c r="AZ151" s="46"/>
      <c r="BA151" s="46"/>
      <c r="BB151" s="46"/>
      <c r="BC151" s="46"/>
      <c r="BD151" s="711"/>
      <c r="BE151" s="46"/>
      <c r="BF151" s="46"/>
      <c r="BG151" s="46"/>
      <c r="BH151" s="46"/>
      <c r="BI151" s="711"/>
      <c r="BJ151" s="46"/>
      <c r="BK151" s="46"/>
      <c r="BL151" s="400"/>
      <c r="BM151" s="428">
        <f ca="1">IFERROR(BM233/BM215,0)</f>
        <v>0</v>
      </c>
      <c r="BN151" s="712">
        <f t="shared" ref="BN151" ca="1" si="245">IFERROR(BN233/BN215,0)</f>
        <v>0</v>
      </c>
      <c r="BO151" s="428">
        <f t="shared" ref="BO151:BV151" ca="1" si="246">IFERROR(BO233/BO215,0)</f>
        <v>0</v>
      </c>
      <c r="BP151" s="428">
        <f t="shared" ca="1" si="246"/>
        <v>0</v>
      </c>
      <c r="BQ151" s="428">
        <f t="shared" ca="1" si="246"/>
        <v>0</v>
      </c>
      <c r="BR151" s="428">
        <f t="shared" ca="1" si="246"/>
        <v>0</v>
      </c>
      <c r="BS151" s="712">
        <f t="shared" ca="1" si="246"/>
        <v>0</v>
      </c>
      <c r="BT151" s="712">
        <f t="shared" ca="1" si="246"/>
        <v>0</v>
      </c>
      <c r="BU151" s="712">
        <f t="shared" ca="1" si="246"/>
        <v>0</v>
      </c>
      <c r="BV151" s="712">
        <f t="shared" ca="1" si="246"/>
        <v>0</v>
      </c>
      <c r="BW151" s="140"/>
    </row>
    <row r="152" spans="1:75" s="443" customFormat="1">
      <c r="A152" s="26"/>
      <c r="B152" s="27"/>
      <c r="C152" s="713"/>
      <c r="D152" s="713"/>
      <c r="E152" s="713"/>
      <c r="F152" s="713"/>
      <c r="G152" s="180"/>
      <c r="H152" s="180"/>
      <c r="I152" s="180"/>
      <c r="J152" s="180"/>
      <c r="K152" s="713"/>
      <c r="L152" s="180"/>
      <c r="M152" s="180"/>
      <c r="N152" s="180"/>
      <c r="O152" s="180"/>
      <c r="P152" s="713"/>
      <c r="Q152" s="180"/>
      <c r="R152" s="180"/>
      <c r="S152" s="180"/>
      <c r="T152" s="180"/>
      <c r="U152" s="713"/>
      <c r="V152" s="180"/>
      <c r="W152" s="180"/>
      <c r="X152" s="180"/>
      <c r="Y152" s="180"/>
      <c r="Z152" s="90"/>
      <c r="AA152" s="180"/>
      <c r="AB152" s="180"/>
      <c r="AC152" s="180"/>
      <c r="AD152" s="180"/>
      <c r="AE152" s="90"/>
      <c r="AF152" s="180"/>
      <c r="AG152" s="180"/>
      <c r="AH152" s="180"/>
      <c r="AI152" s="180"/>
      <c r="AJ152" s="90"/>
      <c r="AK152" s="180"/>
      <c r="AL152" s="180"/>
      <c r="AM152" s="180"/>
      <c r="AN152" s="180"/>
      <c r="AO152" s="90"/>
      <c r="AP152" s="180"/>
      <c r="AQ152" s="180"/>
      <c r="AR152" s="180"/>
      <c r="AS152" s="180"/>
      <c r="AT152" s="90"/>
      <c r="AU152" s="180"/>
      <c r="AV152" s="180"/>
      <c r="AW152" s="180"/>
      <c r="AX152" s="180"/>
      <c r="AY152" s="90"/>
      <c r="AZ152" s="180"/>
      <c r="BA152" s="180"/>
      <c r="BB152" s="180"/>
      <c r="BC152" s="180"/>
      <c r="BD152" s="90"/>
      <c r="BE152" s="180"/>
      <c r="BF152" s="180"/>
      <c r="BG152" s="180"/>
      <c r="BH152" s="180"/>
      <c r="BI152" s="90"/>
      <c r="BJ152" s="180"/>
      <c r="BK152" s="180"/>
      <c r="BL152" s="401"/>
      <c r="BM152" s="180"/>
      <c r="BN152" s="90"/>
      <c r="BO152" s="180"/>
      <c r="BP152" s="180"/>
      <c r="BQ152" s="180"/>
      <c r="BR152" s="180"/>
      <c r="BS152" s="90"/>
      <c r="BT152" s="90"/>
      <c r="BU152" s="90"/>
      <c r="BV152" s="90"/>
      <c r="BW152" s="135"/>
    </row>
    <row r="153" spans="1:75" s="444" customFormat="1">
      <c r="A153" s="517" t="s">
        <v>231</v>
      </c>
      <c r="B153" s="517"/>
      <c r="C153" s="517"/>
      <c r="D153" s="517"/>
      <c r="E153" s="517"/>
      <c r="F153" s="517"/>
      <c r="G153" s="517"/>
      <c r="H153" s="517"/>
      <c r="I153" s="517"/>
      <c r="J153" s="517"/>
      <c r="K153" s="517"/>
      <c r="L153" s="517"/>
      <c r="M153" s="517"/>
      <c r="N153" s="517"/>
      <c r="O153" s="517"/>
      <c r="P153" s="517"/>
      <c r="Q153" s="517"/>
      <c r="R153" s="517"/>
      <c r="S153" s="517"/>
      <c r="T153" s="517"/>
      <c r="U153" s="517"/>
      <c r="V153" s="517"/>
      <c r="W153" s="517"/>
      <c r="X153" s="517"/>
      <c r="Y153" s="517"/>
      <c r="Z153" s="517"/>
      <c r="AA153" s="517"/>
      <c r="AB153" s="517"/>
      <c r="AC153" s="517"/>
      <c r="AD153" s="517"/>
      <c r="AE153" s="517"/>
      <c r="AF153" s="517"/>
      <c r="AG153" s="517"/>
      <c r="AH153" s="517"/>
      <c r="AI153" s="517"/>
      <c r="AJ153" s="517"/>
      <c r="AK153" s="517"/>
      <c r="AL153" s="517"/>
      <c r="AM153" s="517"/>
      <c r="AN153" s="517"/>
      <c r="AO153" s="517"/>
      <c r="AP153" s="517"/>
      <c r="AQ153" s="517"/>
      <c r="AR153" s="517"/>
      <c r="AS153" s="517"/>
      <c r="AT153" s="517"/>
      <c r="AU153" s="517"/>
      <c r="AV153" s="517"/>
      <c r="AW153" s="517"/>
      <c r="AX153" s="517"/>
      <c r="AY153" s="517"/>
      <c r="AZ153" s="517"/>
      <c r="BA153" s="517"/>
      <c r="BB153" s="517"/>
      <c r="BC153" s="517"/>
      <c r="BD153" s="517"/>
      <c r="BE153" s="517"/>
      <c r="BF153" s="517"/>
      <c r="BG153" s="517"/>
      <c r="BH153" s="517"/>
      <c r="BI153" s="517"/>
      <c r="BJ153" s="517"/>
      <c r="BK153" s="517"/>
      <c r="BL153" s="562"/>
      <c r="BM153" s="517"/>
      <c r="BN153" s="517"/>
      <c r="BO153" s="517"/>
      <c r="BP153" s="517"/>
      <c r="BQ153" s="517"/>
      <c r="BR153" s="517"/>
      <c r="BS153" s="517"/>
      <c r="BT153" s="517"/>
      <c r="BU153" s="517"/>
      <c r="BV153" s="517"/>
      <c r="BW153" s="318"/>
    </row>
    <row r="154" spans="1:75" s="444" customFormat="1" outlineLevel="1">
      <c r="A154" s="28" t="s">
        <v>232</v>
      </c>
      <c r="B154" s="30"/>
      <c r="C154" s="714">
        <v>25.808</v>
      </c>
      <c r="D154" s="714">
        <v>47.731000000000002</v>
      </c>
      <c r="E154" s="714">
        <v>83.284999999999997</v>
      </c>
      <c r="F154" s="714">
        <v>137.56700000000001</v>
      </c>
      <c r="G154" s="629">
        <v>46.133000000000003</v>
      </c>
      <c r="H154" s="629">
        <v>55.023000000000003</v>
      </c>
      <c r="I154" s="629">
        <v>61.180999999999997</v>
      </c>
      <c r="J154" s="629">
        <v>70.650999999999996</v>
      </c>
      <c r="K154" s="714">
        <v>232.988</v>
      </c>
      <c r="L154" s="629">
        <v>76.406999999999996</v>
      </c>
      <c r="M154" s="629">
        <v>88.787000000000006</v>
      </c>
      <c r="N154" s="629">
        <v>102.455</v>
      </c>
      <c r="O154" s="629">
        <v>109.887</v>
      </c>
      <c r="P154" s="714">
        <v>377.536</v>
      </c>
      <c r="Q154" s="629">
        <v>118.508</v>
      </c>
      <c r="R154" s="629">
        <v>133.91300000000001</v>
      </c>
      <c r="S154" s="629">
        <v>143.559</v>
      </c>
      <c r="T154" s="629">
        <v>153.73099999999999</v>
      </c>
      <c r="U154" s="714">
        <v>549.71100000000001</v>
      </c>
      <c r="V154" s="629">
        <v>158.613</v>
      </c>
      <c r="W154" s="629">
        <v>173.428</v>
      </c>
      <c r="X154" s="629">
        <v>186.232</v>
      </c>
      <c r="Y154" s="523">
        <f t="shared" ref="Y154:Y160" si="247">Z154-SUM(V154,W154,X154)</f>
        <v>194.79599999999994</v>
      </c>
      <c r="Z154" s="714">
        <v>713.06899999999996</v>
      </c>
      <c r="AA154" s="629">
        <v>198.17400000000001</v>
      </c>
      <c r="AB154" s="629">
        <v>209.94499999999999</v>
      </c>
      <c r="AC154" s="629">
        <v>223.28700000000001</v>
      </c>
      <c r="AD154" s="629">
        <v>219.441</v>
      </c>
      <c r="AE154" s="714">
        <v>850.84699999999998</v>
      </c>
      <c r="AF154" s="629">
        <v>223.07400000000001</v>
      </c>
      <c r="AG154" s="629">
        <v>234.863</v>
      </c>
      <c r="AH154" s="629">
        <v>241.096</v>
      </c>
      <c r="AI154" s="523">
        <f t="shared" ref="AI154:AI159" si="248">AJ154-SUM(AF154,AG154,AH154)</f>
        <v>243.74</v>
      </c>
      <c r="AJ154" s="714">
        <v>942.77300000000002</v>
      </c>
      <c r="AK154" s="629">
        <v>235.94200000000001</v>
      </c>
      <c r="AL154" s="629">
        <v>246.95500000000001</v>
      </c>
      <c r="AM154" s="629">
        <v>262.47399999999999</v>
      </c>
      <c r="AN154" s="523">
        <f t="shared" ref="AN154:AN159" si="249">AO154-SUM(AK154,AL154,AM154)</f>
        <v>268.82299999999987</v>
      </c>
      <c r="AO154" s="714">
        <v>1014.194</v>
      </c>
      <c r="AP154" s="629">
        <v>249.90100000000001</v>
      </c>
      <c r="AQ154" s="629">
        <v>169.03</v>
      </c>
      <c r="AR154" s="629">
        <v>220.80699999999999</v>
      </c>
      <c r="AS154" s="629">
        <v>233.19499999999999</v>
      </c>
      <c r="AT154" s="714">
        <v>872.93299999999999</v>
      </c>
      <c r="AU154" s="629">
        <v>232.096</v>
      </c>
      <c r="AV154" s="629">
        <v>257.18799999999999</v>
      </c>
      <c r="AW154" s="629">
        <v>269.15499999999997</v>
      </c>
      <c r="AX154" s="523">
        <f t="shared" ref="AX154:AX160" si="250">AY154-SUM(AU154,AV154,AW154)</f>
        <v>273.39999999999998</v>
      </c>
      <c r="AY154" s="714">
        <v>1031.8389999999999</v>
      </c>
      <c r="AZ154" s="629">
        <v>276.62799999999999</v>
      </c>
      <c r="BA154" s="629">
        <v>298.88400000000001</v>
      </c>
      <c r="BB154" s="629">
        <v>308.89100000000002</v>
      </c>
      <c r="BC154" s="523">
        <f t="shared" ref="BC154:BC160" si="251">BD154-SUM(AZ154,BA154,BB154)</f>
        <v>309.10300000000007</v>
      </c>
      <c r="BD154" s="714">
        <v>1193.5060000000001</v>
      </c>
      <c r="BE154" s="629">
        <v>312.43799999999999</v>
      </c>
      <c r="BF154" s="629">
        <v>337.12599999999998</v>
      </c>
      <c r="BG154" s="629">
        <v>345.12200000000001</v>
      </c>
      <c r="BH154" s="523">
        <f t="shared" ref="BH154:BH159" si="252">BI154-SUM(BE154,BF154,BG154)</f>
        <v>342.37599999999998</v>
      </c>
      <c r="BI154" s="714">
        <v>1337.0619999999999</v>
      </c>
      <c r="BJ154" s="629">
        <v>332.75200000000001</v>
      </c>
      <c r="BK154" s="629">
        <v>357.01600000000002</v>
      </c>
      <c r="BL154" s="630">
        <v>360.34399999999999</v>
      </c>
      <c r="BM154" s="523"/>
      <c r="BN154" s="700"/>
      <c r="BO154" s="523"/>
      <c r="BP154" s="523"/>
      <c r="BQ154" s="523"/>
      <c r="BR154" s="523"/>
      <c r="BS154" s="700"/>
      <c r="BT154" s="700"/>
      <c r="BU154" s="700"/>
      <c r="BV154" s="700"/>
      <c r="BW154" s="318"/>
    </row>
    <row r="155" spans="1:75" s="439" customFormat="1" outlineLevel="1">
      <c r="A155" s="31" t="s">
        <v>233</v>
      </c>
      <c r="B155" s="53"/>
      <c r="C155" s="675">
        <v>1.121</v>
      </c>
      <c r="D155" s="675">
        <v>3.137</v>
      </c>
      <c r="E155" s="675">
        <v>5.931</v>
      </c>
      <c r="F155" s="675">
        <v>9.9280000000000008</v>
      </c>
      <c r="G155" s="609">
        <v>3.34</v>
      </c>
      <c r="H155" s="609">
        <v>4.0179999999999998</v>
      </c>
      <c r="I155" s="609">
        <v>4.2770000000000001</v>
      </c>
      <c r="J155" s="609">
        <v>4.9260000000000002</v>
      </c>
      <c r="K155" s="675">
        <v>16.561</v>
      </c>
      <c r="L155" s="609">
        <v>5.077</v>
      </c>
      <c r="M155" s="609">
        <v>5.8449999999999998</v>
      </c>
      <c r="N155" s="609">
        <v>6.1740000000000004</v>
      </c>
      <c r="O155" s="609">
        <v>7.2859999999999996</v>
      </c>
      <c r="P155" s="675">
        <v>24.382000000000001</v>
      </c>
      <c r="Q155" s="609">
        <v>8.6989999999999998</v>
      </c>
      <c r="R155" s="609">
        <v>13.057</v>
      </c>
      <c r="S155" s="609">
        <v>14.259</v>
      </c>
      <c r="T155" s="609">
        <v>15</v>
      </c>
      <c r="U155" s="675">
        <v>51.015000000000001</v>
      </c>
      <c r="V155" s="609">
        <v>15.077999999999999</v>
      </c>
      <c r="W155" s="609">
        <v>15.087</v>
      </c>
      <c r="X155" s="609">
        <v>14.593999999999999</v>
      </c>
      <c r="Y155" s="518">
        <f t="shared" si="247"/>
        <v>15.603999999999999</v>
      </c>
      <c r="Z155" s="675">
        <v>60.363</v>
      </c>
      <c r="AA155" s="609">
        <v>16.914000000000001</v>
      </c>
      <c r="AB155" s="609">
        <v>18.056000000000001</v>
      </c>
      <c r="AC155" s="609">
        <v>19.312000000000001</v>
      </c>
      <c r="AD155" s="609">
        <v>16.236000000000001</v>
      </c>
      <c r="AE155" s="675">
        <v>70.518000000000001</v>
      </c>
      <c r="AF155" s="609">
        <v>14.731999999999999</v>
      </c>
      <c r="AG155" s="609">
        <v>14.708</v>
      </c>
      <c r="AH155" s="609">
        <v>14.177</v>
      </c>
      <c r="AI155" s="518">
        <f t="shared" si="248"/>
        <v>14.255000000000003</v>
      </c>
      <c r="AJ155" s="675">
        <v>57.872</v>
      </c>
      <c r="AK155" s="609">
        <v>14.265000000000001</v>
      </c>
      <c r="AL155" s="609">
        <v>14.975</v>
      </c>
      <c r="AM155" s="609">
        <v>16.513999999999999</v>
      </c>
      <c r="AN155" s="518">
        <f t="shared" si="249"/>
        <v>16.655999999999992</v>
      </c>
      <c r="AO155" s="675">
        <v>62.41</v>
      </c>
      <c r="AP155" s="609">
        <v>16.847000000000001</v>
      </c>
      <c r="AQ155" s="609">
        <v>11.824999999999999</v>
      </c>
      <c r="AR155" s="609">
        <v>13.193</v>
      </c>
      <c r="AS155" s="609">
        <v>15.321</v>
      </c>
      <c r="AT155" s="675">
        <v>57.186</v>
      </c>
      <c r="AU155" s="609">
        <v>14.874000000000001</v>
      </c>
      <c r="AV155" s="609">
        <v>17.992999999999999</v>
      </c>
      <c r="AW155" s="609">
        <v>21.184999999999999</v>
      </c>
      <c r="AX155" s="518">
        <f t="shared" si="250"/>
        <v>24.045000000000002</v>
      </c>
      <c r="AY155" s="675">
        <v>78.096999999999994</v>
      </c>
      <c r="AZ155" s="609">
        <v>23.428999999999998</v>
      </c>
      <c r="BA155" s="609">
        <v>26.988</v>
      </c>
      <c r="BB155" s="609">
        <v>26.805</v>
      </c>
      <c r="BC155" s="518">
        <f t="shared" si="251"/>
        <v>28.48299999999999</v>
      </c>
      <c r="BD155" s="675">
        <v>105.705</v>
      </c>
      <c r="BE155" s="609">
        <v>26.059000000000001</v>
      </c>
      <c r="BF155" s="609">
        <v>30.184000000000001</v>
      </c>
      <c r="BG155" s="609">
        <v>28.37</v>
      </c>
      <c r="BH155" s="518">
        <f t="shared" si="252"/>
        <v>29.616</v>
      </c>
      <c r="BI155" s="675">
        <v>114.229</v>
      </c>
      <c r="BJ155" s="609">
        <v>27.355</v>
      </c>
      <c r="BK155" s="609">
        <v>30.677</v>
      </c>
      <c r="BL155" s="610">
        <v>32.381999999999998</v>
      </c>
      <c r="BM155" s="518"/>
      <c r="BN155" s="89"/>
      <c r="BO155" s="518"/>
      <c r="BP155" s="518"/>
      <c r="BQ155" s="518"/>
      <c r="BR155" s="518"/>
      <c r="BS155" s="89"/>
      <c r="BT155" s="89"/>
      <c r="BU155" s="89"/>
      <c r="BV155" s="89"/>
      <c r="BW155" s="519"/>
    </row>
    <row r="156" spans="1:75" s="439" customFormat="1" outlineLevel="1">
      <c r="A156" s="31" t="s">
        <v>234</v>
      </c>
      <c r="B156" s="53"/>
      <c r="C156" s="675">
        <v>17.978999999999999</v>
      </c>
      <c r="D156" s="675">
        <v>33.918999999999997</v>
      </c>
      <c r="E156" s="675">
        <v>54.539000000000001</v>
      </c>
      <c r="F156" s="675">
        <v>85.915000000000006</v>
      </c>
      <c r="G156" s="609">
        <v>28.193999999999999</v>
      </c>
      <c r="H156" s="609">
        <v>30.803000000000001</v>
      </c>
      <c r="I156" s="609">
        <v>34.125999999999998</v>
      </c>
      <c r="J156" s="609">
        <v>38.847000000000001</v>
      </c>
      <c r="K156" s="675">
        <v>131.97</v>
      </c>
      <c r="L156" s="609">
        <v>45.121000000000002</v>
      </c>
      <c r="M156" s="609">
        <v>47.798000000000002</v>
      </c>
      <c r="N156" s="609">
        <v>54.551000000000002</v>
      </c>
      <c r="O156" s="609">
        <v>53.58</v>
      </c>
      <c r="P156" s="675">
        <v>201.05</v>
      </c>
      <c r="Q156" s="609">
        <v>63.265999999999998</v>
      </c>
      <c r="R156" s="609">
        <v>68.013999999999996</v>
      </c>
      <c r="S156" s="609">
        <v>82.948999999999998</v>
      </c>
      <c r="T156" s="609">
        <v>87.534999999999997</v>
      </c>
      <c r="U156" s="675">
        <v>301.76400000000001</v>
      </c>
      <c r="V156" s="609">
        <v>95.628</v>
      </c>
      <c r="W156" s="609">
        <v>94.402000000000001</v>
      </c>
      <c r="X156" s="609">
        <v>99.274000000000001</v>
      </c>
      <c r="Y156" s="518">
        <f t="shared" si="247"/>
        <v>93.550000000000011</v>
      </c>
      <c r="Z156" s="675">
        <v>382.85399999999998</v>
      </c>
      <c r="AA156" s="609">
        <v>108.532</v>
      </c>
      <c r="AB156" s="609">
        <v>104.92100000000001</v>
      </c>
      <c r="AC156" s="609">
        <v>112.958</v>
      </c>
      <c r="AD156" s="609">
        <v>111.01300000000001</v>
      </c>
      <c r="AE156" s="675">
        <v>437.42399999999998</v>
      </c>
      <c r="AF156" s="609">
        <v>119.64100000000001</v>
      </c>
      <c r="AG156" s="609">
        <v>120.65300000000001</v>
      </c>
      <c r="AH156" s="609">
        <v>121.759</v>
      </c>
      <c r="AI156" s="518">
        <f t="shared" si="248"/>
        <v>121.25600000000003</v>
      </c>
      <c r="AJ156" s="675">
        <v>483.30900000000003</v>
      </c>
      <c r="AK156" s="609">
        <v>124.316</v>
      </c>
      <c r="AL156" s="609">
        <v>122.045</v>
      </c>
      <c r="AM156" s="609">
        <v>127.655</v>
      </c>
      <c r="AN156" s="518">
        <f t="shared" si="249"/>
        <v>126.37000000000006</v>
      </c>
      <c r="AO156" s="675">
        <v>500.38600000000002</v>
      </c>
      <c r="AP156" s="609">
        <v>137.297</v>
      </c>
      <c r="AQ156" s="609">
        <v>96.289000000000001</v>
      </c>
      <c r="AR156" s="609">
        <v>101.301</v>
      </c>
      <c r="AS156" s="609">
        <v>102.173</v>
      </c>
      <c r="AT156" s="675">
        <v>437.06</v>
      </c>
      <c r="AU156" s="609">
        <v>112.90900000000001</v>
      </c>
      <c r="AV156" s="609">
        <v>113.64100000000001</v>
      </c>
      <c r="AW156" s="609">
        <v>114.295</v>
      </c>
      <c r="AX156" s="518">
        <f t="shared" si="250"/>
        <v>113.37899999999996</v>
      </c>
      <c r="AY156" s="675">
        <v>454.22399999999999</v>
      </c>
      <c r="AZ156" s="609">
        <v>126.09699999999999</v>
      </c>
      <c r="BA156" s="609">
        <v>129.41200000000001</v>
      </c>
      <c r="BB156" s="609">
        <v>133.06100000000001</v>
      </c>
      <c r="BC156" s="518">
        <f t="shared" si="251"/>
        <v>126.35699999999997</v>
      </c>
      <c r="BD156" s="675">
        <v>514.92700000000002</v>
      </c>
      <c r="BE156" s="609">
        <v>147.45500000000001</v>
      </c>
      <c r="BF156" s="609">
        <v>139.15</v>
      </c>
      <c r="BG156" s="609">
        <v>137.703</v>
      </c>
      <c r="BH156" s="518">
        <f t="shared" si="252"/>
        <v>132.29700000000003</v>
      </c>
      <c r="BI156" s="675">
        <v>556.60500000000002</v>
      </c>
      <c r="BJ156" s="609">
        <v>147.791</v>
      </c>
      <c r="BK156" s="609">
        <v>150.29300000000001</v>
      </c>
      <c r="BL156" s="610">
        <v>144.631</v>
      </c>
      <c r="BM156" s="518"/>
      <c r="BN156" s="89"/>
      <c r="BO156" s="518"/>
      <c r="BP156" s="518"/>
      <c r="BQ156" s="518"/>
      <c r="BR156" s="518"/>
      <c r="BS156" s="89"/>
      <c r="BT156" s="89"/>
      <c r="BU156" s="89"/>
      <c r="BV156" s="89"/>
      <c r="BW156" s="519"/>
    </row>
    <row r="157" spans="1:75" s="439" customFormat="1" outlineLevel="1">
      <c r="A157" s="31" t="s">
        <v>235</v>
      </c>
      <c r="B157" s="53"/>
      <c r="C157" s="675">
        <v>3.2429999999999999</v>
      </c>
      <c r="D157" s="675">
        <v>6.56</v>
      </c>
      <c r="E157" s="675">
        <v>11.586</v>
      </c>
      <c r="F157" s="675">
        <v>20.472999999999999</v>
      </c>
      <c r="G157" s="609">
        <v>7.2359999999999998</v>
      </c>
      <c r="H157" s="609">
        <v>7.9969999999999999</v>
      </c>
      <c r="I157" s="609">
        <v>11.208</v>
      </c>
      <c r="J157" s="609">
        <v>11.802</v>
      </c>
      <c r="K157" s="675">
        <v>38.243000000000002</v>
      </c>
      <c r="L157" s="609">
        <v>13.981999999999999</v>
      </c>
      <c r="M157" s="609">
        <v>14.726000000000001</v>
      </c>
      <c r="N157" s="609">
        <v>17.396999999999998</v>
      </c>
      <c r="O157" s="609">
        <v>19.076000000000001</v>
      </c>
      <c r="P157" s="675">
        <v>65.180999999999997</v>
      </c>
      <c r="Q157" s="609">
        <v>23.96</v>
      </c>
      <c r="R157" s="609">
        <v>26.344999999999999</v>
      </c>
      <c r="S157" s="609">
        <v>28.510999999999999</v>
      </c>
      <c r="T157" s="609">
        <v>28.97</v>
      </c>
      <c r="U157" s="675">
        <v>107.786</v>
      </c>
      <c r="V157" s="609">
        <v>32.222000000000001</v>
      </c>
      <c r="W157" s="609">
        <v>33.097999999999999</v>
      </c>
      <c r="X157" s="609">
        <v>36.369</v>
      </c>
      <c r="Y157" s="518">
        <f t="shared" si="247"/>
        <v>36.860000000000014</v>
      </c>
      <c r="Z157" s="675">
        <v>138.54900000000001</v>
      </c>
      <c r="AA157" s="609">
        <v>39.871000000000002</v>
      </c>
      <c r="AB157" s="609">
        <v>42.088000000000001</v>
      </c>
      <c r="AC157" s="609">
        <v>45.834000000000003</v>
      </c>
      <c r="AD157" s="609">
        <v>47.994</v>
      </c>
      <c r="AE157" s="675">
        <v>175.78700000000001</v>
      </c>
      <c r="AF157" s="609">
        <v>51.493000000000002</v>
      </c>
      <c r="AG157" s="609">
        <v>52.789000000000001</v>
      </c>
      <c r="AH157" s="609">
        <v>53.764000000000003</v>
      </c>
      <c r="AI157" s="518">
        <f t="shared" si="248"/>
        <v>54.272999999999968</v>
      </c>
      <c r="AJ157" s="675">
        <v>212.31899999999999</v>
      </c>
      <c r="AK157" s="609">
        <v>58.075000000000003</v>
      </c>
      <c r="AL157" s="609">
        <v>54.566000000000003</v>
      </c>
      <c r="AM157" s="609">
        <v>56.661000000000001</v>
      </c>
      <c r="AN157" s="518">
        <f t="shared" si="249"/>
        <v>61.137999999999977</v>
      </c>
      <c r="AO157" s="675">
        <v>230.44</v>
      </c>
      <c r="AP157" s="609">
        <v>67.113</v>
      </c>
      <c r="AQ157" s="609">
        <v>53.969000000000001</v>
      </c>
      <c r="AR157" s="609">
        <v>53.021999999999998</v>
      </c>
      <c r="AS157" s="609">
        <v>58.457000000000001</v>
      </c>
      <c r="AT157" s="675">
        <v>232.56100000000001</v>
      </c>
      <c r="AU157" s="609">
        <v>67.992000000000004</v>
      </c>
      <c r="AV157" s="609">
        <v>68.694999999999993</v>
      </c>
      <c r="AW157" s="609">
        <v>69.402000000000001</v>
      </c>
      <c r="AX157" s="518">
        <f t="shared" si="250"/>
        <v>70.384000000000015</v>
      </c>
      <c r="AY157" s="675">
        <v>276.47300000000001</v>
      </c>
      <c r="AZ157" s="609">
        <v>80.685000000000002</v>
      </c>
      <c r="BA157" s="609">
        <v>76.847999999999999</v>
      </c>
      <c r="BB157" s="609">
        <v>75.802999999999997</v>
      </c>
      <c r="BC157" s="518">
        <f t="shared" si="251"/>
        <v>72.224999999999966</v>
      </c>
      <c r="BD157" s="675">
        <v>305.56099999999998</v>
      </c>
      <c r="BE157" s="609">
        <v>88.197000000000003</v>
      </c>
      <c r="BF157" s="609">
        <v>85.03</v>
      </c>
      <c r="BG157" s="609">
        <v>81.02</v>
      </c>
      <c r="BH157" s="518">
        <f t="shared" si="252"/>
        <v>78.322999999999979</v>
      </c>
      <c r="BI157" s="675">
        <v>332.57</v>
      </c>
      <c r="BJ157" s="609">
        <v>91.227000000000004</v>
      </c>
      <c r="BK157" s="609">
        <v>82.08</v>
      </c>
      <c r="BL157" s="610">
        <v>77.748000000000005</v>
      </c>
      <c r="BM157" s="518"/>
      <c r="BN157" s="89"/>
      <c r="BO157" s="518"/>
      <c r="BP157" s="518"/>
      <c r="BQ157" s="518"/>
      <c r="BR157" s="518"/>
      <c r="BS157" s="89"/>
      <c r="BT157" s="89"/>
      <c r="BU157" s="89"/>
      <c r="BV157" s="89"/>
      <c r="BW157" s="519"/>
    </row>
    <row r="158" spans="1:75" s="439" customFormat="1" outlineLevel="1">
      <c r="A158" s="31" t="s">
        <v>236</v>
      </c>
      <c r="B158" s="53"/>
      <c r="C158" s="675">
        <v>4.5970000000000004</v>
      </c>
      <c r="D158" s="675">
        <v>11.287000000000001</v>
      </c>
      <c r="E158" s="675">
        <v>17.234000000000002</v>
      </c>
      <c r="F158" s="675">
        <v>31.530999999999999</v>
      </c>
      <c r="G158" s="609">
        <v>8.7639999999999993</v>
      </c>
      <c r="H158" s="609">
        <v>10.148</v>
      </c>
      <c r="I158" s="609">
        <v>10.535</v>
      </c>
      <c r="J158" s="609">
        <v>13.46</v>
      </c>
      <c r="K158" s="675">
        <v>42.906999999999996</v>
      </c>
      <c r="L158" s="609">
        <v>13.17</v>
      </c>
      <c r="M158" s="609">
        <v>13.257</v>
      </c>
      <c r="N158" s="609">
        <v>15.185</v>
      </c>
      <c r="O158" s="609">
        <v>16.661999999999999</v>
      </c>
      <c r="P158" s="675">
        <v>58.274000000000001</v>
      </c>
      <c r="Q158" s="609">
        <v>19.937000000000001</v>
      </c>
      <c r="R158" s="609">
        <v>19.28</v>
      </c>
      <c r="S158" s="609">
        <v>20.99</v>
      </c>
      <c r="T158" s="609">
        <v>20.658999999999999</v>
      </c>
      <c r="U158" s="675">
        <v>80.866</v>
      </c>
      <c r="V158" s="609">
        <v>21.768999999999998</v>
      </c>
      <c r="W158" s="609">
        <v>23.463999999999999</v>
      </c>
      <c r="X158" s="609">
        <v>24.876000000000001</v>
      </c>
      <c r="Y158" s="518">
        <f t="shared" si="247"/>
        <v>27.372</v>
      </c>
      <c r="Z158" s="675">
        <v>97.480999999999995</v>
      </c>
      <c r="AA158" s="609">
        <v>27.166</v>
      </c>
      <c r="AB158" s="609">
        <v>27.042000000000002</v>
      </c>
      <c r="AC158" s="609">
        <v>27.600999999999999</v>
      </c>
      <c r="AD158" s="609">
        <v>27.898</v>
      </c>
      <c r="AE158" s="675">
        <v>109.70699999999999</v>
      </c>
      <c r="AF158" s="609">
        <v>32.006999999999998</v>
      </c>
      <c r="AG158" s="609">
        <v>28.582999999999998</v>
      </c>
      <c r="AH158" s="609">
        <v>30.302</v>
      </c>
      <c r="AI158" s="518">
        <f t="shared" si="248"/>
        <v>29.677000000000007</v>
      </c>
      <c r="AJ158" s="675">
        <v>120.569</v>
      </c>
      <c r="AK158" s="609">
        <v>31.292000000000002</v>
      </c>
      <c r="AL158" s="609">
        <v>30.931999999999999</v>
      </c>
      <c r="AM158" s="609">
        <v>39.703000000000003</v>
      </c>
      <c r="AN158" s="518">
        <f t="shared" si="249"/>
        <v>34.164000000000001</v>
      </c>
      <c r="AO158" s="675">
        <v>136.09100000000001</v>
      </c>
      <c r="AP158" s="609">
        <v>43.536000000000001</v>
      </c>
      <c r="AQ158" s="609">
        <v>26.402000000000001</v>
      </c>
      <c r="AR158" s="609">
        <v>30.887</v>
      </c>
      <c r="AS158" s="609">
        <v>29.625</v>
      </c>
      <c r="AT158" s="675">
        <v>130.44999999999999</v>
      </c>
      <c r="AU158" s="609">
        <v>31.861000000000001</v>
      </c>
      <c r="AV158" s="609">
        <v>45.094999999999999</v>
      </c>
      <c r="AW158" s="609">
        <v>30.001000000000001</v>
      </c>
      <c r="AX158" s="518">
        <f t="shared" si="250"/>
        <v>28.858999999999995</v>
      </c>
      <c r="AY158" s="675">
        <v>135.816</v>
      </c>
      <c r="AZ158" s="609">
        <v>39.383000000000003</v>
      </c>
      <c r="BA158" s="609">
        <v>38.377000000000002</v>
      </c>
      <c r="BB158" s="609">
        <v>48.381</v>
      </c>
      <c r="BC158" s="518">
        <f t="shared" si="251"/>
        <v>37.966999999999999</v>
      </c>
      <c r="BD158" s="675">
        <v>164.108</v>
      </c>
      <c r="BE158" s="609">
        <v>46.509</v>
      </c>
      <c r="BF158" s="609">
        <v>53.405000000000001</v>
      </c>
      <c r="BG158" s="609">
        <v>45.695</v>
      </c>
      <c r="BH158" s="518">
        <f t="shared" si="252"/>
        <v>66.822000000000003</v>
      </c>
      <c r="BI158" s="675">
        <v>212.43100000000001</v>
      </c>
      <c r="BJ158" s="609">
        <v>45.231999999999999</v>
      </c>
      <c r="BK158" s="609">
        <v>44.634</v>
      </c>
      <c r="BL158" s="610">
        <v>49.604999999999997</v>
      </c>
      <c r="BM158" s="518"/>
      <c r="BN158" s="89"/>
      <c r="BO158" s="518"/>
      <c r="BP158" s="518"/>
      <c r="BQ158" s="518"/>
      <c r="BR158" s="518"/>
      <c r="BS158" s="89"/>
      <c r="BT158" s="89"/>
      <c r="BU158" s="89"/>
      <c r="BV158" s="89"/>
      <c r="BW158" s="519"/>
    </row>
    <row r="159" spans="1:75" s="439" customFormat="1" outlineLevel="1">
      <c r="A159" s="31" t="s">
        <v>237</v>
      </c>
      <c r="B159" s="53"/>
      <c r="C159" s="675">
        <v>1.2010000000000001</v>
      </c>
      <c r="D159" s="675">
        <v>2.3340000000000001</v>
      </c>
      <c r="E159" s="675">
        <v>4.2380000000000004</v>
      </c>
      <c r="F159" s="675">
        <v>7.2229999999999999</v>
      </c>
      <c r="G159" s="609">
        <v>2.4780000000000002</v>
      </c>
      <c r="H159" s="609">
        <v>2.637</v>
      </c>
      <c r="I159" s="609">
        <v>2.8159999999999998</v>
      </c>
      <c r="J159" s="609">
        <v>3.524</v>
      </c>
      <c r="K159" s="675">
        <v>11.455</v>
      </c>
      <c r="L159" s="609">
        <v>3.661</v>
      </c>
      <c r="M159" s="609">
        <v>4.0339999999999998</v>
      </c>
      <c r="N159" s="609">
        <v>4.6040000000000001</v>
      </c>
      <c r="O159" s="609">
        <v>5.2910000000000004</v>
      </c>
      <c r="P159" s="675">
        <v>17.59</v>
      </c>
      <c r="Q159" s="609">
        <v>6.8949999999999996</v>
      </c>
      <c r="R159" s="609">
        <v>7.1669999999999998</v>
      </c>
      <c r="S159" s="609">
        <v>7.5620000000000003</v>
      </c>
      <c r="T159" s="609">
        <v>7.98</v>
      </c>
      <c r="U159" s="675">
        <v>29.603999999999999</v>
      </c>
      <c r="V159" s="609">
        <v>8.1890000000000001</v>
      </c>
      <c r="W159" s="609">
        <v>8.5640000000000001</v>
      </c>
      <c r="X159" s="609">
        <v>9.1590000000000007</v>
      </c>
      <c r="Y159" s="518">
        <f t="shared" si="247"/>
        <v>9.4339999999999975</v>
      </c>
      <c r="Z159" s="675">
        <v>35.345999999999997</v>
      </c>
      <c r="AA159" s="609">
        <v>10.151</v>
      </c>
      <c r="AB159" s="609">
        <v>10.662000000000001</v>
      </c>
      <c r="AC159" s="609">
        <v>10.656000000000001</v>
      </c>
      <c r="AD159" s="609">
        <v>9.7289999999999992</v>
      </c>
      <c r="AE159" s="675">
        <v>41.198</v>
      </c>
      <c r="AF159" s="609">
        <v>10.028</v>
      </c>
      <c r="AG159" s="609">
        <v>10.509</v>
      </c>
      <c r="AH159" s="609">
        <v>10.712999999999999</v>
      </c>
      <c r="AI159" s="518">
        <f t="shared" si="248"/>
        <v>11.557000000000002</v>
      </c>
      <c r="AJ159" s="675">
        <v>42.807000000000002</v>
      </c>
      <c r="AK159" s="609">
        <v>11.875999999999999</v>
      </c>
      <c r="AL159" s="609">
        <v>12.24</v>
      </c>
      <c r="AM159" s="609">
        <v>12.391</v>
      </c>
      <c r="AN159" s="518">
        <f t="shared" si="249"/>
        <v>12.849000000000004</v>
      </c>
      <c r="AO159" s="675">
        <v>49.356000000000002</v>
      </c>
      <c r="AP159" s="609">
        <v>12.358000000000001</v>
      </c>
      <c r="AQ159" s="609">
        <v>12.582000000000001</v>
      </c>
      <c r="AR159" s="609">
        <v>12.544</v>
      </c>
      <c r="AS159" s="609">
        <v>13.125</v>
      </c>
      <c r="AT159" s="675">
        <v>50.609000000000002</v>
      </c>
      <c r="AU159" s="609">
        <v>13.083</v>
      </c>
      <c r="AV159" s="609">
        <v>12.833</v>
      </c>
      <c r="AW159" s="609">
        <v>12.627000000000001</v>
      </c>
      <c r="AX159" s="518">
        <f t="shared" si="250"/>
        <v>17.14</v>
      </c>
      <c r="AY159" s="675">
        <v>55.683</v>
      </c>
      <c r="AZ159" s="609">
        <v>11.49</v>
      </c>
      <c r="BA159" s="609">
        <v>11.257999999999999</v>
      </c>
      <c r="BB159" s="609">
        <v>11.417</v>
      </c>
      <c r="BC159" s="518">
        <f t="shared" si="251"/>
        <v>10.686999999999998</v>
      </c>
      <c r="BD159" s="675">
        <v>44.851999999999997</v>
      </c>
      <c r="BE159" s="609">
        <v>10.805</v>
      </c>
      <c r="BF159" s="609">
        <v>10.615</v>
      </c>
      <c r="BG159" s="609">
        <v>10.461</v>
      </c>
      <c r="BH159" s="518">
        <f t="shared" si="252"/>
        <v>10.302999999999997</v>
      </c>
      <c r="BI159" s="675">
        <v>42.183999999999997</v>
      </c>
      <c r="BJ159" s="609">
        <v>9.93</v>
      </c>
      <c r="BK159" s="609">
        <v>9.5850000000000009</v>
      </c>
      <c r="BL159" s="610">
        <v>9.3260000000000005</v>
      </c>
      <c r="BM159" s="518"/>
      <c r="BN159" s="89"/>
      <c r="BO159" s="518"/>
      <c r="BP159" s="518"/>
      <c r="BQ159" s="518"/>
      <c r="BR159" s="518"/>
      <c r="BS159" s="89"/>
      <c r="BT159" s="89"/>
      <c r="BU159" s="89"/>
      <c r="BV159" s="89"/>
      <c r="BW159" s="519"/>
    </row>
    <row r="160" spans="1:75" s="439" customFormat="1" outlineLevel="1">
      <c r="A160" s="31" t="s">
        <v>238</v>
      </c>
      <c r="B160" s="53"/>
      <c r="C160" s="89"/>
      <c r="D160" s="675">
        <v>0</v>
      </c>
      <c r="E160" s="89"/>
      <c r="F160" s="675">
        <v>1.262</v>
      </c>
      <c r="G160" s="609">
        <v>0.67500000000000004</v>
      </c>
      <c r="H160" s="518"/>
      <c r="I160" s="518"/>
      <c r="J160" s="609">
        <v>0</v>
      </c>
      <c r="K160" s="675">
        <v>0.67500000000000004</v>
      </c>
      <c r="L160" s="518"/>
      <c r="M160" s="518"/>
      <c r="N160" s="518"/>
      <c r="O160" s="518"/>
      <c r="P160" s="89"/>
      <c r="Q160" s="518"/>
      <c r="R160" s="518"/>
      <c r="S160" s="518"/>
      <c r="T160" s="518"/>
      <c r="U160" s="89"/>
      <c r="V160" s="518"/>
      <c r="W160" s="518"/>
      <c r="X160" s="518"/>
      <c r="Y160" s="518">
        <f t="shared" si="247"/>
        <v>3.4550000000000001</v>
      </c>
      <c r="Z160" s="675">
        <v>3.4550000000000001</v>
      </c>
      <c r="AA160" s="609">
        <v>0.23100000000000001</v>
      </c>
      <c r="AB160" s="609">
        <v>2.1000000000000001E-2</v>
      </c>
      <c r="AC160" s="609">
        <v>3.5000000000000003E-2</v>
      </c>
      <c r="AD160" s="609">
        <v>1E-3</v>
      </c>
      <c r="AE160" s="675">
        <v>0.28799999999999998</v>
      </c>
      <c r="AF160" s="518"/>
      <c r="AG160" s="518"/>
      <c r="AH160" s="518"/>
      <c r="AI160" s="518"/>
      <c r="AJ160" s="675">
        <v>0</v>
      </c>
      <c r="AK160" s="518"/>
      <c r="AL160" s="518"/>
      <c r="AM160" s="518"/>
      <c r="AN160" s="518"/>
      <c r="AO160" s="89"/>
      <c r="AP160" s="518"/>
      <c r="AQ160" s="609">
        <v>3.3119999999999998</v>
      </c>
      <c r="AR160" s="609">
        <v>0.53500000000000003</v>
      </c>
      <c r="AS160" s="609">
        <v>1.4999999999999999E-2</v>
      </c>
      <c r="AT160" s="675">
        <v>3.8620000000000001</v>
      </c>
      <c r="AU160" s="609">
        <v>0.02</v>
      </c>
      <c r="AV160" s="609">
        <v>1.2E-2</v>
      </c>
      <c r="AW160" s="609">
        <v>0</v>
      </c>
      <c r="AX160" s="518">
        <f t="shared" si="250"/>
        <v>0</v>
      </c>
      <c r="AY160" s="675">
        <v>3.2000000000000001E-2</v>
      </c>
      <c r="AZ160" s="518"/>
      <c r="BA160" s="518"/>
      <c r="BB160" s="518"/>
      <c r="BC160" s="518">
        <f t="shared" si="251"/>
        <v>0</v>
      </c>
      <c r="BD160" s="675">
        <v>0</v>
      </c>
      <c r="BE160" s="518"/>
      <c r="BF160" s="518"/>
      <c r="BG160" s="518"/>
      <c r="BH160" s="518"/>
      <c r="BI160" s="89"/>
      <c r="BJ160" s="518"/>
      <c r="BK160" s="518"/>
      <c r="BL160" s="520"/>
      <c r="BM160" s="518"/>
      <c r="BN160" s="89"/>
      <c r="BO160" s="518"/>
      <c r="BP160" s="518"/>
      <c r="BQ160" s="518"/>
      <c r="BR160" s="518"/>
      <c r="BS160" s="89"/>
      <c r="BT160" s="89"/>
      <c r="BU160" s="89"/>
      <c r="BV160" s="89"/>
      <c r="BW160" s="519"/>
    </row>
    <row r="161" spans="1:75" s="439" customFormat="1" outlineLevel="1">
      <c r="A161" s="31" t="s">
        <v>239</v>
      </c>
      <c r="B161" s="53"/>
      <c r="C161" s="89"/>
      <c r="D161" s="89"/>
      <c r="E161" s="89"/>
      <c r="F161" s="89"/>
      <c r="G161" s="518"/>
      <c r="H161" s="518"/>
      <c r="I161" s="518"/>
      <c r="J161" s="518"/>
      <c r="K161" s="89"/>
      <c r="L161" s="518"/>
      <c r="M161" s="518"/>
      <c r="N161" s="518"/>
      <c r="O161" s="518"/>
      <c r="P161" s="89"/>
      <c r="Q161" s="518"/>
      <c r="R161" s="518"/>
      <c r="S161" s="518"/>
      <c r="T161" s="518"/>
      <c r="U161" s="89"/>
      <c r="V161" s="518"/>
      <c r="W161" s="518"/>
      <c r="X161" s="518"/>
      <c r="Y161" s="518"/>
      <c r="Z161" s="89"/>
      <c r="AA161" s="518"/>
      <c r="AB161" s="518"/>
      <c r="AC161" s="518"/>
      <c r="AD161" s="609">
        <v>-163.697</v>
      </c>
      <c r="AE161" s="675">
        <v>-163.697</v>
      </c>
      <c r="AF161" s="518"/>
      <c r="AG161" s="518"/>
      <c r="AH161" s="518"/>
      <c r="AI161" s="518"/>
      <c r="AJ161" s="675">
        <v>0</v>
      </c>
      <c r="AK161" s="518"/>
      <c r="AL161" s="518"/>
      <c r="AM161" s="518"/>
      <c r="AN161" s="518"/>
      <c r="AO161" s="89"/>
      <c r="AP161" s="518"/>
      <c r="AQ161" s="518"/>
      <c r="AR161" s="518"/>
      <c r="AS161" s="518"/>
      <c r="AT161" s="89"/>
      <c r="AU161" s="518"/>
      <c r="AV161" s="518"/>
      <c r="AW161" s="518"/>
      <c r="AX161" s="518"/>
      <c r="AY161" s="89"/>
      <c r="AZ161" s="518"/>
      <c r="BA161" s="518"/>
      <c r="BB161" s="518"/>
      <c r="BC161" s="518"/>
      <c r="BD161" s="89"/>
      <c r="BE161" s="518"/>
      <c r="BF161" s="518"/>
      <c r="BG161" s="518"/>
      <c r="BH161" s="518"/>
      <c r="BI161" s="89"/>
      <c r="BJ161" s="518"/>
      <c r="BK161" s="518"/>
      <c r="BL161" s="520"/>
      <c r="BM161" s="518"/>
      <c r="BN161" s="89"/>
      <c r="BO161" s="518"/>
      <c r="BP161" s="518"/>
      <c r="BQ161" s="518"/>
      <c r="BR161" s="518"/>
      <c r="BS161" s="89"/>
      <c r="BT161" s="89"/>
      <c r="BU161" s="89"/>
      <c r="BV161" s="89"/>
      <c r="BW161" s="519"/>
    </row>
    <row r="162" spans="1:75" s="439" customFormat="1" outlineLevel="1">
      <c r="A162" s="31" t="s">
        <v>240</v>
      </c>
      <c r="B162" s="53"/>
      <c r="C162" s="89"/>
      <c r="D162" s="675">
        <v>0</v>
      </c>
      <c r="E162" s="675">
        <v>5.9279999999999999</v>
      </c>
      <c r="F162" s="89"/>
      <c r="G162" s="518"/>
      <c r="H162" s="518"/>
      <c r="I162" s="518"/>
      <c r="J162" s="518"/>
      <c r="K162" s="89"/>
      <c r="L162" s="518"/>
      <c r="M162" s="518"/>
      <c r="N162" s="518"/>
      <c r="O162" s="518"/>
      <c r="P162" s="89"/>
      <c r="Q162" s="518"/>
      <c r="R162" s="518"/>
      <c r="S162" s="518"/>
      <c r="T162" s="518"/>
      <c r="U162" s="89"/>
      <c r="V162" s="518"/>
      <c r="W162" s="518"/>
      <c r="X162" s="518"/>
      <c r="Y162" s="518"/>
      <c r="Z162" s="89"/>
      <c r="AA162" s="518"/>
      <c r="AB162" s="518"/>
      <c r="AC162" s="518"/>
      <c r="AD162" s="518"/>
      <c r="AE162" s="89"/>
      <c r="AF162" s="518"/>
      <c r="AG162" s="518"/>
      <c r="AH162" s="518"/>
      <c r="AI162" s="518"/>
      <c r="AJ162" s="89"/>
      <c r="AK162" s="518"/>
      <c r="AL162" s="518"/>
      <c r="AM162" s="518"/>
      <c r="AN162" s="518"/>
      <c r="AO162" s="89"/>
      <c r="AP162" s="518"/>
      <c r="AQ162" s="518"/>
      <c r="AR162" s="518"/>
      <c r="AS162" s="518"/>
      <c r="AT162" s="89"/>
      <c r="AU162" s="518"/>
      <c r="AV162" s="518"/>
      <c r="AW162" s="518"/>
      <c r="AX162" s="518"/>
      <c r="AY162" s="89"/>
      <c r="AZ162" s="518"/>
      <c r="BA162" s="518"/>
      <c r="BB162" s="518"/>
      <c r="BC162" s="518"/>
      <c r="BD162" s="89"/>
      <c r="BE162" s="518"/>
      <c r="BF162" s="518"/>
      <c r="BG162" s="518"/>
      <c r="BH162" s="518"/>
      <c r="BI162" s="89"/>
      <c r="BJ162" s="518"/>
      <c r="BK162" s="518"/>
      <c r="BL162" s="520"/>
      <c r="BM162" s="518"/>
      <c r="BN162" s="89"/>
      <c r="BO162" s="518"/>
      <c r="BP162" s="518"/>
      <c r="BQ162" s="518"/>
      <c r="BR162" s="518"/>
      <c r="BS162" s="89"/>
      <c r="BT162" s="89"/>
      <c r="BU162" s="89"/>
      <c r="BV162" s="89"/>
      <c r="BW162" s="519"/>
    </row>
    <row r="163" spans="1:75" s="444" customFormat="1" outlineLevel="1">
      <c r="A163" s="18" t="s">
        <v>241</v>
      </c>
      <c r="B163" s="49"/>
      <c r="C163" s="676">
        <f t="shared" ref="C163:AQ163" si="253">SUM(C155:C162)</f>
        <v>28.140999999999998</v>
      </c>
      <c r="D163" s="676">
        <f t="shared" si="253"/>
        <v>57.237000000000002</v>
      </c>
      <c r="E163" s="676">
        <f t="shared" si="253"/>
        <v>99.455999999999989</v>
      </c>
      <c r="F163" s="676">
        <f t="shared" si="253"/>
        <v>156.33200000000002</v>
      </c>
      <c r="G163" s="560">
        <f t="shared" si="253"/>
        <v>50.686999999999991</v>
      </c>
      <c r="H163" s="560">
        <f t="shared" si="253"/>
        <v>55.602999999999994</v>
      </c>
      <c r="I163" s="560">
        <f t="shared" si="253"/>
        <v>62.962000000000003</v>
      </c>
      <c r="J163" s="560">
        <f t="shared" si="253"/>
        <v>72.558999999999997</v>
      </c>
      <c r="K163" s="676">
        <f t="shared" si="253"/>
        <v>241.81100000000001</v>
      </c>
      <c r="L163" s="560">
        <f t="shared" si="253"/>
        <v>81.01100000000001</v>
      </c>
      <c r="M163" s="560">
        <f t="shared" si="253"/>
        <v>85.660000000000011</v>
      </c>
      <c r="N163" s="560">
        <f t="shared" si="253"/>
        <v>97.911000000000001</v>
      </c>
      <c r="O163" s="560">
        <f t="shared" si="253"/>
        <v>101.89500000000001</v>
      </c>
      <c r="P163" s="676">
        <f t="shared" si="253"/>
        <v>366.47699999999998</v>
      </c>
      <c r="Q163" s="560">
        <f t="shared" si="253"/>
        <v>122.75700000000001</v>
      </c>
      <c r="R163" s="560">
        <f t="shared" si="253"/>
        <v>133.863</v>
      </c>
      <c r="S163" s="560">
        <f t="shared" si="253"/>
        <v>154.27100000000002</v>
      </c>
      <c r="T163" s="560">
        <f t="shared" si="253"/>
        <v>160.14399999999998</v>
      </c>
      <c r="U163" s="676">
        <f t="shared" si="253"/>
        <v>571.03500000000008</v>
      </c>
      <c r="V163" s="560">
        <f t="shared" si="253"/>
        <v>172.886</v>
      </c>
      <c r="W163" s="560">
        <f t="shared" si="253"/>
        <v>174.61499999999998</v>
      </c>
      <c r="X163" s="560">
        <f t="shared" si="253"/>
        <v>184.27199999999999</v>
      </c>
      <c r="Y163" s="560">
        <f t="shared" si="253"/>
        <v>186.27500000000003</v>
      </c>
      <c r="Z163" s="676">
        <f t="shared" si="253"/>
        <v>718.048</v>
      </c>
      <c r="AA163" s="560">
        <f t="shared" si="253"/>
        <v>202.86500000000001</v>
      </c>
      <c r="AB163" s="560">
        <f t="shared" si="253"/>
        <v>202.79</v>
      </c>
      <c r="AC163" s="560">
        <f t="shared" si="253"/>
        <v>216.39600000000002</v>
      </c>
      <c r="AD163" s="560">
        <f t="shared" si="253"/>
        <v>49.174000000000007</v>
      </c>
      <c r="AE163" s="676">
        <f t="shared" si="253"/>
        <v>671.22500000000002</v>
      </c>
      <c r="AF163" s="560">
        <f t="shared" si="253"/>
        <v>227.90099999999998</v>
      </c>
      <c r="AG163" s="560">
        <f t="shared" si="253"/>
        <v>227.24200000000002</v>
      </c>
      <c r="AH163" s="560">
        <f t="shared" si="253"/>
        <v>230.715</v>
      </c>
      <c r="AI163" s="560">
        <f t="shared" si="253"/>
        <v>231.01800000000003</v>
      </c>
      <c r="AJ163" s="676">
        <f t="shared" si="253"/>
        <v>916.87599999999998</v>
      </c>
      <c r="AK163" s="560">
        <f t="shared" si="253"/>
        <v>239.82400000000001</v>
      </c>
      <c r="AL163" s="560">
        <f t="shared" si="253"/>
        <v>234.75800000000001</v>
      </c>
      <c r="AM163" s="560">
        <f t="shared" si="253"/>
        <v>252.92400000000001</v>
      </c>
      <c r="AN163" s="560">
        <f t="shared" si="253"/>
        <v>251.17700000000002</v>
      </c>
      <c r="AO163" s="676">
        <f t="shared" si="253"/>
        <v>978.68300000000011</v>
      </c>
      <c r="AP163" s="560">
        <f t="shared" si="253"/>
        <v>277.15100000000001</v>
      </c>
      <c r="AQ163" s="560">
        <f t="shared" si="253"/>
        <v>204.37900000000002</v>
      </c>
      <c r="AR163" s="560">
        <f t="shared" ref="AR163:AW163" si="254">SUM(AR155:AR162)</f>
        <v>211.482</v>
      </c>
      <c r="AS163" s="560">
        <f t="shared" si="254"/>
        <v>218.71599999999998</v>
      </c>
      <c r="AT163" s="676">
        <f t="shared" si="254"/>
        <v>911.72800000000007</v>
      </c>
      <c r="AU163" s="560">
        <f t="shared" si="254"/>
        <v>240.739</v>
      </c>
      <c r="AV163" s="560">
        <f t="shared" si="254"/>
        <v>258.26900000000001</v>
      </c>
      <c r="AW163" s="560">
        <f t="shared" si="254"/>
        <v>247.51000000000002</v>
      </c>
      <c r="AX163" s="560">
        <f t="shared" ref="AX163:BD163" si="255">SUM(AX155:AX162)</f>
        <v>253.80699999999996</v>
      </c>
      <c r="AY163" s="676">
        <f t="shared" si="255"/>
        <v>1000.3250000000002</v>
      </c>
      <c r="AZ163" s="560">
        <f t="shared" si="255"/>
        <v>281.084</v>
      </c>
      <c r="BA163" s="560">
        <f t="shared" si="255"/>
        <v>282.88299999999998</v>
      </c>
      <c r="BB163" s="560">
        <f t="shared" si="255"/>
        <v>295.46699999999998</v>
      </c>
      <c r="BC163" s="560">
        <f t="shared" si="255"/>
        <v>275.71899999999994</v>
      </c>
      <c r="BD163" s="676">
        <f t="shared" si="255"/>
        <v>1135.153</v>
      </c>
      <c r="BE163" s="560">
        <f t="shared" ref="BE163:BJ163" si="256">SUM(BE155:BE162)</f>
        <v>319.02500000000003</v>
      </c>
      <c r="BF163" s="560">
        <f t="shared" si="256"/>
        <v>318.38400000000001</v>
      </c>
      <c r="BG163" s="560">
        <f t="shared" si="256"/>
        <v>303.24900000000002</v>
      </c>
      <c r="BH163" s="560">
        <f t="shared" si="256"/>
        <v>317.36099999999999</v>
      </c>
      <c r="BI163" s="676">
        <f t="shared" si="256"/>
        <v>1258.019</v>
      </c>
      <c r="BJ163" s="560">
        <f t="shared" si="256"/>
        <v>321.53500000000003</v>
      </c>
      <c r="BK163" s="560">
        <f>SUM(BK155:BK162)</f>
        <v>317.26900000000001</v>
      </c>
      <c r="BL163" s="561">
        <f>SUM(BL155:BL162)</f>
        <v>313.69200000000006</v>
      </c>
      <c r="BM163" s="560"/>
      <c r="BN163" s="676"/>
      <c r="BO163" s="560"/>
      <c r="BP163" s="560"/>
      <c r="BQ163" s="560"/>
      <c r="BR163" s="560"/>
      <c r="BS163" s="676"/>
      <c r="BT163" s="676"/>
      <c r="BU163" s="676"/>
      <c r="BV163" s="676"/>
      <c r="BW163" s="318"/>
    </row>
    <row r="164" spans="1:75" s="444" customFormat="1" outlineLevel="1">
      <c r="A164" s="28" t="s">
        <v>242</v>
      </c>
      <c r="B164" s="30"/>
      <c r="C164" s="714">
        <v>-2.3330000000000002</v>
      </c>
      <c r="D164" s="700">
        <f t="shared" ref="D164:AQ164" si="257">D154-D163</f>
        <v>-9.5060000000000002</v>
      </c>
      <c r="E164" s="700">
        <f t="shared" si="257"/>
        <v>-16.170999999999992</v>
      </c>
      <c r="F164" s="700">
        <f t="shared" si="257"/>
        <v>-18.765000000000015</v>
      </c>
      <c r="G164" s="523">
        <f t="shared" si="257"/>
        <v>-4.5539999999999878</v>
      </c>
      <c r="H164" s="523">
        <f t="shared" si="257"/>
        <v>-0.57999999999999119</v>
      </c>
      <c r="I164" s="523">
        <f t="shared" si="257"/>
        <v>-1.7810000000000059</v>
      </c>
      <c r="J164" s="523">
        <f t="shared" si="257"/>
        <v>-1.9080000000000013</v>
      </c>
      <c r="K164" s="700">
        <f t="shared" si="257"/>
        <v>-8.8230000000000075</v>
      </c>
      <c r="L164" s="523">
        <f t="shared" si="257"/>
        <v>-4.6040000000000134</v>
      </c>
      <c r="M164" s="523">
        <f t="shared" si="257"/>
        <v>3.1269999999999953</v>
      </c>
      <c r="N164" s="523">
        <f t="shared" si="257"/>
        <v>4.5439999999999969</v>
      </c>
      <c r="O164" s="523">
        <f t="shared" si="257"/>
        <v>7.9919999999999902</v>
      </c>
      <c r="P164" s="700">
        <f t="shared" si="257"/>
        <v>11.059000000000026</v>
      </c>
      <c r="Q164" s="523">
        <f t="shared" si="257"/>
        <v>-4.2490000000000094</v>
      </c>
      <c r="R164" s="523">
        <f t="shared" si="257"/>
        <v>5.0000000000011369E-2</v>
      </c>
      <c r="S164" s="523">
        <f t="shared" si="257"/>
        <v>-10.712000000000018</v>
      </c>
      <c r="T164" s="523">
        <f t="shared" si="257"/>
        <v>-6.4129999999999825</v>
      </c>
      <c r="U164" s="700">
        <f t="shared" si="257"/>
        <v>-21.324000000000069</v>
      </c>
      <c r="V164" s="523">
        <f t="shared" si="257"/>
        <v>-14.272999999999996</v>
      </c>
      <c r="W164" s="523">
        <f t="shared" si="257"/>
        <v>-1.1869999999999834</v>
      </c>
      <c r="X164" s="523">
        <f t="shared" si="257"/>
        <v>1.960000000000008</v>
      </c>
      <c r="Y164" s="523">
        <f t="shared" si="257"/>
        <v>8.5209999999999013</v>
      </c>
      <c r="Z164" s="700">
        <f t="shared" si="257"/>
        <v>-4.9790000000000418</v>
      </c>
      <c r="AA164" s="523">
        <f t="shared" si="257"/>
        <v>-4.6910000000000025</v>
      </c>
      <c r="AB164" s="523">
        <f t="shared" si="257"/>
        <v>7.1550000000000011</v>
      </c>
      <c r="AC164" s="523">
        <f t="shared" si="257"/>
        <v>6.8909999999999911</v>
      </c>
      <c r="AD164" s="523">
        <f t="shared" si="257"/>
        <v>170.267</v>
      </c>
      <c r="AE164" s="700">
        <f t="shared" si="257"/>
        <v>179.62199999999996</v>
      </c>
      <c r="AF164" s="523">
        <f t="shared" si="257"/>
        <v>-4.8269999999999698</v>
      </c>
      <c r="AG164" s="523">
        <f t="shared" si="257"/>
        <v>7.6209999999999809</v>
      </c>
      <c r="AH164" s="523">
        <f t="shared" si="257"/>
        <v>10.381</v>
      </c>
      <c r="AI164" s="523">
        <f t="shared" si="257"/>
        <v>12.72199999999998</v>
      </c>
      <c r="AJ164" s="700">
        <f t="shared" si="257"/>
        <v>25.897000000000048</v>
      </c>
      <c r="AK164" s="523">
        <f t="shared" si="257"/>
        <v>-3.882000000000005</v>
      </c>
      <c r="AL164" s="523">
        <f t="shared" si="257"/>
        <v>12.197000000000003</v>
      </c>
      <c r="AM164" s="523">
        <f t="shared" si="257"/>
        <v>9.5499999999999829</v>
      </c>
      <c r="AN164" s="523">
        <f t="shared" si="257"/>
        <v>17.645999999999844</v>
      </c>
      <c r="AO164" s="700">
        <f t="shared" si="257"/>
        <v>35.510999999999854</v>
      </c>
      <c r="AP164" s="523">
        <f t="shared" si="257"/>
        <v>-27.25</v>
      </c>
      <c r="AQ164" s="523">
        <f t="shared" si="257"/>
        <v>-35.349000000000018</v>
      </c>
      <c r="AR164" s="523">
        <f t="shared" ref="AR164:AW164" si="258">AR154-AR163</f>
        <v>9.3249999999999886</v>
      </c>
      <c r="AS164" s="523">
        <f t="shared" si="258"/>
        <v>14.479000000000013</v>
      </c>
      <c r="AT164" s="700">
        <f t="shared" si="258"/>
        <v>-38.795000000000073</v>
      </c>
      <c r="AU164" s="523">
        <f t="shared" si="258"/>
        <v>-8.6430000000000007</v>
      </c>
      <c r="AV164" s="523">
        <f t="shared" si="258"/>
        <v>-1.0810000000000173</v>
      </c>
      <c r="AW164" s="523">
        <f t="shared" si="258"/>
        <v>21.644999999999953</v>
      </c>
      <c r="AX164" s="523">
        <f t="shared" ref="AX164:BD164" si="259">AX154-AX163</f>
        <v>19.593000000000018</v>
      </c>
      <c r="AY164" s="700">
        <f t="shared" si="259"/>
        <v>31.513999999999783</v>
      </c>
      <c r="AZ164" s="523">
        <f t="shared" si="259"/>
        <v>-4.4560000000000173</v>
      </c>
      <c r="BA164" s="523">
        <f t="shared" si="259"/>
        <v>16.001000000000033</v>
      </c>
      <c r="BB164" s="523">
        <f t="shared" si="259"/>
        <v>13.424000000000035</v>
      </c>
      <c r="BC164" s="523">
        <f t="shared" si="259"/>
        <v>33.384000000000128</v>
      </c>
      <c r="BD164" s="700">
        <f t="shared" si="259"/>
        <v>58.353000000000065</v>
      </c>
      <c r="BE164" s="523">
        <f t="shared" ref="BE164:BJ164" si="260">BE154-BE163</f>
        <v>-6.5870000000000459</v>
      </c>
      <c r="BF164" s="523">
        <f t="shared" si="260"/>
        <v>18.741999999999962</v>
      </c>
      <c r="BG164" s="523">
        <f t="shared" si="260"/>
        <v>41.87299999999999</v>
      </c>
      <c r="BH164" s="523">
        <f t="shared" si="260"/>
        <v>25.014999999999986</v>
      </c>
      <c r="BI164" s="700">
        <f t="shared" si="260"/>
        <v>79.042999999999893</v>
      </c>
      <c r="BJ164" s="523">
        <f t="shared" si="260"/>
        <v>11.216999999999985</v>
      </c>
      <c r="BK164" s="523">
        <f>BK154-BK163</f>
        <v>39.747000000000014</v>
      </c>
      <c r="BL164" s="563">
        <f>BL154-BL163</f>
        <v>46.65199999999993</v>
      </c>
      <c r="BM164" s="523"/>
      <c r="BN164" s="700"/>
      <c r="BO164" s="523"/>
      <c r="BP164" s="523"/>
      <c r="BQ164" s="523"/>
      <c r="BR164" s="523"/>
      <c r="BS164" s="700"/>
      <c r="BT164" s="700"/>
      <c r="BU164" s="700"/>
      <c r="BV164" s="700"/>
      <c r="BW164" s="318"/>
    </row>
    <row r="165" spans="1:75" s="439" customFormat="1" outlineLevel="1">
      <c r="A165" s="41" t="s">
        <v>243</v>
      </c>
      <c r="B165" s="53"/>
      <c r="C165" s="89"/>
      <c r="D165" s="89"/>
      <c r="E165" s="89"/>
      <c r="F165" s="89"/>
      <c r="G165" s="518"/>
      <c r="H165" s="518"/>
      <c r="I165" s="518"/>
      <c r="J165" s="518"/>
      <c r="K165" s="89"/>
      <c r="L165" s="609">
        <v>3.4000000000000002E-2</v>
      </c>
      <c r="M165" s="609">
        <v>0.20200000000000001</v>
      </c>
      <c r="N165" s="609">
        <v>0.222</v>
      </c>
      <c r="O165" s="518">
        <f>P165-SUM(L165,M165,N165)</f>
        <v>-8.3000000000000018E-2</v>
      </c>
      <c r="P165" s="675">
        <v>0.375</v>
      </c>
      <c r="Q165" s="609">
        <v>0.13200000000000001</v>
      </c>
      <c r="R165" s="609">
        <v>0.13100000000000001</v>
      </c>
      <c r="S165" s="609">
        <v>0.47199999999999998</v>
      </c>
      <c r="T165" s="518">
        <f>U165-SUM(Q165,R165,S165)</f>
        <v>-0.11299999999999999</v>
      </c>
      <c r="U165" s="675">
        <v>0.622</v>
      </c>
      <c r="V165" s="609">
        <v>0.311</v>
      </c>
      <c r="W165" s="609">
        <v>0.41399999999999998</v>
      </c>
      <c r="X165" s="609">
        <v>0.47799999999999998</v>
      </c>
      <c r="Y165" s="518">
        <f>Z165-SUM(V165,W165,X165)</f>
        <v>0.52100000000000013</v>
      </c>
      <c r="Z165" s="675">
        <v>1.724</v>
      </c>
      <c r="AA165" s="609">
        <v>0.68</v>
      </c>
      <c r="AB165" s="609">
        <v>0.79400000000000004</v>
      </c>
      <c r="AC165" s="609">
        <v>0.99099999999999999</v>
      </c>
      <c r="AD165" s="518">
        <f>AE165-SUM(AA165,AB165,AC165)</f>
        <v>1.7239999999999998</v>
      </c>
      <c r="AE165" s="675">
        <v>4.1890000000000001</v>
      </c>
      <c r="AF165" s="609">
        <v>2.6240000000000001</v>
      </c>
      <c r="AG165" s="609">
        <v>3.2770000000000001</v>
      </c>
      <c r="AH165" s="609">
        <v>3.7050000000000001</v>
      </c>
      <c r="AI165" s="518">
        <f>AJ165-SUM(AF165,AG165,AH165)</f>
        <v>4.1980000000000004</v>
      </c>
      <c r="AJ165" s="675">
        <v>13.804</v>
      </c>
      <c r="AK165" s="609">
        <v>4.3739999999999997</v>
      </c>
      <c r="AL165" s="609">
        <v>3.7429999999999999</v>
      </c>
      <c r="AM165" s="609">
        <v>2.83</v>
      </c>
      <c r="AN165" s="518">
        <f>AO165-SUM(AK165,AL165,AM165)</f>
        <v>2.3810000000000002</v>
      </c>
      <c r="AO165" s="675">
        <v>13.327999999999999</v>
      </c>
      <c r="AP165" s="609">
        <v>2.1059999999999999</v>
      </c>
      <c r="AQ165" s="609">
        <v>0.191</v>
      </c>
      <c r="AR165" s="609">
        <v>7.0000000000000001E-3</v>
      </c>
      <c r="AS165" s="518">
        <f>AT165-SUM(AP165,AQ165,AR165)</f>
        <v>-3.0999999999999694E-2</v>
      </c>
      <c r="AT165" s="675">
        <v>2.2730000000000001</v>
      </c>
      <c r="AU165" s="609">
        <v>-1.7999999999999999E-2</v>
      </c>
      <c r="AV165" s="609">
        <v>-3.4000000000000002E-2</v>
      </c>
      <c r="AW165" s="609">
        <v>-3.1E-2</v>
      </c>
      <c r="AX165" s="518">
        <f>AY165-SUM(AU165,AV165,AW165)</f>
        <v>-3.3000000000000002E-2</v>
      </c>
      <c r="AY165" s="675">
        <v>-0.11600000000000001</v>
      </c>
      <c r="AZ165" s="609">
        <v>2.1999999999999999E-2</v>
      </c>
      <c r="BA165" s="609">
        <v>0.52900000000000003</v>
      </c>
      <c r="BB165" s="609">
        <v>2.0070000000000001</v>
      </c>
      <c r="BC165" s="519">
        <f>BD165-SUM(AZ165,BA165,BB165)</f>
        <v>3.2039999999999993</v>
      </c>
      <c r="BD165" s="675">
        <v>5.7619999999999996</v>
      </c>
      <c r="BE165" s="609">
        <v>4.0069999999999997</v>
      </c>
      <c r="BF165" s="609">
        <v>4.6559999999999997</v>
      </c>
      <c r="BG165" s="609">
        <v>5.1870000000000003</v>
      </c>
      <c r="BH165" s="519">
        <f>BI165-SUM(BE165,BF165,BG165)</f>
        <v>5.7210000000000001</v>
      </c>
      <c r="BI165" s="675">
        <v>19.571000000000002</v>
      </c>
      <c r="BJ165" s="609">
        <v>5.6639999999999997</v>
      </c>
      <c r="BK165" s="609">
        <v>5.4240000000000004</v>
      </c>
      <c r="BL165" s="610">
        <v>5.3079999999999998</v>
      </c>
      <c r="BM165" s="518"/>
      <c r="BN165" s="89"/>
      <c r="BO165" s="518"/>
      <c r="BP165" s="518"/>
      <c r="BQ165" s="518"/>
      <c r="BR165" s="518"/>
      <c r="BS165" s="89"/>
      <c r="BT165" s="89"/>
      <c r="BU165" s="89"/>
      <c r="BV165" s="89"/>
      <c r="BW165" s="519"/>
    </row>
    <row r="166" spans="1:75" s="439" customFormat="1" outlineLevel="1">
      <c r="A166" s="41" t="s">
        <v>244</v>
      </c>
      <c r="B166" s="53"/>
      <c r="C166" s="89"/>
      <c r="D166" s="89"/>
      <c r="E166" s="89"/>
      <c r="F166" s="89"/>
      <c r="G166" s="518"/>
      <c r="H166" s="518"/>
      <c r="I166" s="518"/>
      <c r="J166" s="518"/>
      <c r="K166" s="89"/>
      <c r="L166" s="609">
        <v>-4.9000000000000002E-2</v>
      </c>
      <c r="M166" s="609">
        <v>-0.128</v>
      </c>
      <c r="N166" s="609">
        <v>9.8000000000000004E-2</v>
      </c>
      <c r="O166" s="518">
        <f>P166-SUM(L166,M166,N166)</f>
        <v>-4.200000000000001E-2</v>
      </c>
      <c r="P166" s="675">
        <v>-0.121</v>
      </c>
      <c r="Q166" s="609">
        <v>-0.17100000000000001</v>
      </c>
      <c r="R166" s="609">
        <v>0.26300000000000001</v>
      </c>
      <c r="S166" s="609">
        <v>-0.71299999999999997</v>
      </c>
      <c r="T166" s="518">
        <f>U166-SUM(Q166,R166,S166)</f>
        <v>-6.6000000000000059E-2</v>
      </c>
      <c r="U166" s="675">
        <v>-0.68700000000000006</v>
      </c>
      <c r="V166" s="609">
        <v>6.6000000000000003E-2</v>
      </c>
      <c r="W166" s="609">
        <v>-3.9E-2</v>
      </c>
      <c r="X166" s="609">
        <v>-9.2999999999999999E-2</v>
      </c>
      <c r="Y166" s="518">
        <f>Z166-SUM(V166,W166,X166)</f>
        <v>-0.10899999999999999</v>
      </c>
      <c r="Z166" s="675">
        <v>-0.17499999999999999</v>
      </c>
      <c r="AA166" s="609">
        <v>1.4999999999999999E-2</v>
      </c>
      <c r="AB166" s="609">
        <v>3.9E-2</v>
      </c>
      <c r="AC166" s="609">
        <v>0.32300000000000001</v>
      </c>
      <c r="AD166" s="518">
        <f>AE166-SUM(AA166,AB166,AC166)</f>
        <v>-0.11899999999999999</v>
      </c>
      <c r="AE166" s="675">
        <v>0.25800000000000001</v>
      </c>
      <c r="AF166" s="609">
        <v>-2.5999999999999999E-2</v>
      </c>
      <c r="AG166" s="609">
        <v>3.9E-2</v>
      </c>
      <c r="AH166" s="609">
        <v>7.4999999999999997E-2</v>
      </c>
      <c r="AI166" s="518">
        <f>AJ166-SUM(AF166,AG166,AH166)</f>
        <v>-0.158</v>
      </c>
      <c r="AJ166" s="675">
        <v>-7.0000000000000007E-2</v>
      </c>
      <c r="AK166" s="609">
        <v>0.115</v>
      </c>
      <c r="AL166" s="609">
        <v>-3.0000000000000001E-3</v>
      </c>
      <c r="AM166" s="609">
        <v>-0.02</v>
      </c>
      <c r="AN166" s="518">
        <f>AO166-SUM(AK166,AL166,AM166)</f>
        <v>-6.5000000000000002E-2</v>
      </c>
      <c r="AO166" s="675">
        <v>2.7E-2</v>
      </c>
      <c r="AP166" s="609">
        <v>-6.8000000000000005E-2</v>
      </c>
      <c r="AQ166" s="609">
        <v>8.0000000000000002E-3</v>
      </c>
      <c r="AR166" s="609">
        <v>2.8000000000000001E-2</v>
      </c>
      <c r="AS166" s="518">
        <f>AT166-SUM(AP166,AQ166,AR166)</f>
        <v>5.2000000000000005E-2</v>
      </c>
      <c r="AT166" s="675">
        <v>0.02</v>
      </c>
      <c r="AU166" s="609">
        <v>0.25700000000000001</v>
      </c>
      <c r="AV166" s="609">
        <v>1.0999999999999999E-2</v>
      </c>
      <c r="AW166" s="609">
        <v>-3.2000000000000001E-2</v>
      </c>
      <c r="AX166" s="518">
        <f>AY166-SUM(AU166,AV166,AW166)</f>
        <v>-5.0000000000000044E-3</v>
      </c>
      <c r="AY166" s="675">
        <v>0.23100000000000001</v>
      </c>
      <c r="AZ166" s="609">
        <v>7.0999999999999994E-2</v>
      </c>
      <c r="BA166" s="609">
        <v>-9.4E-2</v>
      </c>
      <c r="BB166" s="609">
        <v>-0.21299999999999999</v>
      </c>
      <c r="BC166" s="519">
        <f>BD166-SUM(AZ166,BA166,BB166)</f>
        <v>0.10599999999999998</v>
      </c>
      <c r="BD166" s="675">
        <v>-0.13</v>
      </c>
      <c r="BE166" s="609">
        <v>-7.0000000000000007E-2</v>
      </c>
      <c r="BF166" s="609">
        <v>0.10100000000000001</v>
      </c>
      <c r="BG166" s="609">
        <v>-0.1</v>
      </c>
      <c r="BH166" s="519">
        <f>BI166-SUM(BE166,BF166,BG166)</f>
        <v>0.11800000000000001</v>
      </c>
      <c r="BI166" s="675">
        <v>4.9000000000000002E-2</v>
      </c>
      <c r="BJ166" s="609">
        <v>-0.14199999999999999</v>
      </c>
      <c r="BK166" s="609">
        <v>-6.0999999999999999E-2</v>
      </c>
      <c r="BL166" s="610">
        <v>8.2000000000000003E-2</v>
      </c>
      <c r="BM166" s="518"/>
      <c r="BN166" s="89"/>
      <c r="BO166" s="518"/>
      <c r="BP166" s="518"/>
      <c r="BQ166" s="518"/>
      <c r="BR166" s="518"/>
      <c r="BS166" s="89"/>
      <c r="BT166" s="89"/>
      <c r="BU166" s="89"/>
      <c r="BV166" s="89"/>
      <c r="BW166" s="519"/>
    </row>
    <row r="167" spans="1:75" s="439" customFormat="1" outlineLevel="1">
      <c r="A167" s="41" t="s">
        <v>245</v>
      </c>
      <c r="B167" s="53"/>
      <c r="C167" s="89"/>
      <c r="D167" s="89"/>
      <c r="E167" s="89"/>
      <c r="F167" s="89"/>
      <c r="G167" s="518"/>
      <c r="H167" s="518"/>
      <c r="I167" s="518"/>
      <c r="J167" s="518"/>
      <c r="K167" s="89"/>
      <c r="L167" s="609">
        <v>1.2999999999999999E-2</v>
      </c>
      <c r="M167" s="609">
        <v>-8.8999999999999996E-2</v>
      </c>
      <c r="N167" s="609">
        <v>-0.12</v>
      </c>
      <c r="O167" s="518">
        <f>P167-SUM(L167,M167,N167)</f>
        <v>0.16300000000000001</v>
      </c>
      <c r="P167" s="675">
        <v>-3.3000000000000002E-2</v>
      </c>
      <c r="Q167" s="609">
        <v>0.60099999999999998</v>
      </c>
      <c r="R167" s="609">
        <v>-6.5000000000000002E-2</v>
      </c>
      <c r="S167" s="609">
        <v>-0.30399999999999999</v>
      </c>
      <c r="T167" s="518">
        <f>U167-SUM(Q167,R167,S167)</f>
        <v>0.21899999999999997</v>
      </c>
      <c r="U167" s="675">
        <v>0.45100000000000001</v>
      </c>
      <c r="V167" s="609">
        <v>-0.11899999999999999</v>
      </c>
      <c r="W167" s="609">
        <v>-8.0000000000000002E-3</v>
      </c>
      <c r="X167" s="609">
        <v>-5.8000000000000003E-2</v>
      </c>
      <c r="Y167" s="518">
        <f>Z167-SUM(V167,W167,X167)</f>
        <v>0.32999999999999996</v>
      </c>
      <c r="Z167" s="675">
        <v>0.14499999999999999</v>
      </c>
      <c r="AA167" s="609">
        <v>3.6999999999999998E-2</v>
      </c>
      <c r="AB167" s="609">
        <v>3.1E-2</v>
      </c>
      <c r="AC167" s="609">
        <v>5.7000000000000002E-2</v>
      </c>
      <c r="AD167" s="518">
        <f>AE167-SUM(AA167,AB167,AC167)</f>
        <v>0.29199999999999998</v>
      </c>
      <c r="AE167" s="675">
        <v>0.41699999999999998</v>
      </c>
      <c r="AF167" s="609">
        <v>6.0000000000000001E-3</v>
      </c>
      <c r="AG167" s="609">
        <v>0.108</v>
      </c>
      <c r="AH167" s="609">
        <v>0.14099999999999999</v>
      </c>
      <c r="AI167" s="518">
        <f>AJ167-SUM(AF167,AG167,AH167)</f>
        <v>0.12</v>
      </c>
      <c r="AJ167" s="675">
        <v>0.375</v>
      </c>
      <c r="AK167" s="609">
        <v>0.20200000000000001</v>
      </c>
      <c r="AL167" s="609">
        <v>0.151</v>
      </c>
      <c r="AM167" s="609">
        <v>0.253</v>
      </c>
      <c r="AN167" s="518">
        <f>AO167-SUM(AK167,AL167,AM167)</f>
        <v>0.29500000000000004</v>
      </c>
      <c r="AO167" s="675">
        <v>0.90100000000000002</v>
      </c>
      <c r="AP167" s="609">
        <v>0.34499999999999997</v>
      </c>
      <c r="AQ167" s="609">
        <v>0.29599999999999999</v>
      </c>
      <c r="AR167" s="609">
        <v>0.36399999999999999</v>
      </c>
      <c r="AS167" s="518">
        <f>AT167-SUM(AP167,AQ167,AR167)</f>
        <v>0.37200000000000011</v>
      </c>
      <c r="AT167" s="675">
        <v>1.377</v>
      </c>
      <c r="AU167" s="609">
        <v>0.46600000000000003</v>
      </c>
      <c r="AV167" s="609">
        <v>0.56499999999999995</v>
      </c>
      <c r="AW167" s="609">
        <v>0.39400000000000002</v>
      </c>
      <c r="AX167" s="518">
        <f>AY167-SUM(AU167,AV167,AW167)</f>
        <v>0.66400000000000015</v>
      </c>
      <c r="AY167" s="675">
        <v>2.089</v>
      </c>
      <c r="AZ167" s="609">
        <v>0.83599999999999997</v>
      </c>
      <c r="BA167" s="609">
        <v>0.89200000000000002</v>
      </c>
      <c r="BB167" s="609">
        <v>0.89700000000000002</v>
      </c>
      <c r="BC167" s="518">
        <f>BD167-SUM(AZ167,BA167,BB167)</f>
        <v>0.16800000000000015</v>
      </c>
      <c r="BD167" s="675">
        <v>2.7930000000000001</v>
      </c>
      <c r="BE167" s="609">
        <v>1.2749999999999999</v>
      </c>
      <c r="BF167" s="609">
        <v>1.141</v>
      </c>
      <c r="BG167" s="609">
        <v>1.0669999999999999</v>
      </c>
      <c r="BH167" s="519">
        <f>BI167-SUM(BE167,BF167,BG167)</f>
        <v>2.9359999999999999</v>
      </c>
      <c r="BI167" s="675">
        <v>6.4189999999999996</v>
      </c>
      <c r="BJ167" s="609">
        <v>2.202</v>
      </c>
      <c r="BK167" s="609">
        <f>3.102+1.857</f>
        <v>4.9589999999999996</v>
      </c>
      <c r="BL167" s="610">
        <v>1.841</v>
      </c>
      <c r="BM167" s="518"/>
      <c r="BN167" s="89"/>
      <c r="BO167" s="518"/>
      <c r="BP167" s="518"/>
      <c r="BQ167" s="518"/>
      <c r="BR167" s="518"/>
      <c r="BS167" s="89"/>
      <c r="BT167" s="89"/>
      <c r="BU167" s="89"/>
      <c r="BV167" s="89"/>
      <c r="BW167" s="519"/>
    </row>
    <row r="168" spans="1:75" s="439" customFormat="1" outlineLevel="1">
      <c r="A168" s="212" t="s">
        <v>246</v>
      </c>
      <c r="B168" s="213"/>
      <c r="C168" s="715">
        <v>3.3000000000000002E-2</v>
      </c>
      <c r="D168" s="715">
        <v>1.4999999999999999E-2</v>
      </c>
      <c r="E168" s="715">
        <v>-0.39500000000000002</v>
      </c>
      <c r="F168" s="715">
        <v>-0.22600000000000001</v>
      </c>
      <c r="G168" s="631">
        <v>-0.20100000000000001</v>
      </c>
      <c r="H168" s="631">
        <v>-6.6000000000000003E-2</v>
      </c>
      <c r="I168" s="631">
        <v>-3.1E-2</v>
      </c>
      <c r="J168" s="631">
        <v>-0.109</v>
      </c>
      <c r="K168" s="715">
        <v>-0.40699999999999997</v>
      </c>
      <c r="L168" s="631">
        <v>-2E-3</v>
      </c>
      <c r="M168" s="631">
        <v>-1.4999999999999999E-2</v>
      </c>
      <c r="N168" s="631">
        <v>0.2</v>
      </c>
      <c r="O168" s="631">
        <v>3.7999999999999999E-2</v>
      </c>
      <c r="P168" s="715">
        <v>0.221</v>
      </c>
      <c r="Q168" s="631">
        <v>0.56200000000000006</v>
      </c>
      <c r="R168" s="631">
        <v>0.32900000000000001</v>
      </c>
      <c r="S168" s="631">
        <v>-0.54500000000000004</v>
      </c>
      <c r="T168" s="631">
        <v>0.04</v>
      </c>
      <c r="U168" s="715">
        <v>0.38600000000000001</v>
      </c>
      <c r="V168" s="631">
        <v>0.25800000000000001</v>
      </c>
      <c r="W168" s="631">
        <v>0.36699999999999999</v>
      </c>
      <c r="X168" s="631">
        <v>0.32700000000000001</v>
      </c>
      <c r="Y168" s="565">
        <f>Z168-SUM(V168,W168,X168)</f>
        <v>0.74199999999999999</v>
      </c>
      <c r="Z168" s="715">
        <v>1.694</v>
      </c>
      <c r="AA168" s="631">
        <v>0.73199999999999998</v>
      </c>
      <c r="AB168" s="631">
        <v>0.86399999999999999</v>
      </c>
      <c r="AC168" s="631">
        <v>1.371</v>
      </c>
      <c r="AD168" s="631">
        <v>1.897</v>
      </c>
      <c r="AE168" s="715">
        <v>4.8639999999999999</v>
      </c>
      <c r="AF168" s="631">
        <v>2.6040000000000001</v>
      </c>
      <c r="AG168" s="631">
        <v>3.4239999999999999</v>
      </c>
      <c r="AH168" s="631">
        <v>3.9209999999999998</v>
      </c>
      <c r="AI168" s="565">
        <f>AJ168-SUM(AF168,AG168,AH168)</f>
        <v>4.16</v>
      </c>
      <c r="AJ168" s="715">
        <v>14.109</v>
      </c>
      <c r="AK168" s="631">
        <v>4.6909999999999998</v>
      </c>
      <c r="AL168" s="631">
        <v>3.891</v>
      </c>
      <c r="AM168" s="631">
        <v>3.0630000000000002</v>
      </c>
      <c r="AN168" s="565">
        <f>AO168-SUM(AK168,AL168,AM168)</f>
        <v>2.6109999999999989</v>
      </c>
      <c r="AO168" s="715">
        <v>14.256</v>
      </c>
      <c r="AP168" s="631">
        <v>2.383</v>
      </c>
      <c r="AQ168" s="631">
        <v>0.495</v>
      </c>
      <c r="AR168" s="631">
        <v>0.39900000000000002</v>
      </c>
      <c r="AS168" s="565">
        <f>AT168-SUM(AP168,AQ168,AR168)</f>
        <v>0.39299999999999979</v>
      </c>
      <c r="AT168" s="716">
        <f t="shared" ref="AT168:BL168" si="261">AT165+AT166+AT167</f>
        <v>3.67</v>
      </c>
      <c r="AU168" s="565">
        <f t="shared" si="261"/>
        <v>0.70500000000000007</v>
      </c>
      <c r="AV168" s="565">
        <f t="shared" si="261"/>
        <v>0.54199999999999993</v>
      </c>
      <c r="AW168" s="565">
        <f t="shared" si="261"/>
        <v>0.33100000000000002</v>
      </c>
      <c r="AX168" s="565">
        <f t="shared" si="261"/>
        <v>0.62600000000000011</v>
      </c>
      <c r="AY168" s="716">
        <f t="shared" si="261"/>
        <v>2.2040000000000002</v>
      </c>
      <c r="AZ168" s="565">
        <f t="shared" si="261"/>
        <v>0.92899999999999994</v>
      </c>
      <c r="BA168" s="565">
        <f t="shared" si="261"/>
        <v>1.327</v>
      </c>
      <c r="BB168" s="565">
        <f t="shared" si="261"/>
        <v>2.6909999999999998</v>
      </c>
      <c r="BC168" s="565">
        <f t="shared" si="261"/>
        <v>3.4779999999999993</v>
      </c>
      <c r="BD168" s="716">
        <f t="shared" si="261"/>
        <v>8.4250000000000007</v>
      </c>
      <c r="BE168" s="565">
        <f t="shared" si="261"/>
        <v>5.2119999999999997</v>
      </c>
      <c r="BF168" s="565">
        <f t="shared" si="261"/>
        <v>5.8979999999999997</v>
      </c>
      <c r="BG168" s="566">
        <f t="shared" si="261"/>
        <v>6.1540000000000008</v>
      </c>
      <c r="BH168" s="566">
        <f t="shared" si="261"/>
        <v>8.7750000000000004</v>
      </c>
      <c r="BI168" s="717">
        <f t="shared" si="261"/>
        <v>26.039000000000001</v>
      </c>
      <c r="BJ168" s="566">
        <f t="shared" si="261"/>
        <v>7.7239999999999993</v>
      </c>
      <c r="BK168" s="565">
        <f t="shared" si="261"/>
        <v>10.321999999999999</v>
      </c>
      <c r="BL168" s="567">
        <f t="shared" si="261"/>
        <v>7.2309999999999999</v>
      </c>
      <c r="BM168" s="565"/>
      <c r="BN168" s="716"/>
      <c r="BO168" s="565"/>
      <c r="BP168" s="565"/>
      <c r="BQ168" s="565"/>
      <c r="BR168" s="565"/>
      <c r="BS168" s="716"/>
      <c r="BT168" s="716"/>
      <c r="BU168" s="716"/>
      <c r="BV168" s="716"/>
      <c r="BW168" s="519"/>
    </row>
    <row r="169" spans="1:75" s="444" customFormat="1" outlineLevel="1">
      <c r="A169" s="18" t="s">
        <v>247</v>
      </c>
      <c r="B169" s="49"/>
      <c r="C169" s="698">
        <v>-2.2999999999999998</v>
      </c>
      <c r="D169" s="676">
        <f t="shared" ref="D169:AQ169" si="262">D164+D168</f>
        <v>-9.4909999999999997</v>
      </c>
      <c r="E169" s="676">
        <f t="shared" si="262"/>
        <v>-16.565999999999992</v>
      </c>
      <c r="F169" s="676">
        <f t="shared" si="262"/>
        <v>-18.991000000000014</v>
      </c>
      <c r="G169" s="560">
        <f t="shared" si="262"/>
        <v>-4.7549999999999875</v>
      </c>
      <c r="H169" s="560">
        <f t="shared" si="262"/>
        <v>-0.64599999999999125</v>
      </c>
      <c r="I169" s="560">
        <f t="shared" si="262"/>
        <v>-1.8120000000000058</v>
      </c>
      <c r="J169" s="560">
        <f t="shared" si="262"/>
        <v>-2.0170000000000012</v>
      </c>
      <c r="K169" s="676">
        <f t="shared" si="262"/>
        <v>-9.2300000000000075</v>
      </c>
      <c r="L169" s="560">
        <f t="shared" si="262"/>
        <v>-4.6060000000000132</v>
      </c>
      <c r="M169" s="560">
        <f t="shared" si="262"/>
        <v>3.1119999999999952</v>
      </c>
      <c r="N169" s="560">
        <f t="shared" si="262"/>
        <v>4.7439999999999971</v>
      </c>
      <c r="O169" s="560">
        <f t="shared" si="262"/>
        <v>8.0299999999999905</v>
      </c>
      <c r="P169" s="676">
        <f t="shared" si="262"/>
        <v>11.280000000000026</v>
      </c>
      <c r="Q169" s="560">
        <f t="shared" si="262"/>
        <v>-3.6870000000000092</v>
      </c>
      <c r="R169" s="560">
        <f t="shared" si="262"/>
        <v>0.37900000000001138</v>
      </c>
      <c r="S169" s="560">
        <f t="shared" si="262"/>
        <v>-11.257000000000017</v>
      </c>
      <c r="T169" s="560">
        <f t="shared" si="262"/>
        <v>-6.3729999999999825</v>
      </c>
      <c r="U169" s="676">
        <f t="shared" si="262"/>
        <v>-20.93800000000007</v>
      </c>
      <c r="V169" s="560">
        <f t="shared" si="262"/>
        <v>-14.014999999999997</v>
      </c>
      <c r="W169" s="560">
        <f t="shared" si="262"/>
        <v>-0.81999999999998341</v>
      </c>
      <c r="X169" s="560">
        <f t="shared" si="262"/>
        <v>2.2870000000000079</v>
      </c>
      <c r="Y169" s="560">
        <f t="shared" si="262"/>
        <v>9.2629999999999022</v>
      </c>
      <c r="Z169" s="676">
        <f t="shared" si="262"/>
        <v>-3.2850000000000419</v>
      </c>
      <c r="AA169" s="560">
        <f t="shared" si="262"/>
        <v>-3.9590000000000023</v>
      </c>
      <c r="AB169" s="560">
        <f t="shared" si="262"/>
        <v>8.0190000000000019</v>
      </c>
      <c r="AC169" s="560">
        <f t="shared" si="262"/>
        <v>8.2619999999999916</v>
      </c>
      <c r="AD169" s="560">
        <f t="shared" si="262"/>
        <v>172.16399999999999</v>
      </c>
      <c r="AE169" s="676">
        <f t="shared" si="262"/>
        <v>184.48599999999996</v>
      </c>
      <c r="AF169" s="560">
        <f t="shared" si="262"/>
        <v>-2.2229999999999697</v>
      </c>
      <c r="AG169" s="560">
        <f t="shared" si="262"/>
        <v>11.04499999999998</v>
      </c>
      <c r="AH169" s="560">
        <f t="shared" si="262"/>
        <v>14.302</v>
      </c>
      <c r="AI169" s="560">
        <f t="shared" si="262"/>
        <v>16.88199999999998</v>
      </c>
      <c r="AJ169" s="676">
        <f t="shared" si="262"/>
        <v>40.00600000000005</v>
      </c>
      <c r="AK169" s="560">
        <f t="shared" si="262"/>
        <v>0.80899999999999483</v>
      </c>
      <c r="AL169" s="560">
        <f t="shared" si="262"/>
        <v>16.088000000000001</v>
      </c>
      <c r="AM169" s="560">
        <f t="shared" si="262"/>
        <v>12.612999999999984</v>
      </c>
      <c r="AN169" s="560">
        <f t="shared" si="262"/>
        <v>20.256999999999842</v>
      </c>
      <c r="AO169" s="676">
        <f t="shared" si="262"/>
        <v>49.766999999999854</v>
      </c>
      <c r="AP169" s="560">
        <f t="shared" si="262"/>
        <v>-24.867000000000001</v>
      </c>
      <c r="AQ169" s="560">
        <f t="shared" si="262"/>
        <v>-34.854000000000021</v>
      </c>
      <c r="AR169" s="560">
        <f t="shared" ref="AR169:AV169" si="263">AR164+AR168</f>
        <v>9.7239999999999895</v>
      </c>
      <c r="AS169" s="560">
        <f t="shared" si="263"/>
        <v>14.872000000000014</v>
      </c>
      <c r="AT169" s="676">
        <f t="shared" si="263"/>
        <v>-35.125000000000071</v>
      </c>
      <c r="AU169" s="560">
        <f t="shared" si="263"/>
        <v>-7.9380000000000006</v>
      </c>
      <c r="AV169" s="560">
        <f t="shared" si="263"/>
        <v>-0.53900000000001735</v>
      </c>
      <c r="AW169" s="560">
        <f t="shared" ref="AW169:BB169" si="264">AW164+AW168</f>
        <v>21.975999999999953</v>
      </c>
      <c r="AX169" s="560">
        <f t="shared" si="264"/>
        <v>20.219000000000019</v>
      </c>
      <c r="AY169" s="676">
        <f t="shared" si="264"/>
        <v>33.717999999999783</v>
      </c>
      <c r="AZ169" s="560">
        <f t="shared" si="264"/>
        <v>-3.5270000000000175</v>
      </c>
      <c r="BA169" s="560">
        <f t="shared" si="264"/>
        <v>17.328000000000031</v>
      </c>
      <c r="BB169" s="560">
        <f t="shared" si="264"/>
        <v>16.115000000000034</v>
      </c>
      <c r="BC169" s="560">
        <f t="shared" ref="BC169:BI169" si="265">BC164+BC168</f>
        <v>36.86200000000013</v>
      </c>
      <c r="BD169" s="676">
        <f t="shared" si="265"/>
        <v>66.778000000000063</v>
      </c>
      <c r="BE169" s="560">
        <f t="shared" si="265"/>
        <v>-1.3750000000000462</v>
      </c>
      <c r="BF169" s="560">
        <f t="shared" si="265"/>
        <v>24.639999999999961</v>
      </c>
      <c r="BG169" s="560">
        <f t="shared" si="265"/>
        <v>48.026999999999994</v>
      </c>
      <c r="BH169" s="568">
        <f t="shared" ref="BH169" si="266">BH164+BH168</f>
        <v>33.789999999999985</v>
      </c>
      <c r="BI169" s="699">
        <f t="shared" si="265"/>
        <v>105.08199999999989</v>
      </c>
      <c r="BJ169" s="560">
        <f>BJ164+BJ168</f>
        <v>18.940999999999985</v>
      </c>
      <c r="BK169" s="560">
        <f>BK164+BK168</f>
        <v>50.069000000000017</v>
      </c>
      <c r="BL169" s="561">
        <f>BL164+BL168</f>
        <v>53.882999999999932</v>
      </c>
      <c r="BM169" s="560"/>
      <c r="BN169" s="676"/>
      <c r="BO169" s="560"/>
      <c r="BP169" s="560"/>
      <c r="BQ169" s="560"/>
      <c r="BR169" s="560"/>
      <c r="BS169" s="676"/>
      <c r="BT169" s="676"/>
      <c r="BU169" s="676"/>
      <c r="BV169" s="676"/>
      <c r="BW169" s="318"/>
    </row>
    <row r="170" spans="1:75" s="439" customFormat="1" outlineLevel="1">
      <c r="A170" s="41" t="s">
        <v>248</v>
      </c>
      <c r="B170" s="53"/>
      <c r="C170" s="89"/>
      <c r="D170" s="675">
        <v>-7.2999999999999995E-2</v>
      </c>
      <c r="E170" s="675">
        <v>-0.115</v>
      </c>
      <c r="F170" s="675">
        <v>-0.13900000000000001</v>
      </c>
      <c r="G170" s="518"/>
      <c r="H170" s="518"/>
      <c r="I170" s="518"/>
      <c r="J170" s="518"/>
      <c r="K170" s="675">
        <v>-1.3340000000000001</v>
      </c>
      <c r="L170" s="518"/>
      <c r="M170" s="518"/>
      <c r="N170" s="518"/>
      <c r="O170" s="518"/>
      <c r="P170" s="675">
        <v>-2.0259999999999998</v>
      </c>
      <c r="Q170" s="518"/>
      <c r="R170" s="518"/>
      <c r="S170" s="518"/>
      <c r="T170" s="518"/>
      <c r="U170" s="675">
        <v>-1.37</v>
      </c>
      <c r="V170" s="518"/>
      <c r="W170" s="518"/>
      <c r="X170" s="518"/>
      <c r="Y170" s="518"/>
      <c r="Z170" s="89"/>
      <c r="AA170" s="518"/>
      <c r="AB170" s="518"/>
      <c r="AC170" s="518"/>
      <c r="AD170" s="518"/>
      <c r="AE170" s="89"/>
      <c r="AF170" s="518"/>
      <c r="AG170" s="518"/>
      <c r="AH170" s="518"/>
      <c r="AI170" s="518"/>
      <c r="AJ170" s="89"/>
      <c r="AK170" s="518"/>
      <c r="AL170" s="518"/>
      <c r="AM170" s="518"/>
      <c r="AN170" s="518"/>
      <c r="AO170" s="89"/>
      <c r="AP170" s="518"/>
      <c r="AQ170" s="518"/>
      <c r="AR170" s="518"/>
      <c r="AS170" s="518"/>
      <c r="AT170" s="89"/>
      <c r="AU170" s="518"/>
      <c r="AV170" s="518"/>
      <c r="AW170" s="518"/>
      <c r="AX170" s="518"/>
      <c r="AY170" s="89"/>
      <c r="AZ170" s="518"/>
      <c r="BA170" s="518"/>
      <c r="BB170" s="518"/>
      <c r="BC170" s="518"/>
      <c r="BD170" s="89"/>
      <c r="BE170" s="518"/>
      <c r="BF170" s="518"/>
      <c r="BG170" s="518"/>
      <c r="BH170" s="518"/>
      <c r="BI170" s="89"/>
      <c r="BJ170" s="518"/>
      <c r="BK170" s="518"/>
      <c r="BL170" s="520"/>
      <c r="BM170" s="518"/>
      <c r="BN170" s="89"/>
      <c r="BO170" s="518"/>
      <c r="BP170" s="518"/>
      <c r="BQ170" s="518"/>
      <c r="BR170" s="518"/>
      <c r="BS170" s="89"/>
      <c r="BT170" s="89"/>
      <c r="BU170" s="89"/>
      <c r="BV170" s="89"/>
      <c r="BW170" s="519"/>
    </row>
    <row r="171" spans="1:75" s="439" customFormat="1" outlineLevel="1">
      <c r="A171" s="251" t="s">
        <v>249</v>
      </c>
      <c r="B171" s="292"/>
      <c r="C171" s="674"/>
      <c r="D171" s="718">
        <v>-2E-3</v>
      </c>
      <c r="E171" s="718">
        <v>1.2999999999999999E-2</v>
      </c>
      <c r="F171" s="718">
        <v>1.7000000000000001E-2</v>
      </c>
      <c r="G171" s="521"/>
      <c r="H171" s="521"/>
      <c r="I171" s="521"/>
      <c r="J171" s="521"/>
      <c r="K171" s="718">
        <v>0.496</v>
      </c>
      <c r="L171" s="521"/>
      <c r="M171" s="521"/>
      <c r="N171" s="521"/>
      <c r="O171" s="521"/>
      <c r="P171" s="718">
        <v>27.219000000000001</v>
      </c>
      <c r="Q171" s="521"/>
      <c r="R171" s="521"/>
      <c r="S171" s="521"/>
      <c r="T171" s="521"/>
      <c r="U171" s="718">
        <v>-10.592000000000001</v>
      </c>
      <c r="V171" s="521"/>
      <c r="W171" s="521"/>
      <c r="X171" s="521"/>
      <c r="Y171" s="521"/>
      <c r="Z171" s="674"/>
      <c r="AA171" s="521"/>
      <c r="AB171" s="521"/>
      <c r="AC171" s="521"/>
      <c r="AD171" s="521"/>
      <c r="AE171" s="674"/>
      <c r="AF171" s="521"/>
      <c r="AG171" s="521"/>
      <c r="AH171" s="521"/>
      <c r="AI171" s="521"/>
      <c r="AJ171" s="674"/>
      <c r="AK171" s="521"/>
      <c r="AL171" s="521"/>
      <c r="AM171" s="521"/>
      <c r="AN171" s="521"/>
      <c r="AO171" s="674"/>
      <c r="AP171" s="521"/>
      <c r="AQ171" s="521"/>
      <c r="AR171" s="521"/>
      <c r="AS171" s="521"/>
      <c r="AT171" s="674"/>
      <c r="AU171" s="521"/>
      <c r="AV171" s="521"/>
      <c r="AW171" s="521"/>
      <c r="AX171" s="521"/>
      <c r="AY171" s="674"/>
      <c r="AZ171" s="521"/>
      <c r="BA171" s="521"/>
      <c r="BB171" s="521"/>
      <c r="BC171" s="521"/>
      <c r="BD171" s="674"/>
      <c r="BE171" s="521"/>
      <c r="BF171" s="521"/>
      <c r="BG171" s="521"/>
      <c r="BH171" s="521"/>
      <c r="BI171" s="674"/>
      <c r="BJ171" s="521"/>
      <c r="BK171" s="521"/>
      <c r="BL171" s="522"/>
      <c r="BM171" s="521"/>
      <c r="BN171" s="674"/>
      <c r="BO171" s="521"/>
      <c r="BP171" s="521"/>
      <c r="BQ171" s="521"/>
      <c r="BR171" s="521"/>
      <c r="BS171" s="674"/>
      <c r="BT171" s="674"/>
      <c r="BU171" s="674"/>
      <c r="BV171" s="674"/>
      <c r="BW171" s="519"/>
    </row>
    <row r="172" spans="1:75" s="439" customFormat="1" outlineLevel="1">
      <c r="A172" s="31" t="s">
        <v>250</v>
      </c>
      <c r="B172" s="53"/>
      <c r="C172" s="675">
        <v>-8.0000000000000002E-3</v>
      </c>
      <c r="D172" s="89">
        <f>D170+D171</f>
        <v>-7.4999999999999997E-2</v>
      </c>
      <c r="E172" s="89">
        <f t="shared" ref="E172:F172" si="267">E170+E171</f>
        <v>-0.10200000000000001</v>
      </c>
      <c r="F172" s="89">
        <f t="shared" si="267"/>
        <v>-0.12200000000000001</v>
      </c>
      <c r="G172" s="609">
        <v>-4.3999999999999997E-2</v>
      </c>
      <c r="H172" s="609">
        <v>-0.23200000000000001</v>
      </c>
      <c r="I172" s="609">
        <v>-0.51</v>
      </c>
      <c r="J172" s="609">
        <v>-5.1999999999999998E-2</v>
      </c>
      <c r="K172" s="89">
        <f t="shared" ref="K172" si="268">K170+K171</f>
        <v>-0.83800000000000008</v>
      </c>
      <c r="L172" s="609">
        <v>1.9710000000000001</v>
      </c>
      <c r="M172" s="609">
        <v>-0.36899999999999999</v>
      </c>
      <c r="N172" s="609">
        <v>-1.107</v>
      </c>
      <c r="O172" s="609">
        <v>24.698</v>
      </c>
      <c r="P172" s="89">
        <f t="shared" ref="P172" si="269">P170+P171</f>
        <v>25.193000000000001</v>
      </c>
      <c r="Q172" s="609">
        <v>2.403</v>
      </c>
      <c r="R172" s="609">
        <v>-1.6839999999999999</v>
      </c>
      <c r="S172" s="609">
        <v>3.1749999999999998</v>
      </c>
      <c r="T172" s="609">
        <v>-15.856</v>
      </c>
      <c r="U172" s="89">
        <f t="shared" ref="U172" si="270">U170+U171</f>
        <v>-11.962</v>
      </c>
      <c r="V172" s="609">
        <v>-1.4370000000000001</v>
      </c>
      <c r="W172" s="609">
        <v>1.2689999999999999</v>
      </c>
      <c r="X172" s="609">
        <v>-0.217</v>
      </c>
      <c r="Y172" s="518">
        <f>Z172-SUM(V172,W172,X172)</f>
        <v>-0.99999999999999989</v>
      </c>
      <c r="Z172" s="675">
        <v>-1.385</v>
      </c>
      <c r="AA172" s="609">
        <v>-6.7000000000000004E-2</v>
      </c>
      <c r="AB172" s="609">
        <v>-0.11799999999999999</v>
      </c>
      <c r="AC172" s="609">
        <v>-0.23200000000000001</v>
      </c>
      <c r="AD172" s="609">
        <v>-31.074000000000002</v>
      </c>
      <c r="AE172" s="675">
        <v>-31.491</v>
      </c>
      <c r="AF172" s="609">
        <v>-6.3E-2</v>
      </c>
      <c r="AG172" s="609">
        <v>-0.34100000000000003</v>
      </c>
      <c r="AH172" s="609">
        <v>0.68400000000000005</v>
      </c>
      <c r="AI172" s="518">
        <f>AJ172-SUM(AF172,AG172,AH172)</f>
        <v>15.064</v>
      </c>
      <c r="AJ172" s="675">
        <v>15.343999999999999</v>
      </c>
      <c r="AK172" s="611">
        <v>0.55600000000000005</v>
      </c>
      <c r="AL172" s="609">
        <v>-3.7850000000000001</v>
      </c>
      <c r="AM172" s="609">
        <v>-2.552</v>
      </c>
      <c r="AN172" s="518">
        <f>AO172-SUM(AK172,AL172,AM172)</f>
        <v>-3.1049999999999986</v>
      </c>
      <c r="AO172" s="675">
        <v>-8.8859999999999992</v>
      </c>
      <c r="AP172" s="611">
        <v>9.3640000000000008</v>
      </c>
      <c r="AQ172" s="609">
        <v>10.864000000000001</v>
      </c>
      <c r="AR172" s="609">
        <v>-10.744</v>
      </c>
      <c r="AS172" s="609">
        <v>6.2169999999999996</v>
      </c>
      <c r="AT172" s="675">
        <v>15.701000000000001</v>
      </c>
      <c r="AU172" s="611">
        <v>2.1419999999999999</v>
      </c>
      <c r="AV172" s="609">
        <v>4.7510000000000003</v>
      </c>
      <c r="AW172" s="609">
        <v>-3.911</v>
      </c>
      <c r="AX172" s="518">
        <f>AY172-SUM(AU172,AV172,AW172)</f>
        <v>2.9709999999999996</v>
      </c>
      <c r="AY172" s="675">
        <v>5.9530000000000003</v>
      </c>
      <c r="AZ172" s="611">
        <v>2.6120000000000001</v>
      </c>
      <c r="BA172" s="609">
        <v>-9.3190000000000008</v>
      </c>
      <c r="BB172" s="609">
        <v>-7.0069999999999997</v>
      </c>
      <c r="BC172" s="518">
        <f>BD172-SUM(AZ172,BA172,BB172)</f>
        <v>-16.716999999999999</v>
      </c>
      <c r="BD172" s="675">
        <v>-30.431000000000001</v>
      </c>
      <c r="BE172" s="611">
        <v>0.19700000000000001</v>
      </c>
      <c r="BF172" s="609">
        <v>-9.9109999999999996</v>
      </c>
      <c r="BG172" s="609">
        <v>10.189</v>
      </c>
      <c r="BH172" s="518">
        <f>BI172-SUM(BE172,BF172,BG172)</f>
        <v>-6.3839999999999995</v>
      </c>
      <c r="BI172" s="675">
        <v>-5.9089999999999998</v>
      </c>
      <c r="BJ172" s="611">
        <v>-4.7869999999999999</v>
      </c>
      <c r="BK172" s="609">
        <v>-12.032999999999999</v>
      </c>
      <c r="BL172" s="610">
        <v>-15.443</v>
      </c>
      <c r="BM172" s="518"/>
      <c r="BN172" s="89"/>
      <c r="BO172" s="518"/>
      <c r="BP172" s="518"/>
      <c r="BQ172" s="518"/>
      <c r="BR172" s="518"/>
      <c r="BS172" s="89"/>
      <c r="BT172" s="89"/>
      <c r="BU172" s="89"/>
      <c r="BV172" s="89"/>
      <c r="BW172" s="519"/>
    </row>
    <row r="173" spans="1:75" s="444" customFormat="1" outlineLevel="1">
      <c r="A173" s="29" t="s">
        <v>251</v>
      </c>
      <c r="B173" s="52"/>
      <c r="C173" s="719">
        <f>C169+C172</f>
        <v>-2.3079999999999998</v>
      </c>
      <c r="D173" s="719">
        <f>D169+D172</f>
        <v>-9.5659999999999989</v>
      </c>
      <c r="E173" s="719">
        <f t="shared" ref="E173:F173" si="271">E169+E172</f>
        <v>-16.667999999999992</v>
      </c>
      <c r="F173" s="719">
        <f t="shared" si="271"/>
        <v>-19.113000000000014</v>
      </c>
      <c r="G173" s="569">
        <f t="shared" ref="G173" si="272">G169+G172</f>
        <v>-4.7989999999999871</v>
      </c>
      <c r="H173" s="569">
        <f t="shared" ref="H173" si="273">H169+H172</f>
        <v>-0.87799999999999123</v>
      </c>
      <c r="I173" s="569">
        <f t="shared" ref="I173" si="274">I169+I172</f>
        <v>-2.3220000000000058</v>
      </c>
      <c r="J173" s="569">
        <f t="shared" ref="J173" si="275">J169+J172</f>
        <v>-2.0690000000000013</v>
      </c>
      <c r="K173" s="719">
        <f t="shared" ref="K173" si="276">K169+K172</f>
        <v>-10.068000000000008</v>
      </c>
      <c r="L173" s="569">
        <f t="shared" ref="L173" si="277">L169+L172</f>
        <v>-2.6350000000000131</v>
      </c>
      <c r="M173" s="569">
        <f t="shared" ref="M173" si="278">M169+M172</f>
        <v>2.742999999999995</v>
      </c>
      <c r="N173" s="569">
        <f t="shared" ref="N173" si="279">N169+N172</f>
        <v>3.6369999999999969</v>
      </c>
      <c r="O173" s="569">
        <f t="shared" ref="O173" si="280">O169+O172</f>
        <v>32.727999999999994</v>
      </c>
      <c r="P173" s="719">
        <f t="shared" ref="P173" si="281">P169+P172</f>
        <v>36.473000000000027</v>
      </c>
      <c r="Q173" s="569">
        <f t="shared" ref="Q173" si="282">Q169+Q172</f>
        <v>-1.2840000000000091</v>
      </c>
      <c r="R173" s="569">
        <f t="shared" ref="R173" si="283">R169+R172</f>
        <v>-1.3049999999999886</v>
      </c>
      <c r="S173" s="569">
        <f t="shared" ref="S173" si="284">S169+S172</f>
        <v>-8.0820000000000185</v>
      </c>
      <c r="T173" s="569">
        <f t="shared" ref="T173" si="285">T169+T172</f>
        <v>-22.228999999999981</v>
      </c>
      <c r="U173" s="719">
        <f t="shared" ref="U173" si="286">U169+U172</f>
        <v>-32.90000000000007</v>
      </c>
      <c r="V173" s="569">
        <f t="shared" ref="V173" si="287">V169+V172</f>
        <v>-15.451999999999996</v>
      </c>
      <c r="W173" s="569">
        <f t="shared" ref="W173" si="288">W169+W172</f>
        <v>0.4490000000000165</v>
      </c>
      <c r="X173" s="569">
        <f t="shared" ref="X173" si="289">X169+X172</f>
        <v>2.0700000000000078</v>
      </c>
      <c r="Y173" s="569">
        <f t="shared" ref="Y173" si="290">Y169+Y172</f>
        <v>8.2629999999999022</v>
      </c>
      <c r="Z173" s="719">
        <f t="shared" ref="Z173" si="291">Z169+Z172</f>
        <v>-4.6700000000000417</v>
      </c>
      <c r="AA173" s="569">
        <f t="shared" ref="AA173" si="292">AA169+AA172</f>
        <v>-4.0260000000000025</v>
      </c>
      <c r="AB173" s="569">
        <f t="shared" ref="AB173" si="293">AB169+AB172</f>
        <v>7.9010000000000016</v>
      </c>
      <c r="AC173" s="569">
        <f t="shared" ref="AC173" si="294">AC169+AC172</f>
        <v>8.0299999999999923</v>
      </c>
      <c r="AD173" s="569">
        <f t="shared" ref="AD173" si="295">AD169+AD172</f>
        <v>141.08999999999997</v>
      </c>
      <c r="AE173" s="719">
        <f t="shared" ref="AE173" si="296">AE169+AE172</f>
        <v>152.99499999999995</v>
      </c>
      <c r="AF173" s="569">
        <f t="shared" ref="AF173" si="297">AF169+AF172</f>
        <v>-2.2859999999999698</v>
      </c>
      <c r="AG173" s="569">
        <f t="shared" ref="AG173" si="298">AG169+AG172</f>
        <v>10.703999999999981</v>
      </c>
      <c r="AH173" s="569">
        <f t="shared" ref="AH173" si="299">AH169+AH172</f>
        <v>14.985999999999999</v>
      </c>
      <c r="AI173" s="569">
        <f t="shared" ref="AI173" si="300">AI169+AI172</f>
        <v>31.94599999999998</v>
      </c>
      <c r="AJ173" s="719">
        <f t="shared" ref="AJ173" si="301">AJ169+AJ172</f>
        <v>55.350000000000051</v>
      </c>
      <c r="AK173" s="569">
        <f t="shared" ref="AK173" si="302">AK169+AK172</f>
        <v>1.3649999999999949</v>
      </c>
      <c r="AL173" s="569">
        <f t="shared" ref="AL173" si="303">AL169+AL172</f>
        <v>12.303000000000001</v>
      </c>
      <c r="AM173" s="569">
        <f t="shared" ref="AM173" si="304">AM169+AM172</f>
        <v>10.060999999999984</v>
      </c>
      <c r="AN173" s="569">
        <f t="shared" ref="AN173" si="305">AN169+AN172</f>
        <v>17.151999999999845</v>
      </c>
      <c r="AO173" s="719">
        <f t="shared" ref="AO173" si="306">AO169+AO172</f>
        <v>40.880999999999858</v>
      </c>
      <c r="AP173" s="569">
        <f t="shared" ref="AP173" si="307">AP169+AP172</f>
        <v>-15.503</v>
      </c>
      <c r="AQ173" s="569">
        <f t="shared" ref="AQ173" si="308">AQ169+AQ172</f>
        <v>-23.99000000000002</v>
      </c>
      <c r="AR173" s="569">
        <f t="shared" ref="AR173" si="309">AR169+AR172</f>
        <v>-1.0200000000000102</v>
      </c>
      <c r="AS173" s="569">
        <f t="shared" ref="AS173" si="310">AS169+AS172</f>
        <v>21.089000000000013</v>
      </c>
      <c r="AT173" s="719">
        <f t="shared" ref="AT173" si="311">AT169+AT172</f>
        <v>-19.424000000000071</v>
      </c>
      <c r="AU173" s="569">
        <f t="shared" ref="AU173" si="312">AU169+AU172</f>
        <v>-5.7960000000000012</v>
      </c>
      <c r="AV173" s="569">
        <f t="shared" ref="AV173" si="313">AV169+AV172</f>
        <v>4.2119999999999829</v>
      </c>
      <c r="AW173" s="569">
        <f t="shared" ref="AW173" si="314">AW169+AW172</f>
        <v>18.064999999999952</v>
      </c>
      <c r="AX173" s="569">
        <f t="shared" ref="AX173" si="315">AX169+AX172</f>
        <v>23.190000000000019</v>
      </c>
      <c r="AY173" s="719">
        <f t="shared" ref="AY173" si="316">AY169+AY172</f>
        <v>39.670999999999786</v>
      </c>
      <c r="AZ173" s="569">
        <f t="shared" ref="AZ173" si="317">AZ169+AZ172</f>
        <v>-0.91500000000001736</v>
      </c>
      <c r="BA173" s="569">
        <f t="shared" ref="BA173" si="318">BA169+BA172</f>
        <v>8.0090000000000305</v>
      </c>
      <c r="BB173" s="569">
        <f t="shared" ref="BB173" si="319">BB169+BB172</f>
        <v>9.1080000000000343</v>
      </c>
      <c r="BC173" s="569">
        <f t="shared" ref="BC173" si="320">BC169+BC172</f>
        <v>20.145000000000131</v>
      </c>
      <c r="BD173" s="719">
        <f t="shared" ref="BD173" si="321">BD169+BD172</f>
        <v>36.347000000000065</v>
      </c>
      <c r="BE173" s="569">
        <f t="shared" ref="BE173" si="322">BE169+BE172</f>
        <v>-1.1780000000000461</v>
      </c>
      <c r="BF173" s="569">
        <f t="shared" ref="BF173" si="323">BF169+BF172</f>
        <v>14.728999999999962</v>
      </c>
      <c r="BG173" s="569">
        <f t="shared" ref="BG173" si="324">BG169+BG172</f>
        <v>58.215999999999994</v>
      </c>
      <c r="BH173" s="569">
        <f>BH169+BH172</f>
        <v>27.405999999999985</v>
      </c>
      <c r="BI173" s="719">
        <f>BI169+BI172</f>
        <v>99.172999999999888</v>
      </c>
      <c r="BJ173" s="569">
        <f>BJ169+BJ172</f>
        <v>14.153999999999986</v>
      </c>
      <c r="BK173" s="569">
        <f>BK169+BK172</f>
        <v>38.036000000000016</v>
      </c>
      <c r="BL173" s="570">
        <f>BL169+BL172</f>
        <v>38.439999999999934</v>
      </c>
      <c r="BM173" s="569"/>
      <c r="BN173" s="719"/>
      <c r="BO173" s="569"/>
      <c r="BP173" s="569"/>
      <c r="BQ173" s="569"/>
      <c r="BR173" s="569"/>
      <c r="BS173" s="719"/>
      <c r="BT173" s="719"/>
      <c r="BU173" s="719"/>
      <c r="BV173" s="719"/>
      <c r="BW173" s="318"/>
    </row>
    <row r="174" spans="1:75" s="439" customFormat="1" outlineLevel="1">
      <c r="A174" s="31" t="s">
        <v>252</v>
      </c>
      <c r="B174" s="53"/>
      <c r="C174" s="675">
        <v>-3.2000000000000001E-2</v>
      </c>
      <c r="D174" s="675">
        <v>0.17499999999999999</v>
      </c>
      <c r="E174" s="675">
        <v>-0.189</v>
      </c>
      <c r="F174" s="675">
        <v>-3.2000000000000001E-2</v>
      </c>
      <c r="G174" s="518"/>
      <c r="H174" s="518"/>
      <c r="I174" s="518"/>
      <c r="J174" s="518"/>
      <c r="K174" s="89"/>
      <c r="L174" s="518"/>
      <c r="M174" s="518"/>
      <c r="N174" s="518"/>
      <c r="O174" s="518"/>
      <c r="P174" s="89"/>
      <c r="Q174" s="518"/>
      <c r="R174" s="518"/>
      <c r="S174" s="518"/>
      <c r="T174" s="518"/>
      <c r="U174" s="89"/>
      <c r="V174" s="518"/>
      <c r="W174" s="518"/>
      <c r="X174" s="518"/>
      <c r="Y174" s="518"/>
      <c r="Z174" s="89"/>
      <c r="AA174" s="518"/>
      <c r="AB174" s="518"/>
      <c r="AC174" s="518"/>
      <c r="AD174" s="518"/>
      <c r="AE174" s="89"/>
      <c r="AF174" s="518"/>
      <c r="AG174" s="518"/>
      <c r="AH174" s="518"/>
      <c r="AI174" s="518"/>
      <c r="AJ174" s="89"/>
      <c r="AK174" s="518"/>
      <c r="AL174" s="518"/>
      <c r="AM174" s="518"/>
      <c r="AN174" s="518"/>
      <c r="AO174" s="89"/>
      <c r="AP174" s="518"/>
      <c r="AQ174" s="518"/>
      <c r="AR174" s="518"/>
      <c r="AS174" s="518"/>
      <c r="AT174" s="89"/>
      <c r="AU174" s="518"/>
      <c r="AV174" s="518"/>
      <c r="AW174" s="518"/>
      <c r="AX174" s="518"/>
      <c r="AY174" s="89"/>
      <c r="AZ174" s="518"/>
      <c r="BA174" s="518"/>
      <c r="BB174" s="518"/>
      <c r="BC174" s="518"/>
      <c r="BD174" s="89"/>
      <c r="BE174" s="518"/>
      <c r="BF174" s="518"/>
      <c r="BG174" s="518"/>
      <c r="BH174" s="518"/>
      <c r="BI174" s="89"/>
      <c r="BJ174" s="518"/>
      <c r="BK174" s="518"/>
      <c r="BL174" s="520"/>
      <c r="BM174" s="518"/>
      <c r="BN174" s="89"/>
      <c r="BO174" s="518"/>
      <c r="BP174" s="518"/>
      <c r="BQ174" s="518"/>
      <c r="BR174" s="518"/>
      <c r="BS174" s="89"/>
      <c r="BT174" s="89"/>
      <c r="BU174" s="89"/>
      <c r="BV174" s="89"/>
      <c r="BW174" s="519"/>
    </row>
    <row r="175" spans="1:75" s="444" customFormat="1" outlineLevel="1">
      <c r="A175" s="29" t="s">
        <v>253</v>
      </c>
      <c r="B175" s="52"/>
      <c r="C175" s="720">
        <v>-2.34</v>
      </c>
      <c r="D175" s="719">
        <f t="shared" ref="D175:AQ175" si="325">D173-D174</f>
        <v>-9.7409999999999997</v>
      </c>
      <c r="E175" s="719">
        <f t="shared" si="325"/>
        <v>-16.478999999999992</v>
      </c>
      <c r="F175" s="719">
        <f t="shared" si="325"/>
        <v>-19.081000000000014</v>
      </c>
      <c r="G175" s="569">
        <f t="shared" si="325"/>
        <v>-4.7989999999999871</v>
      </c>
      <c r="H175" s="569">
        <f t="shared" si="325"/>
        <v>-0.87799999999999123</v>
      </c>
      <c r="I175" s="569">
        <f t="shared" si="325"/>
        <v>-2.3220000000000058</v>
      </c>
      <c r="J175" s="569">
        <f t="shared" si="325"/>
        <v>-2.0690000000000013</v>
      </c>
      <c r="K175" s="719">
        <f t="shared" si="325"/>
        <v>-10.068000000000008</v>
      </c>
      <c r="L175" s="569">
        <f t="shared" si="325"/>
        <v>-2.6350000000000131</v>
      </c>
      <c r="M175" s="569">
        <f t="shared" si="325"/>
        <v>2.742999999999995</v>
      </c>
      <c r="N175" s="569">
        <f t="shared" si="325"/>
        <v>3.6369999999999969</v>
      </c>
      <c r="O175" s="569">
        <f t="shared" si="325"/>
        <v>32.727999999999994</v>
      </c>
      <c r="P175" s="719">
        <f t="shared" si="325"/>
        <v>36.473000000000027</v>
      </c>
      <c r="Q175" s="569">
        <f t="shared" si="325"/>
        <v>-1.2840000000000091</v>
      </c>
      <c r="R175" s="569">
        <f t="shared" si="325"/>
        <v>-1.3049999999999886</v>
      </c>
      <c r="S175" s="569">
        <f t="shared" si="325"/>
        <v>-8.0820000000000185</v>
      </c>
      <c r="T175" s="569">
        <f t="shared" si="325"/>
        <v>-22.228999999999981</v>
      </c>
      <c r="U175" s="719">
        <f t="shared" si="325"/>
        <v>-32.90000000000007</v>
      </c>
      <c r="V175" s="569">
        <f t="shared" si="325"/>
        <v>-15.451999999999996</v>
      </c>
      <c r="W175" s="569">
        <f t="shared" si="325"/>
        <v>0.4490000000000165</v>
      </c>
      <c r="X175" s="569">
        <f t="shared" si="325"/>
        <v>2.0700000000000078</v>
      </c>
      <c r="Y175" s="569">
        <f t="shared" si="325"/>
        <v>8.2629999999999022</v>
      </c>
      <c r="Z175" s="719">
        <f t="shared" si="325"/>
        <v>-4.6700000000000417</v>
      </c>
      <c r="AA175" s="569">
        <f t="shared" si="325"/>
        <v>-4.0260000000000025</v>
      </c>
      <c r="AB175" s="569">
        <f t="shared" si="325"/>
        <v>7.9010000000000016</v>
      </c>
      <c r="AC175" s="569">
        <f t="shared" si="325"/>
        <v>8.0299999999999923</v>
      </c>
      <c r="AD175" s="569">
        <f t="shared" si="325"/>
        <v>141.08999999999997</v>
      </c>
      <c r="AE175" s="719">
        <f t="shared" si="325"/>
        <v>152.99499999999995</v>
      </c>
      <c r="AF175" s="569">
        <f t="shared" si="325"/>
        <v>-2.2859999999999698</v>
      </c>
      <c r="AG175" s="569">
        <f t="shared" si="325"/>
        <v>10.703999999999981</v>
      </c>
      <c r="AH175" s="569">
        <f t="shared" si="325"/>
        <v>14.985999999999999</v>
      </c>
      <c r="AI175" s="569">
        <f t="shared" si="325"/>
        <v>31.94599999999998</v>
      </c>
      <c r="AJ175" s="719">
        <f t="shared" si="325"/>
        <v>55.350000000000051</v>
      </c>
      <c r="AK175" s="569">
        <f t="shared" si="325"/>
        <v>1.3649999999999949</v>
      </c>
      <c r="AL175" s="569">
        <f t="shared" si="325"/>
        <v>12.303000000000001</v>
      </c>
      <c r="AM175" s="569">
        <f t="shared" si="325"/>
        <v>10.060999999999984</v>
      </c>
      <c r="AN175" s="569">
        <f t="shared" si="325"/>
        <v>17.151999999999845</v>
      </c>
      <c r="AO175" s="719">
        <f t="shared" si="325"/>
        <v>40.880999999999858</v>
      </c>
      <c r="AP175" s="569">
        <f t="shared" si="325"/>
        <v>-15.503</v>
      </c>
      <c r="AQ175" s="569">
        <f t="shared" si="325"/>
        <v>-23.99000000000002</v>
      </c>
      <c r="AR175" s="569">
        <f t="shared" ref="AR175:AW175" si="326">AR173-AR174</f>
        <v>-1.0200000000000102</v>
      </c>
      <c r="AS175" s="569">
        <f t="shared" si="326"/>
        <v>21.089000000000013</v>
      </c>
      <c r="AT175" s="719">
        <f t="shared" si="326"/>
        <v>-19.424000000000071</v>
      </c>
      <c r="AU175" s="569">
        <f t="shared" si="326"/>
        <v>-5.7960000000000012</v>
      </c>
      <c r="AV175" s="569">
        <f t="shared" si="326"/>
        <v>4.2119999999999829</v>
      </c>
      <c r="AW175" s="569">
        <f t="shared" si="326"/>
        <v>18.064999999999952</v>
      </c>
      <c r="AX175" s="569">
        <f t="shared" ref="AX175:BD175" si="327">AX173-AX174</f>
        <v>23.190000000000019</v>
      </c>
      <c r="AY175" s="719">
        <f t="shared" si="327"/>
        <v>39.670999999999786</v>
      </c>
      <c r="AZ175" s="569">
        <f t="shared" si="327"/>
        <v>-0.91500000000001736</v>
      </c>
      <c r="BA175" s="569">
        <f t="shared" si="327"/>
        <v>8.0090000000000305</v>
      </c>
      <c r="BB175" s="569">
        <f t="shared" si="327"/>
        <v>9.1080000000000343</v>
      </c>
      <c r="BC175" s="569">
        <f t="shared" si="327"/>
        <v>20.145000000000131</v>
      </c>
      <c r="BD175" s="719">
        <f t="shared" si="327"/>
        <v>36.347000000000065</v>
      </c>
      <c r="BE175" s="569">
        <f t="shared" ref="BE175:BJ175" si="328">BE173-BE174</f>
        <v>-1.1780000000000461</v>
      </c>
      <c r="BF175" s="569">
        <f t="shared" si="328"/>
        <v>14.728999999999962</v>
      </c>
      <c r="BG175" s="569">
        <f t="shared" si="328"/>
        <v>58.215999999999994</v>
      </c>
      <c r="BH175" s="569">
        <f t="shared" si="328"/>
        <v>27.405999999999985</v>
      </c>
      <c r="BI175" s="719">
        <f t="shared" si="328"/>
        <v>99.172999999999888</v>
      </c>
      <c r="BJ175" s="569">
        <f t="shared" si="328"/>
        <v>14.153999999999986</v>
      </c>
      <c r="BK175" s="569">
        <f>BK173-BK174</f>
        <v>38.036000000000016</v>
      </c>
      <c r="BL175" s="570">
        <f>BL173-BL174</f>
        <v>38.439999999999934</v>
      </c>
      <c r="BM175" s="569"/>
      <c r="BN175" s="719"/>
      <c r="BO175" s="569"/>
      <c r="BP175" s="569"/>
      <c r="BQ175" s="569"/>
      <c r="BR175" s="569"/>
      <c r="BS175" s="719"/>
      <c r="BT175" s="719"/>
      <c r="BU175" s="719"/>
      <c r="BV175" s="719"/>
      <c r="BW175" s="318"/>
    </row>
    <row r="176" spans="1:75" s="439" customFormat="1" outlineLevel="1">
      <c r="A176" s="31"/>
      <c r="B176" s="53"/>
      <c r="C176" s="89"/>
      <c r="D176" s="89"/>
      <c r="E176" s="89"/>
      <c r="F176" s="89"/>
      <c r="G176" s="518"/>
      <c r="H176" s="518"/>
      <c r="I176" s="518"/>
      <c r="J176" s="518"/>
      <c r="K176" s="89"/>
      <c r="L176" s="518"/>
      <c r="M176" s="518"/>
      <c r="N176" s="518"/>
      <c r="O176" s="518"/>
      <c r="P176" s="89"/>
      <c r="Q176" s="518"/>
      <c r="R176" s="518"/>
      <c r="S176" s="518"/>
      <c r="T176" s="518"/>
      <c r="U176" s="89"/>
      <c r="V176" s="518"/>
      <c r="W176" s="518"/>
      <c r="X176" s="518"/>
      <c r="Y176" s="518"/>
      <c r="Z176" s="89"/>
      <c r="AA176" s="518"/>
      <c r="AB176" s="518"/>
      <c r="AC176" s="518"/>
      <c r="AD176" s="518"/>
      <c r="AE176" s="89"/>
      <c r="AF176" s="518"/>
      <c r="AG176" s="518"/>
      <c r="AH176" s="518"/>
      <c r="AI176" s="518"/>
      <c r="AJ176" s="89"/>
      <c r="AK176" s="518"/>
      <c r="AL176" s="518"/>
      <c r="AM176" s="518"/>
      <c r="AN176" s="518"/>
      <c r="AO176" s="89"/>
      <c r="AP176" s="518"/>
      <c r="AQ176" s="518"/>
      <c r="AR176" s="518"/>
      <c r="AS176" s="518"/>
      <c r="AT176" s="89"/>
      <c r="AU176" s="518"/>
      <c r="AV176" s="518"/>
      <c r="AW176" s="518"/>
      <c r="AX176" s="518"/>
      <c r="AY176" s="89"/>
      <c r="AZ176" s="518"/>
      <c r="BA176" s="518"/>
      <c r="BB176" s="518"/>
      <c r="BC176" s="518"/>
      <c r="BD176" s="89"/>
      <c r="BE176" s="518"/>
      <c r="BF176" s="518"/>
      <c r="BG176" s="518"/>
      <c r="BH176" s="518"/>
      <c r="BI176" s="89"/>
      <c r="BJ176" s="518"/>
      <c r="BK176" s="518"/>
      <c r="BL176" s="520"/>
      <c r="BM176" s="518"/>
      <c r="BN176" s="89"/>
      <c r="BO176" s="518"/>
      <c r="BP176" s="518"/>
      <c r="BQ176" s="518"/>
      <c r="BR176" s="518"/>
      <c r="BS176" s="89"/>
      <c r="BT176" s="89"/>
      <c r="BU176" s="89"/>
      <c r="BV176" s="89"/>
      <c r="BW176" s="519"/>
    </row>
    <row r="177" spans="1:75" s="439" customFormat="1" outlineLevel="1">
      <c r="A177" s="528" t="s">
        <v>254</v>
      </c>
      <c r="B177" s="528"/>
      <c r="C177" s="588">
        <f t="shared" ref="C177:AH177" si="329">IF(ISBLANK(INDEX(MO_IS_FirstRow,0,COLUMN())),0,ROUND(C173-C504,6))</f>
        <v>0</v>
      </c>
      <c r="D177" s="588">
        <f t="shared" si="329"/>
        <v>0</v>
      </c>
      <c r="E177" s="588">
        <f t="shared" si="329"/>
        <v>0</v>
      </c>
      <c r="F177" s="588">
        <f t="shared" si="329"/>
        <v>0</v>
      </c>
      <c r="G177" s="588">
        <f t="shared" si="329"/>
        <v>0</v>
      </c>
      <c r="H177" s="588">
        <f t="shared" si="329"/>
        <v>0</v>
      </c>
      <c r="I177" s="588">
        <f t="shared" si="329"/>
        <v>0</v>
      </c>
      <c r="J177" s="588">
        <f t="shared" si="329"/>
        <v>0</v>
      </c>
      <c r="K177" s="588">
        <f t="shared" si="329"/>
        <v>0</v>
      </c>
      <c r="L177" s="588">
        <f t="shared" si="329"/>
        <v>0</v>
      </c>
      <c r="M177" s="588">
        <f t="shared" si="329"/>
        <v>0</v>
      </c>
      <c r="N177" s="588">
        <f t="shared" si="329"/>
        <v>0</v>
      </c>
      <c r="O177" s="588">
        <f t="shared" si="329"/>
        <v>0</v>
      </c>
      <c r="P177" s="588">
        <f t="shared" si="329"/>
        <v>0</v>
      </c>
      <c r="Q177" s="588">
        <f t="shared" si="329"/>
        <v>0</v>
      </c>
      <c r="R177" s="588">
        <f t="shared" si="329"/>
        <v>0</v>
      </c>
      <c r="S177" s="588">
        <f t="shared" si="329"/>
        <v>0</v>
      </c>
      <c r="T177" s="588">
        <f t="shared" si="329"/>
        <v>0</v>
      </c>
      <c r="U177" s="588">
        <f t="shared" si="329"/>
        <v>0</v>
      </c>
      <c r="V177" s="588">
        <f t="shared" si="329"/>
        <v>0</v>
      </c>
      <c r="W177" s="588">
        <f t="shared" si="329"/>
        <v>0</v>
      </c>
      <c r="X177" s="588">
        <f t="shared" si="329"/>
        <v>0</v>
      </c>
      <c r="Y177" s="588">
        <f t="shared" si="329"/>
        <v>0</v>
      </c>
      <c r="Z177" s="588">
        <f t="shared" si="329"/>
        <v>0</v>
      </c>
      <c r="AA177" s="588">
        <f t="shared" si="329"/>
        <v>0</v>
      </c>
      <c r="AB177" s="588">
        <f t="shared" si="329"/>
        <v>-3.0000000000000001E-3</v>
      </c>
      <c r="AC177" s="588">
        <f t="shared" si="329"/>
        <v>3.4000000000000002E-2</v>
      </c>
      <c r="AD177" s="588">
        <f t="shared" si="329"/>
        <v>-3.1E-2</v>
      </c>
      <c r="AE177" s="588">
        <f t="shared" si="329"/>
        <v>0</v>
      </c>
      <c r="AF177" s="588">
        <f t="shared" si="329"/>
        <v>0</v>
      </c>
      <c r="AG177" s="588">
        <f t="shared" si="329"/>
        <v>0</v>
      </c>
      <c r="AH177" s="588">
        <f t="shared" si="329"/>
        <v>0</v>
      </c>
      <c r="AI177" s="588">
        <f t="shared" ref="AI177:BN177" si="330">IF(ISBLANK(INDEX(MO_IS_FirstRow,0,COLUMN())),0,ROUND(AI173-AI504,6))</f>
        <v>0</v>
      </c>
      <c r="AJ177" s="588">
        <f t="shared" si="330"/>
        <v>0</v>
      </c>
      <c r="AK177" s="588">
        <f t="shared" si="330"/>
        <v>0</v>
      </c>
      <c r="AL177" s="588">
        <f t="shared" si="330"/>
        <v>0</v>
      </c>
      <c r="AM177" s="588">
        <f t="shared" si="330"/>
        <v>0</v>
      </c>
      <c r="AN177" s="588">
        <f t="shared" si="330"/>
        <v>0</v>
      </c>
      <c r="AO177" s="588">
        <f t="shared" si="330"/>
        <v>0</v>
      </c>
      <c r="AP177" s="588">
        <f t="shared" si="330"/>
        <v>0</v>
      </c>
      <c r="AQ177" s="588">
        <f t="shared" si="330"/>
        <v>0</v>
      </c>
      <c r="AR177" s="588">
        <f t="shared" si="330"/>
        <v>0</v>
      </c>
      <c r="AS177" s="588">
        <f t="shared" si="330"/>
        <v>0</v>
      </c>
      <c r="AT177" s="588">
        <f t="shared" si="330"/>
        <v>0</v>
      </c>
      <c r="AU177" s="588">
        <f t="shared" si="330"/>
        <v>0</v>
      </c>
      <c r="AV177" s="588">
        <f t="shared" si="330"/>
        <v>0</v>
      </c>
      <c r="AW177" s="588">
        <f t="shared" si="330"/>
        <v>0</v>
      </c>
      <c r="AX177" s="588">
        <f t="shared" si="330"/>
        <v>0</v>
      </c>
      <c r="AY177" s="588">
        <f t="shared" si="330"/>
        <v>0</v>
      </c>
      <c r="AZ177" s="588">
        <f t="shared" si="330"/>
        <v>0</v>
      </c>
      <c r="BA177" s="588">
        <f t="shared" si="330"/>
        <v>0</v>
      </c>
      <c r="BB177" s="588">
        <f t="shared" si="330"/>
        <v>0</v>
      </c>
      <c r="BC177" s="588">
        <f t="shared" si="330"/>
        <v>0</v>
      </c>
      <c r="BD177" s="588">
        <f t="shared" si="330"/>
        <v>0</v>
      </c>
      <c r="BE177" s="588">
        <f t="shared" si="330"/>
        <v>0</v>
      </c>
      <c r="BF177" s="588">
        <f t="shared" si="330"/>
        <v>0</v>
      </c>
      <c r="BG177" s="588">
        <f t="shared" si="330"/>
        <v>0</v>
      </c>
      <c r="BH177" s="588">
        <f t="shared" ref="BH177:BM177" si="331">IF(ISBLANK(INDEX(MO_IS_FirstRow,0,COLUMN())),0,ROUND(BH173-BH504,6))</f>
        <v>0</v>
      </c>
      <c r="BI177" s="588">
        <f t="shared" si="331"/>
        <v>0</v>
      </c>
      <c r="BJ177" s="588">
        <f>IF(ISBLANK(INDEX(MO_IS_FirstRow,0,COLUMN())),0,ROUND(BJ173-BJ504,6))</f>
        <v>0</v>
      </c>
      <c r="BK177" s="588">
        <f>IF(ISBLANK(INDEX(MO_IS_FirstRow,0,COLUMN())),0,ROUND(BK173-BK504,6))</f>
        <v>0</v>
      </c>
      <c r="BL177" s="589">
        <f>IF(ISBLANK(INDEX(MO_IS_FirstRow,0,COLUMN())),0,ROUND(BL173-BL504,6))</f>
        <v>0</v>
      </c>
      <c r="BM177" s="588">
        <f t="shared" si="331"/>
        <v>0</v>
      </c>
      <c r="BN177" s="588">
        <f t="shared" si="330"/>
        <v>0</v>
      </c>
      <c r="BO177" s="588">
        <f t="shared" ref="BO177:BV177" si="332">IF(ISBLANK(INDEX(MO_IS_FirstRow,0,COLUMN())),0,ROUND(BO173-BO504,6))</f>
        <v>0</v>
      </c>
      <c r="BP177" s="588">
        <f t="shared" si="332"/>
        <v>0</v>
      </c>
      <c r="BQ177" s="588">
        <f t="shared" si="332"/>
        <v>0</v>
      </c>
      <c r="BR177" s="588">
        <f t="shared" si="332"/>
        <v>0</v>
      </c>
      <c r="BS177" s="588">
        <f t="shared" si="332"/>
        <v>0</v>
      </c>
      <c r="BT177" s="588">
        <f t="shared" si="332"/>
        <v>0</v>
      </c>
      <c r="BU177" s="588">
        <f t="shared" si="332"/>
        <v>0</v>
      </c>
      <c r="BV177" s="588">
        <f t="shared" si="332"/>
        <v>0</v>
      </c>
      <c r="BW177" s="519"/>
    </row>
    <row r="178" spans="1:75" s="439" customFormat="1">
      <c r="A178" s="31"/>
      <c r="B178" s="53"/>
      <c r="C178" s="89"/>
      <c r="D178" s="89"/>
      <c r="E178" s="89"/>
      <c r="F178" s="89"/>
      <c r="G178" s="518"/>
      <c r="H178" s="518"/>
      <c r="I178" s="518"/>
      <c r="J178" s="518"/>
      <c r="K178" s="89"/>
      <c r="L178" s="518"/>
      <c r="M178" s="518"/>
      <c r="N178" s="518"/>
      <c r="O178" s="518"/>
      <c r="P178" s="89"/>
      <c r="Q178" s="518"/>
      <c r="R178" s="518"/>
      <c r="S178" s="518"/>
      <c r="T178" s="518"/>
      <c r="U178" s="89"/>
      <c r="V178" s="518"/>
      <c r="W178" s="518"/>
      <c r="X178" s="518"/>
      <c r="Y178" s="518"/>
      <c r="Z178" s="89"/>
      <c r="AA178" s="518"/>
      <c r="AB178" s="518"/>
      <c r="AC178" s="518"/>
      <c r="AD178" s="518"/>
      <c r="AE178" s="89"/>
      <c r="AF178" s="518"/>
      <c r="AG178" s="518"/>
      <c r="AH178" s="518"/>
      <c r="AI178" s="518"/>
      <c r="AJ178" s="89"/>
      <c r="AK178" s="518"/>
      <c r="AL178" s="518"/>
      <c r="AM178" s="518"/>
      <c r="AN178" s="518"/>
      <c r="AO178" s="89"/>
      <c r="AP178" s="518"/>
      <c r="AQ178" s="518"/>
      <c r="AR178" s="518"/>
      <c r="AS178" s="518"/>
      <c r="AT178" s="89"/>
      <c r="AU178" s="518"/>
      <c r="AV178" s="518"/>
      <c r="AW178" s="518"/>
      <c r="AX178" s="518"/>
      <c r="AY178" s="89"/>
      <c r="AZ178" s="518"/>
      <c r="BA178" s="518"/>
      <c r="BB178" s="518"/>
      <c r="BC178" s="518"/>
      <c r="BD178" s="89"/>
      <c r="BE178" s="518"/>
      <c r="BF178" s="518"/>
      <c r="BG178" s="518"/>
      <c r="BH178" s="518"/>
      <c r="BI178" s="89"/>
      <c r="BJ178" s="518"/>
      <c r="BK178" s="518"/>
      <c r="BL178" s="520"/>
      <c r="BM178" s="518"/>
      <c r="BN178" s="89"/>
      <c r="BO178" s="518"/>
      <c r="BP178" s="518"/>
      <c r="BQ178" s="518"/>
      <c r="BR178" s="518"/>
      <c r="BS178" s="89"/>
      <c r="BT178" s="89"/>
      <c r="BU178" s="89"/>
      <c r="BV178" s="89"/>
      <c r="BW178" s="519"/>
    </row>
    <row r="179" spans="1:75" s="444" customFormat="1">
      <c r="A179" s="517" t="s">
        <v>255</v>
      </c>
      <c r="B179" s="517"/>
      <c r="C179" s="517"/>
      <c r="D179" s="517"/>
      <c r="E179" s="517"/>
      <c r="F179" s="517"/>
      <c r="G179" s="517"/>
      <c r="H179" s="517"/>
      <c r="I179" s="517"/>
      <c r="J179" s="517"/>
      <c r="K179" s="517"/>
      <c r="L179" s="517"/>
      <c r="M179" s="517"/>
      <c r="N179" s="517"/>
      <c r="O179" s="517"/>
      <c r="P179" s="517"/>
      <c r="Q179" s="517"/>
      <c r="R179" s="517"/>
      <c r="S179" s="517"/>
      <c r="T179" s="517"/>
      <c r="U179" s="517"/>
      <c r="V179" s="517"/>
      <c r="W179" s="517"/>
      <c r="X179" s="517"/>
      <c r="Y179" s="517"/>
      <c r="Z179" s="517"/>
      <c r="AA179" s="517"/>
      <c r="AB179" s="517"/>
      <c r="AC179" s="517"/>
      <c r="AD179" s="517"/>
      <c r="AE179" s="517"/>
      <c r="AF179" s="517"/>
      <c r="AG179" s="517"/>
      <c r="AH179" s="517"/>
      <c r="AI179" s="517"/>
      <c r="AJ179" s="517"/>
      <c r="AK179" s="517" t="s">
        <v>256</v>
      </c>
      <c r="AL179" s="517" t="s">
        <v>256</v>
      </c>
      <c r="AM179" s="517"/>
      <c r="AN179" s="517"/>
      <c r="AO179" s="517"/>
      <c r="AP179" s="517"/>
      <c r="AQ179" s="517"/>
      <c r="AR179" s="517"/>
      <c r="AS179" s="517"/>
      <c r="AT179" s="517"/>
      <c r="AU179" s="517"/>
      <c r="AV179" s="517"/>
      <c r="AW179" s="517"/>
      <c r="AX179" s="517"/>
      <c r="AY179" s="517"/>
      <c r="AZ179" s="517"/>
      <c r="BA179" s="517"/>
      <c r="BB179" s="517"/>
      <c r="BC179" s="517"/>
      <c r="BD179" s="517"/>
      <c r="BE179" s="517"/>
      <c r="BF179" s="517"/>
      <c r="BG179" s="517"/>
      <c r="BH179" s="517"/>
      <c r="BI179" s="517"/>
      <c r="BJ179" s="517"/>
      <c r="BK179" s="517"/>
      <c r="BL179" s="562"/>
      <c r="BM179" s="517"/>
      <c r="BN179" s="517"/>
      <c r="BO179" s="517"/>
      <c r="BP179" s="517"/>
      <c r="BQ179" s="517"/>
      <c r="BR179" s="517"/>
      <c r="BS179" s="517"/>
      <c r="BT179" s="517"/>
      <c r="BU179" s="517"/>
      <c r="BV179" s="517"/>
      <c r="BW179" s="318"/>
    </row>
    <row r="180" spans="1:75" s="444" customFormat="1" hidden="1" outlineLevel="1">
      <c r="A180" s="28" t="s">
        <v>257</v>
      </c>
      <c r="B180" s="30"/>
      <c r="C180" s="714">
        <v>-2.3079999999999998</v>
      </c>
      <c r="D180" s="714">
        <v>-9.5660000000000007</v>
      </c>
      <c r="E180" s="714">
        <v>-16.668000000000006</v>
      </c>
      <c r="F180" s="714">
        <v>-19.112999999999985</v>
      </c>
      <c r="G180" s="629">
        <v>-4.7989999999999942</v>
      </c>
      <c r="H180" s="629">
        <v>-0.87799999999999834</v>
      </c>
      <c r="I180" s="629">
        <v>-2.3220000000000001</v>
      </c>
      <c r="J180" s="629">
        <v>-2.0690000000000013</v>
      </c>
      <c r="K180" s="714">
        <v>-10.068000000000008</v>
      </c>
      <c r="L180" s="629">
        <v>-2.6349999999999989</v>
      </c>
      <c r="M180" s="629">
        <v>2.7430000000000092</v>
      </c>
      <c r="N180" s="629">
        <v>3.6369999999999969</v>
      </c>
      <c r="O180" s="629">
        <v>32.728000000000009</v>
      </c>
      <c r="P180" s="714">
        <v>36.473000000000027</v>
      </c>
      <c r="Q180" s="629">
        <v>-1.2840000000000091</v>
      </c>
      <c r="R180" s="629">
        <v>-1.3049999999999886</v>
      </c>
      <c r="S180" s="629">
        <v>-8.0819999999999901</v>
      </c>
      <c r="T180" s="629">
        <v>-22.22900000000001</v>
      </c>
      <c r="U180" s="714">
        <v>-32.899999999999956</v>
      </c>
      <c r="V180" s="629">
        <v>-15.451999999999996</v>
      </c>
      <c r="W180" s="629">
        <v>0.44900000000000001</v>
      </c>
      <c r="X180" s="629">
        <v>2.0699999999999998</v>
      </c>
      <c r="Y180" s="629">
        <v>8.2629999999999999</v>
      </c>
      <c r="Z180" s="700">
        <f>SUM(V180,W180,X180,Y180)</f>
        <v>-4.6699999999999964</v>
      </c>
      <c r="AA180" s="523">
        <f>AA173</f>
        <v>-4.0260000000000025</v>
      </c>
      <c r="AB180" s="523">
        <f>AB173</f>
        <v>7.9010000000000016</v>
      </c>
      <c r="AC180" s="523">
        <f>AC173</f>
        <v>8.0299999999999923</v>
      </c>
      <c r="AD180" s="523">
        <f>AD173</f>
        <v>141.08999999999997</v>
      </c>
      <c r="AE180" s="700">
        <f>SUM(AA180,AB180,AC180,AD180)</f>
        <v>152.99499999999998</v>
      </c>
      <c r="AF180" s="523">
        <f>AF173</f>
        <v>-2.2859999999999698</v>
      </c>
      <c r="AG180" s="523">
        <f>AG173</f>
        <v>10.703999999999981</v>
      </c>
      <c r="AH180" s="523">
        <f>AH173</f>
        <v>14.985999999999999</v>
      </c>
      <c r="AI180" s="523">
        <f>AI173</f>
        <v>31.94599999999998</v>
      </c>
      <c r="AJ180" s="700">
        <f>SUM(AF180,AG180,AH180,AI180)</f>
        <v>55.349999999999994</v>
      </c>
      <c r="AK180" s="523">
        <f>AK173</f>
        <v>1.3649999999999949</v>
      </c>
      <c r="AL180" s="523">
        <f>AL173</f>
        <v>12.303000000000001</v>
      </c>
      <c r="AM180" s="523">
        <f>AM173</f>
        <v>10.060999999999984</v>
      </c>
      <c r="AN180" s="523">
        <f>AN173</f>
        <v>17.151999999999845</v>
      </c>
      <c r="AO180" s="700">
        <f>SUM(AK180,AL180,AM180,AN180)</f>
        <v>40.880999999999823</v>
      </c>
      <c r="AP180" s="523">
        <f>AP173</f>
        <v>-15.503</v>
      </c>
      <c r="AQ180" s="523">
        <f>AQ173</f>
        <v>-23.99000000000002</v>
      </c>
      <c r="AR180" s="523">
        <f>AR173</f>
        <v>-1.0200000000000102</v>
      </c>
      <c r="AS180" s="523">
        <f>AS173</f>
        <v>21.089000000000013</v>
      </c>
      <c r="AT180" s="700">
        <f>SUM(AP180,AQ180,AR180,AS180)</f>
        <v>-19.424000000000021</v>
      </c>
      <c r="AU180" s="523">
        <f>AU173</f>
        <v>-5.7960000000000012</v>
      </c>
      <c r="AV180" s="523">
        <f>AV173</f>
        <v>4.2119999999999829</v>
      </c>
      <c r="AW180" s="523">
        <f>AW173</f>
        <v>18.064999999999952</v>
      </c>
      <c r="AX180" s="523">
        <f>AX173</f>
        <v>23.190000000000019</v>
      </c>
      <c r="AY180" s="700">
        <f>SUM(AU180,AV180,AW180,AX180)</f>
        <v>39.67099999999995</v>
      </c>
      <c r="AZ180" s="523">
        <f>AZ173</f>
        <v>-0.91500000000001736</v>
      </c>
      <c r="BA180" s="523">
        <f>BA173</f>
        <v>8.0090000000000305</v>
      </c>
      <c r="BB180" s="523">
        <f>BB173</f>
        <v>9.1080000000000343</v>
      </c>
      <c r="BC180" s="523">
        <f>BC173</f>
        <v>20.145000000000131</v>
      </c>
      <c r="BD180" s="700">
        <f>SUM(AZ180,BA180,BB180,BC180)</f>
        <v>36.347000000000179</v>
      </c>
      <c r="BE180" s="523">
        <f>BE173</f>
        <v>-1.1780000000000461</v>
      </c>
      <c r="BF180" s="523">
        <f>BF173</f>
        <v>14.728999999999962</v>
      </c>
      <c r="BG180" s="523">
        <f>BG173</f>
        <v>58.215999999999994</v>
      </c>
      <c r="BH180" s="523">
        <f>BH173</f>
        <v>27.405999999999985</v>
      </c>
      <c r="BI180" s="700">
        <f>SUM(BE180,BF180,BG180,BH180)</f>
        <v>99.172999999999888</v>
      </c>
      <c r="BJ180" s="523">
        <f>BJ173</f>
        <v>14.153999999999986</v>
      </c>
      <c r="BK180" s="523">
        <f>BK173</f>
        <v>38.036000000000016</v>
      </c>
      <c r="BL180" s="563">
        <f>BL173</f>
        <v>38.439999999999934</v>
      </c>
      <c r="BM180" s="523">
        <f>BM242</f>
        <v>76.496794106590059</v>
      </c>
      <c r="BN180" s="700">
        <f>SUM(BJ180,BK180,BL180,BM180)</f>
        <v>167.12679410659001</v>
      </c>
      <c r="BO180" s="523">
        <f>BO242</f>
        <v>44.153267651904059</v>
      </c>
      <c r="BP180" s="523">
        <f>BP242</f>
        <v>68.315275475650594</v>
      </c>
      <c r="BQ180" s="523">
        <f>BQ242</f>
        <v>64.564563349161148</v>
      </c>
      <c r="BR180" s="523">
        <f>BR242</f>
        <v>58.486805268019651</v>
      </c>
      <c r="BS180" s="700">
        <f>SUM(BO180,BP180,BQ180,BR180)</f>
        <v>235.51991174473545</v>
      </c>
      <c r="BT180" s="700">
        <f>BT242</f>
        <v>238.88980745145057</v>
      </c>
      <c r="BU180" s="700">
        <f>BU242</f>
        <v>259.90856736275168</v>
      </c>
      <c r="BV180" s="700">
        <f>BV242</f>
        <v>161.32804459374452</v>
      </c>
      <c r="BW180" s="318"/>
    </row>
    <row r="181" spans="1:75" s="439" customFormat="1" hidden="1" outlineLevel="1">
      <c r="A181" s="31" t="s">
        <v>258</v>
      </c>
      <c r="B181" s="53"/>
      <c r="C181" s="675">
        <v>8.0000000000000002E-3</v>
      </c>
      <c r="D181" s="675">
        <v>7.4999999999999997E-2</v>
      </c>
      <c r="E181" s="675">
        <v>0.10199999999999999</v>
      </c>
      <c r="F181" s="675">
        <v>0.122</v>
      </c>
      <c r="G181" s="609">
        <v>4.3999999999999997E-2</v>
      </c>
      <c r="H181" s="609">
        <v>0.23200000000000001</v>
      </c>
      <c r="I181" s="609">
        <v>0.51</v>
      </c>
      <c r="J181" s="609">
        <v>5.1999999999999998E-2</v>
      </c>
      <c r="K181" s="675">
        <v>0.83799999999999997</v>
      </c>
      <c r="L181" s="609">
        <v>-1.9710000000000001</v>
      </c>
      <c r="M181" s="609">
        <v>0.36899999999999999</v>
      </c>
      <c r="N181" s="609">
        <v>1.107</v>
      </c>
      <c r="O181" s="609">
        <v>-24.698</v>
      </c>
      <c r="P181" s="675">
        <v>-25.193000000000001</v>
      </c>
      <c r="Q181" s="609">
        <v>-2.403</v>
      </c>
      <c r="R181" s="609">
        <v>1.6839999999999999</v>
      </c>
      <c r="S181" s="609">
        <v>-3.1749999999999998</v>
      </c>
      <c r="T181" s="609">
        <v>15.856</v>
      </c>
      <c r="U181" s="675">
        <v>11.962</v>
      </c>
      <c r="V181" s="609">
        <v>1.4370000000000001</v>
      </c>
      <c r="W181" s="609">
        <v>-1.2689999999999999</v>
      </c>
      <c r="X181" s="609">
        <v>0.217</v>
      </c>
      <c r="Y181" s="609">
        <v>1</v>
      </c>
      <c r="Z181" s="675">
        <v>1.3850000000000002</v>
      </c>
      <c r="AA181" s="609">
        <v>6.7000000000000004E-2</v>
      </c>
      <c r="AB181" s="609">
        <v>0.11799999999999999</v>
      </c>
      <c r="AC181" s="609">
        <v>0.23200000000000001</v>
      </c>
      <c r="AD181" s="609">
        <v>31.074000000000002</v>
      </c>
      <c r="AE181" s="89">
        <f>SUM(AA181,AB181,AC181,AD181)</f>
        <v>31.491000000000003</v>
      </c>
      <c r="AF181" s="609">
        <v>6.3E-2</v>
      </c>
      <c r="AG181" s="609">
        <v>0.34100000000000003</v>
      </c>
      <c r="AH181" s="609">
        <v>-0.68400000000000005</v>
      </c>
      <c r="AI181" s="518">
        <f>AJ181-SUM(AF181,AG181,AH181)</f>
        <v>-15.064</v>
      </c>
      <c r="AJ181" s="675">
        <v>-15.343999999999999</v>
      </c>
      <c r="AK181" s="609">
        <v>-0.55600000000000005</v>
      </c>
      <c r="AL181" s="609">
        <v>3.7850000000000001</v>
      </c>
      <c r="AM181" s="609">
        <v>2.552</v>
      </c>
      <c r="AN181" s="518">
        <f>AO181-SUM(AK181,AL181,AM181)</f>
        <v>3.1049999999999986</v>
      </c>
      <c r="AO181" s="675">
        <v>8.8859999999999992</v>
      </c>
      <c r="AP181" s="609">
        <v>-9.3640000000000008</v>
      </c>
      <c r="AQ181" s="609">
        <v>-10.864000000000001</v>
      </c>
      <c r="AR181" s="609">
        <v>10.744</v>
      </c>
      <c r="AS181" s="609">
        <v>-6.2169999999999996</v>
      </c>
      <c r="AT181" s="675">
        <v>-15.701000000000001</v>
      </c>
      <c r="AU181" s="609">
        <v>-2.1419999999999999</v>
      </c>
      <c r="AV181" s="609">
        <v>-4.7510000000000003</v>
      </c>
      <c r="AW181" s="609">
        <v>3.911</v>
      </c>
      <c r="AX181" s="609">
        <v>-2.9710000000000001</v>
      </c>
      <c r="AY181" s="675">
        <v>-5.9530000000000003</v>
      </c>
      <c r="AZ181" s="609">
        <v>-2.6120000000000001</v>
      </c>
      <c r="BA181" s="609">
        <v>9.3190000000000008</v>
      </c>
      <c r="BB181" s="609">
        <v>7.0069999999999997</v>
      </c>
      <c r="BC181" s="609">
        <v>16.716999999999999</v>
      </c>
      <c r="BD181" s="675">
        <v>30.431000000000001</v>
      </c>
      <c r="BE181" s="609">
        <v>-0.19700000000000001</v>
      </c>
      <c r="BF181" s="609">
        <v>9.9109999999999996</v>
      </c>
      <c r="BG181" s="609">
        <v>-10.189</v>
      </c>
      <c r="BH181" s="609">
        <v>6.3840000000000003</v>
      </c>
      <c r="BI181" s="675">
        <v>5.9089999999999998</v>
      </c>
      <c r="BJ181" s="609">
        <v>4.7869999999999999</v>
      </c>
      <c r="BK181" s="609">
        <v>12.032999999999999</v>
      </c>
      <c r="BL181" s="610">
        <v>15.443</v>
      </c>
      <c r="BM181" s="518">
        <f>BM240+BM241</f>
        <v>-6.9542540096900041</v>
      </c>
      <c r="BN181" s="89">
        <f>SUM(BJ181,BK181,BL181,BM181)</f>
        <v>25.308745990309994</v>
      </c>
      <c r="BO181" s="518">
        <f>BO240+BO241</f>
        <v>0</v>
      </c>
      <c r="BP181" s="518">
        <f>BP240+BP241</f>
        <v>0</v>
      </c>
      <c r="BQ181" s="518">
        <f>BQ240+BQ241</f>
        <v>-3.0745030166267213</v>
      </c>
      <c r="BR181" s="518">
        <f>BR240+BR241</f>
        <v>-4.8291857560750175</v>
      </c>
      <c r="BS181" s="89">
        <f>SUM(BO181,BP181,BQ181,BR181)</f>
        <v>-7.9036887727017389</v>
      </c>
      <c r="BT181" s="89">
        <f>BT240+BT241</f>
        <v>-11.375705116735743</v>
      </c>
      <c r="BU181" s="89">
        <f>BU240+BU241</f>
        <v>-23.628051578431972</v>
      </c>
      <c r="BV181" s="89">
        <f>BV240+BV241</f>
        <v>8.4909497154602374</v>
      </c>
      <c r="BW181" s="519"/>
    </row>
    <row r="182" spans="1:75" s="439" customFormat="1" hidden="1" outlineLevel="1">
      <c r="A182" s="31" t="s">
        <v>259</v>
      </c>
      <c r="B182" s="53"/>
      <c r="C182" s="675">
        <v>-3.3000000000000002E-2</v>
      </c>
      <c r="D182" s="675">
        <v>-1.4999999999999999E-2</v>
      </c>
      <c r="E182" s="675">
        <f>0.395+5.928</f>
        <v>6.3230000000000004</v>
      </c>
      <c r="F182" s="675">
        <f>0.226+1.262</f>
        <v>1.488</v>
      </c>
      <c r="G182" s="609">
        <f>0.201+0.675</f>
        <v>0.87600000000000011</v>
      </c>
      <c r="H182" s="609">
        <v>6.6000000000000003E-2</v>
      </c>
      <c r="I182" s="609">
        <v>3.1E-2</v>
      </c>
      <c r="J182" s="609">
        <v>0.109</v>
      </c>
      <c r="K182" s="675">
        <f>0.407+0.675</f>
        <v>1.0820000000000001</v>
      </c>
      <c r="L182" s="609">
        <v>2E-3</v>
      </c>
      <c r="M182" s="609">
        <v>1.4999999999999999E-2</v>
      </c>
      <c r="N182" s="609">
        <v>-0.2</v>
      </c>
      <c r="O182" s="609">
        <v>-3.7999999999999999E-2</v>
      </c>
      <c r="P182" s="675">
        <v>-0.221</v>
      </c>
      <c r="Q182" s="609">
        <v>-0.56200000000000006</v>
      </c>
      <c r="R182" s="609">
        <v>-0.32900000000000001</v>
      </c>
      <c r="S182" s="609">
        <v>0.54500000000000004</v>
      </c>
      <c r="T182" s="609">
        <v>-0.04</v>
      </c>
      <c r="U182" s="675">
        <v>-0.38600000000000001</v>
      </c>
      <c r="V182" s="609">
        <v>-0.25800000000000001</v>
      </c>
      <c r="W182" s="609">
        <v>-0.36699999999999999</v>
      </c>
      <c r="X182" s="609">
        <v>-0.32700000000000001</v>
      </c>
      <c r="Y182" s="609">
        <v>-0.74199999999999999</v>
      </c>
      <c r="Z182" s="675">
        <v>-1.694</v>
      </c>
      <c r="AA182" s="609">
        <v>-0.73199999999999998</v>
      </c>
      <c r="AB182" s="609">
        <v>-0.86399999999999999</v>
      </c>
      <c r="AC182" s="609">
        <v>-1.371</v>
      </c>
      <c r="AD182" s="609">
        <v>-1.897</v>
      </c>
      <c r="AE182" s="89">
        <f>SUM(AA182,AB182,AC182,AD182)</f>
        <v>-4.8639999999999999</v>
      </c>
      <c r="AF182" s="609">
        <v>-2.6040000000000001</v>
      </c>
      <c r="AG182" s="609">
        <v>-3.4239999999999999</v>
      </c>
      <c r="AH182" s="609">
        <v>-3.9209999999999998</v>
      </c>
      <c r="AI182" s="518">
        <f>AJ182-SUM(AF182,AG182,AH182)</f>
        <v>-4.16</v>
      </c>
      <c r="AJ182" s="675">
        <v>-14.109</v>
      </c>
      <c r="AK182" s="609">
        <v>-4.6909999999999998</v>
      </c>
      <c r="AL182" s="609">
        <v>-3.891</v>
      </c>
      <c r="AM182" s="609">
        <v>-3.0630000000000002</v>
      </c>
      <c r="AN182" s="518">
        <f>AO182-SUM(AK182,AL182,AM182)</f>
        <v>-2.6109999999999989</v>
      </c>
      <c r="AO182" s="675">
        <v>-14.256</v>
      </c>
      <c r="AP182" s="609">
        <v>-2.383</v>
      </c>
      <c r="AQ182" s="609">
        <v>-0.495</v>
      </c>
      <c r="AR182" s="609">
        <v>-0.39900000000000002</v>
      </c>
      <c r="AS182" s="609">
        <v>-0.39300000000000002</v>
      </c>
      <c r="AT182" s="675">
        <v>-3.67</v>
      </c>
      <c r="AU182" s="518">
        <f t="shared" ref="AU182:BB182" si="333">-AU168</f>
        <v>-0.70500000000000007</v>
      </c>
      <c r="AV182" s="518">
        <f t="shared" si="333"/>
        <v>-0.54199999999999993</v>
      </c>
      <c r="AW182" s="518">
        <f t="shared" si="333"/>
        <v>-0.33100000000000002</v>
      </c>
      <c r="AX182" s="518">
        <f t="shared" si="333"/>
        <v>-0.62600000000000011</v>
      </c>
      <c r="AY182" s="89">
        <f t="shared" si="333"/>
        <v>-2.2040000000000002</v>
      </c>
      <c r="AZ182" s="518">
        <f t="shared" si="333"/>
        <v>-0.92899999999999994</v>
      </c>
      <c r="BA182" s="518">
        <f t="shared" si="333"/>
        <v>-1.327</v>
      </c>
      <c r="BB182" s="518">
        <f t="shared" si="333"/>
        <v>-2.6909999999999998</v>
      </c>
      <c r="BC182" s="518">
        <f t="shared" ref="BC182:BI182" si="334">-BC168</f>
        <v>-3.4779999999999993</v>
      </c>
      <c r="BD182" s="89">
        <f t="shared" si="334"/>
        <v>-8.4250000000000007</v>
      </c>
      <c r="BE182" s="518">
        <f t="shared" si="334"/>
        <v>-5.2119999999999997</v>
      </c>
      <c r="BF182" s="518">
        <f t="shared" si="334"/>
        <v>-5.8979999999999997</v>
      </c>
      <c r="BG182" s="518">
        <f t="shared" si="334"/>
        <v>-6.1540000000000008</v>
      </c>
      <c r="BH182" s="518">
        <f t="shared" si="334"/>
        <v>-8.7750000000000004</v>
      </c>
      <c r="BI182" s="89">
        <f t="shared" si="334"/>
        <v>-26.039000000000001</v>
      </c>
      <c r="BJ182" s="518">
        <f>-BJ168</f>
        <v>-7.7239999999999993</v>
      </c>
      <c r="BK182" s="518">
        <f>-BK168</f>
        <v>-10.321999999999999</v>
      </c>
      <c r="BL182" s="520">
        <f>-BL168</f>
        <v>-7.2309999999999999</v>
      </c>
      <c r="BM182" s="518">
        <f>BM236+BM235</f>
        <v>-29.994682513661203</v>
      </c>
      <c r="BN182" s="89">
        <f>SUM(BJ182,BK182,BL182,BM182)</f>
        <v>-55.271682513661204</v>
      </c>
      <c r="BO182" s="518" t="e">
        <f>BO236+BO235</f>
        <v>#VALUE!</v>
      </c>
      <c r="BP182" s="518" t="e">
        <f>BP236+BP235</f>
        <v>#VALUE!</v>
      </c>
      <c r="BQ182" s="518" t="e">
        <f>BQ236+BQ235</f>
        <v>#VALUE!</v>
      </c>
      <c r="BR182" s="518" t="e">
        <f>BR236+BR235</f>
        <v>#VALUE!</v>
      </c>
      <c r="BS182" s="89" t="e">
        <f>SUM(BO182,BP182,BQ182,BR182)</f>
        <v>#VALUE!</v>
      </c>
      <c r="BT182" s="89" t="e">
        <f>BT236+BT235</f>
        <v>#VALUE!</v>
      </c>
      <c r="BU182" s="89" t="e">
        <f>BU236+BU235</f>
        <v>#VALUE!</v>
      </c>
      <c r="BV182" s="89" t="e">
        <f>BV236+BV235</f>
        <v>#VALUE!</v>
      </c>
      <c r="BW182" s="519"/>
    </row>
    <row r="183" spans="1:75" s="439" customFormat="1" hidden="1" outlineLevel="1">
      <c r="A183" s="31" t="s">
        <v>237</v>
      </c>
      <c r="B183" s="53"/>
      <c r="C183" s="675">
        <v>1.2010000000000001</v>
      </c>
      <c r="D183" s="675">
        <v>2.3340000000000001</v>
      </c>
      <c r="E183" s="675">
        <v>4.2380000000000004</v>
      </c>
      <c r="F183" s="675">
        <v>7.2229999999999999</v>
      </c>
      <c r="G183" s="609">
        <v>2.4780000000000002</v>
      </c>
      <c r="H183" s="609">
        <v>2.637</v>
      </c>
      <c r="I183" s="609">
        <v>2.8159999999999998</v>
      </c>
      <c r="J183" s="609">
        <v>3.524</v>
      </c>
      <c r="K183" s="675">
        <v>11.455</v>
      </c>
      <c r="L183" s="609">
        <v>3.661</v>
      </c>
      <c r="M183" s="609">
        <v>4.3040000000000003</v>
      </c>
      <c r="N183" s="609">
        <v>4.6040000000000001</v>
      </c>
      <c r="O183" s="609">
        <v>5.2910000000000004</v>
      </c>
      <c r="P183" s="675">
        <v>17.59</v>
      </c>
      <c r="Q183" s="609">
        <v>6.8949999999999996</v>
      </c>
      <c r="R183" s="609">
        <v>7.1669999999999998</v>
      </c>
      <c r="S183" s="609">
        <v>7.5620000000000003</v>
      </c>
      <c r="T183" s="609">
        <v>7.98</v>
      </c>
      <c r="U183" s="675">
        <v>29.603999999999999</v>
      </c>
      <c r="V183" s="609">
        <v>8.1890000000000001</v>
      </c>
      <c r="W183" s="609">
        <v>8.5640000000000001</v>
      </c>
      <c r="X183" s="609">
        <v>9.1590000000000007</v>
      </c>
      <c r="Y183" s="609">
        <v>9.4339999999999993</v>
      </c>
      <c r="Z183" s="675">
        <v>35.345999999999997</v>
      </c>
      <c r="AA183" s="609">
        <v>10.151</v>
      </c>
      <c r="AB183" s="609">
        <v>10.662000000000001</v>
      </c>
      <c r="AC183" s="609">
        <v>10.656000000000001</v>
      </c>
      <c r="AD183" s="609">
        <v>9.7289999999999992</v>
      </c>
      <c r="AE183" s="89">
        <f>SUM(AA183,AB183,AC183,AD183)</f>
        <v>41.198</v>
      </c>
      <c r="AF183" s="609">
        <v>10.028</v>
      </c>
      <c r="AG183" s="609">
        <v>10.509</v>
      </c>
      <c r="AH183" s="609">
        <v>10.712999999999999</v>
      </c>
      <c r="AI183" s="518">
        <f>AJ183-SUM(AF183,AG183,AH183)</f>
        <v>11.557000000000002</v>
      </c>
      <c r="AJ183" s="675">
        <v>42.807000000000002</v>
      </c>
      <c r="AK183" s="609">
        <v>11.875999999999999</v>
      </c>
      <c r="AL183" s="609">
        <v>12.24</v>
      </c>
      <c r="AM183" s="609">
        <v>12.391</v>
      </c>
      <c r="AN183" s="518">
        <f>AO183-SUM(AK183,AL183,AM183)</f>
        <v>12.849000000000004</v>
      </c>
      <c r="AO183" s="675">
        <v>49.356000000000002</v>
      </c>
      <c r="AP183" s="609">
        <v>12.358000000000001</v>
      </c>
      <c r="AQ183" s="609">
        <v>12.582000000000001</v>
      </c>
      <c r="AR183" s="609">
        <v>12.544</v>
      </c>
      <c r="AS183" s="609">
        <v>13.125</v>
      </c>
      <c r="AT183" s="675">
        <v>50.609000000000002</v>
      </c>
      <c r="AU183" s="609">
        <v>13.083</v>
      </c>
      <c r="AV183" s="609">
        <v>12.833</v>
      </c>
      <c r="AW183" s="609">
        <v>12.627000000000001</v>
      </c>
      <c r="AX183" s="609">
        <v>17.14</v>
      </c>
      <c r="AY183" s="675">
        <v>55.683</v>
      </c>
      <c r="AZ183" s="609">
        <v>11.49</v>
      </c>
      <c r="BA183" s="609">
        <v>11.257999999999999</v>
      </c>
      <c r="BB183" s="609">
        <v>11.417</v>
      </c>
      <c r="BC183" s="609">
        <v>10.686999999999999</v>
      </c>
      <c r="BD183" s="675">
        <v>44.851999999999997</v>
      </c>
      <c r="BE183" s="609">
        <v>10.805</v>
      </c>
      <c r="BF183" s="609">
        <v>10.615</v>
      </c>
      <c r="BG183" s="609">
        <v>10.461</v>
      </c>
      <c r="BH183" s="609">
        <v>10.303000000000001</v>
      </c>
      <c r="BI183" s="675">
        <v>42.183999999999997</v>
      </c>
      <c r="BJ183" s="609">
        <v>9.93</v>
      </c>
      <c r="BK183" s="609">
        <v>9.5850000000000009</v>
      </c>
      <c r="BL183" s="610">
        <v>9.3260000000000005</v>
      </c>
      <c r="BM183" s="518">
        <f>BM223</f>
        <v>10.563070491803279</v>
      </c>
      <c r="BN183" s="89">
        <f>SUM(BJ183,BK183,BL183,BM183)</f>
        <v>39.404070491803282</v>
      </c>
      <c r="BO183" s="518">
        <f>BO223</f>
        <v>9.4503611183471818</v>
      </c>
      <c r="BP183" s="518">
        <f>BP223</f>
        <v>9.644228431546944</v>
      </c>
      <c r="BQ183" s="518">
        <f>BQ223</f>
        <v>9.8150754784294971</v>
      </c>
      <c r="BR183" s="518">
        <f>BR223</f>
        <v>9.8578734077809695</v>
      </c>
      <c r="BS183" s="89">
        <f>SUM(BO183,BP183,BQ183,BR183)</f>
        <v>38.767538436104594</v>
      </c>
      <c r="BT183" s="89">
        <f>BT223</f>
        <v>39.255514549488026</v>
      </c>
      <c r="BU183" s="89">
        <f>BU223</f>
        <v>39.911809422727721</v>
      </c>
      <c r="BV183" s="89">
        <f>BV223</f>
        <v>40.197349037150012</v>
      </c>
      <c r="BW183" s="519"/>
    </row>
    <row r="184" spans="1:75" s="444" customFormat="1" hidden="1" outlineLevel="1">
      <c r="A184" s="18" t="s">
        <v>260</v>
      </c>
      <c r="B184" s="49"/>
      <c r="C184" s="676">
        <f t="shared" ref="C184:U184" si="335">SUM(C180:C183)</f>
        <v>-1.1319999999999997</v>
      </c>
      <c r="D184" s="676">
        <f t="shared" si="335"/>
        <v>-7.1720000000000024</v>
      </c>
      <c r="E184" s="676">
        <f t="shared" si="335"/>
        <v>-6.0050000000000052</v>
      </c>
      <c r="F184" s="676">
        <f t="shared" si="335"/>
        <v>-10.279999999999987</v>
      </c>
      <c r="G184" s="560">
        <f t="shared" si="335"/>
        <v>-1.400999999999994</v>
      </c>
      <c r="H184" s="560">
        <f t="shared" si="335"/>
        <v>2.0570000000000017</v>
      </c>
      <c r="I184" s="560">
        <f t="shared" si="335"/>
        <v>1.0349999999999997</v>
      </c>
      <c r="J184" s="560">
        <f t="shared" si="335"/>
        <v>1.6159999999999988</v>
      </c>
      <c r="K184" s="676">
        <f t="shared" si="335"/>
        <v>3.3069999999999915</v>
      </c>
      <c r="L184" s="560">
        <f t="shared" si="335"/>
        <v>-0.94299999999999917</v>
      </c>
      <c r="M184" s="560">
        <f t="shared" si="335"/>
        <v>7.4310000000000098</v>
      </c>
      <c r="N184" s="560">
        <f t="shared" si="335"/>
        <v>9.1479999999999961</v>
      </c>
      <c r="O184" s="560">
        <f t="shared" si="335"/>
        <v>13.283000000000008</v>
      </c>
      <c r="P184" s="676">
        <f t="shared" si="335"/>
        <v>28.649000000000026</v>
      </c>
      <c r="Q184" s="560">
        <f t="shared" si="335"/>
        <v>2.6459999999999901</v>
      </c>
      <c r="R184" s="560">
        <f t="shared" si="335"/>
        <v>7.2170000000000112</v>
      </c>
      <c r="S184" s="560">
        <f t="shared" si="335"/>
        <v>-3.1499999999999906</v>
      </c>
      <c r="T184" s="560">
        <f t="shared" si="335"/>
        <v>1.5669999999999904</v>
      </c>
      <c r="U184" s="676">
        <f t="shared" si="335"/>
        <v>8.2800000000000438</v>
      </c>
      <c r="V184" s="560">
        <f t="shared" ref="V184:AQ184" si="336">SUM(V180:V183)</f>
        <v>-6.0839999999999961</v>
      </c>
      <c r="W184" s="560">
        <f t="shared" si="336"/>
        <v>7.3770000000000007</v>
      </c>
      <c r="X184" s="560">
        <f t="shared" si="336"/>
        <v>11.119</v>
      </c>
      <c r="Y184" s="560">
        <f t="shared" si="336"/>
        <v>17.954999999999998</v>
      </c>
      <c r="Z184" s="676">
        <f t="shared" si="336"/>
        <v>30.367000000000001</v>
      </c>
      <c r="AA184" s="560">
        <f t="shared" si="336"/>
        <v>5.4599999999999973</v>
      </c>
      <c r="AB184" s="560">
        <f t="shared" si="336"/>
        <v>17.817000000000004</v>
      </c>
      <c r="AC184" s="560">
        <f t="shared" si="336"/>
        <v>17.54699999999999</v>
      </c>
      <c r="AD184" s="560">
        <f t="shared" si="336"/>
        <v>179.99599999999998</v>
      </c>
      <c r="AE184" s="676">
        <f t="shared" si="336"/>
        <v>220.82</v>
      </c>
      <c r="AF184" s="560">
        <f t="shared" si="336"/>
        <v>5.2010000000000307</v>
      </c>
      <c r="AG184" s="560">
        <f t="shared" si="336"/>
        <v>18.129999999999981</v>
      </c>
      <c r="AH184" s="560">
        <f t="shared" si="336"/>
        <v>21.094000000000001</v>
      </c>
      <c r="AI184" s="560">
        <f t="shared" si="336"/>
        <v>24.278999999999982</v>
      </c>
      <c r="AJ184" s="676">
        <f t="shared" si="336"/>
        <v>68.703999999999994</v>
      </c>
      <c r="AK184" s="560">
        <f t="shared" si="336"/>
        <v>7.9939999999999944</v>
      </c>
      <c r="AL184" s="560">
        <f t="shared" si="336"/>
        <v>24.437000000000001</v>
      </c>
      <c r="AM184" s="560">
        <f t="shared" si="336"/>
        <v>21.940999999999981</v>
      </c>
      <c r="AN184" s="560">
        <f t="shared" si="336"/>
        <v>30.494999999999848</v>
      </c>
      <c r="AO184" s="676">
        <f t="shared" si="336"/>
        <v>84.86699999999982</v>
      </c>
      <c r="AP184" s="560">
        <f t="shared" si="336"/>
        <v>-14.891999999999999</v>
      </c>
      <c r="AQ184" s="560">
        <f t="shared" si="336"/>
        <v>-22.767000000000017</v>
      </c>
      <c r="AR184" s="560">
        <f t="shared" ref="AR184:AW184" si="337">SUM(AR180:AR183)</f>
        <v>21.868999999999989</v>
      </c>
      <c r="AS184" s="560">
        <f t="shared" si="337"/>
        <v>27.604000000000013</v>
      </c>
      <c r="AT184" s="676">
        <f t="shared" si="337"/>
        <v>11.813999999999979</v>
      </c>
      <c r="AU184" s="560">
        <f t="shared" si="337"/>
        <v>4.4399999999999995</v>
      </c>
      <c r="AV184" s="560">
        <f t="shared" si="337"/>
        <v>11.751999999999983</v>
      </c>
      <c r="AW184" s="560">
        <f t="shared" si="337"/>
        <v>34.271999999999956</v>
      </c>
      <c r="AX184" s="560">
        <f t="shared" ref="AX184:BD184" si="338">SUM(AX180:AX183)</f>
        <v>36.733000000000018</v>
      </c>
      <c r="AY184" s="676">
        <f t="shared" si="338"/>
        <v>87.196999999999946</v>
      </c>
      <c r="AZ184" s="560">
        <f t="shared" si="338"/>
        <v>7.0339999999999829</v>
      </c>
      <c r="BA184" s="560">
        <f t="shared" si="338"/>
        <v>27.259000000000032</v>
      </c>
      <c r="BB184" s="560">
        <f t="shared" si="338"/>
        <v>24.841000000000037</v>
      </c>
      <c r="BC184" s="560">
        <f t="shared" si="338"/>
        <v>44.071000000000126</v>
      </c>
      <c r="BD184" s="676">
        <f t="shared" si="338"/>
        <v>103.20500000000018</v>
      </c>
      <c r="BE184" s="560">
        <f t="shared" ref="BE184:BM184" si="339">SUM(BE180:BE183)</f>
        <v>4.2179999999999538</v>
      </c>
      <c r="BF184" s="560">
        <f t="shared" si="339"/>
        <v>29.356999999999964</v>
      </c>
      <c r="BG184" s="560">
        <f t="shared" si="339"/>
        <v>52.333999999999989</v>
      </c>
      <c r="BH184" s="560">
        <f t="shared" si="339"/>
        <v>35.317999999999984</v>
      </c>
      <c r="BI184" s="676">
        <f t="shared" si="339"/>
        <v>121.22699999999989</v>
      </c>
      <c r="BJ184" s="560">
        <f>SUM(BJ180:BJ183)</f>
        <v>21.146999999999984</v>
      </c>
      <c r="BK184" s="560">
        <f>SUM(BK180:BK183)</f>
        <v>49.332000000000015</v>
      </c>
      <c r="BL184" s="561">
        <f>SUM(BL180:BL183)</f>
        <v>55.97799999999993</v>
      </c>
      <c r="BM184" s="560">
        <f t="shared" si="339"/>
        <v>50.110928075042132</v>
      </c>
      <c r="BN184" s="676">
        <f t="shared" ref="BN184" si="340">SUM(BN180:BN183)</f>
        <v>176.56792807504209</v>
      </c>
      <c r="BO184" s="560" t="e">
        <f t="shared" ref="BO184:BV184" si="341">SUM(BO180:BO183)</f>
        <v>#VALUE!</v>
      </c>
      <c r="BP184" s="560" t="e">
        <f t="shared" si="341"/>
        <v>#VALUE!</v>
      </c>
      <c r="BQ184" s="560" t="e">
        <f t="shared" si="341"/>
        <v>#VALUE!</v>
      </c>
      <c r="BR184" s="560" t="e">
        <f t="shared" si="341"/>
        <v>#VALUE!</v>
      </c>
      <c r="BS184" s="676" t="e">
        <f t="shared" si="341"/>
        <v>#VALUE!</v>
      </c>
      <c r="BT184" s="676" t="e">
        <f t="shared" si="341"/>
        <v>#VALUE!</v>
      </c>
      <c r="BU184" s="676" t="e">
        <f t="shared" si="341"/>
        <v>#VALUE!</v>
      </c>
      <c r="BV184" s="676" t="e">
        <f t="shared" si="341"/>
        <v>#VALUE!</v>
      </c>
      <c r="BW184" s="318"/>
    </row>
    <row r="185" spans="1:75" s="439" customFormat="1" hidden="1" outlineLevel="1">
      <c r="A185" s="31" t="s">
        <v>261</v>
      </c>
      <c r="B185" s="53"/>
      <c r="C185" s="675">
        <v>0.55700000000000005</v>
      </c>
      <c r="D185" s="675">
        <v>1.431</v>
      </c>
      <c r="E185" s="675">
        <v>4.8769999999999998</v>
      </c>
      <c r="F185" s="675">
        <v>14.878</v>
      </c>
      <c r="G185" s="609">
        <v>4.6050000000000004</v>
      </c>
      <c r="H185" s="609">
        <v>5.7130000000000001</v>
      </c>
      <c r="I185" s="609">
        <v>7.0149999999999997</v>
      </c>
      <c r="J185" s="609">
        <v>8.7889999999999997</v>
      </c>
      <c r="K185" s="675">
        <v>26.122</v>
      </c>
      <c r="L185" s="609">
        <v>9.4559999999999995</v>
      </c>
      <c r="M185" s="609">
        <v>10.083</v>
      </c>
      <c r="N185" s="609">
        <v>10.917999999999999</v>
      </c>
      <c r="O185" s="609">
        <v>11.816000000000001</v>
      </c>
      <c r="P185" s="675">
        <v>42.273000000000003</v>
      </c>
      <c r="Q185" s="609">
        <v>13.670999999999999</v>
      </c>
      <c r="R185" s="609">
        <v>15.516</v>
      </c>
      <c r="S185" s="609">
        <v>15.683</v>
      </c>
      <c r="T185" s="609">
        <v>15.972</v>
      </c>
      <c r="U185" s="675">
        <v>60.841999999999999</v>
      </c>
      <c r="V185" s="609">
        <v>19.11</v>
      </c>
      <c r="W185" s="609">
        <v>20.725999999999999</v>
      </c>
      <c r="X185" s="609">
        <v>22.56</v>
      </c>
      <c r="Y185" s="609">
        <v>23.864000000000001</v>
      </c>
      <c r="Z185" s="675">
        <v>86.260999999999996</v>
      </c>
      <c r="AA185" s="609">
        <v>24.334</v>
      </c>
      <c r="AB185" s="609">
        <v>25.364999999999998</v>
      </c>
      <c r="AC185" s="609">
        <v>25.309000000000001</v>
      </c>
      <c r="AD185" s="609">
        <v>25.407</v>
      </c>
      <c r="AE185" s="89">
        <f>SUM(AA185,AB185,AC185,AD185)</f>
        <v>100.41499999999999</v>
      </c>
      <c r="AF185" s="609">
        <v>27.734000000000002</v>
      </c>
      <c r="AG185" s="609">
        <v>28.805</v>
      </c>
      <c r="AH185" s="609">
        <v>29.193999999999999</v>
      </c>
      <c r="AI185" s="518">
        <f>AJ185-SUM(AF185,AG185,AH185)</f>
        <v>28.652999999999992</v>
      </c>
      <c r="AJ185" s="675">
        <v>114.386</v>
      </c>
      <c r="AK185" s="609">
        <v>31.318999999999999</v>
      </c>
      <c r="AL185" s="609">
        <v>30.452000000000002</v>
      </c>
      <c r="AM185" s="609">
        <v>29.236000000000001</v>
      </c>
      <c r="AN185" s="518">
        <f>AO185-SUM(AK185,AL185,AM185)</f>
        <v>30.504999999999995</v>
      </c>
      <c r="AO185" s="675">
        <v>121.512</v>
      </c>
      <c r="AP185" s="609">
        <v>31.75</v>
      </c>
      <c r="AQ185" s="609">
        <v>30.585000000000001</v>
      </c>
      <c r="AR185" s="609">
        <v>30.254999999999999</v>
      </c>
      <c r="AS185" s="518">
        <f>AT185-SUM(AP185,AQ185,AR185)</f>
        <v>31.983999999999995</v>
      </c>
      <c r="AT185" s="675">
        <v>124.574</v>
      </c>
      <c r="AU185" s="609">
        <v>39.244999999999997</v>
      </c>
      <c r="AV185" s="609">
        <v>40.859000000000002</v>
      </c>
      <c r="AW185" s="609">
        <v>36.442</v>
      </c>
      <c r="AX185" s="518">
        <f>AY185-SUM(AU185,AV185,AW185)</f>
        <v>35.13300000000001</v>
      </c>
      <c r="AY185" s="675">
        <v>151.679</v>
      </c>
      <c r="AZ185" s="609">
        <v>41.06</v>
      </c>
      <c r="BA185" s="609">
        <v>40.061</v>
      </c>
      <c r="BB185" s="609">
        <v>38.631999999999998</v>
      </c>
      <c r="BC185" s="518">
        <f>BD185-SUM(AZ185,BA185,BB185)</f>
        <v>36.336999999999989</v>
      </c>
      <c r="BD185" s="675">
        <v>156.09</v>
      </c>
      <c r="BE185" s="609">
        <v>46.256999999999998</v>
      </c>
      <c r="BF185" s="609">
        <v>43.58</v>
      </c>
      <c r="BG185" s="609">
        <v>43.466999999999999</v>
      </c>
      <c r="BH185" s="518">
        <f>BI185-SUM(BE185,BF185,BG185)</f>
        <v>40.14700000000002</v>
      </c>
      <c r="BI185" s="675">
        <v>173.45099999999999</v>
      </c>
      <c r="BJ185" s="609">
        <v>42.71</v>
      </c>
      <c r="BK185" s="609">
        <v>41.213999999999999</v>
      </c>
      <c r="BL185" s="610">
        <v>39.472000000000001</v>
      </c>
      <c r="BM185" s="609">
        <v>36.5</v>
      </c>
      <c r="BN185" s="89">
        <f t="shared" ref="BN185:BN190" si="342">SUM(BJ185,BK185,BL185,BM185)</f>
        <v>159.89600000000002</v>
      </c>
      <c r="BO185" s="609">
        <v>45</v>
      </c>
      <c r="BP185" s="609">
        <v>45</v>
      </c>
      <c r="BQ185" s="609">
        <v>45</v>
      </c>
      <c r="BR185" s="609">
        <v>45</v>
      </c>
      <c r="BS185" s="89">
        <f t="shared" ref="BS185:BS190" si="343">SUM(BO185,BP185,BQ185,BR185)</f>
        <v>180</v>
      </c>
      <c r="BT185" s="675">
        <v>180</v>
      </c>
      <c r="BU185" s="675">
        <v>180</v>
      </c>
      <c r="BV185" s="675">
        <v>180</v>
      </c>
      <c r="BW185" s="519"/>
    </row>
    <row r="186" spans="1:75" s="439" customFormat="1" hidden="1" outlineLevel="1">
      <c r="A186" s="31" t="s">
        <v>262</v>
      </c>
      <c r="B186" s="53"/>
      <c r="C186" s="89"/>
      <c r="D186" s="89"/>
      <c r="E186" s="89"/>
      <c r="F186" s="89"/>
      <c r="G186" s="518"/>
      <c r="H186" s="518"/>
      <c r="I186" s="518"/>
      <c r="J186" s="518"/>
      <c r="K186" s="89"/>
      <c r="L186" s="518"/>
      <c r="M186" s="518"/>
      <c r="N186" s="518"/>
      <c r="O186" s="518"/>
      <c r="P186" s="89"/>
      <c r="Q186" s="518"/>
      <c r="R186" s="518"/>
      <c r="S186" s="518"/>
      <c r="T186" s="518"/>
      <c r="U186" s="89"/>
      <c r="V186" s="518"/>
      <c r="W186" s="518"/>
      <c r="X186" s="518"/>
      <c r="Y186" s="518"/>
      <c r="Z186" s="89"/>
      <c r="AA186" s="518"/>
      <c r="AB186" s="518"/>
      <c r="AC186" s="518"/>
      <c r="AD186" s="518"/>
      <c r="AE186" s="89"/>
      <c r="AF186" s="518"/>
      <c r="AG186" s="518"/>
      <c r="AH186" s="518"/>
      <c r="AI186" s="518"/>
      <c r="AJ186" s="89"/>
      <c r="AK186" s="518"/>
      <c r="AL186" s="518"/>
      <c r="AM186" s="609">
        <v>7.1159999999999997</v>
      </c>
      <c r="AN186" s="518">
        <f>AO186-SUM(AK186,AL186,AM186)</f>
        <v>0</v>
      </c>
      <c r="AO186" s="675">
        <v>7.1159999999999997</v>
      </c>
      <c r="AP186" s="518"/>
      <c r="AQ186" s="518"/>
      <c r="AR186" s="518"/>
      <c r="AS186" s="518"/>
      <c r="AT186" s="89"/>
      <c r="AU186" s="518"/>
      <c r="AV186" s="518"/>
      <c r="AW186" s="518"/>
      <c r="AX186" s="518"/>
      <c r="AY186" s="89"/>
      <c r="AZ186" s="518"/>
      <c r="BA186" s="518"/>
      <c r="BB186" s="518"/>
      <c r="BC186" s="518"/>
      <c r="BD186" s="89"/>
      <c r="BE186" s="518"/>
      <c r="BF186" s="518"/>
      <c r="BG186" s="609">
        <v>0.67100000000000004</v>
      </c>
      <c r="BH186" s="609">
        <v>0.58099999999999996</v>
      </c>
      <c r="BI186" s="675">
        <v>1.252</v>
      </c>
      <c r="BJ186" s="609">
        <v>0.59899999999999998</v>
      </c>
      <c r="BK186" s="609">
        <v>0.56899999999999995</v>
      </c>
      <c r="BL186" s="520"/>
      <c r="BM186" s="518"/>
      <c r="BN186" s="89">
        <f t="shared" si="342"/>
        <v>1.1679999999999999</v>
      </c>
      <c r="BO186" s="518"/>
      <c r="BP186" s="518"/>
      <c r="BQ186" s="518"/>
      <c r="BR186" s="518"/>
      <c r="BS186" s="89">
        <f t="shared" si="343"/>
        <v>0</v>
      </c>
      <c r="BT186" s="89"/>
      <c r="BU186" s="89"/>
      <c r="BV186" s="89"/>
      <c r="BW186" s="519"/>
    </row>
    <row r="187" spans="1:75" s="439" customFormat="1" hidden="1" outlineLevel="1">
      <c r="A187" s="31" t="s">
        <v>263</v>
      </c>
      <c r="B187" s="53"/>
      <c r="C187" s="89"/>
      <c r="D187" s="89"/>
      <c r="E187" s="89"/>
      <c r="F187" s="89"/>
      <c r="G187" s="518"/>
      <c r="H187" s="518"/>
      <c r="I187" s="518"/>
      <c r="J187" s="518"/>
      <c r="K187" s="89"/>
      <c r="L187" s="518"/>
      <c r="M187" s="518"/>
      <c r="N187" s="518"/>
      <c r="O187" s="518"/>
      <c r="P187" s="89"/>
      <c r="Q187" s="518"/>
      <c r="R187" s="518"/>
      <c r="S187" s="518"/>
      <c r="T187" s="518"/>
      <c r="U187" s="89"/>
      <c r="V187" s="518"/>
      <c r="W187" s="518"/>
      <c r="X187" s="518"/>
      <c r="Y187" s="518"/>
      <c r="Z187" s="89"/>
      <c r="AA187" s="518"/>
      <c r="AB187" s="518"/>
      <c r="AC187" s="518"/>
      <c r="AD187" s="609">
        <v>-163.697</v>
      </c>
      <c r="AE187" s="89">
        <f>SUM(AA187,AB187,AC187,AD187)</f>
        <v>-163.697</v>
      </c>
      <c r="AF187" s="518"/>
      <c r="AG187" s="518"/>
      <c r="AH187" s="518"/>
      <c r="AI187" s="518"/>
      <c r="AJ187" s="89"/>
      <c r="AK187" s="518"/>
      <c r="AL187" s="518"/>
      <c r="AM187" s="518"/>
      <c r="AN187" s="518"/>
      <c r="AO187" s="89"/>
      <c r="AP187" s="518"/>
      <c r="AQ187" s="518"/>
      <c r="AR187" s="518"/>
      <c r="AS187" s="518"/>
      <c r="AT187" s="89"/>
      <c r="AU187" s="518"/>
      <c r="AV187" s="518"/>
      <c r="AW187" s="518"/>
      <c r="AX187" s="609">
        <v>-3.7480000000000002</v>
      </c>
      <c r="AY187" s="675">
        <v>-3.7480000000000002</v>
      </c>
      <c r="AZ187" s="518"/>
      <c r="BA187" s="518"/>
      <c r="BB187" s="518"/>
      <c r="BC187" s="609">
        <v>0</v>
      </c>
      <c r="BD187" s="675">
        <v>0</v>
      </c>
      <c r="BE187" s="518"/>
      <c r="BF187" s="518"/>
      <c r="BG187" s="518"/>
      <c r="BH187" s="518"/>
      <c r="BI187" s="89"/>
      <c r="BJ187" s="518"/>
      <c r="BK187" s="518"/>
      <c r="BL187" s="520"/>
      <c r="BM187" s="518"/>
      <c r="BN187" s="89">
        <f t="shared" si="342"/>
        <v>0</v>
      </c>
      <c r="BO187" s="518"/>
      <c r="BP187" s="518"/>
      <c r="BQ187" s="518"/>
      <c r="BR187" s="518"/>
      <c r="BS187" s="89">
        <f t="shared" si="343"/>
        <v>0</v>
      </c>
      <c r="BT187" s="89"/>
      <c r="BU187" s="89"/>
      <c r="BV187" s="89"/>
      <c r="BW187" s="519"/>
    </row>
    <row r="188" spans="1:75" s="439" customFormat="1" hidden="1" outlineLevel="1">
      <c r="A188" s="31" t="s">
        <v>264</v>
      </c>
      <c r="B188" s="53"/>
      <c r="C188" s="89"/>
      <c r="D188" s="89"/>
      <c r="E188" s="89"/>
      <c r="F188" s="89"/>
      <c r="G188" s="518"/>
      <c r="H188" s="518"/>
      <c r="I188" s="518"/>
      <c r="J188" s="518"/>
      <c r="K188" s="89"/>
      <c r="L188" s="518"/>
      <c r="M188" s="518"/>
      <c r="N188" s="518"/>
      <c r="O188" s="518"/>
      <c r="P188" s="89"/>
      <c r="Q188" s="518"/>
      <c r="R188" s="518"/>
      <c r="S188" s="518"/>
      <c r="T188" s="518"/>
      <c r="U188" s="89"/>
      <c r="V188" s="518"/>
      <c r="W188" s="518"/>
      <c r="X188" s="518"/>
      <c r="Y188" s="518"/>
      <c r="Z188" s="89"/>
      <c r="AA188" s="518"/>
      <c r="AB188" s="518"/>
      <c r="AC188" s="518"/>
      <c r="AD188" s="518"/>
      <c r="AE188" s="89"/>
      <c r="AF188" s="518"/>
      <c r="AG188" s="518"/>
      <c r="AH188" s="518"/>
      <c r="AI188" s="518"/>
      <c r="AJ188" s="89"/>
      <c r="AK188" s="518"/>
      <c r="AL188" s="518"/>
      <c r="AM188" s="518"/>
      <c r="AN188" s="518"/>
      <c r="AO188" s="89"/>
      <c r="AP188" s="518"/>
      <c r="AQ188" s="518"/>
      <c r="AR188" s="518"/>
      <c r="AS188" s="518"/>
      <c r="AT188" s="89"/>
      <c r="AU188" s="518"/>
      <c r="AV188" s="518"/>
      <c r="AW188" s="518"/>
      <c r="AX188" s="518"/>
      <c r="AY188" s="89"/>
      <c r="AZ188" s="518"/>
      <c r="BA188" s="518"/>
      <c r="BB188" s="518"/>
      <c r="BC188" s="518"/>
      <c r="BD188" s="89"/>
      <c r="BE188" s="518"/>
      <c r="BF188" s="609">
        <v>11</v>
      </c>
      <c r="BG188" s="609">
        <v>0</v>
      </c>
      <c r="BH188" s="609">
        <v>0</v>
      </c>
      <c r="BI188" s="675">
        <v>11</v>
      </c>
      <c r="BJ188" s="518"/>
      <c r="BK188" s="518"/>
      <c r="BL188" s="520"/>
      <c r="BM188" s="518"/>
      <c r="BN188" s="89">
        <f t="shared" si="342"/>
        <v>0</v>
      </c>
      <c r="BO188" s="518"/>
      <c r="BP188" s="518"/>
      <c r="BQ188" s="518"/>
      <c r="BR188" s="518"/>
      <c r="BS188" s="89">
        <f t="shared" si="343"/>
        <v>0</v>
      </c>
      <c r="BT188" s="89"/>
      <c r="BU188" s="89"/>
      <c r="BV188" s="89"/>
      <c r="BW188" s="519"/>
    </row>
    <row r="189" spans="1:75" s="439" customFormat="1" hidden="1" outlineLevel="1">
      <c r="A189" s="31" t="s">
        <v>265</v>
      </c>
      <c r="B189" s="53"/>
      <c r="C189" s="89"/>
      <c r="D189" s="89"/>
      <c r="E189" s="89"/>
      <c r="F189" s="89"/>
      <c r="G189" s="518"/>
      <c r="H189" s="518"/>
      <c r="I189" s="518"/>
      <c r="J189" s="518"/>
      <c r="K189" s="89"/>
      <c r="L189" s="518"/>
      <c r="M189" s="518"/>
      <c r="N189" s="518"/>
      <c r="O189" s="518"/>
      <c r="P189" s="89"/>
      <c r="Q189" s="518"/>
      <c r="R189" s="518"/>
      <c r="S189" s="518"/>
      <c r="T189" s="518"/>
      <c r="U189" s="89"/>
      <c r="V189" s="518"/>
      <c r="W189" s="518"/>
      <c r="X189" s="518"/>
      <c r="Y189" s="518"/>
      <c r="Z189" s="89"/>
      <c r="AA189" s="518"/>
      <c r="AB189" s="518"/>
      <c r="AC189" s="518"/>
      <c r="AD189" s="518"/>
      <c r="AE189" s="89"/>
      <c r="AF189" s="518"/>
      <c r="AG189" s="518"/>
      <c r="AH189" s="518"/>
      <c r="AI189" s="518"/>
      <c r="AJ189" s="89"/>
      <c r="AK189" s="518"/>
      <c r="AL189" s="518"/>
      <c r="AM189" s="518"/>
      <c r="AN189" s="518"/>
      <c r="AO189" s="89"/>
      <c r="AP189" s="518"/>
      <c r="AQ189" s="518"/>
      <c r="AR189" s="518"/>
      <c r="AS189" s="518"/>
      <c r="AT189" s="89"/>
      <c r="AU189" s="518"/>
      <c r="AV189" s="609">
        <v>11.164</v>
      </c>
      <c r="AW189" s="518"/>
      <c r="AX189" s="518"/>
      <c r="AY189" s="675">
        <v>11.164</v>
      </c>
      <c r="AZ189" s="518"/>
      <c r="BA189" s="518"/>
      <c r="BB189" s="609">
        <v>10.464</v>
      </c>
      <c r="BC189" s="609">
        <v>0</v>
      </c>
      <c r="BD189" s="675">
        <v>10.464</v>
      </c>
      <c r="BE189" s="609">
        <v>3.5550000000000002</v>
      </c>
      <c r="BF189" s="518"/>
      <c r="BG189" s="609">
        <v>0</v>
      </c>
      <c r="BH189" s="609">
        <v>20.007999999999999</v>
      </c>
      <c r="BI189" s="675">
        <v>23.562999999999999</v>
      </c>
      <c r="BJ189" s="609">
        <v>0</v>
      </c>
      <c r="BK189" s="518"/>
      <c r="BL189" s="610">
        <v>5.9139999999999997</v>
      </c>
      <c r="BM189" s="518"/>
      <c r="BN189" s="89">
        <f t="shared" si="342"/>
        <v>5.9139999999999997</v>
      </c>
      <c r="BO189" s="518"/>
      <c r="BP189" s="518"/>
      <c r="BQ189" s="518"/>
      <c r="BR189" s="518"/>
      <c r="BS189" s="89">
        <f t="shared" si="343"/>
        <v>0</v>
      </c>
      <c r="BT189" s="89"/>
      <c r="BU189" s="89"/>
      <c r="BV189" s="89"/>
      <c r="BW189" s="519"/>
    </row>
    <row r="190" spans="1:75" s="439" customFormat="1" hidden="1" outlineLevel="1">
      <c r="A190" s="31" t="s">
        <v>238</v>
      </c>
      <c r="B190" s="53"/>
      <c r="C190" s="89"/>
      <c r="D190" s="89"/>
      <c r="E190" s="89"/>
      <c r="F190" s="89"/>
      <c r="G190" s="518"/>
      <c r="H190" s="518"/>
      <c r="I190" s="518"/>
      <c r="J190" s="518"/>
      <c r="K190" s="89"/>
      <c r="L190" s="518"/>
      <c r="M190" s="518"/>
      <c r="N190" s="518"/>
      <c r="O190" s="518"/>
      <c r="P190" s="89"/>
      <c r="Q190" s="518"/>
      <c r="R190" s="518"/>
      <c r="S190" s="518"/>
      <c r="T190" s="518"/>
      <c r="U190" s="89"/>
      <c r="V190" s="518"/>
      <c r="W190" s="518"/>
      <c r="X190" s="518"/>
      <c r="Y190" s="609">
        <v>3.4550000000000001</v>
      </c>
      <c r="Z190" s="675">
        <v>3.4550000000000001</v>
      </c>
      <c r="AA190" s="609">
        <v>0.23100000000000001</v>
      </c>
      <c r="AB190" s="609">
        <v>2.1000000000000001E-2</v>
      </c>
      <c r="AC190" s="609">
        <v>3.5000000000000003E-2</v>
      </c>
      <c r="AD190" s="609">
        <v>1E-3</v>
      </c>
      <c r="AE190" s="89">
        <f>SUM(AA190,AB190,AC190,AD190)</f>
        <v>0.28800000000000003</v>
      </c>
      <c r="AF190" s="518"/>
      <c r="AG190" s="518"/>
      <c r="AH190" s="518"/>
      <c r="AI190" s="518"/>
      <c r="AJ190" s="89"/>
      <c r="AK190" s="518"/>
      <c r="AL190" s="518"/>
      <c r="AM190" s="518"/>
      <c r="AN190" s="518"/>
      <c r="AO190" s="89"/>
      <c r="AP190" s="518"/>
      <c r="AQ190" s="609">
        <v>3.3119999999999998</v>
      </c>
      <c r="AR190" s="609">
        <v>0.53500000000000003</v>
      </c>
      <c r="AS190" s="609">
        <v>1.4999999999999999E-2</v>
      </c>
      <c r="AT190" s="675">
        <v>3.8620000000000001</v>
      </c>
      <c r="AU190" s="609">
        <v>0.02</v>
      </c>
      <c r="AV190" s="609">
        <v>1.2E-2</v>
      </c>
      <c r="AW190" s="518"/>
      <c r="AX190" s="518"/>
      <c r="AY190" s="675">
        <v>3.2000000000000001E-2</v>
      </c>
      <c r="AZ190" s="518"/>
      <c r="BA190" s="518"/>
      <c r="BB190" s="518"/>
      <c r="BC190" s="609">
        <v>0</v>
      </c>
      <c r="BD190" s="675">
        <v>0</v>
      </c>
      <c r="BE190" s="518"/>
      <c r="BF190" s="518"/>
      <c r="BG190" s="518"/>
      <c r="BH190" s="518"/>
      <c r="BI190" s="89"/>
      <c r="BJ190" s="518"/>
      <c r="BK190" s="518"/>
      <c r="BL190" s="520"/>
      <c r="BM190" s="518"/>
      <c r="BN190" s="89">
        <f t="shared" si="342"/>
        <v>0</v>
      </c>
      <c r="BO190" s="518"/>
      <c r="BP190" s="518"/>
      <c r="BQ190" s="518"/>
      <c r="BR190" s="518"/>
      <c r="BS190" s="89">
        <f t="shared" si="343"/>
        <v>0</v>
      </c>
      <c r="BT190" s="89"/>
      <c r="BU190" s="89"/>
      <c r="BV190" s="89"/>
      <c r="BW190" s="519"/>
    </row>
    <row r="191" spans="1:75" s="444" customFormat="1" hidden="1" outlineLevel="1">
      <c r="A191" s="1" t="s">
        <v>266</v>
      </c>
      <c r="B191" s="49"/>
      <c r="C191" s="699">
        <f t="shared" ref="C191:U191" si="344">+SUM(C184:C190)</f>
        <v>-0.57499999999999962</v>
      </c>
      <c r="D191" s="699">
        <f t="shared" si="344"/>
        <v>-5.7410000000000023</v>
      </c>
      <c r="E191" s="699">
        <f t="shared" si="344"/>
        <v>-1.1280000000000054</v>
      </c>
      <c r="F191" s="699">
        <f t="shared" si="344"/>
        <v>4.5980000000000132</v>
      </c>
      <c r="G191" s="568">
        <f t="shared" si="344"/>
        <v>3.2040000000000064</v>
      </c>
      <c r="H191" s="568">
        <f t="shared" si="344"/>
        <v>7.7700000000000014</v>
      </c>
      <c r="I191" s="568">
        <f t="shared" si="344"/>
        <v>8.0499999999999989</v>
      </c>
      <c r="J191" s="568">
        <f t="shared" si="344"/>
        <v>10.404999999999998</v>
      </c>
      <c r="K191" s="699">
        <f t="shared" si="344"/>
        <v>29.428999999999991</v>
      </c>
      <c r="L191" s="568">
        <f t="shared" si="344"/>
        <v>8.5129999999999999</v>
      </c>
      <c r="M191" s="568">
        <f t="shared" si="344"/>
        <v>17.51400000000001</v>
      </c>
      <c r="N191" s="568">
        <f t="shared" si="344"/>
        <v>20.065999999999995</v>
      </c>
      <c r="O191" s="568">
        <f t="shared" si="344"/>
        <v>25.099000000000011</v>
      </c>
      <c r="P191" s="699">
        <f t="shared" si="344"/>
        <v>70.922000000000025</v>
      </c>
      <c r="Q191" s="568">
        <f t="shared" si="344"/>
        <v>16.31699999999999</v>
      </c>
      <c r="R191" s="568">
        <f t="shared" si="344"/>
        <v>22.733000000000011</v>
      </c>
      <c r="S191" s="568">
        <f t="shared" si="344"/>
        <v>12.533000000000008</v>
      </c>
      <c r="T191" s="568">
        <f t="shared" si="344"/>
        <v>17.538999999999991</v>
      </c>
      <c r="U191" s="699">
        <f t="shared" si="344"/>
        <v>69.122000000000043</v>
      </c>
      <c r="V191" s="568">
        <f t="shared" ref="V191:AQ191" si="345">+SUM(V184:V190)</f>
        <v>13.026000000000003</v>
      </c>
      <c r="W191" s="568">
        <f t="shared" si="345"/>
        <v>28.103000000000002</v>
      </c>
      <c r="X191" s="568">
        <f t="shared" si="345"/>
        <v>33.679000000000002</v>
      </c>
      <c r="Y191" s="568">
        <f t="shared" si="345"/>
        <v>45.274000000000001</v>
      </c>
      <c r="Z191" s="699">
        <f t="shared" si="345"/>
        <v>120.083</v>
      </c>
      <c r="AA191" s="568">
        <f t="shared" si="345"/>
        <v>30.024999999999999</v>
      </c>
      <c r="AB191" s="568">
        <f t="shared" si="345"/>
        <v>43.203000000000003</v>
      </c>
      <c r="AC191" s="568">
        <f t="shared" si="345"/>
        <v>42.890999999999991</v>
      </c>
      <c r="AD191" s="568">
        <f t="shared" si="345"/>
        <v>41.706999999999987</v>
      </c>
      <c r="AE191" s="699">
        <f t="shared" si="345"/>
        <v>157.82600000000002</v>
      </c>
      <c r="AF191" s="568">
        <f t="shared" si="345"/>
        <v>32.935000000000031</v>
      </c>
      <c r="AG191" s="568">
        <f t="shared" si="345"/>
        <v>46.934999999999981</v>
      </c>
      <c r="AH191" s="568">
        <f t="shared" si="345"/>
        <v>50.287999999999997</v>
      </c>
      <c r="AI191" s="568">
        <f t="shared" si="345"/>
        <v>52.931999999999974</v>
      </c>
      <c r="AJ191" s="699">
        <f t="shared" si="345"/>
        <v>183.08999999999997</v>
      </c>
      <c r="AK191" s="568">
        <f t="shared" si="345"/>
        <v>39.312999999999995</v>
      </c>
      <c r="AL191" s="568">
        <f t="shared" si="345"/>
        <v>54.889000000000003</v>
      </c>
      <c r="AM191" s="568">
        <f t="shared" si="345"/>
        <v>58.292999999999978</v>
      </c>
      <c r="AN191" s="568">
        <f t="shared" si="345"/>
        <v>60.999999999999844</v>
      </c>
      <c r="AO191" s="699">
        <f t="shared" si="345"/>
        <v>213.49499999999983</v>
      </c>
      <c r="AP191" s="568">
        <f t="shared" si="345"/>
        <v>16.858000000000001</v>
      </c>
      <c r="AQ191" s="568">
        <f t="shared" si="345"/>
        <v>11.129999999999983</v>
      </c>
      <c r="AR191" s="568">
        <f t="shared" ref="AR191:AV191" si="346">+SUM(AR184:AR190)</f>
        <v>52.658999999999985</v>
      </c>
      <c r="AS191" s="568">
        <f t="shared" si="346"/>
        <v>59.603000000000009</v>
      </c>
      <c r="AT191" s="699">
        <f t="shared" si="346"/>
        <v>140.24999999999997</v>
      </c>
      <c r="AU191" s="568">
        <f t="shared" si="346"/>
        <v>43.704999999999998</v>
      </c>
      <c r="AV191" s="568">
        <f t="shared" si="346"/>
        <v>63.786999999999985</v>
      </c>
      <c r="AW191" s="568">
        <f t="shared" ref="AW191:BB191" si="347">+SUM(AW184:AW190)</f>
        <v>70.713999999999956</v>
      </c>
      <c r="AX191" s="568">
        <f t="shared" si="347"/>
        <v>68.118000000000023</v>
      </c>
      <c r="AY191" s="699">
        <f t="shared" si="347"/>
        <v>246.32399999999996</v>
      </c>
      <c r="AZ191" s="568">
        <f t="shared" si="347"/>
        <v>48.093999999999987</v>
      </c>
      <c r="BA191" s="568">
        <f t="shared" si="347"/>
        <v>67.320000000000036</v>
      </c>
      <c r="BB191" s="568">
        <f t="shared" si="347"/>
        <v>73.93700000000004</v>
      </c>
      <c r="BC191" s="568">
        <f t="shared" ref="BC191:BM191" si="348">+SUM(BC184:BC190)</f>
        <v>80.408000000000115</v>
      </c>
      <c r="BD191" s="699">
        <f t="shared" si="348"/>
        <v>269.75900000000019</v>
      </c>
      <c r="BE191" s="568">
        <f t="shared" si="348"/>
        <v>54.029999999999951</v>
      </c>
      <c r="BF191" s="568">
        <f t="shared" si="348"/>
        <v>83.936999999999955</v>
      </c>
      <c r="BG191" s="568">
        <f t="shared" si="348"/>
        <v>96.471999999999994</v>
      </c>
      <c r="BH191" s="568">
        <f t="shared" si="348"/>
        <v>96.054000000000002</v>
      </c>
      <c r="BI191" s="699">
        <f t="shared" si="348"/>
        <v>330.49299999999988</v>
      </c>
      <c r="BJ191" s="568">
        <f>+SUM(BJ184:BJ190)</f>
        <v>64.455999999999989</v>
      </c>
      <c r="BK191" s="568">
        <f>+SUM(BK184:BK190)</f>
        <v>91.115000000000023</v>
      </c>
      <c r="BL191" s="571">
        <f>+SUM(BL184:BL190)</f>
        <v>101.36399999999993</v>
      </c>
      <c r="BM191" s="560">
        <f t="shared" si="348"/>
        <v>86.610928075042125</v>
      </c>
      <c r="BN191" s="676">
        <f t="shared" ref="BN191" si="349">+SUM(BN184:BN190)</f>
        <v>343.54592807504207</v>
      </c>
      <c r="BO191" s="560" t="e">
        <f t="shared" ref="BO191:BV191" si="350">+SUM(BO184:BO190)</f>
        <v>#VALUE!</v>
      </c>
      <c r="BP191" s="560" t="e">
        <f t="shared" si="350"/>
        <v>#VALUE!</v>
      </c>
      <c r="BQ191" s="560" t="e">
        <f t="shared" si="350"/>
        <v>#VALUE!</v>
      </c>
      <c r="BR191" s="560" t="e">
        <f t="shared" si="350"/>
        <v>#VALUE!</v>
      </c>
      <c r="BS191" s="676" t="e">
        <f t="shared" si="350"/>
        <v>#VALUE!</v>
      </c>
      <c r="BT191" s="676" t="e">
        <f t="shared" si="350"/>
        <v>#VALUE!</v>
      </c>
      <c r="BU191" s="676" t="e">
        <f t="shared" si="350"/>
        <v>#VALUE!</v>
      </c>
      <c r="BV191" s="676" t="e">
        <f t="shared" si="350"/>
        <v>#VALUE!</v>
      </c>
      <c r="BW191" s="318"/>
    </row>
    <row r="192" spans="1:75" s="439" customFormat="1" hidden="1" outlineLevel="1">
      <c r="A192" s="31"/>
      <c r="B192" s="53"/>
      <c r="C192" s="89"/>
      <c r="D192" s="89"/>
      <c r="E192" s="89"/>
      <c r="F192" s="89"/>
      <c r="G192" s="518"/>
      <c r="H192" s="518"/>
      <c r="I192" s="518"/>
      <c r="J192" s="518"/>
      <c r="K192" s="89"/>
      <c r="L192" s="518"/>
      <c r="M192" s="518"/>
      <c r="N192" s="518"/>
      <c r="O192" s="518"/>
      <c r="P192" s="89"/>
      <c r="Q192" s="518"/>
      <c r="R192" s="518"/>
      <c r="S192" s="518"/>
      <c r="T192" s="518"/>
      <c r="U192" s="89"/>
      <c r="V192" s="518"/>
      <c r="W192" s="518"/>
      <c r="X192" s="518"/>
      <c r="Y192" s="518"/>
      <c r="Z192" s="89"/>
      <c r="AA192" s="518"/>
      <c r="AB192" s="518"/>
      <c r="AC192" s="518"/>
      <c r="AD192" s="518"/>
      <c r="AE192" s="89"/>
      <c r="AF192" s="518"/>
      <c r="AG192" s="518"/>
      <c r="AH192" s="518"/>
      <c r="AI192" s="518"/>
      <c r="AJ192" s="89"/>
      <c r="AK192" s="518"/>
      <c r="AL192" s="518"/>
      <c r="AM192" s="518"/>
      <c r="AN192" s="518"/>
      <c r="AO192" s="89"/>
      <c r="AP192" s="518"/>
      <c r="AQ192" s="518"/>
      <c r="AR192" s="518"/>
      <c r="AS192" s="518"/>
      <c r="AT192" s="89"/>
      <c r="AU192" s="518"/>
      <c r="AV192" s="518"/>
      <c r="AW192" s="518"/>
      <c r="AX192" s="518"/>
      <c r="AY192" s="89"/>
      <c r="AZ192" s="518"/>
      <c r="BA192" s="518"/>
      <c r="BB192" s="518"/>
      <c r="BC192" s="518"/>
      <c r="BD192" s="89"/>
      <c r="BE192" s="518"/>
      <c r="BF192" s="518"/>
      <c r="BG192" s="518"/>
      <c r="BH192" s="518"/>
      <c r="BI192" s="89"/>
      <c r="BJ192" s="518"/>
      <c r="BK192" s="518"/>
      <c r="BL192" s="520"/>
      <c r="BM192" s="518"/>
      <c r="BN192" s="89"/>
      <c r="BO192" s="518"/>
      <c r="BP192" s="518"/>
      <c r="BQ192" s="518"/>
      <c r="BR192" s="518"/>
      <c r="BS192" s="89"/>
      <c r="BT192" s="89"/>
      <c r="BU192" s="89"/>
      <c r="BV192" s="89"/>
      <c r="BW192" s="519"/>
    </row>
    <row r="193" spans="1:75" s="444" customFormat="1" hidden="1" outlineLevel="1">
      <c r="A193" s="28" t="s">
        <v>267</v>
      </c>
      <c r="B193" s="30"/>
      <c r="C193" s="700"/>
      <c r="D193" s="700"/>
      <c r="E193" s="700"/>
      <c r="F193" s="700"/>
      <c r="G193" s="523"/>
      <c r="H193" s="523"/>
      <c r="I193" s="523"/>
      <c r="J193" s="629">
        <v>-2.0690000000000013</v>
      </c>
      <c r="K193" s="714">
        <v>-10.068000000000008</v>
      </c>
      <c r="L193" s="523"/>
      <c r="M193" s="523"/>
      <c r="N193" s="523"/>
      <c r="O193" s="629">
        <v>32.728000000000009</v>
      </c>
      <c r="P193" s="714">
        <v>36.473000000000027</v>
      </c>
      <c r="Q193" s="629">
        <v>-1.2840000000000091</v>
      </c>
      <c r="R193" s="629">
        <v>-1.3049999999999899</v>
      </c>
      <c r="S193" s="629">
        <v>-8.0819999999999901</v>
      </c>
      <c r="T193" s="629">
        <v>-22.22900000000001</v>
      </c>
      <c r="U193" s="714">
        <v>-32.899999999999956</v>
      </c>
      <c r="V193" s="629">
        <v>-15.451999999999996</v>
      </c>
      <c r="W193" s="629">
        <v>0.44900000000000001</v>
      </c>
      <c r="X193" s="629">
        <v>2.0699999999999998</v>
      </c>
      <c r="Y193" s="629">
        <v>8.2629999999999999</v>
      </c>
      <c r="Z193" s="700">
        <f>SUM(V193,W193,X193,Y193)</f>
        <v>-4.6699999999999964</v>
      </c>
      <c r="AA193" s="629">
        <v>-4.78</v>
      </c>
      <c r="AB193" s="629">
        <v>7.59</v>
      </c>
      <c r="AC193" s="629">
        <v>7.9470000000000001</v>
      </c>
      <c r="AD193" s="523">
        <f>AD173</f>
        <v>141.08999999999997</v>
      </c>
      <c r="AE193" s="700">
        <f>SUM(AA193,AB193,AC193,AD193)</f>
        <v>151.84699999999998</v>
      </c>
      <c r="AF193" s="523"/>
      <c r="AG193" s="523"/>
      <c r="AH193" s="523"/>
      <c r="AI193" s="523"/>
      <c r="AJ193" s="700"/>
      <c r="AK193" s="523"/>
      <c r="AL193" s="523"/>
      <c r="AM193" s="523"/>
      <c r="AN193" s="523"/>
      <c r="AO193" s="700"/>
      <c r="AP193" s="523"/>
      <c r="AQ193" s="523"/>
      <c r="AR193" s="523"/>
      <c r="AS193" s="523"/>
      <c r="AT193" s="700"/>
      <c r="AU193" s="523"/>
      <c r="AV193" s="523"/>
      <c r="AW193" s="523"/>
      <c r="AX193" s="523"/>
      <c r="AY193" s="700"/>
      <c r="AZ193" s="523"/>
      <c r="BA193" s="523"/>
      <c r="BB193" s="523"/>
      <c r="BC193" s="523"/>
      <c r="BD193" s="700"/>
      <c r="BE193" s="523"/>
      <c r="BF193" s="523"/>
      <c r="BG193" s="523"/>
      <c r="BH193" s="523"/>
      <c r="BI193" s="700"/>
      <c r="BJ193" s="523"/>
      <c r="BK193" s="523"/>
      <c r="BL193" s="563"/>
      <c r="BM193" s="523"/>
      <c r="BN193" s="700"/>
      <c r="BO193" s="523"/>
      <c r="BP193" s="523"/>
      <c r="BQ193" s="523"/>
      <c r="BR193" s="523"/>
      <c r="BS193" s="700"/>
      <c r="BT193" s="700"/>
      <c r="BU193" s="700"/>
      <c r="BV193" s="700"/>
      <c r="BW193" s="318"/>
    </row>
    <row r="194" spans="1:75" s="439" customFormat="1" hidden="1" outlineLevel="1">
      <c r="A194" s="31" t="s">
        <v>261</v>
      </c>
      <c r="B194" s="53"/>
      <c r="C194" s="89"/>
      <c r="D194" s="89"/>
      <c r="E194" s="89"/>
      <c r="F194" s="89"/>
      <c r="G194" s="518"/>
      <c r="H194" s="518"/>
      <c r="I194" s="518"/>
      <c r="J194" s="609">
        <v>8.7889999999999997</v>
      </c>
      <c r="K194" s="675">
        <v>26.122</v>
      </c>
      <c r="L194" s="518"/>
      <c r="M194" s="518"/>
      <c r="N194" s="518"/>
      <c r="O194" s="609">
        <v>11.816000000000001</v>
      </c>
      <c r="P194" s="675">
        <v>42.273000000000003</v>
      </c>
      <c r="Q194" s="609">
        <v>13.670999999999999</v>
      </c>
      <c r="R194" s="609">
        <v>15.516</v>
      </c>
      <c r="S194" s="609">
        <v>15.683</v>
      </c>
      <c r="T194" s="609">
        <v>15.972</v>
      </c>
      <c r="U194" s="675">
        <v>60.841999999999999</v>
      </c>
      <c r="V194" s="609">
        <v>19.11</v>
      </c>
      <c r="W194" s="609">
        <v>20.725999999999999</v>
      </c>
      <c r="X194" s="609">
        <v>22.56</v>
      </c>
      <c r="Y194" s="609">
        <v>23.864000000000001</v>
      </c>
      <c r="Z194" s="675">
        <v>86.260999999999996</v>
      </c>
      <c r="AA194" s="609">
        <v>24.334</v>
      </c>
      <c r="AB194" s="609">
        <v>25.364999999999998</v>
      </c>
      <c r="AC194" s="609">
        <v>25.309000000000001</v>
      </c>
      <c r="AD194" s="609">
        <v>25.407</v>
      </c>
      <c r="AE194" s="675">
        <v>100.41500000000001</v>
      </c>
      <c r="AF194" s="518"/>
      <c r="AG194" s="518"/>
      <c r="AH194" s="518"/>
      <c r="AI194" s="518"/>
      <c r="AJ194" s="89"/>
      <c r="AK194" s="518"/>
      <c r="AL194" s="518"/>
      <c r="AM194" s="518"/>
      <c r="AN194" s="518"/>
      <c r="AO194" s="89"/>
      <c r="AP194" s="518"/>
      <c r="AQ194" s="518"/>
      <c r="AR194" s="518"/>
      <c r="AS194" s="518"/>
      <c r="AT194" s="89"/>
      <c r="AU194" s="518"/>
      <c r="AV194" s="518"/>
      <c r="AW194" s="518"/>
      <c r="AX194" s="518"/>
      <c r="AY194" s="89"/>
      <c r="AZ194" s="518"/>
      <c r="BA194" s="518"/>
      <c r="BB194" s="518"/>
      <c r="BC194" s="518"/>
      <c r="BD194" s="89"/>
      <c r="BE194" s="518"/>
      <c r="BF194" s="518"/>
      <c r="BG194" s="518"/>
      <c r="BH194" s="518"/>
      <c r="BI194" s="89"/>
      <c r="BJ194" s="518"/>
      <c r="BK194" s="518"/>
      <c r="BL194" s="520"/>
      <c r="BM194" s="518"/>
      <c r="BN194" s="89"/>
      <c r="BO194" s="518"/>
      <c r="BP194" s="518"/>
      <c r="BQ194" s="518"/>
      <c r="BR194" s="518"/>
      <c r="BS194" s="89"/>
      <c r="BT194" s="89"/>
      <c r="BU194" s="89"/>
      <c r="BV194" s="89"/>
      <c r="BW194" s="519"/>
    </row>
    <row r="195" spans="1:75" s="439" customFormat="1" hidden="1" outlineLevel="1">
      <c r="A195" s="31" t="s">
        <v>268</v>
      </c>
      <c r="B195" s="53"/>
      <c r="C195" s="89"/>
      <c r="D195" s="89"/>
      <c r="E195" s="89"/>
      <c r="F195" s="89"/>
      <c r="G195" s="518"/>
      <c r="H195" s="518"/>
      <c r="I195" s="518"/>
      <c r="J195" s="609">
        <v>0.62</v>
      </c>
      <c r="K195" s="675">
        <v>2.2599999999999998</v>
      </c>
      <c r="L195" s="518"/>
      <c r="M195" s="518"/>
      <c r="N195" s="518"/>
      <c r="O195" s="609">
        <v>0.55000000000000004</v>
      </c>
      <c r="P195" s="675">
        <v>2.448</v>
      </c>
      <c r="Q195" s="609">
        <v>1.2310000000000001</v>
      </c>
      <c r="R195" s="609">
        <v>1.8029999999999999</v>
      </c>
      <c r="S195" s="609">
        <v>1.7230000000000001</v>
      </c>
      <c r="T195" s="609">
        <v>1.718</v>
      </c>
      <c r="U195" s="675">
        <v>6.4749999999999996</v>
      </c>
      <c r="V195" s="609">
        <v>1.712</v>
      </c>
      <c r="W195" s="609">
        <v>1.73</v>
      </c>
      <c r="X195" s="609">
        <v>1.706</v>
      </c>
      <c r="Y195" s="609">
        <v>1.657</v>
      </c>
      <c r="Z195" s="675">
        <v>6.8049999999999997</v>
      </c>
      <c r="AA195" s="609">
        <v>1.9319999999999999</v>
      </c>
      <c r="AB195" s="609">
        <v>2.3450000000000002</v>
      </c>
      <c r="AC195" s="609">
        <v>1.4410000000000001</v>
      </c>
      <c r="AD195" s="609">
        <v>0.92</v>
      </c>
      <c r="AE195" s="675">
        <v>6.6390000000000002</v>
      </c>
      <c r="AF195" s="518"/>
      <c r="AG195" s="518"/>
      <c r="AH195" s="518"/>
      <c r="AI195" s="518"/>
      <c r="AJ195" s="89"/>
      <c r="AK195" s="518"/>
      <c r="AL195" s="518"/>
      <c r="AM195" s="518"/>
      <c r="AN195" s="518"/>
      <c r="AO195" s="89"/>
      <c r="AP195" s="518"/>
      <c r="AQ195" s="518"/>
      <c r="AR195" s="518"/>
      <c r="AS195" s="518"/>
      <c r="AT195" s="89"/>
      <c r="AU195" s="518"/>
      <c r="AV195" s="518"/>
      <c r="AW195" s="518"/>
      <c r="AX195" s="518"/>
      <c r="AY195" s="89"/>
      <c r="AZ195" s="518"/>
      <c r="BA195" s="518"/>
      <c r="BB195" s="518"/>
      <c r="BC195" s="518"/>
      <c r="BD195" s="89"/>
      <c r="BE195" s="518"/>
      <c r="BF195" s="518"/>
      <c r="BG195" s="518"/>
      <c r="BH195" s="518"/>
      <c r="BI195" s="89"/>
      <c r="BJ195" s="518"/>
      <c r="BK195" s="518"/>
      <c r="BL195" s="520"/>
      <c r="BM195" s="518"/>
      <c r="BN195" s="89"/>
      <c r="BO195" s="518"/>
      <c r="BP195" s="518"/>
      <c r="BQ195" s="518"/>
      <c r="BR195" s="518"/>
      <c r="BS195" s="89"/>
      <c r="BT195" s="89"/>
      <c r="BU195" s="89"/>
      <c r="BV195" s="89"/>
      <c r="BW195" s="519"/>
    </row>
    <row r="196" spans="1:75" s="439" customFormat="1" hidden="1" outlineLevel="1">
      <c r="A196" s="31" t="s">
        <v>269</v>
      </c>
      <c r="B196" s="53"/>
      <c r="C196" s="89"/>
      <c r="D196" s="89"/>
      <c r="E196" s="89"/>
      <c r="F196" s="89"/>
      <c r="G196" s="518"/>
      <c r="H196" s="518"/>
      <c r="I196" s="518"/>
      <c r="J196" s="518"/>
      <c r="K196" s="89"/>
      <c r="L196" s="518"/>
      <c r="M196" s="518"/>
      <c r="N196" s="518"/>
      <c r="O196" s="609">
        <v>-26.196999999999999</v>
      </c>
      <c r="P196" s="675">
        <v>-28.196999999999999</v>
      </c>
      <c r="Q196" s="609">
        <v>-5.7160000000000002</v>
      </c>
      <c r="R196" s="609">
        <v>-6.66</v>
      </c>
      <c r="S196" s="609">
        <v>-6.65</v>
      </c>
      <c r="T196" s="609">
        <v>13.514000000000001</v>
      </c>
      <c r="U196" s="675">
        <v>-5.5120000000000005</v>
      </c>
      <c r="V196" s="609">
        <v>0.59299999999999997</v>
      </c>
      <c r="W196" s="609">
        <v>-10.388999999999999</v>
      </c>
      <c r="X196" s="609">
        <v>-7.9269999999999996</v>
      </c>
      <c r="Y196" s="609">
        <v>-14.688000000000001</v>
      </c>
      <c r="Z196" s="675">
        <v>-32.411000000000001</v>
      </c>
      <c r="AA196" s="609">
        <v>-5.4429999999999996</v>
      </c>
      <c r="AB196" s="609">
        <v>-13.683999999999999</v>
      </c>
      <c r="AC196" s="609">
        <v>-9.327</v>
      </c>
      <c r="AD196" s="609">
        <v>13.199</v>
      </c>
      <c r="AE196" s="675">
        <v>-15.255000000000001</v>
      </c>
      <c r="AF196" s="518"/>
      <c r="AG196" s="518"/>
      <c r="AH196" s="518"/>
      <c r="AI196" s="518"/>
      <c r="AJ196" s="89"/>
      <c r="AK196" s="518"/>
      <c r="AL196" s="518"/>
      <c r="AM196" s="518"/>
      <c r="AN196" s="518"/>
      <c r="AO196" s="89"/>
      <c r="AP196" s="518"/>
      <c r="AQ196" s="518"/>
      <c r="AR196" s="518"/>
      <c r="AS196" s="518"/>
      <c r="AT196" s="89"/>
      <c r="AU196" s="518"/>
      <c r="AV196" s="518"/>
      <c r="AW196" s="518"/>
      <c r="AX196" s="518"/>
      <c r="AY196" s="89"/>
      <c r="AZ196" s="518"/>
      <c r="BA196" s="518"/>
      <c r="BB196" s="518"/>
      <c r="BC196" s="518"/>
      <c r="BD196" s="89"/>
      <c r="BE196" s="518"/>
      <c r="BF196" s="518"/>
      <c r="BG196" s="518"/>
      <c r="BH196" s="518"/>
      <c r="BI196" s="89"/>
      <c r="BJ196" s="518"/>
      <c r="BK196" s="518"/>
      <c r="BL196" s="520"/>
      <c r="BM196" s="518"/>
      <c r="BN196" s="89"/>
      <c r="BO196" s="518"/>
      <c r="BP196" s="518"/>
      <c r="BQ196" s="518"/>
      <c r="BR196" s="518"/>
      <c r="BS196" s="89"/>
      <c r="BT196" s="89"/>
      <c r="BU196" s="89"/>
      <c r="BV196" s="89"/>
      <c r="BW196" s="519"/>
    </row>
    <row r="197" spans="1:75" s="439" customFormat="1" hidden="1" outlineLevel="1">
      <c r="A197" s="31" t="s">
        <v>263</v>
      </c>
      <c r="B197" s="53"/>
      <c r="C197" s="89"/>
      <c r="D197" s="89"/>
      <c r="E197" s="89"/>
      <c r="F197" s="89"/>
      <c r="G197" s="518"/>
      <c r="H197" s="518"/>
      <c r="I197" s="518"/>
      <c r="J197" s="518"/>
      <c r="K197" s="89"/>
      <c r="L197" s="518"/>
      <c r="M197" s="518"/>
      <c r="N197" s="518"/>
      <c r="O197" s="518"/>
      <c r="P197" s="89"/>
      <c r="Q197" s="518"/>
      <c r="R197" s="518"/>
      <c r="S197" s="518"/>
      <c r="T197" s="518"/>
      <c r="U197" s="89"/>
      <c r="V197" s="518"/>
      <c r="W197" s="518"/>
      <c r="X197" s="518"/>
      <c r="Y197" s="518"/>
      <c r="Z197" s="89"/>
      <c r="AA197" s="518"/>
      <c r="AB197" s="518"/>
      <c r="AC197" s="518"/>
      <c r="AD197" s="609">
        <v>-164.779</v>
      </c>
      <c r="AE197" s="675">
        <v>-164.779</v>
      </c>
      <c r="AF197" s="518"/>
      <c r="AG197" s="518"/>
      <c r="AH197" s="518"/>
      <c r="AI197" s="518"/>
      <c r="AJ197" s="89"/>
      <c r="AK197" s="518"/>
      <c r="AL197" s="518"/>
      <c r="AM197" s="518"/>
      <c r="AN197" s="518"/>
      <c r="AO197" s="89"/>
      <c r="AP197" s="518"/>
      <c r="AQ197" s="518"/>
      <c r="AR197" s="518"/>
      <c r="AS197" s="518"/>
      <c r="AT197" s="89"/>
      <c r="AU197" s="518"/>
      <c r="AV197" s="518"/>
      <c r="AW197" s="518"/>
      <c r="AX197" s="518"/>
      <c r="AY197" s="89"/>
      <c r="AZ197" s="518"/>
      <c r="BA197" s="518"/>
      <c r="BB197" s="518"/>
      <c r="BC197" s="518"/>
      <c r="BD197" s="89"/>
      <c r="BE197" s="518"/>
      <c r="BF197" s="518"/>
      <c r="BG197" s="518"/>
      <c r="BH197" s="518"/>
      <c r="BI197" s="89"/>
      <c r="BJ197" s="518"/>
      <c r="BK197" s="518"/>
      <c r="BL197" s="520"/>
      <c r="BM197" s="518"/>
      <c r="BN197" s="89"/>
      <c r="BO197" s="518"/>
      <c r="BP197" s="518"/>
      <c r="BQ197" s="518"/>
      <c r="BR197" s="518"/>
      <c r="BS197" s="89"/>
      <c r="BT197" s="89"/>
      <c r="BU197" s="89"/>
      <c r="BV197" s="89"/>
      <c r="BW197" s="519"/>
    </row>
    <row r="198" spans="1:75" s="439" customFormat="1" hidden="1" outlineLevel="1">
      <c r="A198" s="31" t="s">
        <v>238</v>
      </c>
      <c r="B198" s="53"/>
      <c r="C198" s="89"/>
      <c r="D198" s="89"/>
      <c r="E198" s="89"/>
      <c r="F198" s="89"/>
      <c r="G198" s="518"/>
      <c r="H198" s="518"/>
      <c r="I198" s="518"/>
      <c r="J198" s="518"/>
      <c r="K198" s="89"/>
      <c r="L198" s="518"/>
      <c r="M198" s="518"/>
      <c r="N198" s="518"/>
      <c r="O198" s="518"/>
      <c r="P198" s="89"/>
      <c r="Q198" s="518"/>
      <c r="R198" s="518"/>
      <c r="S198" s="518"/>
      <c r="T198" s="518"/>
      <c r="U198" s="89"/>
      <c r="V198" s="518"/>
      <c r="W198" s="518"/>
      <c r="X198" s="518"/>
      <c r="Y198" s="609">
        <v>3.4550000000000001</v>
      </c>
      <c r="Z198" s="675">
        <v>3.4550000000000001</v>
      </c>
      <c r="AA198" s="609">
        <v>0.23100000000000001</v>
      </c>
      <c r="AB198" s="609">
        <v>2.1000000000000001E-2</v>
      </c>
      <c r="AC198" s="609">
        <v>3.5000000000000003E-2</v>
      </c>
      <c r="AD198" s="609">
        <v>1E-3</v>
      </c>
      <c r="AE198" s="675">
        <v>0.28799999999999998</v>
      </c>
      <c r="AF198" s="518"/>
      <c r="AG198" s="518"/>
      <c r="AH198" s="518"/>
      <c r="AI198" s="518"/>
      <c r="AJ198" s="89"/>
      <c r="AK198" s="518"/>
      <c r="AL198" s="518"/>
      <c r="AM198" s="518"/>
      <c r="AN198" s="518"/>
      <c r="AO198" s="89"/>
      <c r="AP198" s="518"/>
      <c r="AQ198" s="518"/>
      <c r="AR198" s="518"/>
      <c r="AS198" s="518"/>
      <c r="AT198" s="89"/>
      <c r="AU198" s="518"/>
      <c r="AV198" s="518"/>
      <c r="AW198" s="518"/>
      <c r="AX198" s="518"/>
      <c r="AY198" s="89"/>
      <c r="AZ198" s="518"/>
      <c r="BA198" s="518"/>
      <c r="BB198" s="518"/>
      <c r="BC198" s="518"/>
      <c r="BD198" s="89"/>
      <c r="BE198" s="518"/>
      <c r="BF198" s="518"/>
      <c r="BG198" s="518"/>
      <c r="BH198" s="518"/>
      <c r="BI198" s="89"/>
      <c r="BJ198" s="518"/>
      <c r="BK198" s="518"/>
      <c r="BL198" s="520"/>
      <c r="BM198" s="518"/>
      <c r="BN198" s="89"/>
      <c r="BO198" s="518"/>
      <c r="BP198" s="518"/>
      <c r="BQ198" s="518"/>
      <c r="BR198" s="518"/>
      <c r="BS198" s="89"/>
      <c r="BT198" s="89"/>
      <c r="BU198" s="89"/>
      <c r="BV198" s="89"/>
      <c r="BW198" s="519"/>
    </row>
    <row r="199" spans="1:75" s="444" customFormat="1" hidden="1" outlineLevel="1">
      <c r="A199" s="1" t="s">
        <v>270</v>
      </c>
      <c r="B199" s="49"/>
      <c r="C199" s="676"/>
      <c r="D199" s="676"/>
      <c r="E199" s="676"/>
      <c r="F199" s="676"/>
      <c r="G199" s="560"/>
      <c r="H199" s="560"/>
      <c r="I199" s="560"/>
      <c r="J199" s="568">
        <f t="shared" ref="J199:AE199" si="351">SUM(J193:J198)</f>
        <v>7.339999999999999</v>
      </c>
      <c r="K199" s="699">
        <f t="shared" si="351"/>
        <v>18.313999999999993</v>
      </c>
      <c r="L199" s="568">
        <f t="shared" si="351"/>
        <v>0</v>
      </c>
      <c r="M199" s="568">
        <f t="shared" si="351"/>
        <v>0</v>
      </c>
      <c r="N199" s="568">
        <f t="shared" si="351"/>
        <v>0</v>
      </c>
      <c r="O199" s="568">
        <f t="shared" si="351"/>
        <v>18.897000000000009</v>
      </c>
      <c r="P199" s="699">
        <f t="shared" si="351"/>
        <v>52.997000000000028</v>
      </c>
      <c r="Q199" s="568">
        <f t="shared" si="351"/>
        <v>7.9019999999999895</v>
      </c>
      <c r="R199" s="568">
        <f t="shared" si="351"/>
        <v>9.3540000000000099</v>
      </c>
      <c r="S199" s="568">
        <f t="shared" si="351"/>
        <v>2.6740000000000101</v>
      </c>
      <c r="T199" s="568">
        <f t="shared" si="351"/>
        <v>8.9749999999999908</v>
      </c>
      <c r="U199" s="699">
        <f t="shared" si="351"/>
        <v>28.905000000000044</v>
      </c>
      <c r="V199" s="568">
        <f t="shared" si="351"/>
        <v>5.9630000000000027</v>
      </c>
      <c r="W199" s="568">
        <f t="shared" si="351"/>
        <v>12.516000000000002</v>
      </c>
      <c r="X199" s="568">
        <f t="shared" si="351"/>
        <v>18.408999999999999</v>
      </c>
      <c r="Y199" s="568">
        <f t="shared" si="351"/>
        <v>22.551000000000002</v>
      </c>
      <c r="Z199" s="699">
        <f t="shared" si="351"/>
        <v>59.439999999999984</v>
      </c>
      <c r="AA199" s="568">
        <f t="shared" si="351"/>
        <v>16.274000000000001</v>
      </c>
      <c r="AB199" s="568">
        <f t="shared" si="351"/>
        <v>21.637</v>
      </c>
      <c r="AC199" s="568">
        <f t="shared" si="351"/>
        <v>25.405000000000005</v>
      </c>
      <c r="AD199" s="568">
        <f t="shared" si="351"/>
        <v>15.837999999999989</v>
      </c>
      <c r="AE199" s="699">
        <f t="shared" si="351"/>
        <v>79.155000000000015</v>
      </c>
      <c r="AF199" s="560"/>
      <c r="AG199" s="560"/>
      <c r="AH199" s="560"/>
      <c r="AI199" s="560"/>
      <c r="AJ199" s="676"/>
      <c r="AK199" s="560"/>
      <c r="AL199" s="560"/>
      <c r="AM199" s="560"/>
      <c r="AN199" s="560"/>
      <c r="AO199" s="676"/>
      <c r="AP199" s="560"/>
      <c r="AQ199" s="560"/>
      <c r="AR199" s="560"/>
      <c r="AS199" s="560"/>
      <c r="AT199" s="676"/>
      <c r="AU199" s="560"/>
      <c r="AV199" s="560"/>
      <c r="AW199" s="560"/>
      <c r="AX199" s="560"/>
      <c r="AY199" s="676"/>
      <c r="AZ199" s="560"/>
      <c r="BA199" s="560"/>
      <c r="BB199" s="560"/>
      <c r="BC199" s="560"/>
      <c r="BD199" s="676"/>
      <c r="BE199" s="560"/>
      <c r="BF199" s="560"/>
      <c r="BG199" s="560"/>
      <c r="BH199" s="560"/>
      <c r="BI199" s="676"/>
      <c r="BJ199" s="560"/>
      <c r="BK199" s="560"/>
      <c r="BL199" s="561"/>
      <c r="BM199" s="560"/>
      <c r="BN199" s="676"/>
      <c r="BO199" s="560"/>
      <c r="BP199" s="560"/>
      <c r="BQ199" s="560"/>
      <c r="BR199" s="560"/>
      <c r="BS199" s="676"/>
      <c r="BT199" s="676"/>
      <c r="BU199" s="676"/>
      <c r="BV199" s="676"/>
      <c r="BW199" s="318"/>
    </row>
    <row r="200" spans="1:75" s="444" customFormat="1" hidden="1" outlineLevel="1">
      <c r="A200" s="28"/>
      <c r="B200" s="30"/>
      <c r="C200" s="700"/>
      <c r="D200" s="700"/>
      <c r="E200" s="700"/>
      <c r="F200" s="700"/>
      <c r="G200" s="523"/>
      <c r="H200" s="523"/>
      <c r="I200" s="523"/>
      <c r="J200" s="523"/>
      <c r="K200" s="700"/>
      <c r="L200" s="523"/>
      <c r="M200" s="523"/>
      <c r="N200" s="523"/>
      <c r="O200" s="523"/>
      <c r="P200" s="700"/>
      <c r="Q200" s="523"/>
      <c r="R200" s="523"/>
      <c r="S200" s="523"/>
      <c r="T200" s="523"/>
      <c r="U200" s="700"/>
      <c r="V200" s="523"/>
      <c r="W200" s="523"/>
      <c r="X200" s="523"/>
      <c r="Y200" s="523"/>
      <c r="Z200" s="700"/>
      <c r="AA200" s="523"/>
      <c r="AB200" s="523"/>
      <c r="AC200" s="523"/>
      <c r="AD200" s="523"/>
      <c r="AE200" s="700"/>
      <c r="AF200" s="523"/>
      <c r="AG200" s="523"/>
      <c r="AH200" s="523"/>
      <c r="AI200" s="523"/>
      <c r="AJ200" s="700"/>
      <c r="AK200" s="523"/>
      <c r="AL200" s="523"/>
      <c r="AM200" s="523"/>
      <c r="AN200" s="523"/>
      <c r="AO200" s="700"/>
      <c r="AP200" s="523"/>
      <c r="AQ200" s="523"/>
      <c r="AR200" s="523"/>
      <c r="AS200" s="523"/>
      <c r="AT200" s="700"/>
      <c r="AU200" s="523"/>
      <c r="AV200" s="523"/>
      <c r="AW200" s="523"/>
      <c r="AX200" s="523"/>
      <c r="AY200" s="700"/>
      <c r="AZ200" s="523"/>
      <c r="BA200" s="523"/>
      <c r="BB200" s="523"/>
      <c r="BC200" s="523"/>
      <c r="BD200" s="700"/>
      <c r="BE200" s="523"/>
      <c r="BF200" s="523"/>
      <c r="BG200" s="523"/>
      <c r="BH200" s="523"/>
      <c r="BI200" s="700"/>
      <c r="BJ200" s="523"/>
      <c r="BK200" s="523"/>
      <c r="BL200" s="563"/>
      <c r="BM200" s="523"/>
      <c r="BN200" s="700"/>
      <c r="BO200" s="523"/>
      <c r="BP200" s="523"/>
      <c r="BQ200" s="523"/>
      <c r="BR200" s="523"/>
      <c r="BS200" s="700"/>
      <c r="BT200" s="700"/>
      <c r="BU200" s="700"/>
      <c r="BV200" s="700"/>
      <c r="BW200" s="318"/>
    </row>
    <row r="201" spans="1:75" s="439" customFormat="1" hidden="1" outlineLevel="1">
      <c r="A201" s="31" t="s">
        <v>271</v>
      </c>
      <c r="B201" s="53"/>
      <c r="C201" s="89"/>
      <c r="D201" s="89"/>
      <c r="E201" s="675">
        <v>0.05</v>
      </c>
      <c r="F201" s="675">
        <v>0.122</v>
      </c>
      <c r="G201" s="609">
        <v>7.1999999999999995E-2</v>
      </c>
      <c r="H201" s="609">
        <v>0.105</v>
      </c>
      <c r="I201" s="609">
        <v>0.104</v>
      </c>
      <c r="J201" s="609">
        <v>0.14000000000000001</v>
      </c>
      <c r="K201" s="675">
        <v>0.42099999999999999</v>
      </c>
      <c r="L201" s="609">
        <v>0.15</v>
      </c>
      <c r="M201" s="609">
        <v>0.11899999999999999</v>
      </c>
      <c r="N201" s="609">
        <v>0.253</v>
      </c>
      <c r="O201" s="609">
        <v>0.20699999999999999</v>
      </c>
      <c r="P201" s="675">
        <v>0.72899999999999998</v>
      </c>
      <c r="Q201" s="609">
        <v>0.124</v>
      </c>
      <c r="R201" s="609">
        <v>0.222</v>
      </c>
      <c r="S201" s="609">
        <v>0.435</v>
      </c>
      <c r="T201" s="609">
        <v>0.33600000000000002</v>
      </c>
      <c r="U201" s="675">
        <v>1.117</v>
      </c>
      <c r="V201" s="609">
        <v>0.40100000000000002</v>
      </c>
      <c r="W201" s="609">
        <v>0.40699999999999997</v>
      </c>
      <c r="X201" s="609">
        <v>0.76400000000000001</v>
      </c>
      <c r="Y201" s="609">
        <v>0.874</v>
      </c>
      <c r="Z201" s="675">
        <v>2.4460000000000002</v>
      </c>
      <c r="AA201" s="609">
        <v>0.98099999999999998</v>
      </c>
      <c r="AB201" s="609">
        <v>0.95699999999999996</v>
      </c>
      <c r="AC201" s="609">
        <v>0.99299999999999999</v>
      </c>
      <c r="AD201" s="609">
        <v>1.079</v>
      </c>
      <c r="AE201" s="675">
        <v>4.01</v>
      </c>
      <c r="AF201" s="609">
        <v>1.03</v>
      </c>
      <c r="AG201" s="609">
        <v>1.153</v>
      </c>
      <c r="AH201" s="609">
        <v>1.1619999999999999</v>
      </c>
      <c r="AI201" s="518">
        <f>AJ201-SUM(AF201,AG201,AH201)</f>
        <v>1.2270000000000003</v>
      </c>
      <c r="AJ201" s="675">
        <v>4.5720000000000001</v>
      </c>
      <c r="AK201" s="609">
        <v>1.244</v>
      </c>
      <c r="AL201" s="609">
        <v>1.1180000000000001</v>
      </c>
      <c r="AM201" s="609">
        <v>1.054</v>
      </c>
      <c r="AN201" s="518">
        <f>AO201-SUM(AK201,AL201,AM201)</f>
        <v>1.1189999999999998</v>
      </c>
      <c r="AO201" s="675">
        <v>4.5350000000000001</v>
      </c>
      <c r="AP201" s="609">
        <v>1.0429999999999999</v>
      </c>
      <c r="AQ201" s="609">
        <v>0.94299999999999995</v>
      </c>
      <c r="AR201" s="609">
        <v>0.84899999999999998</v>
      </c>
      <c r="AS201" s="518">
        <f>AT201-SUM(AP201,AQ201,AR201)</f>
        <v>0.94899999999999984</v>
      </c>
      <c r="AT201" s="675">
        <v>3.7839999999999998</v>
      </c>
      <c r="AU201" s="609">
        <v>1.1080000000000001</v>
      </c>
      <c r="AV201" s="609">
        <v>1.0940000000000001</v>
      </c>
      <c r="AW201" s="609">
        <v>1.071</v>
      </c>
      <c r="AX201" s="609">
        <v>1.0289999999999999</v>
      </c>
      <c r="AY201" s="675">
        <v>4.3019999999999996</v>
      </c>
      <c r="AZ201" s="609">
        <v>1.3049999999999999</v>
      </c>
      <c r="BA201" s="609">
        <v>1.248</v>
      </c>
      <c r="BB201" s="609">
        <v>1.1479999999999999</v>
      </c>
      <c r="BC201" s="609">
        <v>1.06</v>
      </c>
      <c r="BD201" s="675">
        <v>4.7610000000000001</v>
      </c>
      <c r="BE201" s="609">
        <v>1.3819999999999999</v>
      </c>
      <c r="BF201" s="609">
        <v>1.3460000000000001</v>
      </c>
      <c r="BG201" s="609">
        <v>1.298</v>
      </c>
      <c r="BH201" s="609">
        <v>1.248</v>
      </c>
      <c r="BI201" s="675">
        <v>5.274</v>
      </c>
      <c r="BJ201" s="609">
        <v>1.401</v>
      </c>
      <c r="BK201" s="609">
        <v>1.397</v>
      </c>
      <c r="BL201" s="610">
        <v>1.3009999999999999</v>
      </c>
      <c r="BM201" s="518"/>
      <c r="BN201" s="89"/>
      <c r="BO201" s="518"/>
      <c r="BP201" s="518"/>
      <c r="BQ201" s="518"/>
      <c r="BR201" s="518"/>
      <c r="BS201" s="89"/>
      <c r="BT201" s="89"/>
      <c r="BU201" s="89"/>
      <c r="BV201" s="89"/>
      <c r="BW201" s="519"/>
    </row>
    <row r="202" spans="1:75" s="439" customFormat="1" hidden="1" outlineLevel="1">
      <c r="A202" s="31" t="s">
        <v>234</v>
      </c>
      <c r="B202" s="53"/>
      <c r="C202" s="89"/>
      <c r="D202" s="89"/>
      <c r="E202" s="675">
        <v>1.607</v>
      </c>
      <c r="F202" s="675">
        <v>4.9169999999999998</v>
      </c>
      <c r="G202" s="609">
        <v>1.988</v>
      </c>
      <c r="H202" s="609">
        <v>2.282</v>
      </c>
      <c r="I202" s="609">
        <v>2.66</v>
      </c>
      <c r="J202" s="609">
        <v>3.2010000000000001</v>
      </c>
      <c r="K202" s="675">
        <v>10.131</v>
      </c>
      <c r="L202" s="609">
        <v>3.3969999999999998</v>
      </c>
      <c r="M202" s="609">
        <v>3.7280000000000002</v>
      </c>
      <c r="N202" s="609">
        <v>3.883</v>
      </c>
      <c r="O202" s="609">
        <v>4.0380000000000003</v>
      </c>
      <c r="P202" s="675">
        <v>15.083</v>
      </c>
      <c r="Q202" s="609">
        <v>4.9370000000000003</v>
      </c>
      <c r="R202" s="609">
        <v>5.6539999999999999</v>
      </c>
      <c r="S202" s="609">
        <v>5.5679999999999996</v>
      </c>
      <c r="T202" s="609">
        <v>5.8029999999999999</v>
      </c>
      <c r="U202" s="675">
        <v>21.962</v>
      </c>
      <c r="V202" s="609">
        <v>6.3419999999999996</v>
      </c>
      <c r="W202" s="609">
        <v>6.843</v>
      </c>
      <c r="X202" s="609">
        <v>7.1909999999999998</v>
      </c>
      <c r="Y202" s="609">
        <v>6.7220000000000004</v>
      </c>
      <c r="Z202" s="675">
        <v>27.097999999999999</v>
      </c>
      <c r="AA202" s="609">
        <v>6.8680000000000003</v>
      </c>
      <c r="AB202" s="609">
        <v>7.2610000000000001</v>
      </c>
      <c r="AC202" s="609">
        <v>7.3049999999999997</v>
      </c>
      <c r="AD202" s="609">
        <v>6.6660000000000004</v>
      </c>
      <c r="AE202" s="675">
        <v>28.1</v>
      </c>
      <c r="AF202" s="609">
        <v>7.5179999999999998</v>
      </c>
      <c r="AG202" s="609">
        <v>8.0549999999999997</v>
      </c>
      <c r="AH202" s="609">
        <v>7.9409999999999998</v>
      </c>
      <c r="AI202" s="518">
        <f>AJ202-SUM(AF202,AG202,AH202)</f>
        <v>7.2650000000000006</v>
      </c>
      <c r="AJ202" s="675">
        <v>30.779</v>
      </c>
      <c r="AK202" s="609">
        <v>7.6870000000000003</v>
      </c>
      <c r="AL202" s="609">
        <v>7.774</v>
      </c>
      <c r="AM202" s="609">
        <v>7.6829999999999998</v>
      </c>
      <c r="AN202" s="518">
        <f>AO202-SUM(AK202,AL202,AM202)</f>
        <v>7.5240000000000009</v>
      </c>
      <c r="AO202" s="675">
        <v>30.667999999999999</v>
      </c>
      <c r="AP202" s="609">
        <v>7.6959999999999997</v>
      </c>
      <c r="AQ202" s="609">
        <v>7.3019999999999996</v>
      </c>
      <c r="AR202" s="609">
        <v>7.1959999999999997</v>
      </c>
      <c r="AS202" s="518">
        <f>AT202-SUM(AP202,AQ202,AR202)</f>
        <v>7.4760000000000026</v>
      </c>
      <c r="AT202" s="675">
        <v>29.67</v>
      </c>
      <c r="AU202" s="609">
        <v>8.3970000000000002</v>
      </c>
      <c r="AV202" s="609">
        <v>8.4410000000000007</v>
      </c>
      <c r="AW202" s="609">
        <v>7.7939999999999996</v>
      </c>
      <c r="AX202" s="609">
        <v>7.7030000000000003</v>
      </c>
      <c r="AY202" s="675">
        <v>32.335000000000001</v>
      </c>
      <c r="AZ202" s="609">
        <v>8.6549999999999994</v>
      </c>
      <c r="BA202" s="609">
        <v>8.1999999999999993</v>
      </c>
      <c r="BB202" s="609">
        <v>8.6059999999999999</v>
      </c>
      <c r="BC202" s="609">
        <v>8.16</v>
      </c>
      <c r="BD202" s="675">
        <v>33.621000000000002</v>
      </c>
      <c r="BE202" s="609">
        <v>9.1140000000000008</v>
      </c>
      <c r="BF202" s="609">
        <v>8.6069999999999993</v>
      </c>
      <c r="BG202" s="609">
        <v>9.1999999999999993</v>
      </c>
      <c r="BH202" s="609">
        <v>8.266</v>
      </c>
      <c r="BI202" s="675">
        <v>35.186999999999998</v>
      </c>
      <c r="BJ202" s="609">
        <v>8.6989999999999998</v>
      </c>
      <c r="BK202" s="609">
        <v>8.6180000000000003</v>
      </c>
      <c r="BL202" s="610">
        <v>8.5879999999999992</v>
      </c>
      <c r="BM202" s="518"/>
      <c r="BN202" s="89"/>
      <c r="BO202" s="518"/>
      <c r="BP202" s="518"/>
      <c r="BQ202" s="518"/>
      <c r="BR202" s="518"/>
      <c r="BS202" s="89"/>
      <c r="BT202" s="89"/>
      <c r="BU202" s="89"/>
      <c r="BV202" s="89"/>
      <c r="BW202" s="519"/>
    </row>
    <row r="203" spans="1:75" s="439" customFormat="1" hidden="1" outlineLevel="1">
      <c r="A203" s="31" t="s">
        <v>235</v>
      </c>
      <c r="B203" s="53"/>
      <c r="C203" s="89"/>
      <c r="D203" s="89"/>
      <c r="E203" s="675">
        <v>0.72099999999999997</v>
      </c>
      <c r="F203" s="675">
        <v>1.7050000000000001</v>
      </c>
      <c r="G203" s="609">
        <v>0.81599999999999995</v>
      </c>
      <c r="H203" s="609">
        <v>1.04</v>
      </c>
      <c r="I203" s="609">
        <v>1.7090000000000001</v>
      </c>
      <c r="J203" s="609">
        <v>2.7050000000000001</v>
      </c>
      <c r="K203" s="675">
        <v>6.27</v>
      </c>
      <c r="L203" s="609">
        <v>3.0419999999999998</v>
      </c>
      <c r="M203" s="609">
        <v>3.456</v>
      </c>
      <c r="N203" s="609">
        <v>3.835</v>
      </c>
      <c r="O203" s="609">
        <v>4.508</v>
      </c>
      <c r="P203" s="675">
        <v>14.804</v>
      </c>
      <c r="Q203" s="609">
        <v>5.1050000000000004</v>
      </c>
      <c r="R203" s="609">
        <v>6.0650000000000004</v>
      </c>
      <c r="S203" s="609">
        <v>5.9470000000000001</v>
      </c>
      <c r="T203" s="609">
        <v>6.3140000000000001</v>
      </c>
      <c r="U203" s="675">
        <v>23.431000000000001</v>
      </c>
      <c r="V203" s="609">
        <v>8.0299999999999994</v>
      </c>
      <c r="W203" s="609">
        <v>8.4130000000000003</v>
      </c>
      <c r="X203" s="609">
        <v>9.2840000000000007</v>
      </c>
      <c r="Y203" s="609">
        <v>10.595000000000001</v>
      </c>
      <c r="Z203" s="675">
        <v>36.323</v>
      </c>
      <c r="AA203" s="609">
        <v>11.208</v>
      </c>
      <c r="AB203" s="609">
        <v>11.244999999999999</v>
      </c>
      <c r="AC203" s="609">
        <v>11.976000000000001</v>
      </c>
      <c r="AD203" s="609">
        <v>12.851000000000001</v>
      </c>
      <c r="AE203" s="675">
        <v>47.28</v>
      </c>
      <c r="AF203" s="609">
        <v>13.435</v>
      </c>
      <c r="AG203" s="609">
        <v>13.907</v>
      </c>
      <c r="AH203" s="609">
        <v>14.536</v>
      </c>
      <c r="AI203" s="518">
        <f>AJ203-SUM(AF203,AG203,AH203)</f>
        <v>15.003999999999998</v>
      </c>
      <c r="AJ203" s="675">
        <v>56.881999999999998</v>
      </c>
      <c r="AK203" s="609">
        <v>16.074999999999999</v>
      </c>
      <c r="AL203" s="609">
        <v>15.247</v>
      </c>
      <c r="AM203" s="609">
        <v>15.25</v>
      </c>
      <c r="AN203" s="518">
        <f>AO203-SUM(AK203,AL203,AM203)</f>
        <v>16.860999999999997</v>
      </c>
      <c r="AO203" s="675">
        <v>63.433</v>
      </c>
      <c r="AP203" s="609">
        <v>17.754999999999999</v>
      </c>
      <c r="AQ203" s="609">
        <v>16.827000000000002</v>
      </c>
      <c r="AR203" s="609">
        <v>15.551</v>
      </c>
      <c r="AS203" s="518">
        <f>AT203-SUM(AP203,AQ203,AR203)</f>
        <v>17.488999999999997</v>
      </c>
      <c r="AT203" s="675">
        <v>67.622</v>
      </c>
      <c r="AU203" s="609">
        <v>20.753</v>
      </c>
      <c r="AV203" s="609">
        <v>20.673999999999999</v>
      </c>
      <c r="AW203" s="609">
        <v>20.38</v>
      </c>
      <c r="AX203" s="609">
        <v>19.817</v>
      </c>
      <c r="AY203" s="675">
        <v>81.623999999999995</v>
      </c>
      <c r="AZ203" s="609">
        <v>23.125</v>
      </c>
      <c r="BA203" s="609">
        <v>22.303999999999998</v>
      </c>
      <c r="BB203" s="609">
        <v>21.352</v>
      </c>
      <c r="BC203" s="609">
        <v>20.09</v>
      </c>
      <c r="BD203" s="675">
        <v>86.870999999999995</v>
      </c>
      <c r="BE203" s="609">
        <v>25.867000000000001</v>
      </c>
      <c r="BF203" s="609">
        <v>24.974</v>
      </c>
      <c r="BG203" s="609">
        <v>24.047000000000001</v>
      </c>
      <c r="BH203" s="609">
        <v>22.626999999999999</v>
      </c>
      <c r="BI203" s="675">
        <v>97.515000000000001</v>
      </c>
      <c r="BJ203" s="609">
        <v>23.652999999999999</v>
      </c>
      <c r="BK203" s="609">
        <v>22.533999999999999</v>
      </c>
      <c r="BL203" s="610">
        <v>20.887</v>
      </c>
      <c r="BM203" s="518"/>
      <c r="BN203" s="89"/>
      <c r="BO203" s="518"/>
      <c r="BP203" s="518"/>
      <c r="BQ203" s="518"/>
      <c r="BR203" s="518"/>
      <c r="BS203" s="89"/>
      <c r="BT203" s="89"/>
      <c r="BU203" s="89"/>
      <c r="BV203" s="89"/>
      <c r="BW203" s="519"/>
    </row>
    <row r="204" spans="1:75" s="439" customFormat="1" hidden="1" outlineLevel="1">
      <c r="A204" s="31" t="s">
        <v>236</v>
      </c>
      <c r="B204" s="53"/>
      <c r="C204" s="89"/>
      <c r="D204" s="89"/>
      <c r="E204" s="675">
        <v>2.4990000000000001</v>
      </c>
      <c r="F204" s="675">
        <v>8.1340000000000003</v>
      </c>
      <c r="G204" s="609">
        <v>1.7290000000000001</v>
      </c>
      <c r="H204" s="609">
        <v>2.286</v>
      </c>
      <c r="I204" s="609">
        <v>2.5419999999999998</v>
      </c>
      <c r="J204" s="609">
        <v>2.7429999999999999</v>
      </c>
      <c r="K204" s="675">
        <v>9.3000000000000007</v>
      </c>
      <c r="L204" s="609">
        <v>2.867</v>
      </c>
      <c r="M204" s="609">
        <v>2.78</v>
      </c>
      <c r="N204" s="609">
        <v>2.9470000000000001</v>
      </c>
      <c r="O204" s="609">
        <v>3.0630000000000002</v>
      </c>
      <c r="P204" s="675">
        <v>11.657</v>
      </c>
      <c r="Q204" s="609">
        <v>3.5049999999999999</v>
      </c>
      <c r="R204" s="609">
        <v>3.5750000000000002</v>
      </c>
      <c r="S204" s="609">
        <v>3.7330000000000001</v>
      </c>
      <c r="T204" s="609">
        <v>3.5190000000000001</v>
      </c>
      <c r="U204" s="675">
        <v>14.332000000000001</v>
      </c>
      <c r="V204" s="609">
        <v>4.3369999999999997</v>
      </c>
      <c r="W204" s="609">
        <v>5.0629999999999997</v>
      </c>
      <c r="X204" s="609">
        <v>5.3209999999999997</v>
      </c>
      <c r="Y204" s="609">
        <v>5.673</v>
      </c>
      <c r="Z204" s="675">
        <v>20.393999999999998</v>
      </c>
      <c r="AA204" s="609">
        <v>5.2770000000000001</v>
      </c>
      <c r="AB204" s="609">
        <v>5.9020000000000001</v>
      </c>
      <c r="AC204" s="609">
        <v>5.0350000000000001</v>
      </c>
      <c r="AD204" s="609">
        <v>4.8109999999999999</v>
      </c>
      <c r="AE204" s="675">
        <v>21.024999999999999</v>
      </c>
      <c r="AF204" s="609">
        <v>5.7510000000000003</v>
      </c>
      <c r="AG204" s="609">
        <v>5.69</v>
      </c>
      <c r="AH204" s="609">
        <v>5.5549999999999997</v>
      </c>
      <c r="AI204" s="518">
        <f>AJ204-SUM(AF204,AG204,AH204)</f>
        <v>5.1569999999999965</v>
      </c>
      <c r="AJ204" s="675">
        <v>22.152999999999999</v>
      </c>
      <c r="AK204" s="609">
        <v>6.3129999999999997</v>
      </c>
      <c r="AL204" s="609">
        <v>6.3129999999999997</v>
      </c>
      <c r="AM204" s="609">
        <v>5.2489999999999997</v>
      </c>
      <c r="AN204" s="518">
        <f>AO204-SUM(AK204,AL204,AM204)</f>
        <v>5.0010000000000012</v>
      </c>
      <c r="AO204" s="675">
        <v>22.876000000000001</v>
      </c>
      <c r="AP204" s="609">
        <v>5.2560000000000002</v>
      </c>
      <c r="AQ204" s="609">
        <v>5.5129999999999999</v>
      </c>
      <c r="AR204" s="609">
        <v>6.6589999999999998</v>
      </c>
      <c r="AS204" s="518">
        <f>AT204-SUM(AP204,AQ204,AR204)</f>
        <v>6.07</v>
      </c>
      <c r="AT204" s="675">
        <v>23.498000000000001</v>
      </c>
      <c r="AU204" s="609">
        <v>8.9870000000000001</v>
      </c>
      <c r="AV204" s="609">
        <v>10.65</v>
      </c>
      <c r="AW204" s="609">
        <v>7.1970000000000001</v>
      </c>
      <c r="AX204" s="609">
        <v>6.5839999999999996</v>
      </c>
      <c r="AY204" s="675">
        <v>33.417999999999999</v>
      </c>
      <c r="AZ204" s="609">
        <v>7.9749999999999996</v>
      </c>
      <c r="BA204" s="609">
        <v>8.3089999999999993</v>
      </c>
      <c r="BB204" s="609">
        <v>7.5259999999999998</v>
      </c>
      <c r="BC204" s="609">
        <v>7.0270000000000001</v>
      </c>
      <c r="BD204" s="675">
        <v>30.837</v>
      </c>
      <c r="BE204" s="609">
        <v>9.8940000000000001</v>
      </c>
      <c r="BF204" s="609">
        <v>8.6530000000000005</v>
      </c>
      <c r="BG204" s="609">
        <v>8.9220000000000006</v>
      </c>
      <c r="BH204" s="609">
        <v>8.0060000000000002</v>
      </c>
      <c r="BI204" s="675">
        <v>35.475000000000001</v>
      </c>
      <c r="BJ204" s="609">
        <v>8.9570000000000007</v>
      </c>
      <c r="BK204" s="609">
        <v>8.6649999999999991</v>
      </c>
      <c r="BL204" s="610">
        <v>8.6959999999999997</v>
      </c>
      <c r="BM204" s="518"/>
      <c r="BN204" s="89"/>
      <c r="BO204" s="518"/>
      <c r="BP204" s="518"/>
      <c r="BQ204" s="518"/>
      <c r="BR204" s="518"/>
      <c r="BS204" s="89"/>
      <c r="BT204" s="89"/>
      <c r="BU204" s="89"/>
      <c r="BV204" s="89"/>
      <c r="BW204" s="519"/>
    </row>
    <row r="205" spans="1:75" s="439" customFormat="1" hidden="1" outlineLevel="1">
      <c r="A205" s="31" t="s">
        <v>272</v>
      </c>
      <c r="B205" s="53"/>
      <c r="C205" s="89"/>
      <c r="D205" s="89"/>
      <c r="E205" s="89"/>
      <c r="F205" s="89"/>
      <c r="G205" s="609">
        <v>0.55500000000000005</v>
      </c>
      <c r="H205" s="518"/>
      <c r="I205" s="518"/>
      <c r="J205" s="518"/>
      <c r="K205" s="675">
        <v>0.55500000000000005</v>
      </c>
      <c r="L205" s="518"/>
      <c r="M205" s="518"/>
      <c r="N205" s="518"/>
      <c r="O205" s="518"/>
      <c r="P205" s="89"/>
      <c r="Q205" s="518"/>
      <c r="R205" s="518"/>
      <c r="S205" s="518"/>
      <c r="T205" s="518"/>
      <c r="U205" s="89"/>
      <c r="V205" s="518"/>
      <c r="W205" s="518"/>
      <c r="X205" s="518"/>
      <c r="Y205" s="518"/>
      <c r="Z205" s="89"/>
      <c r="AA205" s="518"/>
      <c r="AB205" s="518"/>
      <c r="AC205" s="518"/>
      <c r="AD205" s="518"/>
      <c r="AE205" s="89"/>
      <c r="AF205" s="518"/>
      <c r="AG205" s="518"/>
      <c r="AH205" s="518"/>
      <c r="AI205" s="518"/>
      <c r="AJ205" s="89"/>
      <c r="AK205" s="518"/>
      <c r="AL205" s="518"/>
      <c r="AM205" s="518"/>
      <c r="AN205" s="518"/>
      <c r="AO205" s="89"/>
      <c r="AP205" s="518"/>
      <c r="AQ205" s="518"/>
      <c r="AR205" s="518"/>
      <c r="AS205" s="518"/>
      <c r="AT205" s="89"/>
      <c r="AU205" s="518"/>
      <c r="AV205" s="518"/>
      <c r="AW205" s="518"/>
      <c r="AX205" s="518"/>
      <c r="AY205" s="89"/>
      <c r="AZ205" s="518"/>
      <c r="BA205" s="518"/>
      <c r="BB205" s="518"/>
      <c r="BC205" s="518"/>
      <c r="BD205" s="89"/>
      <c r="BE205" s="518"/>
      <c r="BF205" s="518"/>
      <c r="BG205" s="518"/>
      <c r="BH205" s="518"/>
      <c r="BI205" s="89"/>
      <c r="BJ205" s="518"/>
      <c r="BK205" s="518"/>
      <c r="BL205" s="520"/>
      <c r="BM205" s="518"/>
      <c r="BN205" s="89"/>
      <c r="BO205" s="518"/>
      <c r="BP205" s="518"/>
      <c r="BQ205" s="518"/>
      <c r="BR205" s="518"/>
      <c r="BS205" s="89"/>
      <c r="BT205" s="89"/>
      <c r="BU205" s="89"/>
      <c r="BV205" s="89"/>
      <c r="BW205" s="519"/>
    </row>
    <row r="206" spans="1:75" s="444" customFormat="1" hidden="1" outlineLevel="1">
      <c r="A206" s="1" t="s">
        <v>273</v>
      </c>
      <c r="B206" s="49"/>
      <c r="C206" s="699">
        <f t="shared" ref="C206:AQ206" si="352">SUM(C201:C205)</f>
        <v>0</v>
      </c>
      <c r="D206" s="699">
        <f t="shared" si="352"/>
        <v>0</v>
      </c>
      <c r="E206" s="699">
        <f t="shared" si="352"/>
        <v>4.8770000000000007</v>
      </c>
      <c r="F206" s="699">
        <f t="shared" si="352"/>
        <v>14.878</v>
      </c>
      <c r="G206" s="568">
        <f t="shared" si="352"/>
        <v>5.16</v>
      </c>
      <c r="H206" s="568">
        <f t="shared" si="352"/>
        <v>5.7130000000000001</v>
      </c>
      <c r="I206" s="568">
        <f t="shared" si="352"/>
        <v>7.0150000000000006</v>
      </c>
      <c r="J206" s="568">
        <f t="shared" si="352"/>
        <v>8.7889999999999997</v>
      </c>
      <c r="K206" s="699">
        <f t="shared" si="352"/>
        <v>26.677</v>
      </c>
      <c r="L206" s="568">
        <f t="shared" si="352"/>
        <v>9.4559999999999995</v>
      </c>
      <c r="M206" s="568">
        <f t="shared" si="352"/>
        <v>10.083</v>
      </c>
      <c r="N206" s="568">
        <f t="shared" si="352"/>
        <v>10.917999999999999</v>
      </c>
      <c r="O206" s="568">
        <f t="shared" si="352"/>
        <v>11.816000000000001</v>
      </c>
      <c r="P206" s="699">
        <f t="shared" si="352"/>
        <v>42.272999999999996</v>
      </c>
      <c r="Q206" s="568">
        <f t="shared" si="352"/>
        <v>13.670999999999999</v>
      </c>
      <c r="R206" s="568">
        <f t="shared" si="352"/>
        <v>15.516000000000002</v>
      </c>
      <c r="S206" s="568">
        <f t="shared" si="352"/>
        <v>15.683</v>
      </c>
      <c r="T206" s="568">
        <f t="shared" si="352"/>
        <v>15.972</v>
      </c>
      <c r="U206" s="699">
        <f t="shared" si="352"/>
        <v>60.842000000000006</v>
      </c>
      <c r="V206" s="568">
        <f t="shared" si="352"/>
        <v>19.11</v>
      </c>
      <c r="W206" s="568">
        <f t="shared" si="352"/>
        <v>20.725999999999999</v>
      </c>
      <c r="X206" s="568">
        <f t="shared" si="352"/>
        <v>22.560000000000002</v>
      </c>
      <c r="Y206" s="568">
        <f t="shared" si="352"/>
        <v>23.864000000000004</v>
      </c>
      <c r="Z206" s="699">
        <f t="shared" si="352"/>
        <v>86.260999999999996</v>
      </c>
      <c r="AA206" s="568">
        <f t="shared" si="352"/>
        <v>24.334000000000003</v>
      </c>
      <c r="AB206" s="568">
        <f t="shared" si="352"/>
        <v>25.365000000000002</v>
      </c>
      <c r="AC206" s="568">
        <f t="shared" si="352"/>
        <v>25.309000000000001</v>
      </c>
      <c r="AD206" s="568">
        <f t="shared" si="352"/>
        <v>25.407</v>
      </c>
      <c r="AE206" s="699">
        <f t="shared" si="352"/>
        <v>100.41499999999999</v>
      </c>
      <c r="AF206" s="568">
        <f t="shared" si="352"/>
        <v>27.734000000000002</v>
      </c>
      <c r="AG206" s="568">
        <f t="shared" si="352"/>
        <v>28.805000000000003</v>
      </c>
      <c r="AH206" s="568">
        <f t="shared" si="352"/>
        <v>29.193999999999999</v>
      </c>
      <c r="AI206" s="568">
        <f t="shared" si="352"/>
        <v>28.652999999999995</v>
      </c>
      <c r="AJ206" s="699">
        <f t="shared" si="352"/>
        <v>114.386</v>
      </c>
      <c r="AK206" s="568">
        <f t="shared" si="352"/>
        <v>31.318999999999999</v>
      </c>
      <c r="AL206" s="568">
        <f t="shared" si="352"/>
        <v>30.451999999999998</v>
      </c>
      <c r="AM206" s="568">
        <f t="shared" si="352"/>
        <v>29.236000000000001</v>
      </c>
      <c r="AN206" s="568">
        <f t="shared" si="352"/>
        <v>30.504999999999999</v>
      </c>
      <c r="AO206" s="699">
        <f t="shared" si="352"/>
        <v>121.512</v>
      </c>
      <c r="AP206" s="568">
        <f t="shared" si="352"/>
        <v>31.75</v>
      </c>
      <c r="AQ206" s="568">
        <f t="shared" si="352"/>
        <v>30.585000000000001</v>
      </c>
      <c r="AR206" s="568">
        <f t="shared" ref="AR206:AW206" si="353">SUM(AR201:AR205)</f>
        <v>30.254999999999999</v>
      </c>
      <c r="AS206" s="568">
        <f t="shared" si="353"/>
        <v>31.984000000000002</v>
      </c>
      <c r="AT206" s="699">
        <f t="shared" si="353"/>
        <v>124.574</v>
      </c>
      <c r="AU206" s="568">
        <f t="shared" si="353"/>
        <v>39.245000000000005</v>
      </c>
      <c r="AV206" s="568">
        <f t="shared" si="353"/>
        <v>40.859000000000002</v>
      </c>
      <c r="AW206" s="568">
        <f t="shared" si="353"/>
        <v>36.442</v>
      </c>
      <c r="AX206" s="568">
        <f t="shared" ref="AX206:BD206" si="354">SUM(AX201:AX205)</f>
        <v>35.132999999999996</v>
      </c>
      <c r="AY206" s="699">
        <f t="shared" si="354"/>
        <v>151.679</v>
      </c>
      <c r="AZ206" s="568">
        <f t="shared" si="354"/>
        <v>41.06</v>
      </c>
      <c r="BA206" s="568">
        <f t="shared" si="354"/>
        <v>40.060999999999993</v>
      </c>
      <c r="BB206" s="568">
        <f t="shared" si="354"/>
        <v>38.632000000000005</v>
      </c>
      <c r="BC206" s="568">
        <f t="shared" si="354"/>
        <v>36.337000000000003</v>
      </c>
      <c r="BD206" s="699">
        <f t="shared" si="354"/>
        <v>156.09</v>
      </c>
      <c r="BE206" s="568">
        <f t="shared" ref="BE206:BJ206" si="355">SUM(BE201:BE205)</f>
        <v>46.256999999999998</v>
      </c>
      <c r="BF206" s="568">
        <f t="shared" si="355"/>
        <v>43.58</v>
      </c>
      <c r="BG206" s="568">
        <f t="shared" si="355"/>
        <v>43.466999999999999</v>
      </c>
      <c r="BH206" s="568">
        <f t="shared" si="355"/>
        <v>40.146999999999998</v>
      </c>
      <c r="BI206" s="699">
        <f t="shared" si="355"/>
        <v>173.45099999999999</v>
      </c>
      <c r="BJ206" s="568">
        <f t="shared" si="355"/>
        <v>42.71</v>
      </c>
      <c r="BK206" s="568">
        <f>SUM(BK201:BK205)</f>
        <v>41.213999999999999</v>
      </c>
      <c r="BL206" s="571">
        <f>SUM(BL201:BL205)</f>
        <v>39.472000000000001</v>
      </c>
      <c r="BM206" s="560"/>
      <c r="BN206" s="676"/>
      <c r="BO206" s="560"/>
      <c r="BP206" s="560"/>
      <c r="BQ206" s="560"/>
      <c r="BR206" s="560"/>
      <c r="BS206" s="676"/>
      <c r="BT206" s="676"/>
      <c r="BU206" s="676"/>
      <c r="BV206" s="676"/>
      <c r="BW206" s="318"/>
    </row>
    <row r="207" spans="1:75" s="444" customFormat="1" hidden="1" outlineLevel="1">
      <c r="A207" s="28"/>
      <c r="B207" s="30"/>
      <c r="C207" s="700"/>
      <c r="D207" s="700"/>
      <c r="E207" s="700"/>
      <c r="F207" s="700"/>
      <c r="G207" s="523"/>
      <c r="H207" s="523"/>
      <c r="I207" s="523"/>
      <c r="J207" s="523"/>
      <c r="K207" s="700"/>
      <c r="L207" s="523"/>
      <c r="M207" s="523"/>
      <c r="N207" s="523"/>
      <c r="O207" s="523"/>
      <c r="P207" s="700"/>
      <c r="Q207" s="523"/>
      <c r="R207" s="523"/>
      <c r="S207" s="523"/>
      <c r="T207" s="523"/>
      <c r="U207" s="700"/>
      <c r="V207" s="523"/>
      <c r="W207" s="523"/>
      <c r="X207" s="523"/>
      <c r="Y207" s="523"/>
      <c r="Z207" s="700"/>
      <c r="AA207" s="523"/>
      <c r="AB207" s="523"/>
      <c r="AC207" s="523"/>
      <c r="AD207" s="523"/>
      <c r="AE207" s="700"/>
      <c r="AF207" s="523"/>
      <c r="AG207" s="523"/>
      <c r="AH207" s="523"/>
      <c r="AI207" s="523"/>
      <c r="AJ207" s="700"/>
      <c r="AK207" s="523"/>
      <c r="AL207" s="523"/>
      <c r="AM207" s="523"/>
      <c r="AN207" s="523"/>
      <c r="AO207" s="700"/>
      <c r="AP207" s="523"/>
      <c r="AQ207" s="523"/>
      <c r="AR207" s="523"/>
      <c r="AS207" s="523"/>
      <c r="AT207" s="700"/>
      <c r="AU207" s="523"/>
      <c r="AV207" s="523"/>
      <c r="AW207" s="523"/>
      <c r="AX207" s="523"/>
      <c r="AY207" s="700"/>
      <c r="AZ207" s="523"/>
      <c r="BA207" s="523"/>
      <c r="BB207" s="523"/>
      <c r="BC207" s="523"/>
      <c r="BD207" s="700"/>
      <c r="BE207" s="523"/>
      <c r="BF207" s="523"/>
      <c r="BG207" s="523"/>
      <c r="BH207" s="523"/>
      <c r="BI207" s="700"/>
      <c r="BJ207" s="523"/>
      <c r="BK207" s="523"/>
      <c r="BL207" s="563"/>
      <c r="BM207" s="523"/>
      <c r="BN207" s="700"/>
      <c r="BO207" s="523"/>
      <c r="BP207" s="523"/>
      <c r="BQ207" s="523"/>
      <c r="BR207" s="523"/>
      <c r="BS207" s="700"/>
      <c r="BT207" s="700"/>
      <c r="BU207" s="700"/>
      <c r="BV207" s="700"/>
      <c r="BW207" s="318"/>
    </row>
    <row r="208" spans="1:75" s="439" customFormat="1" hidden="1" outlineLevel="1">
      <c r="A208" s="130" t="s">
        <v>274</v>
      </c>
      <c r="B208" s="53"/>
      <c r="C208" s="675">
        <v>1.2</v>
      </c>
      <c r="D208" s="675">
        <v>2.2999999999999998</v>
      </c>
      <c r="E208" s="675">
        <v>4.2</v>
      </c>
      <c r="F208" s="675">
        <v>5.9</v>
      </c>
      <c r="G208" s="609">
        <v>1.7</v>
      </c>
      <c r="H208" s="609">
        <v>1.7</v>
      </c>
      <c r="I208" s="609">
        <v>1.9</v>
      </c>
      <c r="J208" s="518">
        <f>K208-SUM(G208,H208,I208)</f>
        <v>2.6000000000000005</v>
      </c>
      <c r="K208" s="675">
        <v>7.9</v>
      </c>
      <c r="L208" s="609">
        <v>2.8</v>
      </c>
      <c r="M208" s="609">
        <v>3.1</v>
      </c>
      <c r="N208" s="609">
        <v>3.7</v>
      </c>
      <c r="O208" s="518">
        <f>P208-SUM(L208,M208,N208)</f>
        <v>4.6999999999999993</v>
      </c>
      <c r="P208" s="675">
        <v>14.3</v>
      </c>
      <c r="Q208" s="609">
        <v>5.6</v>
      </c>
      <c r="R208" s="609">
        <v>5.3</v>
      </c>
      <c r="S208" s="609">
        <v>5.8</v>
      </c>
      <c r="T208" s="518">
        <f>U208-SUM(Q208,R208,S208)</f>
        <v>6.3000000000000007</v>
      </c>
      <c r="U208" s="675">
        <v>23</v>
      </c>
      <c r="V208" s="609">
        <v>6.5</v>
      </c>
      <c r="W208" s="609">
        <v>6.8</v>
      </c>
      <c r="X208" s="609">
        <v>7.5</v>
      </c>
      <c r="Y208" s="518">
        <f>Z208-SUM(V208,W208,X208)</f>
        <v>7.6999999999999993</v>
      </c>
      <c r="Z208" s="675">
        <v>28.5</v>
      </c>
      <c r="AA208" s="609">
        <v>8.1999999999999993</v>
      </c>
      <c r="AB208" s="609">
        <v>8.3000000000000007</v>
      </c>
      <c r="AC208" s="609">
        <v>9.1999999999999993</v>
      </c>
      <c r="AD208" s="518">
        <f>AE208-SUM(AA208,AB208,AC208)</f>
        <v>8.9000000000000021</v>
      </c>
      <c r="AE208" s="675">
        <v>34.6</v>
      </c>
      <c r="AF208" s="609">
        <v>9.1</v>
      </c>
      <c r="AG208" s="609">
        <v>9.6</v>
      </c>
      <c r="AH208" s="609">
        <v>9.8000000000000007</v>
      </c>
      <c r="AI208" s="518">
        <f>AJ208-SUM(AF208,AG208,AH208)</f>
        <v>10.799999999999997</v>
      </c>
      <c r="AJ208" s="675">
        <v>39.299999999999997</v>
      </c>
      <c r="AK208" s="609">
        <v>11</v>
      </c>
      <c r="AL208" s="609">
        <v>11.3</v>
      </c>
      <c r="AM208" s="609">
        <v>11.6</v>
      </c>
      <c r="AN208" s="518">
        <f>AO208-SUM(AK208,AL208,AM208)</f>
        <v>12.200000000000003</v>
      </c>
      <c r="AO208" s="675">
        <v>46.1</v>
      </c>
      <c r="AP208" s="609">
        <v>11.7</v>
      </c>
      <c r="AQ208" s="609">
        <v>12</v>
      </c>
      <c r="AR208" s="609">
        <v>11.9</v>
      </c>
      <c r="AS208" s="518">
        <f>AT208-SUM(AP208,AQ208,AR208)</f>
        <v>12.399999999999999</v>
      </c>
      <c r="AT208" s="675">
        <v>48</v>
      </c>
      <c r="AU208" s="609">
        <v>12.4</v>
      </c>
      <c r="AV208" s="609">
        <v>12.1</v>
      </c>
      <c r="AW208" s="609">
        <v>11.9</v>
      </c>
      <c r="AX208" s="518">
        <f>AY208-SUM(AU208,AV208,AW208)</f>
        <v>16.399999999999999</v>
      </c>
      <c r="AY208" s="675">
        <v>52.8</v>
      </c>
      <c r="AZ208" s="609">
        <v>10.8</v>
      </c>
      <c r="BA208" s="609">
        <v>11</v>
      </c>
      <c r="BB208" s="609">
        <v>11</v>
      </c>
      <c r="BC208" s="519">
        <f>BD208-SUM(AZ208,BA208,BB208)</f>
        <v>10.400000000000006</v>
      </c>
      <c r="BD208" s="675">
        <v>43.2</v>
      </c>
      <c r="BE208" s="609">
        <v>10.5</v>
      </c>
      <c r="BF208" s="609">
        <v>10.199999999999999</v>
      </c>
      <c r="BG208" s="609">
        <v>10.199999999999999</v>
      </c>
      <c r="BH208" s="519">
        <f>BI208-SUM(BE208,BF208,BG208)</f>
        <v>9.8999999999999986</v>
      </c>
      <c r="BI208" s="675">
        <v>40.799999999999997</v>
      </c>
      <c r="BJ208" s="609">
        <v>9.6</v>
      </c>
      <c r="BK208" s="609">
        <v>9.1999999999999993</v>
      </c>
      <c r="BL208" s="610">
        <v>9</v>
      </c>
      <c r="BM208" s="518">
        <f>-BM582</f>
        <v>10.229356830601093</v>
      </c>
      <c r="BN208" s="89">
        <f>SUM(BJ208,BK208,BL208,BM208)</f>
        <v>38.029356830601088</v>
      </c>
      <c r="BO208" s="518">
        <f>-BO582</f>
        <v>9.2171888838984959</v>
      </c>
      <c r="BP208" s="518">
        <f>-BP582</f>
        <v>9.417185397233613</v>
      </c>
      <c r="BQ208" s="518">
        <f>-BQ582</f>
        <v>9.5941215585212944</v>
      </c>
      <c r="BR208" s="518">
        <f>-BR582</f>
        <v>9.6452733621049127</v>
      </c>
      <c r="BS208" s="89">
        <f>SUM(BO208,BP208,BQ208,BR208)</f>
        <v>37.873769201758321</v>
      </c>
      <c r="BT208" s="89">
        <f>-BT582</f>
        <v>38.443936983820294</v>
      </c>
      <c r="BU208" s="89">
        <f>-BU582</f>
        <v>39.221968491910147</v>
      </c>
      <c r="BV208" s="89">
        <f>-BV582</f>
        <v>39.610984245955073</v>
      </c>
      <c r="BW208" s="519"/>
    </row>
    <row r="209" spans="1:75" s="439" customFormat="1" hidden="1" outlineLevel="1">
      <c r="A209" s="130" t="s">
        <v>275</v>
      </c>
      <c r="B209" s="53"/>
      <c r="C209" s="675">
        <v>0</v>
      </c>
      <c r="D209" s="675">
        <v>0</v>
      </c>
      <c r="E209" s="675">
        <v>0</v>
      </c>
      <c r="F209" s="675">
        <v>0.4</v>
      </c>
      <c r="G209" s="609">
        <v>0.5</v>
      </c>
      <c r="H209" s="609">
        <v>0.5</v>
      </c>
      <c r="I209" s="609">
        <v>0.6</v>
      </c>
      <c r="J209" s="518">
        <f>K209-SUM(G209,H209,I209)</f>
        <v>0.69999999999999973</v>
      </c>
      <c r="K209" s="675">
        <v>2.2999999999999998</v>
      </c>
      <c r="L209" s="609">
        <v>0.6</v>
      </c>
      <c r="M209" s="609">
        <v>0.6</v>
      </c>
      <c r="N209" s="609">
        <v>0.6</v>
      </c>
      <c r="O209" s="518">
        <f>P209-SUM(L209,M209,N209)</f>
        <v>0.60000000000000009</v>
      </c>
      <c r="P209" s="675">
        <v>2.4</v>
      </c>
      <c r="Q209" s="609">
        <v>1.2</v>
      </c>
      <c r="R209" s="609">
        <v>1.8</v>
      </c>
      <c r="S209" s="609">
        <v>1.7</v>
      </c>
      <c r="T209" s="518">
        <f>U209-SUM(Q209,R209,S209)</f>
        <v>1.7999999999999998</v>
      </c>
      <c r="U209" s="675">
        <v>6.5</v>
      </c>
      <c r="V209" s="609">
        <v>1.7</v>
      </c>
      <c r="W209" s="609">
        <v>1.7</v>
      </c>
      <c r="X209" s="609">
        <v>1.7</v>
      </c>
      <c r="Y209" s="518">
        <f>Z209-SUM(V209,W209,X209)</f>
        <v>1.7000000000000002</v>
      </c>
      <c r="Z209" s="675">
        <v>6.8</v>
      </c>
      <c r="AA209" s="609">
        <v>1.9</v>
      </c>
      <c r="AB209" s="609">
        <v>2.2999999999999998</v>
      </c>
      <c r="AC209" s="609">
        <v>1.4</v>
      </c>
      <c r="AD209" s="518">
        <f>AE209-SUM(AA209,AB209,AC209)</f>
        <v>1</v>
      </c>
      <c r="AE209" s="675">
        <v>6.6</v>
      </c>
      <c r="AF209" s="609">
        <v>0.9</v>
      </c>
      <c r="AG209" s="609">
        <v>0.9</v>
      </c>
      <c r="AH209" s="609">
        <v>0.9</v>
      </c>
      <c r="AI209" s="518">
        <f>AJ209-SUM(AF209,AG209,AH209)</f>
        <v>0.79999999999999982</v>
      </c>
      <c r="AJ209" s="675">
        <v>3.5</v>
      </c>
      <c r="AK209" s="609">
        <v>0.9</v>
      </c>
      <c r="AL209" s="609">
        <v>0.9</v>
      </c>
      <c r="AM209" s="609">
        <v>0.8</v>
      </c>
      <c r="AN209" s="518">
        <f>AO209-SUM(AK209,AL209,AM209)</f>
        <v>0.69999999999999973</v>
      </c>
      <c r="AO209" s="675">
        <v>3.3</v>
      </c>
      <c r="AP209" s="609">
        <v>0.7</v>
      </c>
      <c r="AQ209" s="609">
        <v>0.6</v>
      </c>
      <c r="AR209" s="609">
        <v>0.6</v>
      </c>
      <c r="AS209" s="518">
        <f>AT209-SUM(AP209,AQ209,AR209)</f>
        <v>0.70000000000000018</v>
      </c>
      <c r="AT209" s="675">
        <v>2.6</v>
      </c>
      <c r="AU209" s="609">
        <v>0.7</v>
      </c>
      <c r="AV209" s="609">
        <v>0.7</v>
      </c>
      <c r="AW209" s="609">
        <v>0.7</v>
      </c>
      <c r="AX209" s="518">
        <f>AY209-SUM(AU209,AV209,AW209)</f>
        <v>0.70000000000000018</v>
      </c>
      <c r="AY209" s="675">
        <v>2.8</v>
      </c>
      <c r="AZ209" s="609">
        <v>0.7</v>
      </c>
      <c r="BA209" s="609">
        <v>0.3</v>
      </c>
      <c r="BB209" s="609">
        <v>0.3</v>
      </c>
      <c r="BC209" s="519">
        <f>BD209-SUM(AZ209,BA209,BB209)</f>
        <v>0.39999999999999991</v>
      </c>
      <c r="BD209" s="675">
        <v>1.7</v>
      </c>
      <c r="BE209" s="609">
        <v>0.3</v>
      </c>
      <c r="BF209" s="609">
        <v>0.4</v>
      </c>
      <c r="BG209" s="609">
        <v>0.3</v>
      </c>
      <c r="BH209" s="519">
        <f>BI209-SUM(BE209,BF209,BG209)</f>
        <v>0.39999999999999991</v>
      </c>
      <c r="BI209" s="675">
        <v>1.4</v>
      </c>
      <c r="BJ209" s="609">
        <v>0.3</v>
      </c>
      <c r="BK209" s="609">
        <v>0.4</v>
      </c>
      <c r="BL209" s="610">
        <v>0.3</v>
      </c>
      <c r="BM209" s="518">
        <f>-BM588</f>
        <v>0.33371366120218582</v>
      </c>
      <c r="BN209" s="89">
        <f>SUM(BJ209,BK209,BL209,BM209)</f>
        <v>1.3337136612021858</v>
      </c>
      <c r="BO209" s="518">
        <f>-BO588</f>
        <v>0.23317223444868626</v>
      </c>
      <c r="BP209" s="518">
        <f>-BP588</f>
        <v>0.22704303431333037</v>
      </c>
      <c r="BQ209" s="518">
        <f>-BQ588</f>
        <v>0.22095391990820279</v>
      </c>
      <c r="BR209" s="518">
        <f>-BR588</f>
        <v>0.212600045676057</v>
      </c>
      <c r="BS209" s="89">
        <f>SUM(BO209,BP209,BQ209,BR209)</f>
        <v>0.89376923434627642</v>
      </c>
      <c r="BT209" s="89">
        <f>-BT588</f>
        <v>0.81157756566773076</v>
      </c>
      <c r="BU209" s="89">
        <f>-BU588</f>
        <v>0.68984093081757114</v>
      </c>
      <c r="BV209" s="89">
        <f>-BV588</f>
        <v>0.58636479119493545</v>
      </c>
      <c r="BW209" s="519"/>
    </row>
    <row r="210" spans="1:75" s="439" customFormat="1" hidden="1" outlineLevel="1">
      <c r="A210" s="290" t="s">
        <v>276</v>
      </c>
      <c r="B210" s="292"/>
      <c r="C210" s="674">
        <f t="shared" ref="C210:AR210" si="356">C211-C208-C209</f>
        <v>1.0000000000001119E-3</v>
      </c>
      <c r="D210" s="674">
        <f t="shared" si="356"/>
        <v>3.4000000000000252E-2</v>
      </c>
      <c r="E210" s="674">
        <f t="shared" si="356"/>
        <v>3.8000000000000256E-2</v>
      </c>
      <c r="F210" s="674">
        <f t="shared" si="356"/>
        <v>0.92299999999999949</v>
      </c>
      <c r="G210" s="521">
        <f t="shared" si="356"/>
        <v>0.27800000000000025</v>
      </c>
      <c r="H210" s="521">
        <f t="shared" si="356"/>
        <v>0.43700000000000006</v>
      </c>
      <c r="I210" s="521">
        <f t="shared" si="356"/>
        <v>0.31599999999999995</v>
      </c>
      <c r="J210" s="521">
        <f t="shared" si="356"/>
        <v>0.22399999999999975</v>
      </c>
      <c r="K210" s="674">
        <f t="shared" si="356"/>
        <v>1.2549999999999999</v>
      </c>
      <c r="L210" s="521">
        <f t="shared" si="356"/>
        <v>0.26100000000000023</v>
      </c>
      <c r="M210" s="521">
        <f t="shared" si="356"/>
        <v>0.33400000000000063</v>
      </c>
      <c r="N210" s="521">
        <f t="shared" si="356"/>
        <v>0.30399999999999905</v>
      </c>
      <c r="O210" s="521">
        <f t="shared" si="356"/>
        <v>-8.9999999999990088E-3</v>
      </c>
      <c r="P210" s="674">
        <f t="shared" si="356"/>
        <v>0.88999999999999924</v>
      </c>
      <c r="Q210" s="521">
        <f t="shared" si="356"/>
        <v>9.4999999999999973E-2</v>
      </c>
      <c r="R210" s="521">
        <f t="shared" si="356"/>
        <v>6.6999999999999948E-2</v>
      </c>
      <c r="S210" s="521">
        <f t="shared" si="356"/>
        <v>6.1999999999999611E-2</v>
      </c>
      <c r="T210" s="521">
        <f t="shared" si="356"/>
        <v>-0.12000000000000011</v>
      </c>
      <c r="U210" s="674">
        <f t="shared" si="356"/>
        <v>0.1039999999999992</v>
      </c>
      <c r="V210" s="521">
        <f t="shared" si="356"/>
        <v>-1.0999999999999899E-2</v>
      </c>
      <c r="W210" s="521">
        <f t="shared" si="356"/>
        <v>6.4000000000000279E-2</v>
      </c>
      <c r="X210" s="521">
        <f t="shared" si="356"/>
        <v>-4.1000000000001036E-2</v>
      </c>
      <c r="Y210" s="521">
        <f t="shared" si="356"/>
        <v>3.3999999999998032E-2</v>
      </c>
      <c r="Z210" s="674">
        <f t="shared" si="356"/>
        <v>4.599999999999671E-2</v>
      </c>
      <c r="AA210" s="521">
        <f t="shared" si="356"/>
        <v>5.10000000000006E-2</v>
      </c>
      <c r="AB210" s="521">
        <f t="shared" si="356"/>
        <v>6.1999999999998501E-2</v>
      </c>
      <c r="AC210" s="521">
        <f t="shared" si="356"/>
        <v>5.7000000000000828E-2</v>
      </c>
      <c r="AD210" s="521">
        <f t="shared" si="356"/>
        <v>-0.1720000000000006</v>
      </c>
      <c r="AE210" s="674">
        <f t="shared" si="356"/>
        <v>-2.0000000000006679E-3</v>
      </c>
      <c r="AF210" s="521">
        <f t="shared" si="356"/>
        <v>2.8000000000000802E-2</v>
      </c>
      <c r="AG210" s="521">
        <f t="shared" si="356"/>
        <v>8.9999999999988978E-3</v>
      </c>
      <c r="AH210" s="521">
        <f t="shared" si="356"/>
        <v>1.3000000000000234E-2</v>
      </c>
      <c r="AI210" s="521">
        <f t="shared" si="356"/>
        <v>-4.299999999999482E-2</v>
      </c>
      <c r="AJ210" s="674">
        <f t="shared" si="356"/>
        <v>7.0000000000050022E-3</v>
      </c>
      <c r="AK210" s="521">
        <f t="shared" si="356"/>
        <v>-2.4000000000000576E-2</v>
      </c>
      <c r="AL210" s="521">
        <f t="shared" si="356"/>
        <v>3.999999999999948E-2</v>
      </c>
      <c r="AM210" s="521">
        <f t="shared" si="356"/>
        <v>-9.0000000000014513E-3</v>
      </c>
      <c r="AN210" s="521">
        <f t="shared" si="356"/>
        <v>-5.0999999999998824E-2</v>
      </c>
      <c r="AO210" s="674">
        <f t="shared" si="356"/>
        <v>-4.3999999999999595E-2</v>
      </c>
      <c r="AP210" s="521">
        <f t="shared" si="356"/>
        <v>-4.1999999999998705E-2</v>
      </c>
      <c r="AQ210" s="521">
        <f t="shared" si="356"/>
        <v>-1.7999999999999239E-2</v>
      </c>
      <c r="AR210" s="521">
        <f t="shared" si="356"/>
        <v>4.400000000000015E-2</v>
      </c>
      <c r="AS210" s="521">
        <f t="shared" ref="AS210:AY210" si="357">AS211-AS208-AS209</f>
        <v>2.5000000000001243E-2</v>
      </c>
      <c r="AT210" s="674">
        <f t="shared" si="357"/>
        <v>9.0000000000016733E-3</v>
      </c>
      <c r="AU210" s="521">
        <f t="shared" si="357"/>
        <v>-1.7000000000000126E-2</v>
      </c>
      <c r="AV210" s="521">
        <f t="shared" si="357"/>
        <v>3.3000000000000584E-2</v>
      </c>
      <c r="AW210" s="521">
        <f t="shared" si="357"/>
        <v>2.6999999999998581E-2</v>
      </c>
      <c r="AX210" s="559">
        <f t="shared" si="357"/>
        <v>4.0000000000001812E-2</v>
      </c>
      <c r="AY210" s="721">
        <f t="shared" si="357"/>
        <v>8.3000000000002849E-2</v>
      </c>
      <c r="AZ210" s="559">
        <f t="shared" ref="AZ210:BD210" si="358">AZ211-AZ208-AZ209</f>
        <v>-1.0000000000000453E-2</v>
      </c>
      <c r="BA210" s="559">
        <f t="shared" si="358"/>
        <v>-4.1999999999999094E-2</v>
      </c>
      <c r="BB210" s="521">
        <f t="shared" si="358"/>
        <v>0.11699999999999805</v>
      </c>
      <c r="BC210" s="559">
        <f t="shared" si="358"/>
        <v>-0.11300000000000798</v>
      </c>
      <c r="BD210" s="721">
        <f t="shared" si="358"/>
        <v>-4.8000000000006038E-2</v>
      </c>
      <c r="BE210" s="559">
        <f t="shared" ref="BE210" si="359">BE211-BE208-BE209</f>
        <v>4.9999999999997269E-3</v>
      </c>
      <c r="BF210" s="559">
        <f>BF211-BF208-BF209</f>
        <v>1.5000000000002678E-2</v>
      </c>
      <c r="BG210" s="521">
        <f>BG211-BG208-BG209</f>
        <v>-3.9000000000000756E-2</v>
      </c>
      <c r="BH210" s="559">
        <f t="shared" ref="BH210" si="360">BH211-BH208-BH209</f>
        <v>2.9999999999987814E-3</v>
      </c>
      <c r="BI210" s="721">
        <f>BI211-BI208-BI209</f>
        <v>-1.599999999999957E-2</v>
      </c>
      <c r="BJ210" s="559">
        <f>BJ211-BJ208-BJ209</f>
        <v>3.0000000000000082E-2</v>
      </c>
      <c r="BK210" s="559">
        <f>BK211-BK208-BK209</f>
        <v>-1.4999999999998459E-2</v>
      </c>
      <c r="BL210" s="522">
        <f>BL211-BL208-BL209</f>
        <v>2.6000000000000523E-2</v>
      </c>
      <c r="BM210" s="611">
        <v>0</v>
      </c>
      <c r="BN210" s="674">
        <f>BN211-BN208-BN209</f>
        <v>4.1000000000007475E-2</v>
      </c>
      <c r="BO210" s="611">
        <v>0</v>
      </c>
      <c r="BP210" s="611">
        <v>0</v>
      </c>
      <c r="BQ210" s="611">
        <v>0</v>
      </c>
      <c r="BR210" s="611">
        <v>0</v>
      </c>
      <c r="BS210" s="674">
        <f>BS211-BS208-BS209</f>
        <v>-3.5527136788005009E-15</v>
      </c>
      <c r="BT210" s="718">
        <v>0</v>
      </c>
      <c r="BU210" s="718">
        <v>0</v>
      </c>
      <c r="BV210" s="718">
        <v>0</v>
      </c>
      <c r="BW210" s="519"/>
    </row>
    <row r="211" spans="1:75" s="444" customFormat="1" hidden="1" outlineLevel="1">
      <c r="A211" s="291" t="s">
        <v>277</v>
      </c>
      <c r="B211" s="30"/>
      <c r="C211" s="722">
        <f t="shared" ref="C211" si="361">C505</f>
        <v>1.2010000000000001</v>
      </c>
      <c r="D211" s="722">
        <f t="shared" ref="D211" si="362">D505</f>
        <v>2.3340000000000001</v>
      </c>
      <c r="E211" s="722">
        <f t="shared" ref="E211:F211" si="363">E505</f>
        <v>4.2380000000000004</v>
      </c>
      <c r="F211" s="722">
        <f t="shared" si="363"/>
        <v>7.2229999999999999</v>
      </c>
      <c r="G211" s="318">
        <f t="shared" ref="G211:H211" si="364">G505</f>
        <v>2.4780000000000002</v>
      </c>
      <c r="H211" s="318">
        <f t="shared" si="364"/>
        <v>2.637</v>
      </c>
      <c r="I211" s="318">
        <f t="shared" ref="I211" si="365">I505</f>
        <v>2.8159999999999998</v>
      </c>
      <c r="J211" s="318">
        <f t="shared" ref="J211" si="366">J505</f>
        <v>3.524</v>
      </c>
      <c r="K211" s="722">
        <f t="shared" ref="K211" si="367">K505</f>
        <v>11.455</v>
      </c>
      <c r="L211" s="318">
        <f>L505</f>
        <v>3.661</v>
      </c>
      <c r="M211" s="318">
        <f t="shared" ref="M211" si="368">M505</f>
        <v>4.0340000000000007</v>
      </c>
      <c r="N211" s="318">
        <f t="shared" ref="N211" si="369">N505</f>
        <v>4.6039999999999992</v>
      </c>
      <c r="O211" s="318">
        <f t="shared" ref="O211" si="370">O505</f>
        <v>5.2910000000000004</v>
      </c>
      <c r="P211" s="722">
        <f t="shared" ref="P211" si="371">P505</f>
        <v>17.59</v>
      </c>
      <c r="Q211" s="318">
        <f>Q505</f>
        <v>6.8949999999999996</v>
      </c>
      <c r="R211" s="318">
        <f t="shared" ref="R211:S211" si="372">R505</f>
        <v>7.1669999999999998</v>
      </c>
      <c r="S211" s="318">
        <f t="shared" si="372"/>
        <v>7.5619999999999994</v>
      </c>
      <c r="T211" s="318">
        <f t="shared" ref="T211:U211" si="373">T505</f>
        <v>7.98</v>
      </c>
      <c r="U211" s="722">
        <f t="shared" si="373"/>
        <v>29.603999999999999</v>
      </c>
      <c r="V211" s="318">
        <f>V505</f>
        <v>8.1890000000000001</v>
      </c>
      <c r="W211" s="318">
        <f t="shared" ref="W211" si="374">W505</f>
        <v>8.5640000000000001</v>
      </c>
      <c r="X211" s="318">
        <f t="shared" ref="X211" si="375">X505</f>
        <v>9.1589999999999989</v>
      </c>
      <c r="Y211" s="318">
        <f t="shared" ref="Y211" si="376">Y505</f>
        <v>9.4339999999999975</v>
      </c>
      <c r="Z211" s="722">
        <f t="shared" ref="Z211" si="377">Z505</f>
        <v>35.345999999999997</v>
      </c>
      <c r="AA211" s="318">
        <f>AA505</f>
        <v>10.151</v>
      </c>
      <c r="AB211" s="318">
        <f t="shared" ref="AB211:AC211" si="378">AB505</f>
        <v>10.661999999999999</v>
      </c>
      <c r="AC211" s="318">
        <f t="shared" si="378"/>
        <v>10.657</v>
      </c>
      <c r="AD211" s="318">
        <f t="shared" ref="AD211" si="379">AD505</f>
        <v>9.7280000000000015</v>
      </c>
      <c r="AE211" s="722">
        <f t="shared" ref="AE211" si="380">AE505</f>
        <v>41.198</v>
      </c>
      <c r="AF211" s="318">
        <f>AF505</f>
        <v>10.028</v>
      </c>
      <c r="AG211" s="318">
        <f t="shared" ref="AG211" si="381">AG505</f>
        <v>10.508999999999999</v>
      </c>
      <c r="AH211" s="318">
        <f t="shared" ref="AH211:AI211" si="382">AH505</f>
        <v>10.713000000000001</v>
      </c>
      <c r="AI211" s="318">
        <f t="shared" si="382"/>
        <v>11.557000000000002</v>
      </c>
      <c r="AJ211" s="722">
        <f t="shared" ref="AJ211" si="383">AJ505</f>
        <v>42.807000000000002</v>
      </c>
      <c r="AK211" s="318">
        <f>AK505</f>
        <v>11.875999999999999</v>
      </c>
      <c r="AL211" s="318">
        <f>AL505</f>
        <v>12.24</v>
      </c>
      <c r="AM211" s="318">
        <f t="shared" ref="AM211:AO211" si="384">AM505</f>
        <v>12.390999999999998</v>
      </c>
      <c r="AN211" s="318">
        <f t="shared" si="384"/>
        <v>12.849000000000004</v>
      </c>
      <c r="AO211" s="722">
        <f t="shared" si="384"/>
        <v>49.356000000000002</v>
      </c>
      <c r="AP211" s="318">
        <f>AP505</f>
        <v>12.358000000000001</v>
      </c>
      <c r="AQ211" s="318">
        <f>AQ505</f>
        <v>12.582000000000001</v>
      </c>
      <c r="AR211" s="318">
        <f t="shared" ref="AR211:AT211" si="385">AR505</f>
        <v>12.544</v>
      </c>
      <c r="AS211" s="318">
        <f t="shared" si="385"/>
        <v>13.125</v>
      </c>
      <c r="AT211" s="722">
        <f t="shared" si="385"/>
        <v>50.609000000000002</v>
      </c>
      <c r="AU211" s="318">
        <f t="shared" ref="AU211:AZ211" si="386">AU505</f>
        <v>13.083</v>
      </c>
      <c r="AV211" s="318">
        <f t="shared" si="386"/>
        <v>12.833</v>
      </c>
      <c r="AW211" s="318">
        <f t="shared" si="386"/>
        <v>12.626999999999999</v>
      </c>
      <c r="AX211" s="318">
        <f t="shared" si="386"/>
        <v>17.14</v>
      </c>
      <c r="AY211" s="722">
        <f t="shared" si="386"/>
        <v>55.683</v>
      </c>
      <c r="AZ211" s="318">
        <f t="shared" si="386"/>
        <v>11.49</v>
      </c>
      <c r="BA211" s="318">
        <f>BA505</f>
        <v>11.258000000000001</v>
      </c>
      <c r="BB211" s="318">
        <f>BB505</f>
        <v>11.416999999999998</v>
      </c>
      <c r="BC211" s="318">
        <f>BC505</f>
        <v>10.686999999999998</v>
      </c>
      <c r="BD211" s="722">
        <f>BD505</f>
        <v>44.851999999999997</v>
      </c>
      <c r="BE211" s="318">
        <f t="shared" ref="BE211" si="387">BE505</f>
        <v>10.805</v>
      </c>
      <c r="BF211" s="318">
        <f t="shared" ref="BF211:BK211" si="388">BF505</f>
        <v>10.615000000000002</v>
      </c>
      <c r="BG211" s="318">
        <f t="shared" si="388"/>
        <v>10.460999999999999</v>
      </c>
      <c r="BH211" s="318">
        <f t="shared" si="388"/>
        <v>10.302999999999997</v>
      </c>
      <c r="BI211" s="722">
        <f t="shared" si="388"/>
        <v>42.183999999999997</v>
      </c>
      <c r="BJ211" s="318">
        <f t="shared" si="388"/>
        <v>9.93</v>
      </c>
      <c r="BK211" s="318">
        <f t="shared" si="388"/>
        <v>9.5850000000000009</v>
      </c>
      <c r="BL211" s="572">
        <f>BL505</f>
        <v>9.3260000000000005</v>
      </c>
      <c r="BM211" s="523">
        <f>SUM(BM208:BM210)</f>
        <v>10.563070491803279</v>
      </c>
      <c r="BN211" s="700">
        <f>SUM(BJ211,BK211,BL211,BM211)</f>
        <v>39.404070491803282</v>
      </c>
      <c r="BO211" s="523">
        <f>SUM(BO208:BO210)</f>
        <v>9.4503611183471818</v>
      </c>
      <c r="BP211" s="523">
        <f>SUM(BP208:BP210)</f>
        <v>9.644228431546944</v>
      </c>
      <c r="BQ211" s="523">
        <f>SUM(BQ208:BQ210)</f>
        <v>9.8150754784294971</v>
      </c>
      <c r="BR211" s="523">
        <f>SUM(BR208:BR210)</f>
        <v>9.8578734077809695</v>
      </c>
      <c r="BS211" s="700">
        <f>SUM(BO211,BP211,BQ211,BR211)</f>
        <v>38.767538436104594</v>
      </c>
      <c r="BT211" s="700">
        <f>SUM(BT208:BT210)</f>
        <v>39.255514549488026</v>
      </c>
      <c r="BU211" s="700">
        <f>SUM(BU208:BU210)</f>
        <v>39.911809422727721</v>
      </c>
      <c r="BV211" s="700">
        <f>SUM(BV208:BV210)</f>
        <v>40.197349037150012</v>
      </c>
      <c r="BW211" s="318"/>
    </row>
    <row r="212" spans="1:75" s="444" customFormat="1" collapsed="1">
      <c r="A212" s="28"/>
      <c r="B212" s="30"/>
      <c r="C212" s="700"/>
      <c r="D212" s="700"/>
      <c r="E212" s="700"/>
      <c r="F212" s="700"/>
      <c r="G212" s="523"/>
      <c r="H212" s="523"/>
      <c r="I212" s="523"/>
      <c r="J212" s="523"/>
      <c r="K212" s="700"/>
      <c r="L212" s="523"/>
      <c r="M212" s="523"/>
      <c r="N212" s="523"/>
      <c r="O212" s="523"/>
      <c r="P212" s="700"/>
      <c r="Q212" s="523"/>
      <c r="R212" s="523"/>
      <c r="S212" s="523"/>
      <c r="T212" s="523"/>
      <c r="U212" s="700"/>
      <c r="V212" s="523"/>
      <c r="W212" s="523"/>
      <c r="X212" s="523"/>
      <c r="Y212" s="523"/>
      <c r="Z212" s="700"/>
      <c r="AA212" s="523"/>
      <c r="AB212" s="523"/>
      <c r="AC212" s="523"/>
      <c r="AD212" s="523"/>
      <c r="AE212" s="700"/>
      <c r="AF212" s="523"/>
      <c r="AG212" s="523"/>
      <c r="AH212" s="523"/>
      <c r="AI212" s="523"/>
      <c r="AJ212" s="700"/>
      <c r="AK212" s="523"/>
      <c r="AL212" s="523"/>
      <c r="AM212" s="523"/>
      <c r="AN212" s="523"/>
      <c r="AO212" s="700"/>
      <c r="AP212" s="523"/>
      <c r="AQ212" s="523"/>
      <c r="AR212" s="523"/>
      <c r="AS212" s="523"/>
      <c r="AT212" s="700"/>
      <c r="AU212" s="523"/>
      <c r="AV212" s="523"/>
      <c r="AW212" s="523"/>
      <c r="AX212" s="523"/>
      <c r="AY212" s="700"/>
      <c r="AZ212" s="523"/>
      <c r="BA212" s="523"/>
      <c r="BB212" s="523"/>
      <c r="BC212" s="523"/>
      <c r="BD212" s="700"/>
      <c r="BE212" s="523"/>
      <c r="BF212" s="523"/>
      <c r="BG212" s="523"/>
      <c r="BH212" s="523"/>
      <c r="BI212" s="700"/>
      <c r="BJ212" s="523"/>
      <c r="BK212" s="523"/>
      <c r="BL212" s="563"/>
      <c r="BM212" s="523"/>
      <c r="BN212" s="700"/>
      <c r="BO212" s="523"/>
      <c r="BP212" s="523"/>
      <c r="BQ212" s="523"/>
      <c r="BR212" s="523"/>
      <c r="BS212" s="700"/>
      <c r="BT212" s="700"/>
      <c r="BU212" s="700"/>
      <c r="BV212" s="700"/>
      <c r="BW212" s="318"/>
    </row>
    <row r="213" spans="1:75" s="444" customFormat="1">
      <c r="A213" s="517" t="s">
        <v>278</v>
      </c>
      <c r="B213" s="517"/>
      <c r="C213" s="517"/>
      <c r="D213" s="517"/>
      <c r="E213" s="517"/>
      <c r="F213" s="517"/>
      <c r="G213" s="517"/>
      <c r="H213" s="517"/>
      <c r="I213" s="517"/>
      <c r="J213" s="517"/>
      <c r="K213" s="517"/>
      <c r="L213" s="517"/>
      <c r="M213" s="517"/>
      <c r="N213" s="517"/>
      <c r="O213" s="517"/>
      <c r="P213" s="517"/>
      <c r="Q213" s="517"/>
      <c r="R213" s="517"/>
      <c r="S213" s="517"/>
      <c r="T213" s="517"/>
      <c r="U213" s="517"/>
      <c r="V213" s="517"/>
      <c r="W213" s="517"/>
      <c r="X213" s="517"/>
      <c r="Y213" s="517"/>
      <c r="Z213" s="517"/>
      <c r="AA213" s="517"/>
      <c r="AB213" s="517"/>
      <c r="AC213" s="517"/>
      <c r="AD213" s="517"/>
      <c r="AE213" s="517"/>
      <c r="AF213" s="517"/>
      <c r="AG213" s="517"/>
      <c r="AH213" s="517"/>
      <c r="AI213" s="517"/>
      <c r="AJ213" s="517"/>
      <c r="AK213" s="517"/>
      <c r="AL213" s="517"/>
      <c r="AM213" s="517"/>
      <c r="AN213" s="517"/>
      <c r="AO213" s="517"/>
      <c r="AP213" s="517"/>
      <c r="AQ213" s="517"/>
      <c r="AR213" s="517"/>
      <c r="AS213" s="517"/>
      <c r="AT213" s="517"/>
      <c r="AU213" s="517"/>
      <c r="AV213" s="517"/>
      <c r="AW213" s="517"/>
      <c r="AX213" s="517"/>
      <c r="AY213" s="517"/>
      <c r="AZ213" s="517"/>
      <c r="BA213" s="517"/>
      <c r="BB213" s="517"/>
      <c r="BC213" s="517"/>
      <c r="BD213" s="517"/>
      <c r="BE213" s="517"/>
      <c r="BF213" s="517"/>
      <c r="BG213" s="517"/>
      <c r="BH213" s="517"/>
      <c r="BI213" s="517"/>
      <c r="BJ213" s="517"/>
      <c r="BK213" s="517"/>
      <c r="BL213" s="562"/>
      <c r="BM213" s="517"/>
      <c r="BN213" s="517"/>
      <c r="BO213" s="517"/>
      <c r="BP213" s="517"/>
      <c r="BQ213" s="517"/>
      <c r="BR213" s="517"/>
      <c r="BS213" s="517"/>
      <c r="BT213" s="517"/>
      <c r="BU213" s="517"/>
      <c r="BV213" s="517"/>
      <c r="BW213" s="318"/>
    </row>
    <row r="214" spans="1:75" s="444" customFormat="1">
      <c r="A214" s="28" t="s">
        <v>279</v>
      </c>
      <c r="B214" s="30"/>
      <c r="C214" s="700">
        <f t="shared" ref="C214:AV214" si="389">C154</f>
        <v>25.808</v>
      </c>
      <c r="D214" s="700">
        <f t="shared" si="389"/>
        <v>47.731000000000002</v>
      </c>
      <c r="E214" s="700">
        <f t="shared" si="389"/>
        <v>83.284999999999997</v>
      </c>
      <c r="F214" s="700">
        <f t="shared" si="389"/>
        <v>137.56700000000001</v>
      </c>
      <c r="G214" s="523">
        <f t="shared" si="389"/>
        <v>46.133000000000003</v>
      </c>
      <c r="H214" s="523">
        <f t="shared" si="389"/>
        <v>55.023000000000003</v>
      </c>
      <c r="I214" s="523">
        <f t="shared" si="389"/>
        <v>61.180999999999997</v>
      </c>
      <c r="J214" s="523">
        <f t="shared" si="389"/>
        <v>70.650999999999996</v>
      </c>
      <c r="K214" s="700">
        <f t="shared" si="389"/>
        <v>232.988</v>
      </c>
      <c r="L214" s="523">
        <f t="shared" si="389"/>
        <v>76.406999999999996</v>
      </c>
      <c r="M214" s="523">
        <f t="shared" si="389"/>
        <v>88.787000000000006</v>
      </c>
      <c r="N214" s="523">
        <f t="shared" si="389"/>
        <v>102.455</v>
      </c>
      <c r="O214" s="523">
        <f t="shared" si="389"/>
        <v>109.887</v>
      </c>
      <c r="P214" s="700">
        <f t="shared" si="389"/>
        <v>377.536</v>
      </c>
      <c r="Q214" s="523">
        <f t="shared" si="389"/>
        <v>118.508</v>
      </c>
      <c r="R214" s="523">
        <f t="shared" si="389"/>
        <v>133.91300000000001</v>
      </c>
      <c r="S214" s="523">
        <f t="shared" si="389"/>
        <v>143.559</v>
      </c>
      <c r="T214" s="523">
        <f t="shared" si="389"/>
        <v>153.73099999999999</v>
      </c>
      <c r="U214" s="700">
        <f t="shared" si="389"/>
        <v>549.71100000000001</v>
      </c>
      <c r="V214" s="523">
        <f t="shared" si="389"/>
        <v>158.613</v>
      </c>
      <c r="W214" s="523">
        <f t="shared" si="389"/>
        <v>173.428</v>
      </c>
      <c r="X214" s="523">
        <f t="shared" si="389"/>
        <v>186.232</v>
      </c>
      <c r="Y214" s="523">
        <f t="shared" si="389"/>
        <v>194.79599999999994</v>
      </c>
      <c r="Z214" s="700">
        <f t="shared" si="389"/>
        <v>713.06899999999996</v>
      </c>
      <c r="AA214" s="523">
        <f t="shared" si="389"/>
        <v>198.17400000000001</v>
      </c>
      <c r="AB214" s="523">
        <f t="shared" si="389"/>
        <v>209.94499999999999</v>
      </c>
      <c r="AC214" s="523">
        <f t="shared" si="389"/>
        <v>223.28700000000001</v>
      </c>
      <c r="AD214" s="523">
        <f t="shared" si="389"/>
        <v>219.441</v>
      </c>
      <c r="AE214" s="700">
        <f t="shared" si="389"/>
        <v>850.84699999999998</v>
      </c>
      <c r="AF214" s="523">
        <f t="shared" si="389"/>
        <v>223.07400000000001</v>
      </c>
      <c r="AG214" s="523">
        <f t="shared" si="389"/>
        <v>234.863</v>
      </c>
      <c r="AH214" s="523">
        <f t="shared" si="389"/>
        <v>241.096</v>
      </c>
      <c r="AI214" s="523">
        <f t="shared" si="389"/>
        <v>243.74</v>
      </c>
      <c r="AJ214" s="700">
        <f t="shared" si="389"/>
        <v>942.77300000000002</v>
      </c>
      <c r="AK214" s="523">
        <f t="shared" si="389"/>
        <v>235.94200000000001</v>
      </c>
      <c r="AL214" s="523">
        <f t="shared" si="389"/>
        <v>246.95500000000001</v>
      </c>
      <c r="AM214" s="523">
        <f t="shared" si="389"/>
        <v>262.47399999999999</v>
      </c>
      <c r="AN214" s="523">
        <f t="shared" si="389"/>
        <v>268.82299999999987</v>
      </c>
      <c r="AO214" s="700">
        <f t="shared" si="389"/>
        <v>1014.194</v>
      </c>
      <c r="AP214" s="523">
        <f t="shared" si="389"/>
        <v>249.90100000000001</v>
      </c>
      <c r="AQ214" s="523">
        <f t="shared" si="389"/>
        <v>169.03</v>
      </c>
      <c r="AR214" s="523">
        <f t="shared" si="389"/>
        <v>220.80699999999999</v>
      </c>
      <c r="AS214" s="523">
        <f t="shared" si="389"/>
        <v>233.19499999999999</v>
      </c>
      <c r="AT214" s="700">
        <f t="shared" si="389"/>
        <v>872.93299999999999</v>
      </c>
      <c r="AU214" s="523">
        <f t="shared" si="389"/>
        <v>232.096</v>
      </c>
      <c r="AV214" s="523">
        <f t="shared" si="389"/>
        <v>257.18799999999999</v>
      </c>
      <c r="AW214" s="523">
        <f t="shared" ref="AW214:BB214" si="390">AW154</f>
        <v>269.15499999999997</v>
      </c>
      <c r="AX214" s="523">
        <f t="shared" si="390"/>
        <v>273.39999999999998</v>
      </c>
      <c r="AY214" s="700">
        <f t="shared" si="390"/>
        <v>1031.8389999999999</v>
      </c>
      <c r="AZ214" s="523">
        <f t="shared" si="390"/>
        <v>276.62799999999999</v>
      </c>
      <c r="BA214" s="523">
        <f t="shared" si="390"/>
        <v>298.88400000000001</v>
      </c>
      <c r="BB214" s="523">
        <f t="shared" si="390"/>
        <v>308.89100000000002</v>
      </c>
      <c r="BC214" s="523">
        <f t="shared" ref="BC214:BI214" si="391">BC154</f>
        <v>309.10300000000007</v>
      </c>
      <c r="BD214" s="700">
        <f t="shared" si="391"/>
        <v>1193.5060000000001</v>
      </c>
      <c r="BE214" s="523">
        <f t="shared" si="391"/>
        <v>312.43799999999999</v>
      </c>
      <c r="BF214" s="523">
        <f t="shared" si="391"/>
        <v>337.12599999999998</v>
      </c>
      <c r="BG214" s="523">
        <f t="shared" si="391"/>
        <v>345.12200000000001</v>
      </c>
      <c r="BH214" s="523">
        <f t="shared" si="391"/>
        <v>342.37599999999998</v>
      </c>
      <c r="BI214" s="700">
        <f t="shared" si="391"/>
        <v>1337.0619999999999</v>
      </c>
      <c r="BJ214" s="523">
        <f>BJ154</f>
        <v>332.75200000000001</v>
      </c>
      <c r="BK214" s="523">
        <f>BK154</f>
        <v>357.01600000000002</v>
      </c>
      <c r="BL214" s="563">
        <f>BL154</f>
        <v>360.34399999999999</v>
      </c>
      <c r="BM214" s="523">
        <f>BM22</f>
        <v>350.42607045483999</v>
      </c>
      <c r="BN214" s="700">
        <f>SUM(BJ214,BK214,BL214,BM214)</f>
        <v>1400.5380704548402</v>
      </c>
      <c r="BO214" s="523">
        <f>BO22</f>
        <v>351.29535962813975</v>
      </c>
      <c r="BP214" s="523">
        <f>BP22</f>
        <v>386.39669271465016</v>
      </c>
      <c r="BQ214" s="523">
        <f>BQ22</f>
        <v>387.44545045158424</v>
      </c>
      <c r="BR214" s="523">
        <f>BR22</f>
        <v>396.53923514089723</v>
      </c>
      <c r="BS214" s="700">
        <f>SUM(BO214,BP214,BQ214,BR214)</f>
        <v>1521.6767379352714</v>
      </c>
      <c r="BT214" s="700">
        <f>BT22</f>
        <v>1575.1508991092517</v>
      </c>
      <c r="BU214" s="700">
        <f>BU22</f>
        <v>1694.2308943360513</v>
      </c>
      <c r="BV214" s="700">
        <f>BV22</f>
        <v>1850.1634334635471</v>
      </c>
      <c r="BW214" s="318"/>
    </row>
    <row r="215" spans="1:75" s="458" customFormat="1">
      <c r="A215" s="529" t="str">
        <f>CONCATENATE("Consensus Estimates - ",IFERROR(LEFT(A214,FIND("(",A214)-1),A214))</f>
        <v>Consensus Estimates - Net Revenue</v>
      </c>
      <c r="B215" s="530"/>
      <c r="C215" s="723"/>
      <c r="D215" s="723"/>
      <c r="E215" s="723"/>
      <c r="F215" s="723"/>
      <c r="G215" s="524"/>
      <c r="H215" s="524"/>
      <c r="I215" s="524"/>
      <c r="J215" s="524"/>
      <c r="K215" s="723"/>
      <c r="L215" s="524"/>
      <c r="M215" s="524"/>
      <c r="N215" s="524"/>
      <c r="O215" s="524"/>
      <c r="P215" s="723"/>
      <c r="Q215" s="524"/>
      <c r="R215" s="524"/>
      <c r="S215" s="524"/>
      <c r="T215" s="524"/>
      <c r="U215" s="723"/>
      <c r="V215" s="524"/>
      <c r="W215" s="573"/>
      <c r="X215" s="573"/>
      <c r="Y215" s="573"/>
      <c r="Z215" s="724"/>
      <c r="AA215" s="524"/>
      <c r="AB215" s="573"/>
      <c r="AC215" s="573"/>
      <c r="AD215" s="573"/>
      <c r="AE215" s="724"/>
      <c r="AF215" s="524"/>
      <c r="AG215" s="573"/>
      <c r="AH215" s="573"/>
      <c r="AI215" s="573"/>
      <c r="AJ215" s="724"/>
      <c r="AK215" s="524"/>
      <c r="AL215" s="573"/>
      <c r="AM215" s="573"/>
      <c r="AN215" s="573"/>
      <c r="AO215" s="724"/>
      <c r="AP215" s="524"/>
      <c r="AQ215" s="573"/>
      <c r="AR215" s="573"/>
      <c r="AS215" s="573"/>
      <c r="AT215" s="724"/>
      <c r="AU215" s="524"/>
      <c r="AV215" s="573"/>
      <c r="AW215" s="573"/>
      <c r="AX215" s="573"/>
      <c r="AY215" s="724"/>
      <c r="AZ215" s="524"/>
      <c r="BA215" s="573"/>
      <c r="BB215" s="573"/>
      <c r="BC215" s="573"/>
      <c r="BD215" s="724"/>
      <c r="BE215" s="524"/>
      <c r="BF215" s="573"/>
      <c r="BG215" s="573"/>
      <c r="BH215" s="573"/>
      <c r="BI215" s="724"/>
      <c r="BJ215" s="524"/>
      <c r="BK215" s="573"/>
      <c r="BL215" s="574"/>
      <c r="BM215" s="575" t="str">
        <f t="shared" ref="BM215:BS215" ca="1" si="392">IFERROR(VLOOKUP($A215,tb_ConsensusEstimate,MATCH(BM$5,OFFSET(tb_ConsensusEstimate,0,0,1,COLUMNS(tb_ConsensusEstimate)),0),FALSE),"-")</f>
        <v>N/A</v>
      </c>
      <c r="BN215" s="724" t="str">
        <f t="shared" ca="1" si="392"/>
        <v>N/A</v>
      </c>
      <c r="BO215" s="575" t="str">
        <f t="shared" ca="1" si="392"/>
        <v>N/A</v>
      </c>
      <c r="BP215" s="575" t="str">
        <f t="shared" ca="1" si="392"/>
        <v>N/A</v>
      </c>
      <c r="BQ215" s="575" t="str">
        <f t="shared" ca="1" si="392"/>
        <v>N/A</v>
      </c>
      <c r="BR215" s="575" t="str">
        <f t="shared" ca="1" si="392"/>
        <v>N/A</v>
      </c>
      <c r="BS215" s="724" t="str">
        <f t="shared" ca="1" si="392"/>
        <v>N/A</v>
      </c>
      <c r="BT215" s="724" t="str">
        <f ca="1">IFERROR(VLOOKUP($A215,tb_ConsensusEstimate,MATCH(BT5,OFFSET(tb_ConsensusEstimate,0,0,1,COLUMNS(tb_ConsensusEstimate)),0),FALSE),"-")</f>
        <v>N/A</v>
      </c>
      <c r="BU215" s="724" t="str">
        <f ca="1">IFERROR(VLOOKUP($A215,tb_ConsensusEstimate,MATCH(BU5,OFFSET(tb_ConsensusEstimate,0,0,1,COLUMNS(tb_ConsensusEstimate)),0),FALSE),"-")</f>
        <v>N/A</v>
      </c>
      <c r="BV215" s="724" t="str">
        <f ca="1">IFERROR(VLOOKUP($A215,tb_ConsensusEstimate,MATCH(BV5,OFFSET(tb_ConsensusEstimate,0,0,1,COLUMNS(tb_ConsensusEstimate)),0),FALSE),"-")</f>
        <v>N/A</v>
      </c>
      <c r="BW215" s="524"/>
    </row>
    <row r="216" spans="1:75" s="444" customFormat="1">
      <c r="A216" s="28"/>
      <c r="B216" s="30"/>
      <c r="C216" s="700"/>
      <c r="D216" s="700"/>
      <c r="E216" s="700"/>
      <c r="F216" s="700"/>
      <c r="G216" s="523"/>
      <c r="H216" s="523"/>
      <c r="I216" s="523"/>
      <c r="J216" s="523"/>
      <c r="K216" s="700"/>
      <c r="L216" s="523"/>
      <c r="M216" s="523"/>
      <c r="N216" s="523"/>
      <c r="O216" s="523"/>
      <c r="P216" s="700"/>
      <c r="Q216" s="523"/>
      <c r="R216" s="523"/>
      <c r="S216" s="523"/>
      <c r="T216" s="523"/>
      <c r="U216" s="700"/>
      <c r="V216" s="523"/>
      <c r="W216" s="523"/>
      <c r="X216" s="523"/>
      <c r="Y216" s="523"/>
      <c r="Z216" s="700"/>
      <c r="AA216" s="523"/>
      <c r="AB216" s="523"/>
      <c r="AC216" s="523"/>
      <c r="AD216" s="523"/>
      <c r="AE216" s="700"/>
      <c r="AF216" s="523"/>
      <c r="AG216" s="523"/>
      <c r="AH216" s="523"/>
      <c r="AI216" s="523"/>
      <c r="AJ216" s="700"/>
      <c r="AK216" s="523"/>
      <c r="AL216" s="523"/>
      <c r="AM216" s="523"/>
      <c r="AN216" s="523"/>
      <c r="AO216" s="700"/>
      <c r="AP216" s="523"/>
      <c r="AQ216" s="523"/>
      <c r="AR216" s="523"/>
      <c r="AS216" s="523"/>
      <c r="AT216" s="700"/>
      <c r="AU216" s="523"/>
      <c r="AV216" s="523"/>
      <c r="AW216" s="523"/>
      <c r="AX216" s="523"/>
      <c r="AY216" s="700"/>
      <c r="AZ216" s="523"/>
      <c r="BA216" s="523"/>
      <c r="BB216" s="523"/>
      <c r="BC216" s="523"/>
      <c r="BD216" s="700"/>
      <c r="BE216" s="523"/>
      <c r="BF216" s="523"/>
      <c r="BG216" s="523"/>
      <c r="BH216" s="523"/>
      <c r="BI216" s="700"/>
      <c r="BJ216" s="523"/>
      <c r="BK216" s="523"/>
      <c r="BL216" s="563"/>
      <c r="BM216" s="523"/>
      <c r="BN216" s="700"/>
      <c r="BO216" s="523"/>
      <c r="BP216" s="523"/>
      <c r="BQ216" s="523"/>
      <c r="BR216" s="523"/>
      <c r="BS216" s="700"/>
      <c r="BT216" s="700"/>
      <c r="BU216" s="700"/>
      <c r="BV216" s="700"/>
      <c r="BW216" s="318"/>
    </row>
    <row r="217" spans="1:75" s="439" customFormat="1">
      <c r="A217" s="31" t="s">
        <v>280</v>
      </c>
      <c r="B217" s="53"/>
      <c r="C217" s="89">
        <f t="shared" ref="C217:AH217" si="393">C155</f>
        <v>1.121</v>
      </c>
      <c r="D217" s="89">
        <f t="shared" si="393"/>
        <v>3.137</v>
      </c>
      <c r="E217" s="89">
        <f t="shared" si="393"/>
        <v>5.931</v>
      </c>
      <c r="F217" s="89">
        <f t="shared" si="393"/>
        <v>9.9280000000000008</v>
      </c>
      <c r="G217" s="518">
        <f t="shared" si="393"/>
        <v>3.34</v>
      </c>
      <c r="H217" s="518">
        <f t="shared" si="393"/>
        <v>4.0179999999999998</v>
      </c>
      <c r="I217" s="518">
        <f t="shared" si="393"/>
        <v>4.2770000000000001</v>
      </c>
      <c r="J217" s="518">
        <f t="shared" si="393"/>
        <v>4.9260000000000002</v>
      </c>
      <c r="K217" s="89">
        <f t="shared" si="393"/>
        <v>16.561</v>
      </c>
      <c r="L217" s="518">
        <f t="shared" si="393"/>
        <v>5.077</v>
      </c>
      <c r="M217" s="518">
        <f t="shared" si="393"/>
        <v>5.8449999999999998</v>
      </c>
      <c r="N217" s="518">
        <f t="shared" si="393"/>
        <v>6.1740000000000004</v>
      </c>
      <c r="O217" s="518">
        <f t="shared" si="393"/>
        <v>7.2859999999999996</v>
      </c>
      <c r="P217" s="89">
        <f t="shared" si="393"/>
        <v>24.382000000000001</v>
      </c>
      <c r="Q217" s="518">
        <f t="shared" si="393"/>
        <v>8.6989999999999998</v>
      </c>
      <c r="R217" s="518">
        <f t="shared" si="393"/>
        <v>13.057</v>
      </c>
      <c r="S217" s="518">
        <f t="shared" si="393"/>
        <v>14.259</v>
      </c>
      <c r="T217" s="518">
        <f t="shared" si="393"/>
        <v>15</v>
      </c>
      <c r="U217" s="89">
        <f t="shared" si="393"/>
        <v>51.015000000000001</v>
      </c>
      <c r="V217" s="518">
        <f t="shared" si="393"/>
        <v>15.077999999999999</v>
      </c>
      <c r="W217" s="518">
        <f t="shared" si="393"/>
        <v>15.087</v>
      </c>
      <c r="X217" s="518">
        <f t="shared" si="393"/>
        <v>14.593999999999999</v>
      </c>
      <c r="Y217" s="518">
        <f t="shared" si="393"/>
        <v>15.603999999999999</v>
      </c>
      <c r="Z217" s="89">
        <f t="shared" si="393"/>
        <v>60.363</v>
      </c>
      <c r="AA217" s="518">
        <f t="shared" si="393"/>
        <v>16.914000000000001</v>
      </c>
      <c r="AB217" s="518">
        <f t="shared" si="393"/>
        <v>18.056000000000001</v>
      </c>
      <c r="AC217" s="518">
        <f t="shared" si="393"/>
        <v>19.312000000000001</v>
      </c>
      <c r="AD217" s="518">
        <f t="shared" si="393"/>
        <v>16.236000000000001</v>
      </c>
      <c r="AE217" s="89">
        <f t="shared" si="393"/>
        <v>70.518000000000001</v>
      </c>
      <c r="AF217" s="518">
        <f t="shared" si="393"/>
        <v>14.731999999999999</v>
      </c>
      <c r="AG217" s="518">
        <f t="shared" si="393"/>
        <v>14.708</v>
      </c>
      <c r="AH217" s="518">
        <f t="shared" si="393"/>
        <v>14.177</v>
      </c>
      <c r="AI217" s="518">
        <f t="shared" ref="AI217:BG217" si="394">AI155</f>
        <v>14.255000000000003</v>
      </c>
      <c r="AJ217" s="89">
        <f t="shared" si="394"/>
        <v>57.872</v>
      </c>
      <c r="AK217" s="518">
        <f t="shared" si="394"/>
        <v>14.265000000000001</v>
      </c>
      <c r="AL217" s="518">
        <f t="shared" si="394"/>
        <v>14.975</v>
      </c>
      <c r="AM217" s="518">
        <f t="shared" si="394"/>
        <v>16.513999999999999</v>
      </c>
      <c r="AN217" s="518">
        <f t="shared" si="394"/>
        <v>16.655999999999992</v>
      </c>
      <c r="AO217" s="89">
        <f t="shared" si="394"/>
        <v>62.41</v>
      </c>
      <c r="AP217" s="518">
        <f t="shared" si="394"/>
        <v>16.847000000000001</v>
      </c>
      <c r="AQ217" s="518">
        <f t="shared" si="394"/>
        <v>11.824999999999999</v>
      </c>
      <c r="AR217" s="518">
        <f t="shared" si="394"/>
        <v>13.193</v>
      </c>
      <c r="AS217" s="518">
        <f t="shared" si="394"/>
        <v>15.321</v>
      </c>
      <c r="AT217" s="89">
        <f t="shared" si="394"/>
        <v>57.186</v>
      </c>
      <c r="AU217" s="518">
        <f t="shared" si="394"/>
        <v>14.874000000000001</v>
      </c>
      <c r="AV217" s="518">
        <f t="shared" si="394"/>
        <v>17.992999999999999</v>
      </c>
      <c r="AW217" s="518">
        <f t="shared" si="394"/>
        <v>21.184999999999999</v>
      </c>
      <c r="AX217" s="518">
        <f t="shared" si="394"/>
        <v>24.045000000000002</v>
      </c>
      <c r="AY217" s="89">
        <f t="shared" si="394"/>
        <v>78.096999999999994</v>
      </c>
      <c r="AZ217" s="518">
        <f t="shared" si="394"/>
        <v>23.428999999999998</v>
      </c>
      <c r="BA217" s="518">
        <f t="shared" si="394"/>
        <v>26.988</v>
      </c>
      <c r="BB217" s="518">
        <f t="shared" si="394"/>
        <v>26.805</v>
      </c>
      <c r="BC217" s="518">
        <f t="shared" si="394"/>
        <v>28.48299999999999</v>
      </c>
      <c r="BD217" s="89">
        <f t="shared" si="394"/>
        <v>105.705</v>
      </c>
      <c r="BE217" s="518">
        <f t="shared" si="394"/>
        <v>26.059000000000001</v>
      </c>
      <c r="BF217" s="518">
        <f t="shared" si="394"/>
        <v>30.184000000000001</v>
      </c>
      <c r="BG217" s="518">
        <f t="shared" si="394"/>
        <v>28.37</v>
      </c>
      <c r="BH217" s="518">
        <f>BH155</f>
        <v>29.616</v>
      </c>
      <c r="BI217" s="89">
        <f>BI155</f>
        <v>114.229</v>
      </c>
      <c r="BJ217" s="518">
        <f>BJ155</f>
        <v>27.355</v>
      </c>
      <c r="BK217" s="518">
        <f>BK155</f>
        <v>30.677</v>
      </c>
      <c r="BL217" s="520">
        <f>BL155</f>
        <v>32.381999999999998</v>
      </c>
      <c r="BM217" s="518">
        <f>BM214-BM218</f>
        <v>37.4955895386679</v>
      </c>
      <c r="BN217" s="89">
        <f>SUM(BJ217,BK217,BL217,BM217)</f>
        <v>127.90958953866789</v>
      </c>
      <c r="BO217" s="518">
        <f>BO214-BO218</f>
        <v>31.616582366532555</v>
      </c>
      <c r="BP217" s="518">
        <f>BP214-BP218</f>
        <v>38.639669271464982</v>
      </c>
      <c r="BQ217" s="518">
        <f>BQ214-BQ218</f>
        <v>32.932863288384624</v>
      </c>
      <c r="BR217" s="518">
        <f>BR214-BR218</f>
        <v>39.65392351408974</v>
      </c>
      <c r="BS217" s="89">
        <f>SUM(BO217,BP217,BQ217,BR217)</f>
        <v>142.8430384404719</v>
      </c>
      <c r="BT217" s="89">
        <f>BT214-BT218</f>
        <v>126.01207192874017</v>
      </c>
      <c r="BU217" s="89">
        <f>BU214-BU218</f>
        <v>135.53847154688401</v>
      </c>
      <c r="BV217" s="89">
        <f>BV214-BV218</f>
        <v>148.01307467708375</v>
      </c>
      <c r="BW217" s="519"/>
    </row>
    <row r="218" spans="1:75" s="444" customFormat="1">
      <c r="A218" s="18" t="s">
        <v>281</v>
      </c>
      <c r="B218" s="49"/>
      <c r="C218" s="676">
        <f t="shared" ref="C218:AH218" si="395">C214-C217</f>
        <v>24.687000000000001</v>
      </c>
      <c r="D218" s="676">
        <f t="shared" si="395"/>
        <v>44.594000000000001</v>
      </c>
      <c r="E218" s="676">
        <f t="shared" si="395"/>
        <v>77.353999999999999</v>
      </c>
      <c r="F218" s="676">
        <f t="shared" si="395"/>
        <v>127.63900000000001</v>
      </c>
      <c r="G218" s="560">
        <f t="shared" si="395"/>
        <v>42.793000000000006</v>
      </c>
      <c r="H218" s="560">
        <f t="shared" si="395"/>
        <v>51.005000000000003</v>
      </c>
      <c r="I218" s="560">
        <f t="shared" si="395"/>
        <v>56.903999999999996</v>
      </c>
      <c r="J218" s="560">
        <f t="shared" si="395"/>
        <v>65.724999999999994</v>
      </c>
      <c r="K218" s="676">
        <f t="shared" si="395"/>
        <v>216.42699999999999</v>
      </c>
      <c r="L218" s="560">
        <f t="shared" si="395"/>
        <v>71.33</v>
      </c>
      <c r="M218" s="560">
        <f t="shared" si="395"/>
        <v>82.942000000000007</v>
      </c>
      <c r="N218" s="560">
        <f t="shared" si="395"/>
        <v>96.280999999999992</v>
      </c>
      <c r="O218" s="560">
        <f t="shared" si="395"/>
        <v>102.601</v>
      </c>
      <c r="P218" s="676">
        <f t="shared" si="395"/>
        <v>353.154</v>
      </c>
      <c r="Q218" s="560">
        <f t="shared" si="395"/>
        <v>109.809</v>
      </c>
      <c r="R218" s="560">
        <f t="shared" si="395"/>
        <v>120.85600000000001</v>
      </c>
      <c r="S218" s="560">
        <f t="shared" si="395"/>
        <v>129.30000000000001</v>
      </c>
      <c r="T218" s="560">
        <f t="shared" si="395"/>
        <v>138.73099999999999</v>
      </c>
      <c r="U218" s="676">
        <f t="shared" si="395"/>
        <v>498.69600000000003</v>
      </c>
      <c r="V218" s="560">
        <f t="shared" si="395"/>
        <v>143.535</v>
      </c>
      <c r="W218" s="560">
        <f t="shared" si="395"/>
        <v>158.34100000000001</v>
      </c>
      <c r="X218" s="560">
        <f t="shared" si="395"/>
        <v>171.63800000000001</v>
      </c>
      <c r="Y218" s="560">
        <f t="shared" si="395"/>
        <v>179.19199999999995</v>
      </c>
      <c r="Z218" s="676">
        <f t="shared" si="395"/>
        <v>652.7059999999999</v>
      </c>
      <c r="AA218" s="560">
        <f t="shared" si="395"/>
        <v>181.26</v>
      </c>
      <c r="AB218" s="560">
        <f t="shared" si="395"/>
        <v>191.88899999999998</v>
      </c>
      <c r="AC218" s="560">
        <f t="shared" si="395"/>
        <v>203.97499999999999</v>
      </c>
      <c r="AD218" s="560">
        <f t="shared" si="395"/>
        <v>203.20500000000001</v>
      </c>
      <c r="AE218" s="676">
        <f t="shared" si="395"/>
        <v>780.32899999999995</v>
      </c>
      <c r="AF218" s="560">
        <f t="shared" si="395"/>
        <v>208.34200000000001</v>
      </c>
      <c r="AG218" s="560">
        <f t="shared" si="395"/>
        <v>220.155</v>
      </c>
      <c r="AH218" s="560">
        <f t="shared" si="395"/>
        <v>226.91900000000001</v>
      </c>
      <c r="AI218" s="560">
        <f t="shared" ref="AI218:AQ218" si="396">AI214-AI217</f>
        <v>229.48500000000001</v>
      </c>
      <c r="AJ218" s="676">
        <f t="shared" si="396"/>
        <v>884.90100000000007</v>
      </c>
      <c r="AK218" s="560">
        <f t="shared" si="396"/>
        <v>221.67700000000002</v>
      </c>
      <c r="AL218" s="560">
        <f t="shared" si="396"/>
        <v>231.98000000000002</v>
      </c>
      <c r="AM218" s="560">
        <f t="shared" si="396"/>
        <v>245.95999999999998</v>
      </c>
      <c r="AN218" s="560">
        <f t="shared" si="396"/>
        <v>252.16699999999986</v>
      </c>
      <c r="AO218" s="676">
        <f t="shared" si="396"/>
        <v>951.78399999999999</v>
      </c>
      <c r="AP218" s="560">
        <f t="shared" si="396"/>
        <v>233.054</v>
      </c>
      <c r="AQ218" s="560">
        <f t="shared" si="396"/>
        <v>157.20500000000001</v>
      </c>
      <c r="AR218" s="560">
        <f t="shared" ref="AR218:AW218" si="397">AR214-AR217</f>
        <v>207.61399999999998</v>
      </c>
      <c r="AS218" s="560">
        <f t="shared" si="397"/>
        <v>217.874</v>
      </c>
      <c r="AT218" s="676">
        <f t="shared" si="397"/>
        <v>815.74699999999996</v>
      </c>
      <c r="AU218" s="560">
        <f t="shared" si="397"/>
        <v>217.22200000000001</v>
      </c>
      <c r="AV218" s="560">
        <f t="shared" si="397"/>
        <v>239.19499999999999</v>
      </c>
      <c r="AW218" s="560">
        <f t="shared" si="397"/>
        <v>247.96999999999997</v>
      </c>
      <c r="AX218" s="560">
        <f t="shared" ref="AX218:BA218" si="398">AX214-AX217</f>
        <v>249.35499999999996</v>
      </c>
      <c r="AY218" s="676">
        <f t="shared" si="398"/>
        <v>953.74199999999996</v>
      </c>
      <c r="AZ218" s="560">
        <f t="shared" si="398"/>
        <v>253.19899999999998</v>
      </c>
      <c r="BA218" s="560">
        <f t="shared" si="398"/>
        <v>271.89600000000002</v>
      </c>
      <c r="BB218" s="560">
        <f t="shared" ref="BB218:BN218" si="399">BB214-BB217</f>
        <v>282.08600000000001</v>
      </c>
      <c r="BC218" s="560">
        <f t="shared" si="399"/>
        <v>280.62000000000006</v>
      </c>
      <c r="BD218" s="676">
        <f t="shared" si="399"/>
        <v>1087.8010000000002</v>
      </c>
      <c r="BE218" s="560">
        <f t="shared" ref="BE218:BJ218" si="400">BE214-BE217</f>
        <v>286.37899999999996</v>
      </c>
      <c r="BF218" s="560">
        <f t="shared" si="400"/>
        <v>306.94199999999995</v>
      </c>
      <c r="BG218" s="560">
        <f t="shared" si="400"/>
        <v>316.75200000000001</v>
      </c>
      <c r="BH218" s="560">
        <f t="shared" si="400"/>
        <v>312.76</v>
      </c>
      <c r="BI218" s="676">
        <f t="shared" si="400"/>
        <v>1222.8329999999999</v>
      </c>
      <c r="BJ218" s="560">
        <f t="shared" si="400"/>
        <v>305.39699999999999</v>
      </c>
      <c r="BK218" s="560">
        <f>BK214-BK217</f>
        <v>326.339</v>
      </c>
      <c r="BL218" s="561">
        <f>BL214-BL217</f>
        <v>327.96199999999999</v>
      </c>
      <c r="BM218" s="560">
        <f>BM135*BM214</f>
        <v>312.93048091617209</v>
      </c>
      <c r="BN218" s="676">
        <f t="shared" si="399"/>
        <v>1272.6284809161723</v>
      </c>
      <c r="BO218" s="560">
        <f>BO135*BO214</f>
        <v>319.67877726160719</v>
      </c>
      <c r="BP218" s="560">
        <f>BP135*BP214</f>
        <v>347.75702344318518</v>
      </c>
      <c r="BQ218" s="560">
        <f>BQ135*BQ214</f>
        <v>354.51258716319961</v>
      </c>
      <c r="BR218" s="560">
        <f>BR135*BR214</f>
        <v>356.88531162680749</v>
      </c>
      <c r="BS218" s="676">
        <f>BS214-BS217</f>
        <v>1378.8336994947995</v>
      </c>
      <c r="BT218" s="676">
        <f>BT135*BT214</f>
        <v>1449.1388271805115</v>
      </c>
      <c r="BU218" s="676">
        <f>BU135*BU214</f>
        <v>1558.6924227891673</v>
      </c>
      <c r="BV218" s="676">
        <f>BV135*BV214</f>
        <v>1702.1503587864634</v>
      </c>
      <c r="BW218" s="318"/>
    </row>
    <row r="219" spans="1:75" s="444" customFormat="1">
      <c r="A219" s="28"/>
      <c r="B219" s="30"/>
      <c r="C219" s="700"/>
      <c r="D219" s="700"/>
      <c r="E219" s="700"/>
      <c r="F219" s="700"/>
      <c r="G219" s="523"/>
      <c r="H219" s="523"/>
      <c r="I219" s="523"/>
      <c r="J219" s="523"/>
      <c r="K219" s="700"/>
      <c r="L219" s="523"/>
      <c r="M219" s="523"/>
      <c r="N219" s="523"/>
      <c r="O219" s="523"/>
      <c r="P219" s="700"/>
      <c r="Q219" s="523"/>
      <c r="R219" s="523"/>
      <c r="S219" s="523"/>
      <c r="T219" s="523"/>
      <c r="U219" s="700"/>
      <c r="V219" s="523"/>
      <c r="W219" s="523"/>
      <c r="X219" s="523"/>
      <c r="Y219" s="523"/>
      <c r="Z219" s="700"/>
      <c r="AA219" s="523"/>
      <c r="AB219" s="523"/>
      <c r="AC219" s="523"/>
      <c r="AD219" s="523"/>
      <c r="AE219" s="700"/>
      <c r="AF219" s="523"/>
      <c r="AG219" s="523"/>
      <c r="AH219" s="523"/>
      <c r="AI219" s="523"/>
      <c r="AJ219" s="700"/>
      <c r="AK219" s="523"/>
      <c r="AL219" s="523"/>
      <c r="AM219" s="523"/>
      <c r="AN219" s="523"/>
      <c r="AO219" s="700"/>
      <c r="AP219" s="523"/>
      <c r="AQ219" s="523"/>
      <c r="AR219" s="523"/>
      <c r="AS219" s="523"/>
      <c r="AT219" s="700"/>
      <c r="AU219" s="523"/>
      <c r="AV219" s="523"/>
      <c r="AW219" s="523"/>
      <c r="AX219" s="523"/>
      <c r="AY219" s="700"/>
      <c r="AZ219" s="523"/>
      <c r="BA219" s="523"/>
      <c r="BB219" s="523"/>
      <c r="BC219" s="523"/>
      <c r="BD219" s="700"/>
      <c r="BE219" s="523"/>
      <c r="BF219" s="523"/>
      <c r="BG219" s="523"/>
      <c r="BH219" s="523"/>
      <c r="BI219" s="700"/>
      <c r="BJ219" s="523"/>
      <c r="BK219" s="523"/>
      <c r="BL219" s="563"/>
      <c r="BM219" s="523"/>
      <c r="BN219" s="700"/>
      <c r="BO219" s="523"/>
      <c r="BP219" s="523"/>
      <c r="BQ219" s="523"/>
      <c r="BR219" s="523"/>
      <c r="BS219" s="700"/>
      <c r="BT219" s="700"/>
      <c r="BU219" s="700"/>
      <c r="BV219" s="700"/>
      <c r="BW219" s="318"/>
    </row>
    <row r="220" spans="1:75" s="439" customFormat="1">
      <c r="A220" s="31" t="s">
        <v>282</v>
      </c>
      <c r="B220" s="53"/>
      <c r="C220" s="89">
        <f t="shared" ref="C220:BF220" si="401">C157</f>
        <v>3.2429999999999999</v>
      </c>
      <c r="D220" s="89">
        <f t="shared" si="401"/>
        <v>6.56</v>
      </c>
      <c r="E220" s="89">
        <f t="shared" si="401"/>
        <v>11.586</v>
      </c>
      <c r="F220" s="89">
        <f t="shared" si="401"/>
        <v>20.472999999999999</v>
      </c>
      <c r="G220" s="518">
        <f t="shared" si="401"/>
        <v>7.2359999999999998</v>
      </c>
      <c r="H220" s="518">
        <f t="shared" si="401"/>
        <v>7.9969999999999999</v>
      </c>
      <c r="I220" s="518">
        <f t="shared" si="401"/>
        <v>11.208</v>
      </c>
      <c r="J220" s="518">
        <f t="shared" si="401"/>
        <v>11.802</v>
      </c>
      <c r="K220" s="89">
        <f t="shared" si="401"/>
        <v>38.243000000000002</v>
      </c>
      <c r="L220" s="518">
        <f t="shared" si="401"/>
        <v>13.981999999999999</v>
      </c>
      <c r="M220" s="518">
        <f t="shared" si="401"/>
        <v>14.726000000000001</v>
      </c>
      <c r="N220" s="518">
        <f t="shared" si="401"/>
        <v>17.396999999999998</v>
      </c>
      <c r="O220" s="518">
        <f t="shared" si="401"/>
        <v>19.076000000000001</v>
      </c>
      <c r="P220" s="89">
        <f t="shared" si="401"/>
        <v>65.180999999999997</v>
      </c>
      <c r="Q220" s="518">
        <f t="shared" si="401"/>
        <v>23.96</v>
      </c>
      <c r="R220" s="518">
        <f t="shared" si="401"/>
        <v>26.344999999999999</v>
      </c>
      <c r="S220" s="518">
        <f t="shared" si="401"/>
        <v>28.510999999999999</v>
      </c>
      <c r="T220" s="518">
        <f t="shared" si="401"/>
        <v>28.97</v>
      </c>
      <c r="U220" s="89">
        <f t="shared" si="401"/>
        <v>107.786</v>
      </c>
      <c r="V220" s="518">
        <f t="shared" si="401"/>
        <v>32.222000000000001</v>
      </c>
      <c r="W220" s="518">
        <f t="shared" si="401"/>
        <v>33.097999999999999</v>
      </c>
      <c r="X220" s="518">
        <f t="shared" si="401"/>
        <v>36.369</v>
      </c>
      <c r="Y220" s="518">
        <f t="shared" si="401"/>
        <v>36.860000000000014</v>
      </c>
      <c r="Z220" s="89">
        <f t="shared" si="401"/>
        <v>138.54900000000001</v>
      </c>
      <c r="AA220" s="518">
        <f t="shared" si="401"/>
        <v>39.871000000000002</v>
      </c>
      <c r="AB220" s="518">
        <f t="shared" si="401"/>
        <v>42.088000000000001</v>
      </c>
      <c r="AC220" s="518">
        <f t="shared" si="401"/>
        <v>45.834000000000003</v>
      </c>
      <c r="AD220" s="518">
        <f t="shared" si="401"/>
        <v>47.994</v>
      </c>
      <c r="AE220" s="89">
        <f t="shared" si="401"/>
        <v>175.78700000000001</v>
      </c>
      <c r="AF220" s="518">
        <f t="shared" si="401"/>
        <v>51.493000000000002</v>
      </c>
      <c r="AG220" s="518">
        <f t="shared" si="401"/>
        <v>52.789000000000001</v>
      </c>
      <c r="AH220" s="518">
        <f t="shared" si="401"/>
        <v>53.764000000000003</v>
      </c>
      <c r="AI220" s="518">
        <f t="shared" si="401"/>
        <v>54.272999999999968</v>
      </c>
      <c r="AJ220" s="89">
        <f t="shared" si="401"/>
        <v>212.31899999999999</v>
      </c>
      <c r="AK220" s="518">
        <f t="shared" si="401"/>
        <v>58.075000000000003</v>
      </c>
      <c r="AL220" s="518">
        <f t="shared" si="401"/>
        <v>54.566000000000003</v>
      </c>
      <c r="AM220" s="518">
        <f t="shared" si="401"/>
        <v>56.661000000000001</v>
      </c>
      <c r="AN220" s="518">
        <f t="shared" si="401"/>
        <v>61.137999999999977</v>
      </c>
      <c r="AO220" s="89">
        <f t="shared" si="401"/>
        <v>230.44</v>
      </c>
      <c r="AP220" s="518">
        <f t="shared" si="401"/>
        <v>67.113</v>
      </c>
      <c r="AQ220" s="518">
        <f t="shared" si="401"/>
        <v>53.969000000000001</v>
      </c>
      <c r="AR220" s="518">
        <f t="shared" si="401"/>
        <v>53.021999999999998</v>
      </c>
      <c r="AS220" s="518">
        <f t="shared" si="401"/>
        <v>58.457000000000001</v>
      </c>
      <c r="AT220" s="89">
        <f t="shared" si="401"/>
        <v>232.56100000000001</v>
      </c>
      <c r="AU220" s="518">
        <f t="shared" si="401"/>
        <v>67.992000000000004</v>
      </c>
      <c r="AV220" s="518">
        <f t="shared" si="401"/>
        <v>68.694999999999993</v>
      </c>
      <c r="AW220" s="518">
        <f t="shared" si="401"/>
        <v>69.402000000000001</v>
      </c>
      <c r="AX220" s="518">
        <f t="shared" si="401"/>
        <v>70.384000000000015</v>
      </c>
      <c r="AY220" s="89">
        <f t="shared" si="401"/>
        <v>276.47300000000001</v>
      </c>
      <c r="AZ220" s="518">
        <f t="shared" si="401"/>
        <v>80.685000000000002</v>
      </c>
      <c r="BA220" s="518">
        <f t="shared" si="401"/>
        <v>76.847999999999999</v>
      </c>
      <c r="BB220" s="518">
        <f t="shared" si="401"/>
        <v>75.802999999999997</v>
      </c>
      <c r="BC220" s="518">
        <f t="shared" si="401"/>
        <v>72.224999999999966</v>
      </c>
      <c r="BD220" s="89">
        <f t="shared" si="401"/>
        <v>305.56099999999998</v>
      </c>
      <c r="BE220" s="518">
        <f t="shared" si="401"/>
        <v>88.197000000000003</v>
      </c>
      <c r="BF220" s="518">
        <f t="shared" si="401"/>
        <v>85.03</v>
      </c>
      <c r="BG220" s="518">
        <f t="shared" ref="BG220:BL220" si="402">BG157</f>
        <v>81.02</v>
      </c>
      <c r="BH220" s="518">
        <f t="shared" si="402"/>
        <v>78.322999999999979</v>
      </c>
      <c r="BI220" s="89">
        <f t="shared" si="402"/>
        <v>332.57</v>
      </c>
      <c r="BJ220" s="518">
        <f t="shared" si="402"/>
        <v>91.227000000000004</v>
      </c>
      <c r="BK220" s="518">
        <f t="shared" si="402"/>
        <v>82.08</v>
      </c>
      <c r="BL220" s="520">
        <f t="shared" si="402"/>
        <v>77.748000000000005</v>
      </c>
      <c r="BM220" s="518">
        <f>BM138*BM214</f>
        <v>80.597996204613196</v>
      </c>
      <c r="BN220" s="89">
        <f>SUM(BJ220,BK220,BL220,BM220)</f>
        <v>331.6529962046132</v>
      </c>
      <c r="BO220" s="518">
        <f>BO138*BO214</f>
        <v>84.310886310753531</v>
      </c>
      <c r="BP220" s="518">
        <f>BP138*BP214</f>
        <v>92.735206251516033</v>
      </c>
      <c r="BQ220" s="518">
        <f>BQ138*BQ214</f>
        <v>96.861362612896059</v>
      </c>
      <c r="BR220" s="518">
        <f>BR138*BR214</f>
        <v>99.134808785224308</v>
      </c>
      <c r="BS220" s="89">
        <f>SUM(BO220,BP220,BQ220,BR220)</f>
        <v>373.04226396038996</v>
      </c>
      <c r="BT220" s="89">
        <f>BT138*BT214</f>
        <v>393.78772477731292</v>
      </c>
      <c r="BU220" s="89">
        <f>BU138*BU214</f>
        <v>423.55772358401282</v>
      </c>
      <c r="BV220" s="89">
        <f>BV138*BV214</f>
        <v>462.54085836588678</v>
      </c>
      <c r="BW220" s="519"/>
    </row>
    <row r="221" spans="1:75" s="439" customFormat="1">
      <c r="A221" s="31" t="s">
        <v>283</v>
      </c>
      <c r="B221" s="53"/>
      <c r="C221" s="89">
        <f t="shared" ref="C221:BF221" si="403">C156</f>
        <v>17.978999999999999</v>
      </c>
      <c r="D221" s="89">
        <f t="shared" si="403"/>
        <v>33.918999999999997</v>
      </c>
      <c r="E221" s="89">
        <f t="shared" si="403"/>
        <v>54.539000000000001</v>
      </c>
      <c r="F221" s="89">
        <f t="shared" si="403"/>
        <v>85.915000000000006</v>
      </c>
      <c r="G221" s="518">
        <f t="shared" si="403"/>
        <v>28.193999999999999</v>
      </c>
      <c r="H221" s="518">
        <f t="shared" si="403"/>
        <v>30.803000000000001</v>
      </c>
      <c r="I221" s="518">
        <f t="shared" si="403"/>
        <v>34.125999999999998</v>
      </c>
      <c r="J221" s="518">
        <f t="shared" si="403"/>
        <v>38.847000000000001</v>
      </c>
      <c r="K221" s="89">
        <f t="shared" si="403"/>
        <v>131.97</v>
      </c>
      <c r="L221" s="518">
        <f t="shared" si="403"/>
        <v>45.121000000000002</v>
      </c>
      <c r="M221" s="518">
        <f t="shared" si="403"/>
        <v>47.798000000000002</v>
      </c>
      <c r="N221" s="518">
        <f t="shared" si="403"/>
        <v>54.551000000000002</v>
      </c>
      <c r="O221" s="518">
        <f t="shared" si="403"/>
        <v>53.58</v>
      </c>
      <c r="P221" s="89">
        <f t="shared" si="403"/>
        <v>201.05</v>
      </c>
      <c r="Q221" s="518">
        <f t="shared" si="403"/>
        <v>63.265999999999998</v>
      </c>
      <c r="R221" s="518">
        <f t="shared" si="403"/>
        <v>68.013999999999996</v>
      </c>
      <c r="S221" s="518">
        <f t="shared" si="403"/>
        <v>82.948999999999998</v>
      </c>
      <c r="T221" s="518">
        <f t="shared" si="403"/>
        <v>87.534999999999997</v>
      </c>
      <c r="U221" s="89">
        <f t="shared" si="403"/>
        <v>301.76400000000001</v>
      </c>
      <c r="V221" s="518">
        <f t="shared" si="403"/>
        <v>95.628</v>
      </c>
      <c r="W221" s="518">
        <f t="shared" si="403"/>
        <v>94.402000000000001</v>
      </c>
      <c r="X221" s="518">
        <f t="shared" si="403"/>
        <v>99.274000000000001</v>
      </c>
      <c r="Y221" s="518">
        <f t="shared" si="403"/>
        <v>93.550000000000011</v>
      </c>
      <c r="Z221" s="89">
        <f t="shared" si="403"/>
        <v>382.85399999999998</v>
      </c>
      <c r="AA221" s="518">
        <f t="shared" si="403"/>
        <v>108.532</v>
      </c>
      <c r="AB221" s="518">
        <f t="shared" si="403"/>
        <v>104.92100000000001</v>
      </c>
      <c r="AC221" s="518">
        <f t="shared" si="403"/>
        <v>112.958</v>
      </c>
      <c r="AD221" s="518">
        <f t="shared" si="403"/>
        <v>111.01300000000001</v>
      </c>
      <c r="AE221" s="89">
        <f t="shared" si="403"/>
        <v>437.42399999999998</v>
      </c>
      <c r="AF221" s="518">
        <f t="shared" si="403"/>
        <v>119.64100000000001</v>
      </c>
      <c r="AG221" s="518">
        <f t="shared" si="403"/>
        <v>120.65300000000001</v>
      </c>
      <c r="AH221" s="518">
        <f t="shared" si="403"/>
        <v>121.759</v>
      </c>
      <c r="AI221" s="518">
        <f t="shared" si="403"/>
        <v>121.25600000000003</v>
      </c>
      <c r="AJ221" s="89">
        <f t="shared" si="403"/>
        <v>483.30900000000003</v>
      </c>
      <c r="AK221" s="518">
        <f t="shared" si="403"/>
        <v>124.316</v>
      </c>
      <c r="AL221" s="518">
        <f t="shared" si="403"/>
        <v>122.045</v>
      </c>
      <c r="AM221" s="518">
        <f t="shared" si="403"/>
        <v>127.655</v>
      </c>
      <c r="AN221" s="518">
        <f t="shared" si="403"/>
        <v>126.37000000000006</v>
      </c>
      <c r="AO221" s="89">
        <f t="shared" si="403"/>
        <v>500.38600000000002</v>
      </c>
      <c r="AP221" s="518">
        <f t="shared" si="403"/>
        <v>137.297</v>
      </c>
      <c r="AQ221" s="518">
        <f t="shared" si="403"/>
        <v>96.289000000000001</v>
      </c>
      <c r="AR221" s="518">
        <f t="shared" si="403"/>
        <v>101.301</v>
      </c>
      <c r="AS221" s="518">
        <f t="shared" si="403"/>
        <v>102.173</v>
      </c>
      <c r="AT221" s="89">
        <f t="shared" si="403"/>
        <v>437.06</v>
      </c>
      <c r="AU221" s="518">
        <f t="shared" si="403"/>
        <v>112.90900000000001</v>
      </c>
      <c r="AV221" s="518">
        <f t="shared" si="403"/>
        <v>113.64100000000001</v>
      </c>
      <c r="AW221" s="518">
        <f t="shared" si="403"/>
        <v>114.295</v>
      </c>
      <c r="AX221" s="518">
        <f t="shared" si="403"/>
        <v>113.37899999999996</v>
      </c>
      <c r="AY221" s="89">
        <f t="shared" si="403"/>
        <v>454.22399999999999</v>
      </c>
      <c r="AZ221" s="518">
        <f t="shared" si="403"/>
        <v>126.09699999999999</v>
      </c>
      <c r="BA221" s="518">
        <f t="shared" si="403"/>
        <v>129.41200000000001</v>
      </c>
      <c r="BB221" s="518">
        <f t="shared" si="403"/>
        <v>133.06100000000001</v>
      </c>
      <c r="BC221" s="518">
        <f t="shared" si="403"/>
        <v>126.35699999999997</v>
      </c>
      <c r="BD221" s="89">
        <f t="shared" si="403"/>
        <v>514.92700000000002</v>
      </c>
      <c r="BE221" s="518">
        <f t="shared" si="403"/>
        <v>147.45500000000001</v>
      </c>
      <c r="BF221" s="518">
        <f t="shared" si="403"/>
        <v>139.15</v>
      </c>
      <c r="BG221" s="518">
        <f t="shared" ref="BG221" si="404">BG156</f>
        <v>137.703</v>
      </c>
      <c r="BH221" s="518">
        <f>BH156</f>
        <v>132.29700000000003</v>
      </c>
      <c r="BI221" s="89">
        <f>BI156</f>
        <v>556.60500000000002</v>
      </c>
      <c r="BJ221" s="518">
        <f>BJ156</f>
        <v>147.791</v>
      </c>
      <c r="BK221" s="518">
        <f>BK156</f>
        <v>150.29300000000001</v>
      </c>
      <c r="BL221" s="520">
        <f>BL156</f>
        <v>144.631</v>
      </c>
      <c r="BM221" s="518">
        <f>BM139*BM214</f>
        <v>147.17894959103279</v>
      </c>
      <c r="BN221" s="89">
        <f>SUM(BJ221,BK221,BL221,BM221)</f>
        <v>589.89394959103288</v>
      </c>
      <c r="BO221" s="518">
        <f>BO139*BO214</f>
        <v>147.54405104381868</v>
      </c>
      <c r="BP221" s="518">
        <f>BP139*BP214</f>
        <v>158.42264401300656</v>
      </c>
      <c r="BQ221" s="518">
        <f>BQ139*BQ214</f>
        <v>158.85263468514952</v>
      </c>
      <c r="BR221" s="518">
        <f>BR139*BR214</f>
        <v>162.58108640776786</v>
      </c>
      <c r="BS221" s="89">
        <f>SUM(BO221,BP221,BQ221,BR221)</f>
        <v>627.40041614974268</v>
      </c>
      <c r="BT221" s="89">
        <f>BT139*BT214</f>
        <v>693.06639560807071</v>
      </c>
      <c r="BU221" s="89">
        <f>BU139*BU214</f>
        <v>694.63466667778096</v>
      </c>
      <c r="BV221" s="89">
        <f>BV139*BV214</f>
        <v>832.57354505859621</v>
      </c>
      <c r="BW221" s="519"/>
    </row>
    <row r="222" spans="1:75" s="439" customFormat="1">
      <c r="A222" s="31" t="s">
        <v>284</v>
      </c>
      <c r="B222" s="53"/>
      <c r="C222" s="89">
        <f t="shared" ref="C222:BF222" si="405">C158</f>
        <v>4.5970000000000004</v>
      </c>
      <c r="D222" s="89">
        <f t="shared" si="405"/>
        <v>11.287000000000001</v>
      </c>
      <c r="E222" s="89">
        <f t="shared" si="405"/>
        <v>17.234000000000002</v>
      </c>
      <c r="F222" s="89">
        <f t="shared" si="405"/>
        <v>31.530999999999999</v>
      </c>
      <c r="G222" s="518">
        <f t="shared" si="405"/>
        <v>8.7639999999999993</v>
      </c>
      <c r="H222" s="518">
        <f t="shared" si="405"/>
        <v>10.148</v>
      </c>
      <c r="I222" s="518">
        <f t="shared" si="405"/>
        <v>10.535</v>
      </c>
      <c r="J222" s="518">
        <f t="shared" si="405"/>
        <v>13.46</v>
      </c>
      <c r="K222" s="89">
        <f t="shared" si="405"/>
        <v>42.906999999999996</v>
      </c>
      <c r="L222" s="518">
        <f t="shared" si="405"/>
        <v>13.17</v>
      </c>
      <c r="M222" s="518">
        <f t="shared" si="405"/>
        <v>13.257</v>
      </c>
      <c r="N222" s="518">
        <f t="shared" si="405"/>
        <v>15.185</v>
      </c>
      <c r="O222" s="518">
        <f t="shared" si="405"/>
        <v>16.661999999999999</v>
      </c>
      <c r="P222" s="89">
        <f t="shared" si="405"/>
        <v>58.274000000000001</v>
      </c>
      <c r="Q222" s="518">
        <f t="shared" si="405"/>
        <v>19.937000000000001</v>
      </c>
      <c r="R222" s="518">
        <f t="shared" si="405"/>
        <v>19.28</v>
      </c>
      <c r="S222" s="518">
        <f t="shared" si="405"/>
        <v>20.99</v>
      </c>
      <c r="T222" s="518">
        <f t="shared" si="405"/>
        <v>20.658999999999999</v>
      </c>
      <c r="U222" s="89">
        <f t="shared" si="405"/>
        <v>80.866</v>
      </c>
      <c r="V222" s="518">
        <f t="shared" si="405"/>
        <v>21.768999999999998</v>
      </c>
      <c r="W222" s="518">
        <f t="shared" si="405"/>
        <v>23.463999999999999</v>
      </c>
      <c r="X222" s="518">
        <f t="shared" si="405"/>
        <v>24.876000000000001</v>
      </c>
      <c r="Y222" s="518">
        <f t="shared" si="405"/>
        <v>27.372</v>
      </c>
      <c r="Z222" s="89">
        <f t="shared" si="405"/>
        <v>97.480999999999995</v>
      </c>
      <c r="AA222" s="518">
        <f t="shared" si="405"/>
        <v>27.166</v>
      </c>
      <c r="AB222" s="518">
        <f t="shared" si="405"/>
        <v>27.042000000000002</v>
      </c>
      <c r="AC222" s="518">
        <f t="shared" si="405"/>
        <v>27.600999999999999</v>
      </c>
      <c r="AD222" s="518">
        <f t="shared" si="405"/>
        <v>27.898</v>
      </c>
      <c r="AE222" s="89">
        <f t="shared" si="405"/>
        <v>109.70699999999999</v>
      </c>
      <c r="AF222" s="518">
        <f t="shared" si="405"/>
        <v>32.006999999999998</v>
      </c>
      <c r="AG222" s="518">
        <f t="shared" si="405"/>
        <v>28.582999999999998</v>
      </c>
      <c r="AH222" s="518">
        <f t="shared" si="405"/>
        <v>30.302</v>
      </c>
      <c r="AI222" s="518">
        <f t="shared" si="405"/>
        <v>29.677000000000007</v>
      </c>
      <c r="AJ222" s="89">
        <f t="shared" si="405"/>
        <v>120.569</v>
      </c>
      <c r="AK222" s="518">
        <f t="shared" si="405"/>
        <v>31.292000000000002</v>
      </c>
      <c r="AL222" s="518">
        <f t="shared" si="405"/>
        <v>30.931999999999999</v>
      </c>
      <c r="AM222" s="518">
        <f t="shared" si="405"/>
        <v>39.703000000000003</v>
      </c>
      <c r="AN222" s="518">
        <f t="shared" si="405"/>
        <v>34.164000000000001</v>
      </c>
      <c r="AO222" s="89">
        <f t="shared" si="405"/>
        <v>136.09100000000001</v>
      </c>
      <c r="AP222" s="518">
        <f t="shared" si="405"/>
        <v>43.536000000000001</v>
      </c>
      <c r="AQ222" s="518">
        <f t="shared" si="405"/>
        <v>26.402000000000001</v>
      </c>
      <c r="AR222" s="518">
        <f t="shared" si="405"/>
        <v>30.887</v>
      </c>
      <c r="AS222" s="518">
        <f t="shared" si="405"/>
        <v>29.625</v>
      </c>
      <c r="AT222" s="89">
        <f t="shared" si="405"/>
        <v>130.44999999999999</v>
      </c>
      <c r="AU222" s="518">
        <f t="shared" si="405"/>
        <v>31.861000000000001</v>
      </c>
      <c r="AV222" s="518">
        <f t="shared" si="405"/>
        <v>45.094999999999999</v>
      </c>
      <c r="AW222" s="518">
        <f t="shared" si="405"/>
        <v>30.001000000000001</v>
      </c>
      <c r="AX222" s="518">
        <f t="shared" si="405"/>
        <v>28.858999999999995</v>
      </c>
      <c r="AY222" s="89">
        <f t="shared" si="405"/>
        <v>135.816</v>
      </c>
      <c r="AZ222" s="518">
        <f t="shared" si="405"/>
        <v>39.383000000000003</v>
      </c>
      <c r="BA222" s="518">
        <f t="shared" si="405"/>
        <v>38.377000000000002</v>
      </c>
      <c r="BB222" s="518">
        <f t="shared" si="405"/>
        <v>48.381</v>
      </c>
      <c r="BC222" s="518">
        <f t="shared" si="405"/>
        <v>37.966999999999999</v>
      </c>
      <c r="BD222" s="89">
        <f t="shared" si="405"/>
        <v>164.108</v>
      </c>
      <c r="BE222" s="518">
        <f t="shared" si="405"/>
        <v>46.509</v>
      </c>
      <c r="BF222" s="518">
        <f t="shared" si="405"/>
        <v>53.405000000000001</v>
      </c>
      <c r="BG222" s="518">
        <f t="shared" ref="BG222" si="406">BG158</f>
        <v>45.695</v>
      </c>
      <c r="BH222" s="518">
        <f t="shared" ref="BH222:BJ223" si="407">BH158</f>
        <v>66.822000000000003</v>
      </c>
      <c r="BI222" s="89">
        <f t="shared" si="407"/>
        <v>212.43100000000001</v>
      </c>
      <c r="BJ222" s="518">
        <f t="shared" si="407"/>
        <v>45.231999999999999</v>
      </c>
      <c r="BK222" s="518">
        <f>BK158</f>
        <v>44.634</v>
      </c>
      <c r="BL222" s="520">
        <f>BL158</f>
        <v>49.604999999999997</v>
      </c>
      <c r="BM222" s="518">
        <f>BM140*BM214</f>
        <v>35.042607045483997</v>
      </c>
      <c r="BN222" s="89">
        <f>SUM(BJ222,BK222,BL222,BM222)</f>
        <v>174.51360704548401</v>
      </c>
      <c r="BO222" s="518">
        <f>BO140*BO214</f>
        <v>59.72021113678376</v>
      </c>
      <c r="BP222" s="518">
        <f>BP140*BP214</f>
        <v>38.639669271465017</v>
      </c>
      <c r="BQ222" s="518">
        <f>BQ140*BQ214</f>
        <v>46.49345405419011</v>
      </c>
      <c r="BR222" s="518">
        <f>BR140*BR214</f>
        <v>39.653923514089726</v>
      </c>
      <c r="BS222" s="89">
        <f>SUM(BO222,BP222,BQ222,BR222)</f>
        <v>184.50725797652865</v>
      </c>
      <c r="BT222" s="89">
        <f>BT140*BT214</f>
        <v>157.51508991092518</v>
      </c>
      <c r="BU222" s="89">
        <f>BU140*BU214</f>
        <v>203.30770732032616</v>
      </c>
      <c r="BV222" s="89">
        <f>BV140*BV214</f>
        <v>222.01961201562565</v>
      </c>
      <c r="BW222" s="519"/>
    </row>
    <row r="223" spans="1:75" s="439" customFormat="1">
      <c r="A223" s="31" t="s">
        <v>285</v>
      </c>
      <c r="B223" s="53"/>
      <c r="C223" s="89">
        <f t="shared" ref="C223:BF223" si="408">C159</f>
        <v>1.2010000000000001</v>
      </c>
      <c r="D223" s="89">
        <f t="shared" si="408"/>
        <v>2.3340000000000001</v>
      </c>
      <c r="E223" s="89">
        <f t="shared" si="408"/>
        <v>4.2380000000000004</v>
      </c>
      <c r="F223" s="89">
        <f t="shared" si="408"/>
        <v>7.2229999999999999</v>
      </c>
      <c r="G223" s="518">
        <f t="shared" si="408"/>
        <v>2.4780000000000002</v>
      </c>
      <c r="H223" s="518">
        <f t="shared" si="408"/>
        <v>2.637</v>
      </c>
      <c r="I223" s="518">
        <f t="shared" si="408"/>
        <v>2.8159999999999998</v>
      </c>
      <c r="J223" s="518">
        <f t="shared" si="408"/>
        <v>3.524</v>
      </c>
      <c r="K223" s="89">
        <f t="shared" si="408"/>
        <v>11.455</v>
      </c>
      <c r="L223" s="518">
        <f t="shared" si="408"/>
        <v>3.661</v>
      </c>
      <c r="M223" s="518">
        <f t="shared" si="408"/>
        <v>4.0339999999999998</v>
      </c>
      <c r="N223" s="518">
        <f t="shared" si="408"/>
        <v>4.6040000000000001</v>
      </c>
      <c r="O223" s="518">
        <f t="shared" si="408"/>
        <v>5.2910000000000004</v>
      </c>
      <c r="P223" s="89">
        <f t="shared" si="408"/>
        <v>17.59</v>
      </c>
      <c r="Q223" s="518">
        <f t="shared" si="408"/>
        <v>6.8949999999999996</v>
      </c>
      <c r="R223" s="518">
        <f t="shared" si="408"/>
        <v>7.1669999999999998</v>
      </c>
      <c r="S223" s="518">
        <f t="shared" si="408"/>
        <v>7.5620000000000003</v>
      </c>
      <c r="T223" s="518">
        <f t="shared" si="408"/>
        <v>7.98</v>
      </c>
      <c r="U223" s="89">
        <f t="shared" si="408"/>
        <v>29.603999999999999</v>
      </c>
      <c r="V223" s="518">
        <f t="shared" si="408"/>
        <v>8.1890000000000001</v>
      </c>
      <c r="W223" s="518">
        <f t="shared" si="408"/>
        <v>8.5640000000000001</v>
      </c>
      <c r="X223" s="518">
        <f t="shared" si="408"/>
        <v>9.1590000000000007</v>
      </c>
      <c r="Y223" s="518">
        <f t="shared" si="408"/>
        <v>9.4339999999999975</v>
      </c>
      <c r="Z223" s="89">
        <f t="shared" si="408"/>
        <v>35.345999999999997</v>
      </c>
      <c r="AA223" s="518">
        <f t="shared" si="408"/>
        <v>10.151</v>
      </c>
      <c r="AB223" s="518">
        <f t="shared" si="408"/>
        <v>10.662000000000001</v>
      </c>
      <c r="AC223" s="518">
        <f t="shared" si="408"/>
        <v>10.656000000000001</v>
      </c>
      <c r="AD223" s="518">
        <f t="shared" si="408"/>
        <v>9.7289999999999992</v>
      </c>
      <c r="AE223" s="89">
        <f t="shared" si="408"/>
        <v>41.198</v>
      </c>
      <c r="AF223" s="518">
        <f t="shared" si="408"/>
        <v>10.028</v>
      </c>
      <c r="AG223" s="518">
        <f t="shared" si="408"/>
        <v>10.509</v>
      </c>
      <c r="AH223" s="518">
        <f t="shared" si="408"/>
        <v>10.712999999999999</v>
      </c>
      <c r="AI223" s="518">
        <f t="shared" si="408"/>
        <v>11.557000000000002</v>
      </c>
      <c r="AJ223" s="89">
        <f t="shared" si="408"/>
        <v>42.807000000000002</v>
      </c>
      <c r="AK223" s="518">
        <f t="shared" si="408"/>
        <v>11.875999999999999</v>
      </c>
      <c r="AL223" s="518">
        <f t="shared" si="408"/>
        <v>12.24</v>
      </c>
      <c r="AM223" s="518">
        <f t="shared" si="408"/>
        <v>12.391</v>
      </c>
      <c r="AN223" s="518">
        <f t="shared" si="408"/>
        <v>12.849000000000004</v>
      </c>
      <c r="AO223" s="89">
        <f t="shared" si="408"/>
        <v>49.356000000000002</v>
      </c>
      <c r="AP223" s="518">
        <f t="shared" si="408"/>
        <v>12.358000000000001</v>
      </c>
      <c r="AQ223" s="518">
        <f t="shared" si="408"/>
        <v>12.582000000000001</v>
      </c>
      <c r="AR223" s="518">
        <f t="shared" si="408"/>
        <v>12.544</v>
      </c>
      <c r="AS223" s="518">
        <f t="shared" si="408"/>
        <v>13.125</v>
      </c>
      <c r="AT223" s="89">
        <f t="shared" si="408"/>
        <v>50.609000000000002</v>
      </c>
      <c r="AU223" s="518">
        <f t="shared" si="408"/>
        <v>13.083</v>
      </c>
      <c r="AV223" s="518">
        <f t="shared" si="408"/>
        <v>12.833</v>
      </c>
      <c r="AW223" s="518">
        <f t="shared" si="408"/>
        <v>12.627000000000001</v>
      </c>
      <c r="AX223" s="518">
        <f t="shared" si="408"/>
        <v>17.14</v>
      </c>
      <c r="AY223" s="89">
        <f t="shared" si="408"/>
        <v>55.683</v>
      </c>
      <c r="AZ223" s="518">
        <f t="shared" si="408"/>
        <v>11.49</v>
      </c>
      <c r="BA223" s="518">
        <f t="shared" si="408"/>
        <v>11.257999999999999</v>
      </c>
      <c r="BB223" s="518">
        <f t="shared" si="408"/>
        <v>11.417</v>
      </c>
      <c r="BC223" s="518">
        <f t="shared" si="408"/>
        <v>10.686999999999998</v>
      </c>
      <c r="BD223" s="89">
        <f t="shared" si="408"/>
        <v>44.851999999999997</v>
      </c>
      <c r="BE223" s="518">
        <f t="shared" si="408"/>
        <v>10.805</v>
      </c>
      <c r="BF223" s="518">
        <f t="shared" si="408"/>
        <v>10.615</v>
      </c>
      <c r="BG223" s="518">
        <f>BG159</f>
        <v>10.461</v>
      </c>
      <c r="BH223" s="518">
        <f t="shared" si="407"/>
        <v>10.302999999999997</v>
      </c>
      <c r="BI223" s="89">
        <f t="shared" si="407"/>
        <v>42.183999999999997</v>
      </c>
      <c r="BJ223" s="518">
        <f t="shared" si="407"/>
        <v>9.93</v>
      </c>
      <c r="BK223" s="518">
        <f>BK159</f>
        <v>9.5850000000000009</v>
      </c>
      <c r="BL223" s="520">
        <f>BL159</f>
        <v>9.3260000000000005</v>
      </c>
      <c r="BM223" s="518">
        <f>-BM582-BM588</f>
        <v>10.563070491803279</v>
      </c>
      <c r="BN223" s="89">
        <f>SUM(BJ223,BK223,BL223,BM223)</f>
        <v>39.404070491803282</v>
      </c>
      <c r="BO223" s="518">
        <f>-BO582-BO588</f>
        <v>9.4503611183471818</v>
      </c>
      <c r="BP223" s="518">
        <f>-BP582-BP588</f>
        <v>9.644228431546944</v>
      </c>
      <c r="BQ223" s="518">
        <f>-BQ582-BQ588</f>
        <v>9.8150754784294971</v>
      </c>
      <c r="BR223" s="518">
        <f>-BR582-BR588</f>
        <v>9.8578734077809695</v>
      </c>
      <c r="BS223" s="89">
        <f>SUM(BO223,BP223,BQ223,BR223)</f>
        <v>38.767538436104594</v>
      </c>
      <c r="BT223" s="89">
        <f>-BT582-BT588</f>
        <v>39.255514549488026</v>
      </c>
      <c r="BU223" s="89">
        <f>-BU582-BU588</f>
        <v>39.911809422727721</v>
      </c>
      <c r="BV223" s="89">
        <f>-BV582-BV588</f>
        <v>40.197349037150012</v>
      </c>
      <c r="BW223" s="519"/>
    </row>
    <row r="224" spans="1:75" s="439" customFormat="1">
      <c r="A224" s="31" t="s">
        <v>286</v>
      </c>
      <c r="B224" s="53"/>
      <c r="C224" s="89">
        <f t="shared" ref="C224:BF224" si="409">C160+C161+C162</f>
        <v>0</v>
      </c>
      <c r="D224" s="89">
        <f t="shared" si="409"/>
        <v>0</v>
      </c>
      <c r="E224" s="89">
        <f t="shared" si="409"/>
        <v>5.9279999999999999</v>
      </c>
      <c r="F224" s="89">
        <f t="shared" si="409"/>
        <v>1.262</v>
      </c>
      <c r="G224" s="518">
        <f t="shared" si="409"/>
        <v>0.67500000000000004</v>
      </c>
      <c r="H224" s="518">
        <f t="shared" si="409"/>
        <v>0</v>
      </c>
      <c r="I224" s="518">
        <f t="shared" si="409"/>
        <v>0</v>
      </c>
      <c r="J224" s="518">
        <f t="shared" si="409"/>
        <v>0</v>
      </c>
      <c r="K224" s="89">
        <f t="shared" si="409"/>
        <v>0.67500000000000004</v>
      </c>
      <c r="L224" s="518">
        <f t="shared" si="409"/>
        <v>0</v>
      </c>
      <c r="M224" s="518">
        <f t="shared" si="409"/>
        <v>0</v>
      </c>
      <c r="N224" s="518">
        <f t="shared" si="409"/>
        <v>0</v>
      </c>
      <c r="O224" s="518">
        <f t="shared" si="409"/>
        <v>0</v>
      </c>
      <c r="P224" s="89">
        <f t="shared" si="409"/>
        <v>0</v>
      </c>
      <c r="Q224" s="518">
        <f t="shared" si="409"/>
        <v>0</v>
      </c>
      <c r="R224" s="518">
        <f t="shared" si="409"/>
        <v>0</v>
      </c>
      <c r="S224" s="518">
        <f t="shared" si="409"/>
        <v>0</v>
      </c>
      <c r="T224" s="518">
        <f t="shared" si="409"/>
        <v>0</v>
      </c>
      <c r="U224" s="89">
        <f t="shared" si="409"/>
        <v>0</v>
      </c>
      <c r="V224" s="518">
        <f t="shared" si="409"/>
        <v>0</v>
      </c>
      <c r="W224" s="518">
        <f t="shared" si="409"/>
        <v>0</v>
      </c>
      <c r="X224" s="518">
        <f t="shared" si="409"/>
        <v>0</v>
      </c>
      <c r="Y224" s="518">
        <f t="shared" si="409"/>
        <v>3.4550000000000001</v>
      </c>
      <c r="Z224" s="89">
        <f t="shared" si="409"/>
        <v>3.4550000000000001</v>
      </c>
      <c r="AA224" s="518">
        <f t="shared" si="409"/>
        <v>0.23100000000000001</v>
      </c>
      <c r="AB224" s="518">
        <f t="shared" si="409"/>
        <v>2.1000000000000001E-2</v>
      </c>
      <c r="AC224" s="518">
        <f t="shared" si="409"/>
        <v>3.5000000000000003E-2</v>
      </c>
      <c r="AD224" s="518">
        <f t="shared" si="409"/>
        <v>-163.696</v>
      </c>
      <c r="AE224" s="89">
        <f t="shared" si="409"/>
        <v>-163.40899999999999</v>
      </c>
      <c r="AF224" s="518">
        <f t="shared" si="409"/>
        <v>0</v>
      </c>
      <c r="AG224" s="518">
        <f t="shared" si="409"/>
        <v>0</v>
      </c>
      <c r="AH224" s="518">
        <f t="shared" si="409"/>
        <v>0</v>
      </c>
      <c r="AI224" s="518">
        <f t="shared" si="409"/>
        <v>0</v>
      </c>
      <c r="AJ224" s="89">
        <f t="shared" si="409"/>
        <v>0</v>
      </c>
      <c r="AK224" s="518">
        <f t="shared" si="409"/>
        <v>0</v>
      </c>
      <c r="AL224" s="518">
        <f t="shared" si="409"/>
        <v>0</v>
      </c>
      <c r="AM224" s="518">
        <f t="shared" si="409"/>
        <v>0</v>
      </c>
      <c r="AN224" s="518">
        <f t="shared" si="409"/>
        <v>0</v>
      </c>
      <c r="AO224" s="89">
        <f t="shared" si="409"/>
        <v>0</v>
      </c>
      <c r="AP224" s="518">
        <f t="shared" si="409"/>
        <v>0</v>
      </c>
      <c r="AQ224" s="518">
        <f t="shared" si="409"/>
        <v>3.3119999999999998</v>
      </c>
      <c r="AR224" s="518">
        <f t="shared" si="409"/>
        <v>0.53500000000000003</v>
      </c>
      <c r="AS224" s="518">
        <f t="shared" si="409"/>
        <v>1.4999999999999999E-2</v>
      </c>
      <c r="AT224" s="89">
        <f t="shared" si="409"/>
        <v>3.8620000000000001</v>
      </c>
      <c r="AU224" s="518">
        <f t="shared" si="409"/>
        <v>0.02</v>
      </c>
      <c r="AV224" s="518">
        <f t="shared" si="409"/>
        <v>1.2E-2</v>
      </c>
      <c r="AW224" s="518">
        <f t="shared" si="409"/>
        <v>0</v>
      </c>
      <c r="AX224" s="518">
        <f t="shared" si="409"/>
        <v>0</v>
      </c>
      <c r="AY224" s="89">
        <f t="shared" si="409"/>
        <v>3.2000000000000001E-2</v>
      </c>
      <c r="AZ224" s="518">
        <f t="shared" si="409"/>
        <v>0</v>
      </c>
      <c r="BA224" s="518">
        <f t="shared" si="409"/>
        <v>0</v>
      </c>
      <c r="BB224" s="518">
        <f t="shared" si="409"/>
        <v>0</v>
      </c>
      <c r="BC224" s="518">
        <f t="shared" si="409"/>
        <v>0</v>
      </c>
      <c r="BD224" s="89">
        <f t="shared" si="409"/>
        <v>0</v>
      </c>
      <c r="BE224" s="518">
        <f t="shared" si="409"/>
        <v>0</v>
      </c>
      <c r="BF224" s="518">
        <f t="shared" si="409"/>
        <v>0</v>
      </c>
      <c r="BG224" s="518">
        <f t="shared" ref="BG224:BL224" si="410">BG160+BG161+BG162</f>
        <v>0</v>
      </c>
      <c r="BH224" s="518">
        <f t="shared" si="410"/>
        <v>0</v>
      </c>
      <c r="BI224" s="89">
        <f t="shared" si="410"/>
        <v>0</v>
      </c>
      <c r="BJ224" s="518">
        <f t="shared" si="410"/>
        <v>0</v>
      </c>
      <c r="BK224" s="518">
        <f t="shared" si="410"/>
        <v>0</v>
      </c>
      <c r="BL224" s="520">
        <f t="shared" si="410"/>
        <v>0</v>
      </c>
      <c r="BM224" s="518">
        <f>BM142*BM$214</f>
        <v>0</v>
      </c>
      <c r="BN224" s="89">
        <f>SUM(BJ224,BK224,BL224,BM224)</f>
        <v>0</v>
      </c>
      <c r="BO224" s="518">
        <f>BO142*BO$214</f>
        <v>0</v>
      </c>
      <c r="BP224" s="518">
        <f>BP142*BP$214</f>
        <v>0</v>
      </c>
      <c r="BQ224" s="518">
        <f>BQ142*BQ$214</f>
        <v>0</v>
      </c>
      <c r="BR224" s="518">
        <f>BR142*BR$214</f>
        <v>0</v>
      </c>
      <c r="BS224" s="89">
        <f>SUM(BO224,BP224,BQ224,BR224)</f>
        <v>0</v>
      </c>
      <c r="BT224" s="89">
        <f>BT142*BT$214</f>
        <v>0</v>
      </c>
      <c r="BU224" s="89">
        <f>BU142*BU$214</f>
        <v>0</v>
      </c>
      <c r="BV224" s="89">
        <f>BV142*BV$214</f>
        <v>0</v>
      </c>
      <c r="BW224" s="519"/>
    </row>
    <row r="225" spans="1:75" s="444" customFormat="1">
      <c r="A225" s="18" t="s">
        <v>13</v>
      </c>
      <c r="B225" s="49"/>
      <c r="C225" s="676">
        <f t="shared" ref="C225:BF225" si="411">C218-SUM(C220:C224)</f>
        <v>-2.3329999999999984</v>
      </c>
      <c r="D225" s="676">
        <f t="shared" si="411"/>
        <v>-9.5060000000000002</v>
      </c>
      <c r="E225" s="676">
        <f t="shared" si="411"/>
        <v>-16.171000000000006</v>
      </c>
      <c r="F225" s="676">
        <f t="shared" si="411"/>
        <v>-18.765000000000015</v>
      </c>
      <c r="G225" s="560">
        <f t="shared" si="411"/>
        <v>-4.5539999999999949</v>
      </c>
      <c r="H225" s="560">
        <f t="shared" si="411"/>
        <v>-0.57999999999999119</v>
      </c>
      <c r="I225" s="560">
        <f t="shared" si="411"/>
        <v>-1.7810000000000059</v>
      </c>
      <c r="J225" s="560">
        <f t="shared" si="411"/>
        <v>-1.9080000000000155</v>
      </c>
      <c r="K225" s="676">
        <f t="shared" si="411"/>
        <v>-8.8230000000000359</v>
      </c>
      <c r="L225" s="560">
        <f t="shared" si="411"/>
        <v>-4.6039999999999992</v>
      </c>
      <c r="M225" s="560">
        <f t="shared" si="411"/>
        <v>3.1269999999999953</v>
      </c>
      <c r="N225" s="560">
        <f t="shared" si="411"/>
        <v>4.5439999999999827</v>
      </c>
      <c r="O225" s="560">
        <f t="shared" si="411"/>
        <v>7.9919999999999902</v>
      </c>
      <c r="P225" s="676">
        <f t="shared" si="411"/>
        <v>11.059000000000026</v>
      </c>
      <c r="Q225" s="560">
        <f t="shared" si="411"/>
        <v>-4.2489999999999952</v>
      </c>
      <c r="R225" s="560">
        <f t="shared" si="411"/>
        <v>5.0000000000011369E-2</v>
      </c>
      <c r="S225" s="560">
        <f t="shared" si="411"/>
        <v>-10.711999999999989</v>
      </c>
      <c r="T225" s="560">
        <f t="shared" si="411"/>
        <v>-6.4129999999999825</v>
      </c>
      <c r="U225" s="676">
        <f t="shared" si="411"/>
        <v>-21.323999999999955</v>
      </c>
      <c r="V225" s="560">
        <f t="shared" si="411"/>
        <v>-14.272999999999996</v>
      </c>
      <c r="W225" s="560">
        <f t="shared" si="411"/>
        <v>-1.1869999999999834</v>
      </c>
      <c r="X225" s="560">
        <f t="shared" si="411"/>
        <v>1.960000000000008</v>
      </c>
      <c r="Y225" s="560">
        <f t="shared" si="411"/>
        <v>8.5209999999999013</v>
      </c>
      <c r="Z225" s="676">
        <f t="shared" si="411"/>
        <v>-4.9790000000001555</v>
      </c>
      <c r="AA225" s="560">
        <f t="shared" si="411"/>
        <v>-4.6910000000000025</v>
      </c>
      <c r="AB225" s="560">
        <f t="shared" si="411"/>
        <v>7.1549999999999727</v>
      </c>
      <c r="AC225" s="560">
        <f t="shared" si="411"/>
        <v>6.8909999999999911</v>
      </c>
      <c r="AD225" s="560">
        <f t="shared" si="411"/>
        <v>170.267</v>
      </c>
      <c r="AE225" s="676">
        <f t="shared" si="411"/>
        <v>179.62199999999996</v>
      </c>
      <c r="AF225" s="560">
        <f t="shared" si="411"/>
        <v>-4.8269999999999982</v>
      </c>
      <c r="AG225" s="560">
        <f t="shared" si="411"/>
        <v>7.6210000000000093</v>
      </c>
      <c r="AH225" s="560">
        <f t="shared" si="411"/>
        <v>10.381000000000029</v>
      </c>
      <c r="AI225" s="560">
        <f t="shared" si="411"/>
        <v>12.72199999999998</v>
      </c>
      <c r="AJ225" s="676">
        <f t="shared" si="411"/>
        <v>25.897000000000048</v>
      </c>
      <c r="AK225" s="560">
        <f t="shared" si="411"/>
        <v>-3.882000000000005</v>
      </c>
      <c r="AL225" s="560">
        <f t="shared" si="411"/>
        <v>12.197000000000031</v>
      </c>
      <c r="AM225" s="560">
        <f t="shared" si="411"/>
        <v>9.5499999999999829</v>
      </c>
      <c r="AN225" s="560">
        <f t="shared" si="411"/>
        <v>17.645999999999844</v>
      </c>
      <c r="AO225" s="676">
        <f t="shared" si="411"/>
        <v>35.510999999999967</v>
      </c>
      <c r="AP225" s="560">
        <f t="shared" si="411"/>
        <v>-27.249999999999972</v>
      </c>
      <c r="AQ225" s="560">
        <f t="shared" si="411"/>
        <v>-35.349000000000018</v>
      </c>
      <c r="AR225" s="560">
        <f t="shared" si="411"/>
        <v>9.3249999999999602</v>
      </c>
      <c r="AS225" s="560">
        <f t="shared" si="411"/>
        <v>14.479000000000013</v>
      </c>
      <c r="AT225" s="676">
        <f t="shared" si="411"/>
        <v>-38.794999999999959</v>
      </c>
      <c r="AU225" s="560">
        <f t="shared" si="411"/>
        <v>-8.6430000000000007</v>
      </c>
      <c r="AV225" s="560">
        <f t="shared" si="411"/>
        <v>-1.0810000000000173</v>
      </c>
      <c r="AW225" s="560">
        <f t="shared" si="411"/>
        <v>21.644999999999953</v>
      </c>
      <c r="AX225" s="560">
        <f t="shared" si="411"/>
        <v>19.593000000000018</v>
      </c>
      <c r="AY225" s="676">
        <f t="shared" si="411"/>
        <v>31.513999999999896</v>
      </c>
      <c r="AZ225" s="560">
        <f t="shared" si="411"/>
        <v>-4.4559999999999889</v>
      </c>
      <c r="BA225" s="560">
        <f t="shared" si="411"/>
        <v>16.001000000000005</v>
      </c>
      <c r="BB225" s="560">
        <f t="shared" si="411"/>
        <v>13.424000000000035</v>
      </c>
      <c r="BC225" s="560">
        <f t="shared" si="411"/>
        <v>33.384000000000128</v>
      </c>
      <c r="BD225" s="676">
        <f t="shared" si="411"/>
        <v>58.353000000000065</v>
      </c>
      <c r="BE225" s="560">
        <f t="shared" si="411"/>
        <v>-6.5870000000000459</v>
      </c>
      <c r="BF225" s="560">
        <f t="shared" si="411"/>
        <v>18.741999999999905</v>
      </c>
      <c r="BG225" s="560">
        <f t="shared" ref="BG225:BM225" si="412">BG218-SUM(BG220:BG224)</f>
        <v>41.87299999999999</v>
      </c>
      <c r="BH225" s="560">
        <f t="shared" si="412"/>
        <v>25.014999999999986</v>
      </c>
      <c r="BI225" s="676">
        <f t="shared" si="412"/>
        <v>79.042999999999893</v>
      </c>
      <c r="BJ225" s="560">
        <f>BJ218-SUM(BJ220:BJ224)</f>
        <v>11.216999999999985</v>
      </c>
      <c r="BK225" s="560">
        <f>BK218-SUM(BK220:BK224)</f>
        <v>39.747000000000014</v>
      </c>
      <c r="BL225" s="561">
        <f>BL218-SUM(BL220:BL224)</f>
        <v>46.65199999999993</v>
      </c>
      <c r="BM225" s="560">
        <f t="shared" si="412"/>
        <v>39.547857583238851</v>
      </c>
      <c r="BN225" s="676">
        <f t="shared" ref="BN225" si="413">BN218-SUM(BN220:BN224)</f>
        <v>137.16385758323918</v>
      </c>
      <c r="BO225" s="560">
        <f t="shared" ref="BO225:BV225" si="414">BO218-SUM(BO220:BO224)</f>
        <v>18.653267651904059</v>
      </c>
      <c r="BP225" s="560">
        <f t="shared" si="414"/>
        <v>48.315275475650594</v>
      </c>
      <c r="BQ225" s="560">
        <f t="shared" si="414"/>
        <v>42.490060332534426</v>
      </c>
      <c r="BR225" s="560">
        <f t="shared" si="414"/>
        <v>45.657619511944631</v>
      </c>
      <c r="BS225" s="676">
        <f t="shared" si="414"/>
        <v>155.11622297203348</v>
      </c>
      <c r="BT225" s="676">
        <f t="shared" si="414"/>
        <v>165.51410233471483</v>
      </c>
      <c r="BU225" s="676">
        <f t="shared" si="414"/>
        <v>197.28051578431973</v>
      </c>
      <c r="BV225" s="676">
        <f t="shared" si="414"/>
        <v>144.81899430920475</v>
      </c>
      <c r="BW225" s="318"/>
    </row>
    <row r="226" spans="1:75" s="444" customFormat="1">
      <c r="A226" s="28" t="str">
        <f>CONCATENATE("Adjusted ",A225,IF(AND(ROUND(SUM(C225:BW225)-SUM(C226:BW226),6)=0)," (No Adjustments)",""))</f>
        <v>Adjusted EBIT (No Adjustments)</v>
      </c>
      <c r="B226" s="30"/>
      <c r="C226" s="700">
        <f t="shared" ref="C226:BF226" si="415">C225</f>
        <v>-2.3329999999999984</v>
      </c>
      <c r="D226" s="700">
        <f t="shared" si="415"/>
        <v>-9.5060000000000002</v>
      </c>
      <c r="E226" s="700">
        <f t="shared" si="415"/>
        <v>-16.171000000000006</v>
      </c>
      <c r="F226" s="700">
        <f t="shared" si="415"/>
        <v>-18.765000000000015</v>
      </c>
      <c r="G226" s="523">
        <f t="shared" si="415"/>
        <v>-4.5539999999999949</v>
      </c>
      <c r="H226" s="523">
        <f t="shared" si="415"/>
        <v>-0.57999999999999119</v>
      </c>
      <c r="I226" s="523">
        <f t="shared" si="415"/>
        <v>-1.7810000000000059</v>
      </c>
      <c r="J226" s="523">
        <f t="shared" si="415"/>
        <v>-1.9080000000000155</v>
      </c>
      <c r="K226" s="700">
        <f t="shared" si="415"/>
        <v>-8.8230000000000359</v>
      </c>
      <c r="L226" s="523">
        <f t="shared" si="415"/>
        <v>-4.6039999999999992</v>
      </c>
      <c r="M226" s="523">
        <f t="shared" si="415"/>
        <v>3.1269999999999953</v>
      </c>
      <c r="N226" s="523">
        <f t="shared" si="415"/>
        <v>4.5439999999999827</v>
      </c>
      <c r="O226" s="523">
        <f t="shared" si="415"/>
        <v>7.9919999999999902</v>
      </c>
      <c r="P226" s="700">
        <f t="shared" si="415"/>
        <v>11.059000000000026</v>
      </c>
      <c r="Q226" s="523">
        <f t="shared" si="415"/>
        <v>-4.2489999999999952</v>
      </c>
      <c r="R226" s="523">
        <f t="shared" si="415"/>
        <v>5.0000000000011369E-2</v>
      </c>
      <c r="S226" s="523">
        <f t="shared" si="415"/>
        <v>-10.711999999999989</v>
      </c>
      <c r="T226" s="523">
        <f t="shared" si="415"/>
        <v>-6.4129999999999825</v>
      </c>
      <c r="U226" s="700">
        <f t="shared" si="415"/>
        <v>-21.323999999999955</v>
      </c>
      <c r="V226" s="523">
        <f t="shared" si="415"/>
        <v>-14.272999999999996</v>
      </c>
      <c r="W226" s="523">
        <f t="shared" si="415"/>
        <v>-1.1869999999999834</v>
      </c>
      <c r="X226" s="523">
        <f t="shared" si="415"/>
        <v>1.960000000000008</v>
      </c>
      <c r="Y226" s="523">
        <f t="shared" si="415"/>
        <v>8.5209999999999013</v>
      </c>
      <c r="Z226" s="700">
        <f t="shared" si="415"/>
        <v>-4.9790000000001555</v>
      </c>
      <c r="AA226" s="523">
        <f t="shared" si="415"/>
        <v>-4.6910000000000025</v>
      </c>
      <c r="AB226" s="523">
        <f t="shared" si="415"/>
        <v>7.1549999999999727</v>
      </c>
      <c r="AC226" s="523">
        <f t="shared" si="415"/>
        <v>6.8909999999999911</v>
      </c>
      <c r="AD226" s="523">
        <f t="shared" si="415"/>
        <v>170.267</v>
      </c>
      <c r="AE226" s="700">
        <f t="shared" si="415"/>
        <v>179.62199999999996</v>
      </c>
      <c r="AF226" s="523">
        <f t="shared" si="415"/>
        <v>-4.8269999999999982</v>
      </c>
      <c r="AG226" s="523">
        <f t="shared" si="415"/>
        <v>7.6210000000000093</v>
      </c>
      <c r="AH226" s="523">
        <f t="shared" si="415"/>
        <v>10.381000000000029</v>
      </c>
      <c r="AI226" s="523">
        <f t="shared" si="415"/>
        <v>12.72199999999998</v>
      </c>
      <c r="AJ226" s="700">
        <f t="shared" si="415"/>
        <v>25.897000000000048</v>
      </c>
      <c r="AK226" s="523">
        <f t="shared" si="415"/>
        <v>-3.882000000000005</v>
      </c>
      <c r="AL226" s="523">
        <f t="shared" si="415"/>
        <v>12.197000000000031</v>
      </c>
      <c r="AM226" s="523">
        <f t="shared" si="415"/>
        <v>9.5499999999999829</v>
      </c>
      <c r="AN226" s="523">
        <f t="shared" si="415"/>
        <v>17.645999999999844</v>
      </c>
      <c r="AO226" s="700">
        <f t="shared" si="415"/>
        <v>35.510999999999967</v>
      </c>
      <c r="AP226" s="523">
        <f t="shared" si="415"/>
        <v>-27.249999999999972</v>
      </c>
      <c r="AQ226" s="523">
        <f t="shared" si="415"/>
        <v>-35.349000000000018</v>
      </c>
      <c r="AR226" s="523">
        <f t="shared" si="415"/>
        <v>9.3249999999999602</v>
      </c>
      <c r="AS226" s="523">
        <f t="shared" si="415"/>
        <v>14.479000000000013</v>
      </c>
      <c r="AT226" s="700">
        <f t="shared" si="415"/>
        <v>-38.794999999999959</v>
      </c>
      <c r="AU226" s="523">
        <f t="shared" si="415"/>
        <v>-8.6430000000000007</v>
      </c>
      <c r="AV226" s="523">
        <f t="shared" si="415"/>
        <v>-1.0810000000000173</v>
      </c>
      <c r="AW226" s="523">
        <f t="shared" si="415"/>
        <v>21.644999999999953</v>
      </c>
      <c r="AX226" s="523">
        <f t="shared" si="415"/>
        <v>19.593000000000018</v>
      </c>
      <c r="AY226" s="700">
        <f t="shared" si="415"/>
        <v>31.513999999999896</v>
      </c>
      <c r="AZ226" s="523">
        <f t="shared" si="415"/>
        <v>-4.4559999999999889</v>
      </c>
      <c r="BA226" s="523">
        <f t="shared" si="415"/>
        <v>16.001000000000005</v>
      </c>
      <c r="BB226" s="523">
        <f t="shared" si="415"/>
        <v>13.424000000000035</v>
      </c>
      <c r="BC226" s="523">
        <f t="shared" si="415"/>
        <v>33.384000000000128</v>
      </c>
      <c r="BD226" s="700">
        <f t="shared" si="415"/>
        <v>58.353000000000065</v>
      </c>
      <c r="BE226" s="523">
        <f t="shared" si="415"/>
        <v>-6.5870000000000459</v>
      </c>
      <c r="BF226" s="523">
        <f t="shared" si="415"/>
        <v>18.741999999999905</v>
      </c>
      <c r="BG226" s="523">
        <f t="shared" ref="BG226:BM226" si="416">BG225</f>
        <v>41.87299999999999</v>
      </c>
      <c r="BH226" s="523">
        <f t="shared" si="416"/>
        <v>25.014999999999986</v>
      </c>
      <c r="BI226" s="700">
        <f t="shared" si="416"/>
        <v>79.042999999999893</v>
      </c>
      <c r="BJ226" s="523">
        <f>BJ225</f>
        <v>11.216999999999985</v>
      </c>
      <c r="BK226" s="523">
        <f>BK225</f>
        <v>39.747000000000014</v>
      </c>
      <c r="BL226" s="563">
        <f>BL225</f>
        <v>46.65199999999993</v>
      </c>
      <c r="BM226" s="523">
        <f t="shared" si="416"/>
        <v>39.547857583238851</v>
      </c>
      <c r="BN226" s="700">
        <f>SUM(BJ226,BK226,BL226,BM226)</f>
        <v>137.16385758323878</v>
      </c>
      <c r="BO226" s="523">
        <f>BO225</f>
        <v>18.653267651904059</v>
      </c>
      <c r="BP226" s="523">
        <f>BP225</f>
        <v>48.315275475650594</v>
      </c>
      <c r="BQ226" s="523">
        <f>BQ225</f>
        <v>42.490060332534426</v>
      </c>
      <c r="BR226" s="523">
        <f>BR225</f>
        <v>45.657619511944631</v>
      </c>
      <c r="BS226" s="700">
        <f>SUM(BO226,BP226,BQ226,BR226)</f>
        <v>155.11622297203371</v>
      </c>
      <c r="BT226" s="700">
        <f>BT225</f>
        <v>165.51410233471483</v>
      </c>
      <c r="BU226" s="700">
        <f>BU225</f>
        <v>197.28051578431973</v>
      </c>
      <c r="BV226" s="700">
        <f>BV225</f>
        <v>144.81899430920475</v>
      </c>
      <c r="BW226" s="318"/>
    </row>
    <row r="227" spans="1:75" s="459" customFormat="1">
      <c r="A227" s="531" t="str">
        <f>CONCATENATE("Consensus Estimates - ",IFERROR(LEFT(A226,FIND("(",A226)-1),A226))</f>
        <v xml:space="preserve">Consensus Estimates - Adjusted EBIT </v>
      </c>
      <c r="B227" s="530"/>
      <c r="C227" s="723"/>
      <c r="D227" s="723"/>
      <c r="E227" s="723"/>
      <c r="F227" s="723"/>
      <c r="G227" s="524"/>
      <c r="H227" s="524"/>
      <c r="I227" s="524"/>
      <c r="J227" s="524"/>
      <c r="K227" s="723"/>
      <c r="L227" s="524"/>
      <c r="M227" s="524"/>
      <c r="N227" s="524"/>
      <c r="O227" s="524"/>
      <c r="P227" s="723"/>
      <c r="Q227" s="524"/>
      <c r="R227" s="524"/>
      <c r="S227" s="524"/>
      <c r="T227" s="524"/>
      <c r="U227" s="723"/>
      <c r="V227" s="524"/>
      <c r="W227" s="524"/>
      <c r="X227" s="524"/>
      <c r="Y227" s="524"/>
      <c r="Z227" s="723"/>
      <c r="AA227" s="524"/>
      <c r="AB227" s="524"/>
      <c r="AC227" s="524"/>
      <c r="AD227" s="524"/>
      <c r="AE227" s="723"/>
      <c r="AF227" s="524"/>
      <c r="AG227" s="524"/>
      <c r="AH227" s="524"/>
      <c r="AI227" s="524"/>
      <c r="AJ227" s="723"/>
      <c r="AK227" s="524"/>
      <c r="AL227" s="524"/>
      <c r="AM227" s="524"/>
      <c r="AN227" s="524"/>
      <c r="AO227" s="723"/>
      <c r="AP227" s="524"/>
      <c r="AQ227" s="524"/>
      <c r="AR227" s="524"/>
      <c r="AS227" s="524"/>
      <c r="AT227" s="723"/>
      <c r="AU227" s="524"/>
      <c r="AV227" s="524"/>
      <c r="AW227" s="524"/>
      <c r="AX227" s="524"/>
      <c r="AY227" s="723"/>
      <c r="AZ227" s="524"/>
      <c r="BA227" s="524"/>
      <c r="BB227" s="524"/>
      <c r="BC227" s="524"/>
      <c r="BD227" s="723"/>
      <c r="BE227" s="524"/>
      <c r="BF227" s="524"/>
      <c r="BG227" s="524"/>
      <c r="BH227" s="524"/>
      <c r="BI227" s="723"/>
      <c r="BJ227" s="524"/>
      <c r="BK227" s="524"/>
      <c r="BL227" s="576"/>
      <c r="BM227" s="575" t="str">
        <f ca="1">IFERROR(VLOOKUP($A227,tb_ConsensusEstimate,MATCH(BM$5,OFFSET(tb_ConsensusEstimate,0,0,1,COLUMNS(tb_ConsensusEstimate)),0),FALSE),"-")</f>
        <v>N/A</v>
      </c>
      <c r="BN227" s="724" t="str">
        <f t="shared" ref="BN227" ca="1" si="417">IFERROR(VLOOKUP($A227,tb_ConsensusEstimate,MATCH(BN$5,OFFSET(tb_ConsensusEstimate,0,0,1,COLUMNS(tb_ConsensusEstimate)),0),FALSE),"-")</f>
        <v>N/A</v>
      </c>
      <c r="BO227" s="575" t="str">
        <f t="shared" ref="BO227:BV227" ca="1" si="418">IFERROR(VLOOKUP($A227,tb_ConsensusEstimate,MATCH(BO$5,OFFSET(tb_ConsensusEstimate,0,0,1,COLUMNS(tb_ConsensusEstimate)),0),FALSE),"-")</f>
        <v>N/A</v>
      </c>
      <c r="BP227" s="575" t="str">
        <f t="shared" ca="1" si="418"/>
        <v>N/A</v>
      </c>
      <c r="BQ227" s="575" t="str">
        <f t="shared" ca="1" si="418"/>
        <v>N/A</v>
      </c>
      <c r="BR227" s="575" t="str">
        <f t="shared" ca="1" si="418"/>
        <v>N/A</v>
      </c>
      <c r="BS227" s="724" t="str">
        <f t="shared" ca="1" si="418"/>
        <v>N/A</v>
      </c>
      <c r="BT227" s="724" t="str">
        <f t="shared" ca="1" si="418"/>
        <v>N/A</v>
      </c>
      <c r="BU227" s="724" t="str">
        <f t="shared" ca="1" si="418"/>
        <v>N/A</v>
      </c>
      <c r="BV227" s="724" t="str">
        <f t="shared" ca="1" si="418"/>
        <v>N/A</v>
      </c>
      <c r="BW227" s="142"/>
    </row>
    <row r="228" spans="1:75" s="460" customFormat="1">
      <c r="A228" s="165"/>
      <c r="B228" s="379"/>
      <c r="C228" s="725"/>
      <c r="D228" s="725"/>
      <c r="E228" s="725"/>
      <c r="F228" s="725"/>
      <c r="G228" s="231"/>
      <c r="H228" s="231"/>
      <c r="I228" s="231"/>
      <c r="J228" s="231"/>
      <c r="K228" s="725"/>
      <c r="L228" s="231"/>
      <c r="M228" s="231"/>
      <c r="N228" s="231"/>
      <c r="O228" s="231"/>
      <c r="P228" s="725"/>
      <c r="Q228" s="231"/>
      <c r="R228" s="231"/>
      <c r="S228" s="231"/>
      <c r="T228" s="231"/>
      <c r="U228" s="725"/>
      <c r="V228" s="231"/>
      <c r="W228" s="231"/>
      <c r="X228" s="231"/>
      <c r="Y228" s="231"/>
      <c r="Z228" s="725"/>
      <c r="AA228" s="231"/>
      <c r="AB228" s="231"/>
      <c r="AC228" s="231"/>
      <c r="AD228" s="231"/>
      <c r="AE228" s="725"/>
      <c r="AF228" s="231"/>
      <c r="AG228" s="231"/>
      <c r="AH228" s="231"/>
      <c r="AI228" s="231"/>
      <c r="AJ228" s="725"/>
      <c r="AK228" s="231"/>
      <c r="AL228" s="231"/>
      <c r="AM228" s="231"/>
      <c r="AN228" s="231"/>
      <c r="AO228" s="725"/>
      <c r="AP228" s="231"/>
      <c r="AQ228" s="231"/>
      <c r="AR228" s="231"/>
      <c r="AS228" s="231"/>
      <c r="AT228" s="725"/>
      <c r="AU228" s="231"/>
      <c r="AV228" s="231"/>
      <c r="AW228" s="231"/>
      <c r="AX228" s="231"/>
      <c r="AY228" s="725"/>
      <c r="AZ228" s="231"/>
      <c r="BA228" s="231"/>
      <c r="BB228" s="231"/>
      <c r="BC228" s="231"/>
      <c r="BD228" s="725"/>
      <c r="BE228" s="231"/>
      <c r="BF228" s="231"/>
      <c r="BG228" s="231"/>
      <c r="BH228" s="231"/>
      <c r="BI228" s="725"/>
      <c r="BJ228" s="231"/>
      <c r="BK228" s="231"/>
      <c r="BL228" s="302"/>
      <c r="BM228" s="231"/>
      <c r="BN228" s="725"/>
      <c r="BO228" s="231"/>
      <c r="BP228" s="231"/>
      <c r="BQ228" s="231"/>
      <c r="BR228" s="231"/>
      <c r="BS228" s="725"/>
      <c r="BT228" s="725"/>
      <c r="BU228" s="725"/>
      <c r="BV228" s="725"/>
      <c r="BW228" s="162"/>
    </row>
    <row r="229" spans="1:75" s="439" customFormat="1">
      <c r="A229" s="31" t="s">
        <v>287</v>
      </c>
      <c r="B229" s="53"/>
      <c r="C229" s="89">
        <f t="shared" ref="C229:BF229" si="419">C183</f>
        <v>1.2010000000000001</v>
      </c>
      <c r="D229" s="89">
        <f t="shared" si="419"/>
        <v>2.3340000000000001</v>
      </c>
      <c r="E229" s="89">
        <f t="shared" si="419"/>
        <v>4.2380000000000004</v>
      </c>
      <c r="F229" s="89">
        <f t="shared" si="419"/>
        <v>7.2229999999999999</v>
      </c>
      <c r="G229" s="518">
        <f t="shared" si="419"/>
        <v>2.4780000000000002</v>
      </c>
      <c r="H229" s="518">
        <f t="shared" si="419"/>
        <v>2.637</v>
      </c>
      <c r="I229" s="518">
        <f t="shared" si="419"/>
        <v>2.8159999999999998</v>
      </c>
      <c r="J229" s="518">
        <f t="shared" si="419"/>
        <v>3.524</v>
      </c>
      <c r="K229" s="89">
        <f t="shared" si="419"/>
        <v>11.455</v>
      </c>
      <c r="L229" s="518">
        <f t="shared" si="419"/>
        <v>3.661</v>
      </c>
      <c r="M229" s="518">
        <f t="shared" si="419"/>
        <v>4.3040000000000003</v>
      </c>
      <c r="N229" s="518">
        <f t="shared" si="419"/>
        <v>4.6040000000000001</v>
      </c>
      <c r="O229" s="518">
        <f t="shared" si="419"/>
        <v>5.2910000000000004</v>
      </c>
      <c r="P229" s="89">
        <f t="shared" si="419"/>
        <v>17.59</v>
      </c>
      <c r="Q229" s="518">
        <f t="shared" si="419"/>
        <v>6.8949999999999996</v>
      </c>
      <c r="R229" s="518">
        <f t="shared" si="419"/>
        <v>7.1669999999999998</v>
      </c>
      <c r="S229" s="518">
        <f t="shared" si="419"/>
        <v>7.5620000000000003</v>
      </c>
      <c r="T229" s="518">
        <f t="shared" si="419"/>
        <v>7.98</v>
      </c>
      <c r="U229" s="89">
        <f t="shared" si="419"/>
        <v>29.603999999999999</v>
      </c>
      <c r="V229" s="518">
        <f t="shared" si="419"/>
        <v>8.1890000000000001</v>
      </c>
      <c r="W229" s="518">
        <f t="shared" si="419"/>
        <v>8.5640000000000001</v>
      </c>
      <c r="X229" s="518">
        <f t="shared" si="419"/>
        <v>9.1590000000000007</v>
      </c>
      <c r="Y229" s="518">
        <f t="shared" si="419"/>
        <v>9.4339999999999993</v>
      </c>
      <c r="Z229" s="89">
        <f t="shared" si="419"/>
        <v>35.345999999999997</v>
      </c>
      <c r="AA229" s="518">
        <f t="shared" si="419"/>
        <v>10.151</v>
      </c>
      <c r="AB229" s="518">
        <f t="shared" si="419"/>
        <v>10.662000000000001</v>
      </c>
      <c r="AC229" s="518">
        <f t="shared" si="419"/>
        <v>10.656000000000001</v>
      </c>
      <c r="AD229" s="518">
        <f t="shared" si="419"/>
        <v>9.7289999999999992</v>
      </c>
      <c r="AE229" s="89">
        <f t="shared" si="419"/>
        <v>41.198</v>
      </c>
      <c r="AF229" s="518">
        <f t="shared" si="419"/>
        <v>10.028</v>
      </c>
      <c r="AG229" s="518">
        <f t="shared" si="419"/>
        <v>10.509</v>
      </c>
      <c r="AH229" s="518">
        <f t="shared" si="419"/>
        <v>10.712999999999999</v>
      </c>
      <c r="AI229" s="518">
        <f t="shared" si="419"/>
        <v>11.557000000000002</v>
      </c>
      <c r="AJ229" s="89">
        <f t="shared" si="419"/>
        <v>42.807000000000002</v>
      </c>
      <c r="AK229" s="518">
        <f t="shared" si="419"/>
        <v>11.875999999999999</v>
      </c>
      <c r="AL229" s="518">
        <f t="shared" si="419"/>
        <v>12.24</v>
      </c>
      <c r="AM229" s="518">
        <f t="shared" si="419"/>
        <v>12.391</v>
      </c>
      <c r="AN229" s="518">
        <f t="shared" si="419"/>
        <v>12.849000000000004</v>
      </c>
      <c r="AO229" s="89">
        <f t="shared" si="419"/>
        <v>49.356000000000002</v>
      </c>
      <c r="AP229" s="518">
        <f t="shared" si="419"/>
        <v>12.358000000000001</v>
      </c>
      <c r="AQ229" s="518">
        <f t="shared" si="419"/>
        <v>12.582000000000001</v>
      </c>
      <c r="AR229" s="518">
        <f t="shared" si="419"/>
        <v>12.544</v>
      </c>
      <c r="AS229" s="518">
        <f t="shared" si="419"/>
        <v>13.125</v>
      </c>
      <c r="AT229" s="89">
        <f t="shared" si="419"/>
        <v>50.609000000000002</v>
      </c>
      <c r="AU229" s="518">
        <f t="shared" si="419"/>
        <v>13.083</v>
      </c>
      <c r="AV229" s="518">
        <f t="shared" si="419"/>
        <v>12.833</v>
      </c>
      <c r="AW229" s="518">
        <f t="shared" si="419"/>
        <v>12.627000000000001</v>
      </c>
      <c r="AX229" s="518">
        <f t="shared" si="419"/>
        <v>17.14</v>
      </c>
      <c r="AY229" s="89">
        <f t="shared" si="419"/>
        <v>55.683</v>
      </c>
      <c r="AZ229" s="518">
        <f t="shared" si="419"/>
        <v>11.49</v>
      </c>
      <c r="BA229" s="518">
        <f t="shared" si="419"/>
        <v>11.257999999999999</v>
      </c>
      <c r="BB229" s="518">
        <f t="shared" si="419"/>
        <v>11.417</v>
      </c>
      <c r="BC229" s="518">
        <f t="shared" si="419"/>
        <v>10.686999999999999</v>
      </c>
      <c r="BD229" s="89">
        <f t="shared" si="419"/>
        <v>44.851999999999997</v>
      </c>
      <c r="BE229" s="518">
        <f t="shared" si="419"/>
        <v>10.805</v>
      </c>
      <c r="BF229" s="518">
        <f t="shared" si="419"/>
        <v>10.615</v>
      </c>
      <c r="BG229" s="518">
        <f t="shared" ref="BG229:BL229" si="420">BG183</f>
        <v>10.461</v>
      </c>
      <c r="BH229" s="518">
        <f t="shared" si="420"/>
        <v>10.303000000000001</v>
      </c>
      <c r="BI229" s="89">
        <f t="shared" si="420"/>
        <v>42.183999999999997</v>
      </c>
      <c r="BJ229" s="518">
        <f t="shared" si="420"/>
        <v>9.93</v>
      </c>
      <c r="BK229" s="518">
        <f t="shared" si="420"/>
        <v>9.5850000000000009</v>
      </c>
      <c r="BL229" s="520">
        <f t="shared" si="420"/>
        <v>9.3260000000000005</v>
      </c>
      <c r="BM229" s="518">
        <f>BM223</f>
        <v>10.563070491803279</v>
      </c>
      <c r="BN229" s="89">
        <f>SUM(BJ229,BK229,BL229,BM229)</f>
        <v>39.404070491803282</v>
      </c>
      <c r="BO229" s="518">
        <f>BO223</f>
        <v>9.4503611183471818</v>
      </c>
      <c r="BP229" s="518">
        <f>BP223</f>
        <v>9.644228431546944</v>
      </c>
      <c r="BQ229" s="518">
        <f>BQ223</f>
        <v>9.8150754784294971</v>
      </c>
      <c r="BR229" s="518">
        <f>BR223</f>
        <v>9.8578734077809695</v>
      </c>
      <c r="BS229" s="89">
        <f>SUM(BO229,BP229,BQ229,BR229)</f>
        <v>38.767538436104594</v>
      </c>
      <c r="BT229" s="89">
        <f>BT223</f>
        <v>39.255514549488026</v>
      </c>
      <c r="BU229" s="89">
        <f>BU223</f>
        <v>39.911809422727721</v>
      </c>
      <c r="BV229" s="89">
        <f>BV223</f>
        <v>40.197349037150012</v>
      </c>
      <c r="BW229" s="519"/>
    </row>
    <row r="230" spans="1:75" s="439" customFormat="1">
      <c r="A230" s="31" t="s">
        <v>288</v>
      </c>
      <c r="B230" s="53"/>
      <c r="C230" s="89">
        <f t="shared" ref="C230:BF230" si="421">C182+C168+C181+C172</f>
        <v>0</v>
      </c>
      <c r="D230" s="89">
        <f t="shared" si="421"/>
        <v>0</v>
      </c>
      <c r="E230" s="89">
        <f t="shared" si="421"/>
        <v>5.9280000000000008</v>
      </c>
      <c r="F230" s="89">
        <f t="shared" si="421"/>
        <v>1.2619999999999998</v>
      </c>
      <c r="G230" s="518">
        <f t="shared" si="421"/>
        <v>0.67500000000000004</v>
      </c>
      <c r="H230" s="518">
        <f t="shared" si="421"/>
        <v>0</v>
      </c>
      <c r="I230" s="518">
        <f t="shared" si="421"/>
        <v>0</v>
      </c>
      <c r="J230" s="518">
        <f t="shared" si="421"/>
        <v>0</v>
      </c>
      <c r="K230" s="89">
        <f t="shared" si="421"/>
        <v>0.67499999999999982</v>
      </c>
      <c r="L230" s="518">
        <f t="shared" si="421"/>
        <v>0</v>
      </c>
      <c r="M230" s="518">
        <f t="shared" si="421"/>
        <v>0</v>
      </c>
      <c r="N230" s="518">
        <f t="shared" si="421"/>
        <v>0</v>
      </c>
      <c r="O230" s="518">
        <f t="shared" si="421"/>
        <v>0</v>
      </c>
      <c r="P230" s="89">
        <f t="shared" si="421"/>
        <v>0</v>
      </c>
      <c r="Q230" s="518">
        <f t="shared" si="421"/>
        <v>0</v>
      </c>
      <c r="R230" s="518">
        <f t="shared" si="421"/>
        <v>0</v>
      </c>
      <c r="S230" s="518">
        <f t="shared" si="421"/>
        <v>0</v>
      </c>
      <c r="T230" s="518">
        <f t="shared" si="421"/>
        <v>0</v>
      </c>
      <c r="U230" s="89">
        <f t="shared" si="421"/>
        <v>0</v>
      </c>
      <c r="V230" s="518">
        <f t="shared" si="421"/>
        <v>0</v>
      </c>
      <c r="W230" s="518">
        <f t="shared" si="421"/>
        <v>0</v>
      </c>
      <c r="X230" s="518">
        <f t="shared" si="421"/>
        <v>0</v>
      </c>
      <c r="Y230" s="518">
        <f t="shared" si="421"/>
        <v>0</v>
      </c>
      <c r="Z230" s="89">
        <f t="shared" si="421"/>
        <v>0</v>
      </c>
      <c r="AA230" s="518">
        <f t="shared" si="421"/>
        <v>0</v>
      </c>
      <c r="AB230" s="518">
        <f t="shared" si="421"/>
        <v>0</v>
      </c>
      <c r="AC230" s="518">
        <f t="shared" si="421"/>
        <v>0</v>
      </c>
      <c r="AD230" s="518">
        <f t="shared" si="421"/>
        <v>0</v>
      </c>
      <c r="AE230" s="89">
        <f t="shared" si="421"/>
        <v>0</v>
      </c>
      <c r="AF230" s="518">
        <f t="shared" si="421"/>
        <v>0</v>
      </c>
      <c r="AG230" s="518">
        <f t="shared" si="421"/>
        <v>0</v>
      </c>
      <c r="AH230" s="518">
        <f t="shared" si="421"/>
        <v>0</v>
      </c>
      <c r="AI230" s="518">
        <f t="shared" si="421"/>
        <v>0</v>
      </c>
      <c r="AJ230" s="89">
        <f t="shared" si="421"/>
        <v>0</v>
      </c>
      <c r="AK230" s="518">
        <f t="shared" si="421"/>
        <v>0</v>
      </c>
      <c r="AL230" s="518">
        <f t="shared" si="421"/>
        <v>0</v>
      </c>
      <c r="AM230" s="518">
        <f t="shared" si="421"/>
        <v>0</v>
      </c>
      <c r="AN230" s="518">
        <f t="shared" si="421"/>
        <v>0</v>
      </c>
      <c r="AO230" s="89">
        <f t="shared" si="421"/>
        <v>0</v>
      </c>
      <c r="AP230" s="518">
        <f t="shared" si="421"/>
        <v>0</v>
      </c>
      <c r="AQ230" s="518">
        <f t="shared" si="421"/>
        <v>0</v>
      </c>
      <c r="AR230" s="518">
        <f t="shared" si="421"/>
        <v>0</v>
      </c>
      <c r="AS230" s="518">
        <f t="shared" si="421"/>
        <v>0</v>
      </c>
      <c r="AT230" s="89">
        <f t="shared" si="421"/>
        <v>0</v>
      </c>
      <c r="AU230" s="518">
        <f t="shared" si="421"/>
        <v>0</v>
      </c>
      <c r="AV230" s="518">
        <f t="shared" si="421"/>
        <v>0</v>
      </c>
      <c r="AW230" s="518">
        <f t="shared" si="421"/>
        <v>0</v>
      </c>
      <c r="AX230" s="518">
        <f t="shared" si="421"/>
        <v>0</v>
      </c>
      <c r="AY230" s="89">
        <f t="shared" si="421"/>
        <v>0</v>
      </c>
      <c r="AZ230" s="518">
        <f t="shared" si="421"/>
        <v>0</v>
      </c>
      <c r="BA230" s="518">
        <f t="shared" si="421"/>
        <v>0</v>
      </c>
      <c r="BB230" s="518">
        <f t="shared" si="421"/>
        <v>0</v>
      </c>
      <c r="BC230" s="518">
        <f t="shared" si="421"/>
        <v>0</v>
      </c>
      <c r="BD230" s="89">
        <f t="shared" si="421"/>
        <v>0</v>
      </c>
      <c r="BE230" s="518">
        <f t="shared" si="421"/>
        <v>0</v>
      </c>
      <c r="BF230" s="518">
        <f t="shared" si="421"/>
        <v>0</v>
      </c>
      <c r="BG230" s="518">
        <f t="shared" ref="BG230:BL230" si="422">BG182+BG168+BG181+BG172</f>
        <v>0</v>
      </c>
      <c r="BH230" s="518">
        <f t="shared" si="422"/>
        <v>0</v>
      </c>
      <c r="BI230" s="89">
        <f t="shared" si="422"/>
        <v>0</v>
      </c>
      <c r="BJ230" s="518">
        <f t="shared" si="422"/>
        <v>0</v>
      </c>
      <c r="BK230" s="518">
        <f t="shared" si="422"/>
        <v>0</v>
      </c>
      <c r="BL230" s="520">
        <f t="shared" si="422"/>
        <v>0</v>
      </c>
      <c r="BM230" s="518">
        <f>BM182+BM181-BM240-BM241-BM235-BM236</f>
        <v>0</v>
      </c>
      <c r="BN230" s="89">
        <f>SUM(BJ230,BK230,BL230,BM230)</f>
        <v>0</v>
      </c>
      <c r="BO230" s="518" t="e">
        <f>BO182+BO181-BO240-BO241-BO235-BO236</f>
        <v>#VALUE!</v>
      </c>
      <c r="BP230" s="518" t="e">
        <f>BP182+BP181-BP240-BP241-BP235-BP236</f>
        <v>#VALUE!</v>
      </c>
      <c r="BQ230" s="518" t="e">
        <f>BQ182+BQ181-BQ240-BQ241-BQ235-BQ236</f>
        <v>#VALUE!</v>
      </c>
      <c r="BR230" s="518" t="e">
        <f>BR182+BR181-BR240-BR241-BR235-BR236</f>
        <v>#VALUE!</v>
      </c>
      <c r="BS230" s="89" t="e">
        <f>SUM(BO230,BP230,BQ230,BR230)</f>
        <v>#VALUE!</v>
      </c>
      <c r="BT230" s="89" t="e">
        <f>BT182+BT181-BT240-BT241-BT235-BT236</f>
        <v>#VALUE!</v>
      </c>
      <c r="BU230" s="89" t="e">
        <f>BU182+BU181-BU240-BU241-BU235-BU236</f>
        <v>#VALUE!</v>
      </c>
      <c r="BV230" s="89" t="e">
        <f>BV182+BV181-BV240-BV241-BV235-BV236</f>
        <v>#VALUE!</v>
      </c>
      <c r="BW230" s="519"/>
    </row>
    <row r="231" spans="1:75" s="444" customFormat="1">
      <c r="A231" s="18" t="s">
        <v>260</v>
      </c>
      <c r="B231" s="49"/>
      <c r="C231" s="676">
        <f t="shared" ref="C231:BF231" si="423">C225+SUM(C229:C230)</f>
        <v>-1.1319999999999983</v>
      </c>
      <c r="D231" s="676">
        <f t="shared" si="423"/>
        <v>-7.1720000000000006</v>
      </c>
      <c r="E231" s="676">
        <f t="shared" si="423"/>
        <v>-6.0050000000000061</v>
      </c>
      <c r="F231" s="676">
        <f t="shared" si="423"/>
        <v>-10.280000000000015</v>
      </c>
      <c r="G231" s="560">
        <f t="shared" si="423"/>
        <v>-1.4009999999999945</v>
      </c>
      <c r="H231" s="560">
        <f t="shared" si="423"/>
        <v>2.0570000000000088</v>
      </c>
      <c r="I231" s="560">
        <f t="shared" si="423"/>
        <v>1.0349999999999939</v>
      </c>
      <c r="J231" s="560">
        <f t="shared" si="423"/>
        <v>1.6159999999999846</v>
      </c>
      <c r="K231" s="676">
        <f t="shared" si="423"/>
        <v>3.3069999999999631</v>
      </c>
      <c r="L231" s="560">
        <f t="shared" si="423"/>
        <v>-0.94299999999999917</v>
      </c>
      <c r="M231" s="560">
        <f t="shared" si="423"/>
        <v>7.4309999999999956</v>
      </c>
      <c r="N231" s="560">
        <f t="shared" si="423"/>
        <v>9.1479999999999819</v>
      </c>
      <c r="O231" s="560">
        <f t="shared" si="423"/>
        <v>13.282999999999991</v>
      </c>
      <c r="P231" s="676">
        <f t="shared" si="423"/>
        <v>28.649000000000026</v>
      </c>
      <c r="Q231" s="560">
        <f t="shared" si="423"/>
        <v>2.6460000000000043</v>
      </c>
      <c r="R231" s="560">
        <f t="shared" si="423"/>
        <v>7.2170000000000112</v>
      </c>
      <c r="S231" s="560">
        <f t="shared" si="423"/>
        <v>-3.1499999999999888</v>
      </c>
      <c r="T231" s="560">
        <f t="shared" si="423"/>
        <v>1.5670000000000179</v>
      </c>
      <c r="U231" s="676">
        <f t="shared" si="423"/>
        <v>8.2800000000000438</v>
      </c>
      <c r="V231" s="560">
        <f t="shared" si="423"/>
        <v>-6.0839999999999961</v>
      </c>
      <c r="W231" s="560">
        <f t="shared" si="423"/>
        <v>7.3770000000000167</v>
      </c>
      <c r="X231" s="560">
        <f t="shared" si="423"/>
        <v>11.119000000000009</v>
      </c>
      <c r="Y231" s="560">
        <f t="shared" si="423"/>
        <v>17.954999999999899</v>
      </c>
      <c r="Z231" s="676">
        <f t="shared" si="423"/>
        <v>30.366999999999841</v>
      </c>
      <c r="AA231" s="560">
        <f t="shared" si="423"/>
        <v>5.4599999999999973</v>
      </c>
      <c r="AB231" s="560">
        <f t="shared" si="423"/>
        <v>17.816999999999972</v>
      </c>
      <c r="AC231" s="560">
        <f t="shared" si="423"/>
        <v>17.54699999999999</v>
      </c>
      <c r="AD231" s="560">
        <f t="shared" si="423"/>
        <v>179.99599999999998</v>
      </c>
      <c r="AE231" s="676">
        <f t="shared" si="423"/>
        <v>220.81999999999996</v>
      </c>
      <c r="AF231" s="560">
        <f t="shared" si="423"/>
        <v>5.2010000000000023</v>
      </c>
      <c r="AG231" s="560">
        <f t="shared" si="423"/>
        <v>18.13000000000001</v>
      </c>
      <c r="AH231" s="560">
        <f t="shared" si="423"/>
        <v>21.09400000000003</v>
      </c>
      <c r="AI231" s="560">
        <f t="shared" si="423"/>
        <v>24.278999999999982</v>
      </c>
      <c r="AJ231" s="676">
        <f t="shared" si="423"/>
        <v>68.70400000000005</v>
      </c>
      <c r="AK231" s="560">
        <f t="shared" si="423"/>
        <v>7.9939999999999944</v>
      </c>
      <c r="AL231" s="560">
        <f t="shared" si="423"/>
        <v>24.437000000000033</v>
      </c>
      <c r="AM231" s="560">
        <f t="shared" si="423"/>
        <v>21.940999999999981</v>
      </c>
      <c r="AN231" s="560">
        <f t="shared" si="423"/>
        <v>30.494999999999848</v>
      </c>
      <c r="AO231" s="676">
        <f t="shared" si="423"/>
        <v>84.866999999999962</v>
      </c>
      <c r="AP231" s="560">
        <f t="shared" si="423"/>
        <v>-14.891999999999971</v>
      </c>
      <c r="AQ231" s="560">
        <f t="shared" si="423"/>
        <v>-22.767000000000017</v>
      </c>
      <c r="AR231" s="560">
        <f t="shared" si="423"/>
        <v>21.868999999999961</v>
      </c>
      <c r="AS231" s="560">
        <f t="shared" si="423"/>
        <v>27.604000000000013</v>
      </c>
      <c r="AT231" s="676">
        <f t="shared" si="423"/>
        <v>11.814000000000043</v>
      </c>
      <c r="AU231" s="560">
        <f t="shared" si="423"/>
        <v>4.4399999999999995</v>
      </c>
      <c r="AV231" s="560">
        <f t="shared" si="423"/>
        <v>11.751999999999983</v>
      </c>
      <c r="AW231" s="560">
        <f t="shared" si="423"/>
        <v>34.271999999999956</v>
      </c>
      <c r="AX231" s="560">
        <f t="shared" si="423"/>
        <v>36.733000000000018</v>
      </c>
      <c r="AY231" s="676">
        <f t="shared" si="423"/>
        <v>87.196999999999889</v>
      </c>
      <c r="AZ231" s="560">
        <f t="shared" si="423"/>
        <v>7.0340000000000114</v>
      </c>
      <c r="BA231" s="560">
        <f t="shared" si="423"/>
        <v>27.259000000000004</v>
      </c>
      <c r="BB231" s="560">
        <f t="shared" si="423"/>
        <v>24.841000000000037</v>
      </c>
      <c r="BC231" s="560">
        <f t="shared" si="423"/>
        <v>44.071000000000126</v>
      </c>
      <c r="BD231" s="676">
        <f t="shared" si="423"/>
        <v>103.20500000000007</v>
      </c>
      <c r="BE231" s="560">
        <f t="shared" si="423"/>
        <v>4.2179999999999538</v>
      </c>
      <c r="BF231" s="560">
        <f t="shared" si="423"/>
        <v>29.356999999999907</v>
      </c>
      <c r="BG231" s="560">
        <f t="shared" ref="BG231:BM231" si="424">BG225+SUM(BG229:BG230)</f>
        <v>52.333999999999989</v>
      </c>
      <c r="BH231" s="560">
        <f t="shared" si="424"/>
        <v>35.317999999999984</v>
      </c>
      <c r="BI231" s="676">
        <f t="shared" si="424"/>
        <v>121.22699999999989</v>
      </c>
      <c r="BJ231" s="560">
        <f>BJ225+SUM(BJ229:BJ230)</f>
        <v>21.146999999999984</v>
      </c>
      <c r="BK231" s="560">
        <f>BK225+SUM(BK229:BK230)</f>
        <v>49.332000000000015</v>
      </c>
      <c r="BL231" s="561">
        <f>BL225+SUM(BL229:BL230)</f>
        <v>55.97799999999993</v>
      </c>
      <c r="BM231" s="560">
        <f t="shared" si="424"/>
        <v>50.110928075042132</v>
      </c>
      <c r="BN231" s="676">
        <f t="shared" ref="BN231" si="425">BN225+SUM(BN229:BN230)</f>
        <v>176.56792807504246</v>
      </c>
      <c r="BO231" s="560" t="e">
        <f t="shared" ref="BO231:BV231" si="426">BO225+SUM(BO229:BO230)</f>
        <v>#VALUE!</v>
      </c>
      <c r="BP231" s="560" t="e">
        <f t="shared" si="426"/>
        <v>#VALUE!</v>
      </c>
      <c r="BQ231" s="560" t="e">
        <f t="shared" si="426"/>
        <v>#VALUE!</v>
      </c>
      <c r="BR231" s="560" t="e">
        <f t="shared" si="426"/>
        <v>#VALUE!</v>
      </c>
      <c r="BS231" s="676" t="e">
        <f t="shared" si="426"/>
        <v>#VALUE!</v>
      </c>
      <c r="BT231" s="676" t="e">
        <f t="shared" si="426"/>
        <v>#VALUE!</v>
      </c>
      <c r="BU231" s="676" t="e">
        <f t="shared" si="426"/>
        <v>#VALUE!</v>
      </c>
      <c r="BV231" s="676" t="e">
        <f t="shared" si="426"/>
        <v>#VALUE!</v>
      </c>
      <c r="BW231" s="318"/>
    </row>
    <row r="232" spans="1:75" s="444" customFormat="1">
      <c r="A232" s="28" t="e">
        <f>CONCATENATE("Adjusted ",A231,IF(AND(ROUND(SUM(C231:BW231)-SUM(C232:BW232),6)=0)," (No Adjustments)",""))</f>
        <v>#VALUE!</v>
      </c>
      <c r="B232" s="30"/>
      <c r="C232" s="700">
        <f t="shared" ref="C232:AH232" si="427">C191</f>
        <v>-0.57499999999999962</v>
      </c>
      <c r="D232" s="700">
        <f t="shared" si="427"/>
        <v>-5.7410000000000023</v>
      </c>
      <c r="E232" s="700">
        <f t="shared" si="427"/>
        <v>-1.1280000000000054</v>
      </c>
      <c r="F232" s="700">
        <f t="shared" si="427"/>
        <v>4.5980000000000132</v>
      </c>
      <c r="G232" s="523">
        <f t="shared" si="427"/>
        <v>3.2040000000000064</v>
      </c>
      <c r="H232" s="523">
        <f t="shared" si="427"/>
        <v>7.7700000000000014</v>
      </c>
      <c r="I232" s="523">
        <f t="shared" si="427"/>
        <v>8.0499999999999989</v>
      </c>
      <c r="J232" s="523">
        <f t="shared" si="427"/>
        <v>10.404999999999998</v>
      </c>
      <c r="K232" s="700">
        <f t="shared" si="427"/>
        <v>29.428999999999991</v>
      </c>
      <c r="L232" s="523">
        <f t="shared" si="427"/>
        <v>8.5129999999999999</v>
      </c>
      <c r="M232" s="523">
        <f t="shared" si="427"/>
        <v>17.51400000000001</v>
      </c>
      <c r="N232" s="523">
        <f t="shared" si="427"/>
        <v>20.065999999999995</v>
      </c>
      <c r="O232" s="523">
        <f t="shared" si="427"/>
        <v>25.099000000000011</v>
      </c>
      <c r="P232" s="700">
        <f t="shared" si="427"/>
        <v>70.922000000000025</v>
      </c>
      <c r="Q232" s="523">
        <f t="shared" si="427"/>
        <v>16.31699999999999</v>
      </c>
      <c r="R232" s="523">
        <f t="shared" si="427"/>
        <v>22.733000000000011</v>
      </c>
      <c r="S232" s="523">
        <f t="shared" si="427"/>
        <v>12.533000000000008</v>
      </c>
      <c r="T232" s="523">
        <f t="shared" si="427"/>
        <v>17.538999999999991</v>
      </c>
      <c r="U232" s="700">
        <f t="shared" si="427"/>
        <v>69.122000000000043</v>
      </c>
      <c r="V232" s="523">
        <f t="shared" si="427"/>
        <v>13.026000000000003</v>
      </c>
      <c r="W232" s="523">
        <f t="shared" si="427"/>
        <v>28.103000000000002</v>
      </c>
      <c r="X232" s="523">
        <f t="shared" si="427"/>
        <v>33.679000000000002</v>
      </c>
      <c r="Y232" s="523">
        <f t="shared" si="427"/>
        <v>45.274000000000001</v>
      </c>
      <c r="Z232" s="700">
        <f t="shared" si="427"/>
        <v>120.083</v>
      </c>
      <c r="AA232" s="523">
        <f t="shared" si="427"/>
        <v>30.024999999999999</v>
      </c>
      <c r="AB232" s="523">
        <f t="shared" si="427"/>
        <v>43.203000000000003</v>
      </c>
      <c r="AC232" s="523">
        <f t="shared" si="427"/>
        <v>42.890999999999991</v>
      </c>
      <c r="AD232" s="523">
        <f t="shared" si="427"/>
        <v>41.706999999999987</v>
      </c>
      <c r="AE232" s="700">
        <f t="shared" si="427"/>
        <v>157.82600000000002</v>
      </c>
      <c r="AF232" s="523">
        <f t="shared" si="427"/>
        <v>32.935000000000031</v>
      </c>
      <c r="AG232" s="523">
        <f t="shared" si="427"/>
        <v>46.934999999999981</v>
      </c>
      <c r="AH232" s="523">
        <f t="shared" si="427"/>
        <v>50.287999999999997</v>
      </c>
      <c r="AI232" s="523">
        <f t="shared" ref="AI232:BG232" si="428">AI191</f>
        <v>52.931999999999974</v>
      </c>
      <c r="AJ232" s="700">
        <f t="shared" si="428"/>
        <v>183.08999999999997</v>
      </c>
      <c r="AK232" s="523">
        <f t="shared" si="428"/>
        <v>39.312999999999995</v>
      </c>
      <c r="AL232" s="523">
        <f t="shared" si="428"/>
        <v>54.889000000000003</v>
      </c>
      <c r="AM232" s="523">
        <f t="shared" si="428"/>
        <v>58.292999999999978</v>
      </c>
      <c r="AN232" s="523">
        <f t="shared" si="428"/>
        <v>60.999999999999844</v>
      </c>
      <c r="AO232" s="700">
        <f t="shared" si="428"/>
        <v>213.49499999999983</v>
      </c>
      <c r="AP232" s="523">
        <f t="shared" si="428"/>
        <v>16.858000000000001</v>
      </c>
      <c r="AQ232" s="523">
        <f t="shared" si="428"/>
        <v>11.129999999999983</v>
      </c>
      <c r="AR232" s="523">
        <f t="shared" si="428"/>
        <v>52.658999999999985</v>
      </c>
      <c r="AS232" s="523">
        <f t="shared" si="428"/>
        <v>59.603000000000009</v>
      </c>
      <c r="AT232" s="700">
        <f t="shared" si="428"/>
        <v>140.24999999999997</v>
      </c>
      <c r="AU232" s="523">
        <f t="shared" si="428"/>
        <v>43.704999999999998</v>
      </c>
      <c r="AV232" s="523">
        <f t="shared" si="428"/>
        <v>63.786999999999985</v>
      </c>
      <c r="AW232" s="523">
        <f t="shared" si="428"/>
        <v>70.713999999999956</v>
      </c>
      <c r="AX232" s="523">
        <f t="shared" si="428"/>
        <v>68.118000000000023</v>
      </c>
      <c r="AY232" s="700">
        <f t="shared" si="428"/>
        <v>246.32399999999996</v>
      </c>
      <c r="AZ232" s="523">
        <f t="shared" si="428"/>
        <v>48.093999999999987</v>
      </c>
      <c r="BA232" s="523">
        <f t="shared" si="428"/>
        <v>67.320000000000036</v>
      </c>
      <c r="BB232" s="523">
        <f t="shared" si="428"/>
        <v>73.93700000000004</v>
      </c>
      <c r="BC232" s="523">
        <f t="shared" si="428"/>
        <v>80.408000000000115</v>
      </c>
      <c r="BD232" s="700">
        <f t="shared" si="428"/>
        <v>269.75900000000019</v>
      </c>
      <c r="BE232" s="523">
        <f t="shared" si="428"/>
        <v>54.029999999999951</v>
      </c>
      <c r="BF232" s="523">
        <f t="shared" si="428"/>
        <v>83.936999999999955</v>
      </c>
      <c r="BG232" s="523">
        <f t="shared" si="428"/>
        <v>96.471999999999994</v>
      </c>
      <c r="BH232" s="523">
        <f t="shared" ref="BH232:BM232" si="429">BH191</f>
        <v>96.054000000000002</v>
      </c>
      <c r="BI232" s="700">
        <f t="shared" si="429"/>
        <v>330.49299999999988</v>
      </c>
      <c r="BJ232" s="523">
        <f>BJ191</f>
        <v>64.455999999999989</v>
      </c>
      <c r="BK232" s="523">
        <f>BK191</f>
        <v>91.115000000000023</v>
      </c>
      <c r="BL232" s="563">
        <f>BL191</f>
        <v>101.36399999999993</v>
      </c>
      <c r="BM232" s="523">
        <f t="shared" si="429"/>
        <v>86.610928075042125</v>
      </c>
      <c r="BN232" s="700">
        <f>SUM(BJ232,BK232,BL232,BM232)</f>
        <v>343.54592807504207</v>
      </c>
      <c r="BO232" s="523" t="e">
        <f>BO191</f>
        <v>#VALUE!</v>
      </c>
      <c r="BP232" s="523" t="e">
        <f>BP191</f>
        <v>#VALUE!</v>
      </c>
      <c r="BQ232" s="523" t="e">
        <f>BQ191</f>
        <v>#VALUE!</v>
      </c>
      <c r="BR232" s="523" t="e">
        <f>BR191</f>
        <v>#VALUE!</v>
      </c>
      <c r="BS232" s="700" t="e">
        <f>SUM(BO232,BP232,BQ232,BR232)</f>
        <v>#VALUE!</v>
      </c>
      <c r="BT232" s="700" t="e">
        <f>BT191</f>
        <v>#VALUE!</v>
      </c>
      <c r="BU232" s="700" t="e">
        <f>BU191</f>
        <v>#VALUE!</v>
      </c>
      <c r="BV232" s="700" t="e">
        <f>BV191</f>
        <v>#VALUE!</v>
      </c>
      <c r="BW232" s="318"/>
    </row>
    <row r="233" spans="1:75" s="458" customFormat="1">
      <c r="A233" s="529" t="e">
        <f>CONCATENATE("Consensus Estimates - ",IFERROR(LEFT(A232,FIND("(",A232)-1),A232))</f>
        <v>#VALUE!</v>
      </c>
      <c r="B233" s="530"/>
      <c r="C233" s="723"/>
      <c r="D233" s="723"/>
      <c r="E233" s="723"/>
      <c r="F233" s="723"/>
      <c r="G233" s="524"/>
      <c r="H233" s="524"/>
      <c r="I233" s="524"/>
      <c r="J233" s="524"/>
      <c r="K233" s="723"/>
      <c r="L233" s="524"/>
      <c r="M233" s="524"/>
      <c r="N233" s="524"/>
      <c r="O233" s="524"/>
      <c r="P233" s="723"/>
      <c r="Q233" s="524"/>
      <c r="R233" s="524"/>
      <c r="S233" s="524"/>
      <c r="T233" s="524"/>
      <c r="U233" s="723"/>
      <c r="V233" s="524"/>
      <c r="W233" s="573"/>
      <c r="X233" s="573"/>
      <c r="Y233" s="573"/>
      <c r="Z233" s="724"/>
      <c r="AA233" s="524"/>
      <c r="AB233" s="573"/>
      <c r="AC233" s="573"/>
      <c r="AD233" s="573"/>
      <c r="AE233" s="724"/>
      <c r="AF233" s="524"/>
      <c r="AG233" s="573"/>
      <c r="AH233" s="573"/>
      <c r="AI233" s="573"/>
      <c r="AJ233" s="724"/>
      <c r="AK233" s="524"/>
      <c r="AL233" s="573"/>
      <c r="AM233" s="573"/>
      <c r="AN233" s="573"/>
      <c r="AO233" s="724"/>
      <c r="AP233" s="524"/>
      <c r="AQ233" s="573"/>
      <c r="AR233" s="573"/>
      <c r="AS233" s="573"/>
      <c r="AT233" s="724"/>
      <c r="AU233" s="524"/>
      <c r="AV233" s="573"/>
      <c r="AW233" s="573"/>
      <c r="AX233" s="573"/>
      <c r="AY233" s="724"/>
      <c r="AZ233" s="524"/>
      <c r="BA233" s="573"/>
      <c r="BB233" s="573"/>
      <c r="BC233" s="573"/>
      <c r="BD233" s="724"/>
      <c r="BE233" s="524"/>
      <c r="BF233" s="573"/>
      <c r="BG233" s="573"/>
      <c r="BH233" s="573"/>
      <c r="BI233" s="724"/>
      <c r="BJ233" s="524"/>
      <c r="BK233" s="573"/>
      <c r="BL233" s="574"/>
      <c r="BM233" s="575" t="str">
        <f ca="1">IFERROR(VLOOKUP($A233,tb_ConsensusEstimate,MATCH(BM$5,OFFSET(tb_ConsensusEstimate,0,0,1,COLUMNS(tb_ConsensusEstimate)),0),FALSE),"-")</f>
        <v>-</v>
      </c>
      <c r="BN233" s="724" t="str">
        <f t="shared" ref="BN233" ca="1" si="430">IFERROR(VLOOKUP($A233,tb_ConsensusEstimate,MATCH(BN$5,OFFSET(tb_ConsensusEstimate,0,0,1,COLUMNS(tb_ConsensusEstimate)),0),FALSE),"-")</f>
        <v>-</v>
      </c>
      <c r="BO233" s="575" t="str">
        <f ca="1">IFERROR(VLOOKUP($A233,tb_ConsensusEstimate,MATCH(BO$5,OFFSET(tb_ConsensusEstimate,0,0,1,COLUMNS(tb_ConsensusEstimate)),0),FALSE),"-")</f>
        <v>-</v>
      </c>
      <c r="BP233" s="575" t="str">
        <f ca="1">IFERROR(VLOOKUP($A233,tb_ConsensusEstimate,MATCH(BP$5,OFFSET(tb_ConsensusEstimate,0,0,1,COLUMNS(tb_ConsensusEstimate)),0),FALSE),"-")</f>
        <v>-</v>
      </c>
      <c r="BQ233" s="575" t="str">
        <f ca="1">IFERROR(VLOOKUP($A233,tb_ConsensusEstimate,MATCH(BQ$5,OFFSET(tb_ConsensusEstimate,0,0,1,COLUMNS(tb_ConsensusEstimate)),0),FALSE),"-")</f>
        <v>-</v>
      </c>
      <c r="BR233" s="575" t="str">
        <f ca="1">IFERROR(VLOOKUP($A233,tb_ConsensusEstimate,MATCH(BR$5,OFFSET(tb_ConsensusEstimate,0,0,1,COLUMNS(tb_ConsensusEstimate)),0),FALSE),"-")</f>
        <v>-</v>
      </c>
      <c r="BS233" s="724" t="str">
        <f ca="1">IFERROR(VLOOKUP($A233,tb_ConsensusEstimate,MATCH(BS$5,OFFSET(tb_ConsensusEstimate,0,0,1,COLUMNS(tb_ConsensusEstimate)),0),FALSE),"-")</f>
        <v>-</v>
      </c>
      <c r="BT233" s="724" t="str">
        <f ca="1">IFERROR(VLOOKUP($A233,tb_ConsensusEstimate,MATCH(BT5,OFFSET(tb_ConsensusEstimate,0,0,1,COLUMNS(tb_ConsensusEstimate)),0),FALSE),"-")</f>
        <v>-</v>
      </c>
      <c r="BU233" s="724" t="str">
        <f ca="1">IFERROR(VLOOKUP($A233,tb_ConsensusEstimate,MATCH(BU5,OFFSET(tb_ConsensusEstimate,0,0,1,COLUMNS(tb_ConsensusEstimate)),0),FALSE),"-")</f>
        <v>-</v>
      </c>
      <c r="BV233" s="724" t="str">
        <f ca="1">IFERROR(VLOOKUP($A233,tb_ConsensusEstimate,MATCH(BV5,OFFSET(tb_ConsensusEstimate,0,0,1,COLUMNS(tb_ConsensusEstimate)),0),FALSE),"-")</f>
        <v>-</v>
      </c>
      <c r="BW233" s="524"/>
    </row>
    <row r="234" spans="1:75" s="461" customFormat="1">
      <c r="A234" s="32"/>
      <c r="B234" s="72"/>
      <c r="C234" s="726"/>
      <c r="D234" s="726"/>
      <c r="E234" s="726"/>
      <c r="F234" s="726"/>
      <c r="G234" s="33"/>
      <c r="H234" s="33"/>
      <c r="I234" s="33"/>
      <c r="J234" s="33"/>
      <c r="K234" s="726"/>
      <c r="L234" s="33"/>
      <c r="M234" s="33"/>
      <c r="N234" s="33"/>
      <c r="O234" s="33"/>
      <c r="P234" s="726"/>
      <c r="Q234" s="33"/>
      <c r="R234" s="33"/>
      <c r="S234" s="33"/>
      <c r="T234" s="33"/>
      <c r="U234" s="726"/>
      <c r="V234" s="33"/>
      <c r="W234" s="539"/>
      <c r="X234" s="539"/>
      <c r="Y234" s="539"/>
      <c r="Z234" s="726"/>
      <c r="AA234" s="33"/>
      <c r="AB234" s="539"/>
      <c r="AC234" s="539"/>
      <c r="AD234" s="539"/>
      <c r="AE234" s="726"/>
      <c r="AF234" s="33"/>
      <c r="AG234" s="539"/>
      <c r="AH234" s="539"/>
      <c r="AI234" s="539"/>
      <c r="AJ234" s="726"/>
      <c r="AK234" s="33"/>
      <c r="AL234" s="539"/>
      <c r="AM234" s="539"/>
      <c r="AN234" s="539"/>
      <c r="AO234" s="726"/>
      <c r="AP234" s="33"/>
      <c r="AQ234" s="539"/>
      <c r="AR234" s="539"/>
      <c r="AS234" s="539"/>
      <c r="AT234" s="726"/>
      <c r="AU234" s="33"/>
      <c r="AV234" s="539"/>
      <c r="AW234" s="539"/>
      <c r="AX234" s="539"/>
      <c r="AY234" s="726"/>
      <c r="AZ234" s="33"/>
      <c r="BA234" s="539"/>
      <c r="BB234" s="539"/>
      <c r="BC234" s="539"/>
      <c r="BD234" s="726"/>
      <c r="BE234" s="33"/>
      <c r="BF234" s="539"/>
      <c r="BG234" s="539"/>
      <c r="BH234" s="539"/>
      <c r="BI234" s="726"/>
      <c r="BJ234" s="33"/>
      <c r="BK234" s="539"/>
      <c r="BL234" s="433"/>
      <c r="BM234" s="33"/>
      <c r="BN234" s="727"/>
      <c r="BO234" s="33"/>
      <c r="BP234" s="33"/>
      <c r="BQ234" s="33"/>
      <c r="BR234" s="33"/>
      <c r="BS234" s="727"/>
      <c r="BT234" s="727"/>
      <c r="BU234" s="727"/>
      <c r="BV234" s="727"/>
      <c r="BW234" s="141"/>
    </row>
    <row r="235" spans="1:75" s="439" customFormat="1">
      <c r="A235" s="31" t="s">
        <v>289</v>
      </c>
      <c r="B235" s="53"/>
      <c r="C235" s="89"/>
      <c r="D235" s="89"/>
      <c r="E235" s="89"/>
      <c r="F235" s="89"/>
      <c r="G235" s="518"/>
      <c r="H235" s="518"/>
      <c r="I235" s="518"/>
      <c r="J235" s="518"/>
      <c r="K235" s="89"/>
      <c r="L235" s="518">
        <f t="shared" ref="L235:BG235" si="431">-L165</f>
        <v>-3.4000000000000002E-2</v>
      </c>
      <c r="M235" s="518">
        <f t="shared" si="431"/>
        <v>-0.20200000000000001</v>
      </c>
      <c r="N235" s="518">
        <f t="shared" si="431"/>
        <v>-0.222</v>
      </c>
      <c r="O235" s="518">
        <f t="shared" si="431"/>
        <v>8.3000000000000018E-2</v>
      </c>
      <c r="P235" s="89">
        <f t="shared" si="431"/>
        <v>-0.375</v>
      </c>
      <c r="Q235" s="518">
        <f t="shared" si="431"/>
        <v>-0.13200000000000001</v>
      </c>
      <c r="R235" s="518">
        <f t="shared" si="431"/>
        <v>-0.13100000000000001</v>
      </c>
      <c r="S235" s="518">
        <f t="shared" si="431"/>
        <v>-0.47199999999999998</v>
      </c>
      <c r="T235" s="518">
        <f t="shared" si="431"/>
        <v>0.11299999999999999</v>
      </c>
      <c r="U235" s="89">
        <f t="shared" si="431"/>
        <v>-0.622</v>
      </c>
      <c r="V235" s="518">
        <f t="shared" si="431"/>
        <v>-0.311</v>
      </c>
      <c r="W235" s="518">
        <f t="shared" si="431"/>
        <v>-0.41399999999999998</v>
      </c>
      <c r="X235" s="518">
        <f t="shared" si="431"/>
        <v>-0.47799999999999998</v>
      </c>
      <c r="Y235" s="518">
        <f t="shared" si="431"/>
        <v>-0.52100000000000013</v>
      </c>
      <c r="Z235" s="89">
        <f t="shared" si="431"/>
        <v>-1.724</v>
      </c>
      <c r="AA235" s="518">
        <f t="shared" si="431"/>
        <v>-0.68</v>
      </c>
      <c r="AB235" s="518">
        <f t="shared" si="431"/>
        <v>-0.79400000000000004</v>
      </c>
      <c r="AC235" s="518">
        <f t="shared" si="431"/>
        <v>-0.99099999999999999</v>
      </c>
      <c r="AD235" s="518">
        <f t="shared" si="431"/>
        <v>-1.7239999999999998</v>
      </c>
      <c r="AE235" s="89">
        <f t="shared" si="431"/>
        <v>-4.1890000000000001</v>
      </c>
      <c r="AF235" s="518">
        <f t="shared" si="431"/>
        <v>-2.6240000000000001</v>
      </c>
      <c r="AG235" s="518">
        <f t="shared" si="431"/>
        <v>-3.2770000000000001</v>
      </c>
      <c r="AH235" s="518">
        <f t="shared" si="431"/>
        <v>-3.7050000000000001</v>
      </c>
      <c r="AI235" s="518">
        <f t="shared" si="431"/>
        <v>-4.1980000000000004</v>
      </c>
      <c r="AJ235" s="89">
        <f t="shared" si="431"/>
        <v>-13.804</v>
      </c>
      <c r="AK235" s="518">
        <f t="shared" si="431"/>
        <v>-4.3739999999999997</v>
      </c>
      <c r="AL235" s="518">
        <f t="shared" si="431"/>
        <v>-3.7429999999999999</v>
      </c>
      <c r="AM235" s="518">
        <f t="shared" si="431"/>
        <v>-2.83</v>
      </c>
      <c r="AN235" s="518">
        <f t="shared" si="431"/>
        <v>-2.3810000000000002</v>
      </c>
      <c r="AO235" s="89">
        <f t="shared" si="431"/>
        <v>-13.327999999999999</v>
      </c>
      <c r="AP235" s="518">
        <f t="shared" si="431"/>
        <v>-2.1059999999999999</v>
      </c>
      <c r="AQ235" s="518">
        <f t="shared" si="431"/>
        <v>-0.191</v>
      </c>
      <c r="AR235" s="518">
        <f t="shared" si="431"/>
        <v>-7.0000000000000001E-3</v>
      </c>
      <c r="AS235" s="518">
        <f t="shared" si="431"/>
        <v>3.0999999999999694E-2</v>
      </c>
      <c r="AT235" s="89">
        <f t="shared" si="431"/>
        <v>-2.2730000000000001</v>
      </c>
      <c r="AU235" s="518">
        <f t="shared" si="431"/>
        <v>1.7999999999999999E-2</v>
      </c>
      <c r="AV235" s="518">
        <f t="shared" si="431"/>
        <v>3.4000000000000002E-2</v>
      </c>
      <c r="AW235" s="518">
        <f t="shared" si="431"/>
        <v>3.1E-2</v>
      </c>
      <c r="AX235" s="518">
        <f t="shared" si="431"/>
        <v>3.3000000000000002E-2</v>
      </c>
      <c r="AY235" s="89">
        <f t="shared" si="431"/>
        <v>0.11600000000000001</v>
      </c>
      <c r="AZ235" s="518">
        <f t="shared" si="431"/>
        <v>-2.1999999999999999E-2</v>
      </c>
      <c r="BA235" s="518">
        <f t="shared" si="431"/>
        <v>-0.52900000000000003</v>
      </c>
      <c r="BB235" s="518">
        <f t="shared" si="431"/>
        <v>-2.0070000000000001</v>
      </c>
      <c r="BC235" s="518">
        <f t="shared" si="431"/>
        <v>-3.2039999999999993</v>
      </c>
      <c r="BD235" s="89">
        <f t="shared" si="431"/>
        <v>-5.7619999999999996</v>
      </c>
      <c r="BE235" s="518">
        <f t="shared" si="431"/>
        <v>-4.0069999999999997</v>
      </c>
      <c r="BF235" s="518">
        <f t="shared" si="431"/>
        <v>-4.6559999999999997</v>
      </c>
      <c r="BG235" s="518">
        <f t="shared" si="431"/>
        <v>-5.1870000000000003</v>
      </c>
      <c r="BH235" s="518">
        <f>-BH165</f>
        <v>-5.7210000000000001</v>
      </c>
      <c r="BI235" s="89">
        <f>-BI165</f>
        <v>-19.571000000000002</v>
      </c>
      <c r="BJ235" s="518">
        <f>-BJ165</f>
        <v>-5.6639999999999997</v>
      </c>
      <c r="BK235" s="518">
        <f>-BK165</f>
        <v>-5.4240000000000004</v>
      </c>
      <c r="BL235" s="520">
        <f>-BL165</f>
        <v>-5.3079999999999998</v>
      </c>
      <c r="BM235" s="518">
        <f>BM402</f>
        <v>-4.9946825136612025</v>
      </c>
      <c r="BN235" s="89">
        <f>SUM(BJ235,BK235,BL235,BM235)</f>
        <v>-21.390682513661204</v>
      </c>
      <c r="BO235" s="518" t="str">
        <f>BO402</f>
        <v>n/a</v>
      </c>
      <c r="BP235" s="518" t="str">
        <f>BP402</f>
        <v>n/a</v>
      </c>
      <c r="BQ235" s="518" t="str">
        <f>BQ402</f>
        <v>n/a</v>
      </c>
      <c r="BR235" s="518" t="str">
        <f>BR402</f>
        <v>n/a</v>
      </c>
      <c r="BS235" s="89">
        <f>SUM(BO235,BP235,BQ235,BR235)</f>
        <v>0</v>
      </c>
      <c r="BT235" s="89" t="str">
        <f>BT402</f>
        <v>n/a</v>
      </c>
      <c r="BU235" s="89" t="str">
        <f>BU402</f>
        <v>n/a</v>
      </c>
      <c r="BV235" s="89" t="str">
        <f>BV402</f>
        <v>n/a</v>
      </c>
      <c r="BW235" s="519"/>
    </row>
    <row r="236" spans="1:75" s="439" customFormat="1">
      <c r="A236" s="31" t="s">
        <v>290</v>
      </c>
      <c r="B236" s="53"/>
      <c r="C236" s="89">
        <f t="shared" ref="C236:J236" si="432">-C168</f>
        <v>-3.3000000000000002E-2</v>
      </c>
      <c r="D236" s="89">
        <f t="shared" si="432"/>
        <v>-1.4999999999999999E-2</v>
      </c>
      <c r="E236" s="89">
        <f t="shared" si="432"/>
        <v>0.39500000000000002</v>
      </c>
      <c r="F236" s="89">
        <f t="shared" si="432"/>
        <v>0.22600000000000001</v>
      </c>
      <c r="G236" s="518">
        <f t="shared" si="432"/>
        <v>0.20100000000000001</v>
      </c>
      <c r="H236" s="518">
        <f t="shared" si="432"/>
        <v>6.6000000000000003E-2</v>
      </c>
      <c r="I236" s="518">
        <f t="shared" si="432"/>
        <v>3.1E-2</v>
      </c>
      <c r="J236" s="518">
        <f t="shared" si="432"/>
        <v>0.109</v>
      </c>
      <c r="K236" s="89">
        <f>-K168</f>
        <v>0.40699999999999997</v>
      </c>
      <c r="L236" s="518">
        <f t="shared" ref="L236:BF236" si="433">-L166-L167</f>
        <v>3.6000000000000004E-2</v>
      </c>
      <c r="M236" s="518">
        <f t="shared" si="433"/>
        <v>0.217</v>
      </c>
      <c r="N236" s="518">
        <f t="shared" si="433"/>
        <v>2.1999999999999992E-2</v>
      </c>
      <c r="O236" s="518">
        <f t="shared" si="433"/>
        <v>-0.121</v>
      </c>
      <c r="P236" s="89">
        <f t="shared" si="433"/>
        <v>0.154</v>
      </c>
      <c r="Q236" s="518">
        <f t="shared" si="433"/>
        <v>-0.42999999999999994</v>
      </c>
      <c r="R236" s="518">
        <f t="shared" si="433"/>
        <v>-0.19800000000000001</v>
      </c>
      <c r="S236" s="518">
        <f t="shared" si="433"/>
        <v>1.0169999999999999</v>
      </c>
      <c r="T236" s="518">
        <f t="shared" si="433"/>
        <v>-0.15299999999999991</v>
      </c>
      <c r="U236" s="89">
        <f t="shared" si="433"/>
        <v>0.23600000000000004</v>
      </c>
      <c r="V236" s="518">
        <f t="shared" si="433"/>
        <v>5.2999999999999992E-2</v>
      </c>
      <c r="W236" s="518">
        <f t="shared" si="433"/>
        <v>4.7E-2</v>
      </c>
      <c r="X236" s="518">
        <f t="shared" si="433"/>
        <v>0.151</v>
      </c>
      <c r="Y236" s="518">
        <f t="shared" si="433"/>
        <v>-0.22099999999999997</v>
      </c>
      <c r="Z236" s="89">
        <f t="shared" si="433"/>
        <v>0.03</v>
      </c>
      <c r="AA236" s="518">
        <f t="shared" si="433"/>
        <v>-5.1999999999999998E-2</v>
      </c>
      <c r="AB236" s="518">
        <f t="shared" si="433"/>
        <v>-7.0000000000000007E-2</v>
      </c>
      <c r="AC236" s="518">
        <f t="shared" si="433"/>
        <v>-0.38</v>
      </c>
      <c r="AD236" s="518">
        <f t="shared" si="433"/>
        <v>-0.17299999999999999</v>
      </c>
      <c r="AE236" s="89">
        <f t="shared" si="433"/>
        <v>-0.67500000000000004</v>
      </c>
      <c r="AF236" s="518">
        <f t="shared" si="433"/>
        <v>1.9999999999999997E-2</v>
      </c>
      <c r="AG236" s="518">
        <f t="shared" si="433"/>
        <v>-0.14699999999999999</v>
      </c>
      <c r="AH236" s="518">
        <f t="shared" si="433"/>
        <v>-0.21599999999999997</v>
      </c>
      <c r="AI236" s="518">
        <f t="shared" si="433"/>
        <v>3.8000000000000006E-2</v>
      </c>
      <c r="AJ236" s="89">
        <f t="shared" si="433"/>
        <v>-0.30499999999999999</v>
      </c>
      <c r="AK236" s="518">
        <f t="shared" si="433"/>
        <v>-0.317</v>
      </c>
      <c r="AL236" s="518">
        <f t="shared" si="433"/>
        <v>-0.14799999999999999</v>
      </c>
      <c r="AM236" s="518">
        <f t="shared" si="433"/>
        <v>-0.23300000000000001</v>
      </c>
      <c r="AN236" s="518">
        <f t="shared" si="433"/>
        <v>-0.23000000000000004</v>
      </c>
      <c r="AO236" s="89">
        <f t="shared" si="433"/>
        <v>-0.92800000000000005</v>
      </c>
      <c r="AP236" s="518">
        <f t="shared" si="433"/>
        <v>-0.27699999999999997</v>
      </c>
      <c r="AQ236" s="518">
        <f t="shared" si="433"/>
        <v>-0.30399999999999999</v>
      </c>
      <c r="AR236" s="518">
        <f t="shared" si="433"/>
        <v>-0.39200000000000002</v>
      </c>
      <c r="AS236" s="518">
        <f t="shared" si="433"/>
        <v>-0.4240000000000001</v>
      </c>
      <c r="AT236" s="89">
        <f t="shared" si="433"/>
        <v>-1.397</v>
      </c>
      <c r="AU236" s="518">
        <f t="shared" si="433"/>
        <v>-0.72300000000000009</v>
      </c>
      <c r="AV236" s="518">
        <f t="shared" si="433"/>
        <v>-0.57599999999999996</v>
      </c>
      <c r="AW236" s="518">
        <f t="shared" si="433"/>
        <v>-0.36199999999999999</v>
      </c>
      <c r="AX236" s="518">
        <f t="shared" si="433"/>
        <v>-0.65900000000000014</v>
      </c>
      <c r="AY236" s="89">
        <f t="shared" si="433"/>
        <v>-2.3199999999999998</v>
      </c>
      <c r="AZ236" s="518">
        <f t="shared" si="433"/>
        <v>-0.90699999999999992</v>
      </c>
      <c r="BA236" s="518">
        <f t="shared" si="433"/>
        <v>-0.79800000000000004</v>
      </c>
      <c r="BB236" s="518">
        <f t="shared" si="433"/>
        <v>-0.68400000000000005</v>
      </c>
      <c r="BC236" s="518">
        <f t="shared" si="433"/>
        <v>-0.27400000000000013</v>
      </c>
      <c r="BD236" s="89">
        <f t="shared" si="433"/>
        <v>-2.6630000000000003</v>
      </c>
      <c r="BE236" s="518">
        <f t="shared" si="433"/>
        <v>-1.2049999999999998</v>
      </c>
      <c r="BF236" s="518">
        <f t="shared" si="433"/>
        <v>-1.242</v>
      </c>
      <c r="BG236" s="518">
        <f t="shared" ref="BG236:BL236" si="434">-BG166-BG167</f>
        <v>-0.96699999999999997</v>
      </c>
      <c r="BH236" s="518">
        <f t="shared" si="434"/>
        <v>-3.0539999999999998</v>
      </c>
      <c r="BI236" s="89">
        <f t="shared" si="434"/>
        <v>-6.468</v>
      </c>
      <c r="BJ236" s="518">
        <f t="shared" si="434"/>
        <v>-2.06</v>
      </c>
      <c r="BK236" s="518">
        <f t="shared" si="434"/>
        <v>-4.8979999999999997</v>
      </c>
      <c r="BL236" s="520">
        <f t="shared" si="434"/>
        <v>-1.923</v>
      </c>
      <c r="BM236" s="609">
        <v>-25</v>
      </c>
      <c r="BN236" s="89">
        <f>SUM(BJ236,BK236,BL236,BM236)</f>
        <v>-33.881</v>
      </c>
      <c r="BO236" s="609">
        <v>-25.5</v>
      </c>
      <c r="BP236" s="609">
        <v>-20</v>
      </c>
      <c r="BQ236" s="609">
        <v>-19</v>
      </c>
      <c r="BR236" s="609">
        <v>-8</v>
      </c>
      <c r="BS236" s="89">
        <f>SUM(BO236,BP236,BQ236,BR236)</f>
        <v>-72.5</v>
      </c>
      <c r="BT236" s="675">
        <v>-62</v>
      </c>
      <c r="BU236" s="675">
        <v>-39</v>
      </c>
      <c r="BV236" s="675">
        <v>-25</v>
      </c>
      <c r="BW236" s="519"/>
    </row>
    <row r="237" spans="1:75" s="439" customFormat="1">
      <c r="A237" s="31" t="s">
        <v>291</v>
      </c>
      <c r="B237" s="53"/>
      <c r="C237" s="89"/>
      <c r="D237" s="89"/>
      <c r="E237" s="89"/>
      <c r="F237" s="89"/>
      <c r="G237" s="518"/>
      <c r="H237" s="518"/>
      <c r="I237" s="518"/>
      <c r="J237" s="518"/>
      <c r="K237" s="89"/>
      <c r="L237" s="518"/>
      <c r="M237" s="518"/>
      <c r="N237" s="518"/>
      <c r="O237" s="518"/>
      <c r="P237" s="89"/>
      <c r="Q237" s="518"/>
      <c r="R237" s="518"/>
      <c r="S237" s="518"/>
      <c r="T237" s="518"/>
      <c r="U237" s="89"/>
      <c r="V237" s="518"/>
      <c r="W237" s="518"/>
      <c r="X237" s="518"/>
      <c r="Y237" s="518"/>
      <c r="Z237" s="89"/>
      <c r="AA237" s="518"/>
      <c r="AB237" s="518"/>
      <c r="AC237" s="518"/>
      <c r="AD237" s="518"/>
      <c r="AE237" s="89"/>
      <c r="AF237" s="518"/>
      <c r="AG237" s="518"/>
      <c r="AH237" s="518"/>
      <c r="AI237" s="518"/>
      <c r="AJ237" s="89"/>
      <c r="AK237" s="518"/>
      <c r="AL237" s="518"/>
      <c r="AM237" s="518"/>
      <c r="AN237" s="518"/>
      <c r="AO237" s="89"/>
      <c r="AP237" s="518"/>
      <c r="AQ237" s="518"/>
      <c r="AR237" s="518"/>
      <c r="AS237" s="518"/>
      <c r="AT237" s="89"/>
      <c r="AU237" s="518"/>
      <c r="AV237" s="518"/>
      <c r="AW237" s="518"/>
      <c r="AX237" s="518"/>
      <c r="AY237" s="89"/>
      <c r="AZ237" s="518"/>
      <c r="BA237" s="518"/>
      <c r="BB237" s="518"/>
      <c r="BC237" s="518"/>
      <c r="BD237" s="89"/>
      <c r="BE237" s="518"/>
      <c r="BF237" s="518"/>
      <c r="BG237" s="518"/>
      <c r="BH237" s="518"/>
      <c r="BI237" s="89"/>
      <c r="BJ237" s="518"/>
      <c r="BK237" s="518"/>
      <c r="BL237" s="520"/>
      <c r="BM237" s="609">
        <v>0</v>
      </c>
      <c r="BN237" s="89">
        <f>SUM(BJ237,BK237,BL237,BM237)</f>
        <v>0</v>
      </c>
      <c r="BO237" s="609">
        <v>0</v>
      </c>
      <c r="BP237" s="609">
        <v>0</v>
      </c>
      <c r="BQ237" s="609">
        <v>0</v>
      </c>
      <c r="BR237" s="609">
        <v>0</v>
      </c>
      <c r="BS237" s="89">
        <f>SUM(BO237,BP237,BQ237,BR237)</f>
        <v>0</v>
      </c>
      <c r="BT237" s="675">
        <v>0</v>
      </c>
      <c r="BU237" s="675">
        <v>0</v>
      </c>
      <c r="BV237" s="675">
        <v>0</v>
      </c>
      <c r="BW237" s="519"/>
    </row>
    <row r="238" spans="1:75" s="444" customFormat="1">
      <c r="A238" s="18" t="s">
        <v>292</v>
      </c>
      <c r="B238" s="49"/>
      <c r="C238" s="676">
        <f t="shared" ref="C238:AH238" si="435">C225-SUM(C235:C237)</f>
        <v>-2.2999999999999985</v>
      </c>
      <c r="D238" s="676">
        <f t="shared" si="435"/>
        <v>-9.4909999999999997</v>
      </c>
      <c r="E238" s="676">
        <f t="shared" si="435"/>
        <v>-16.566000000000006</v>
      </c>
      <c r="F238" s="676">
        <f t="shared" si="435"/>
        <v>-18.991000000000014</v>
      </c>
      <c r="G238" s="560">
        <f t="shared" si="435"/>
        <v>-4.7549999999999946</v>
      </c>
      <c r="H238" s="560">
        <f t="shared" si="435"/>
        <v>-0.64599999999999125</v>
      </c>
      <c r="I238" s="560">
        <f t="shared" si="435"/>
        <v>-1.8120000000000058</v>
      </c>
      <c r="J238" s="560">
        <f t="shared" si="435"/>
        <v>-2.0170000000000154</v>
      </c>
      <c r="K238" s="676">
        <f t="shared" si="435"/>
        <v>-9.230000000000036</v>
      </c>
      <c r="L238" s="560">
        <f t="shared" si="435"/>
        <v>-4.605999999999999</v>
      </c>
      <c r="M238" s="560">
        <f t="shared" si="435"/>
        <v>3.1119999999999952</v>
      </c>
      <c r="N238" s="560">
        <f t="shared" si="435"/>
        <v>4.7439999999999829</v>
      </c>
      <c r="O238" s="560">
        <f t="shared" si="435"/>
        <v>8.0299999999999905</v>
      </c>
      <c r="P238" s="676">
        <f t="shared" si="435"/>
        <v>11.280000000000026</v>
      </c>
      <c r="Q238" s="560">
        <f t="shared" si="435"/>
        <v>-3.6869999999999954</v>
      </c>
      <c r="R238" s="560">
        <f t="shared" si="435"/>
        <v>0.37900000000001138</v>
      </c>
      <c r="S238" s="560">
        <f t="shared" si="435"/>
        <v>-11.256999999999989</v>
      </c>
      <c r="T238" s="560">
        <f t="shared" si="435"/>
        <v>-6.3729999999999825</v>
      </c>
      <c r="U238" s="676">
        <f t="shared" si="435"/>
        <v>-20.937999999999956</v>
      </c>
      <c r="V238" s="560">
        <f t="shared" si="435"/>
        <v>-14.014999999999997</v>
      </c>
      <c r="W238" s="560">
        <f t="shared" si="435"/>
        <v>-0.81999999999998341</v>
      </c>
      <c r="X238" s="560">
        <f t="shared" si="435"/>
        <v>2.2870000000000079</v>
      </c>
      <c r="Y238" s="560">
        <f t="shared" si="435"/>
        <v>9.2629999999999022</v>
      </c>
      <c r="Z238" s="676">
        <f t="shared" si="435"/>
        <v>-3.2850000000001556</v>
      </c>
      <c r="AA238" s="560">
        <f t="shared" si="435"/>
        <v>-3.9590000000000023</v>
      </c>
      <c r="AB238" s="560">
        <f t="shared" si="435"/>
        <v>8.0189999999999735</v>
      </c>
      <c r="AC238" s="560">
        <f t="shared" si="435"/>
        <v>8.2619999999999916</v>
      </c>
      <c r="AD238" s="560">
        <f t="shared" si="435"/>
        <v>172.16399999999999</v>
      </c>
      <c r="AE238" s="676">
        <f t="shared" si="435"/>
        <v>184.48599999999996</v>
      </c>
      <c r="AF238" s="560">
        <f t="shared" si="435"/>
        <v>-2.2229999999999981</v>
      </c>
      <c r="AG238" s="560">
        <f t="shared" si="435"/>
        <v>11.045000000000009</v>
      </c>
      <c r="AH238" s="560">
        <f t="shared" si="435"/>
        <v>14.302000000000028</v>
      </c>
      <c r="AI238" s="560">
        <f t="shared" ref="AI238:BN238" si="436">AI225-SUM(AI235:AI237)</f>
        <v>16.88199999999998</v>
      </c>
      <c r="AJ238" s="676">
        <f t="shared" si="436"/>
        <v>40.00600000000005</v>
      </c>
      <c r="AK238" s="560">
        <f t="shared" si="436"/>
        <v>0.80899999999999483</v>
      </c>
      <c r="AL238" s="560">
        <f t="shared" si="436"/>
        <v>16.088000000000029</v>
      </c>
      <c r="AM238" s="560">
        <f t="shared" si="436"/>
        <v>12.612999999999984</v>
      </c>
      <c r="AN238" s="560">
        <f t="shared" si="436"/>
        <v>20.256999999999845</v>
      </c>
      <c r="AO238" s="676">
        <f t="shared" si="436"/>
        <v>49.766999999999967</v>
      </c>
      <c r="AP238" s="560">
        <f t="shared" si="436"/>
        <v>-24.866999999999972</v>
      </c>
      <c r="AQ238" s="560">
        <f t="shared" si="436"/>
        <v>-34.854000000000021</v>
      </c>
      <c r="AR238" s="560">
        <f t="shared" si="436"/>
        <v>9.7239999999999611</v>
      </c>
      <c r="AS238" s="560">
        <f t="shared" si="436"/>
        <v>14.872000000000014</v>
      </c>
      <c r="AT238" s="676">
        <f t="shared" si="436"/>
        <v>-35.124999999999957</v>
      </c>
      <c r="AU238" s="560">
        <f t="shared" si="436"/>
        <v>-7.9380000000000006</v>
      </c>
      <c r="AV238" s="560">
        <f t="shared" si="436"/>
        <v>-0.53900000000001735</v>
      </c>
      <c r="AW238" s="560">
        <f t="shared" si="436"/>
        <v>21.975999999999953</v>
      </c>
      <c r="AX238" s="560">
        <f t="shared" si="436"/>
        <v>20.219000000000019</v>
      </c>
      <c r="AY238" s="676">
        <f t="shared" si="436"/>
        <v>33.717999999999897</v>
      </c>
      <c r="AZ238" s="560">
        <f t="shared" si="436"/>
        <v>-3.526999999999989</v>
      </c>
      <c r="BA238" s="560">
        <f t="shared" si="436"/>
        <v>17.328000000000003</v>
      </c>
      <c r="BB238" s="560">
        <f t="shared" si="436"/>
        <v>16.115000000000034</v>
      </c>
      <c r="BC238" s="560">
        <f t="shared" si="436"/>
        <v>36.86200000000013</v>
      </c>
      <c r="BD238" s="676">
        <f t="shared" si="436"/>
        <v>66.778000000000063</v>
      </c>
      <c r="BE238" s="560">
        <f t="shared" si="436"/>
        <v>-1.3750000000000462</v>
      </c>
      <c r="BF238" s="560">
        <f t="shared" si="436"/>
        <v>24.639999999999905</v>
      </c>
      <c r="BG238" s="560">
        <f t="shared" si="436"/>
        <v>48.026999999999987</v>
      </c>
      <c r="BH238" s="560">
        <f t="shared" ref="BH238:BM238" si="437">BH225-SUM(BH235:BH237)</f>
        <v>33.789999999999985</v>
      </c>
      <c r="BI238" s="676">
        <f t="shared" si="437"/>
        <v>105.08199999999989</v>
      </c>
      <c r="BJ238" s="560">
        <f>BJ225-SUM(BJ235:BJ237)</f>
        <v>18.940999999999985</v>
      </c>
      <c r="BK238" s="560">
        <f>BK225-SUM(BK235:BK237)</f>
        <v>50.069000000000017</v>
      </c>
      <c r="BL238" s="561">
        <f>BL225-SUM(BL235:BL237)</f>
        <v>53.882999999999932</v>
      </c>
      <c r="BM238" s="560">
        <f t="shared" si="437"/>
        <v>69.542540096900055</v>
      </c>
      <c r="BN238" s="676">
        <f t="shared" si="436"/>
        <v>192.43554009690038</v>
      </c>
      <c r="BO238" s="560">
        <f t="shared" ref="BO238:BV238" si="438">BO225-SUM(BO235:BO237)</f>
        <v>44.153267651904059</v>
      </c>
      <c r="BP238" s="560">
        <f t="shared" si="438"/>
        <v>68.315275475650594</v>
      </c>
      <c r="BQ238" s="560">
        <f t="shared" si="438"/>
        <v>61.490060332534426</v>
      </c>
      <c r="BR238" s="560">
        <f t="shared" si="438"/>
        <v>53.657619511944631</v>
      </c>
      <c r="BS238" s="676">
        <f t="shared" si="438"/>
        <v>227.61622297203348</v>
      </c>
      <c r="BT238" s="676">
        <f t="shared" si="438"/>
        <v>227.51410233471483</v>
      </c>
      <c r="BU238" s="676">
        <f t="shared" si="438"/>
        <v>236.28051578431973</v>
      </c>
      <c r="BV238" s="676">
        <f t="shared" si="438"/>
        <v>169.81899430920475</v>
      </c>
      <c r="BW238" s="318"/>
    </row>
    <row r="239" spans="1:75" s="462" customFormat="1">
      <c r="A239" s="380"/>
      <c r="B239" s="381"/>
      <c r="C239" s="728"/>
      <c r="D239" s="728"/>
      <c r="E239" s="728"/>
      <c r="F239" s="728"/>
      <c r="G239" s="382"/>
      <c r="H239" s="382"/>
      <c r="I239" s="382"/>
      <c r="J239" s="382"/>
      <c r="K239" s="728"/>
      <c r="L239" s="382"/>
      <c r="M239" s="382"/>
      <c r="N239" s="382"/>
      <c r="O239" s="382"/>
      <c r="P239" s="728"/>
      <c r="Q239" s="382"/>
      <c r="R239" s="382"/>
      <c r="S239" s="382"/>
      <c r="T239" s="382"/>
      <c r="U239" s="728"/>
      <c r="V239" s="382"/>
      <c r="W239" s="382"/>
      <c r="X239" s="382"/>
      <c r="Y239" s="382"/>
      <c r="Z239" s="728"/>
      <c r="AA239" s="382"/>
      <c r="AB239" s="382"/>
      <c r="AC239" s="382"/>
      <c r="AD239" s="382"/>
      <c r="AE239" s="728"/>
      <c r="AF239" s="382"/>
      <c r="AG239" s="382"/>
      <c r="AH239" s="382"/>
      <c r="AI239" s="382"/>
      <c r="AJ239" s="728"/>
      <c r="AK239" s="382"/>
      <c r="AL239" s="382"/>
      <c r="AM239" s="382"/>
      <c r="AN239" s="382"/>
      <c r="AO239" s="728"/>
      <c r="AP239" s="382"/>
      <c r="AQ239" s="382"/>
      <c r="AR239" s="382"/>
      <c r="AS239" s="382"/>
      <c r="AT239" s="728"/>
      <c r="AU239" s="382"/>
      <c r="AV239" s="382"/>
      <c r="AW239" s="382"/>
      <c r="AX239" s="382"/>
      <c r="AY239" s="728"/>
      <c r="AZ239" s="382"/>
      <c r="BA239" s="382"/>
      <c r="BB239" s="382"/>
      <c r="BC239" s="382"/>
      <c r="BD239" s="728"/>
      <c r="BE239" s="382"/>
      <c r="BF239" s="382"/>
      <c r="BG239" s="382"/>
      <c r="BH239" s="382"/>
      <c r="BI239" s="728"/>
      <c r="BJ239" s="382"/>
      <c r="BK239" s="382"/>
      <c r="BL239" s="402"/>
      <c r="BM239" s="382"/>
      <c r="BN239" s="728"/>
      <c r="BO239" s="382"/>
      <c r="BP239" s="382"/>
      <c r="BQ239" s="382"/>
      <c r="BR239" s="382"/>
      <c r="BS239" s="728"/>
      <c r="BT239" s="728"/>
      <c r="BU239" s="728"/>
      <c r="BV239" s="728"/>
      <c r="BW239" s="383"/>
    </row>
    <row r="240" spans="1:75" s="439" customFormat="1">
      <c r="A240" s="31" t="s">
        <v>248</v>
      </c>
      <c r="B240" s="53"/>
      <c r="C240" s="89">
        <f t="shared" ref="C240:T240" si="439">-C172-C241</f>
        <v>8.0000000000000002E-3</v>
      </c>
      <c r="D240" s="89">
        <f t="shared" si="439"/>
        <v>7.2999999999999995E-2</v>
      </c>
      <c r="E240" s="89">
        <f t="shared" si="439"/>
        <v>0.115</v>
      </c>
      <c r="F240" s="89">
        <f t="shared" si="439"/>
        <v>0.13900000000000001</v>
      </c>
      <c r="G240" s="518">
        <f t="shared" si="439"/>
        <v>4.3999999999999997E-2</v>
      </c>
      <c r="H240" s="518">
        <f t="shared" si="439"/>
        <v>0.23200000000000001</v>
      </c>
      <c r="I240" s="518">
        <f t="shared" si="439"/>
        <v>0.51</v>
      </c>
      <c r="J240" s="518">
        <f t="shared" si="439"/>
        <v>5.1999999999999998E-2</v>
      </c>
      <c r="K240" s="89">
        <f t="shared" si="439"/>
        <v>1.3340000000000001</v>
      </c>
      <c r="L240" s="518">
        <f t="shared" si="439"/>
        <v>-1.9710000000000001</v>
      </c>
      <c r="M240" s="518">
        <f t="shared" si="439"/>
        <v>0.36899999999999999</v>
      </c>
      <c r="N240" s="518">
        <f t="shared" si="439"/>
        <v>1.107</v>
      </c>
      <c r="O240" s="518">
        <f t="shared" si="439"/>
        <v>-24.698</v>
      </c>
      <c r="P240" s="89">
        <f t="shared" si="439"/>
        <v>2.0259999999999998</v>
      </c>
      <c r="Q240" s="518">
        <f t="shared" si="439"/>
        <v>-2.403</v>
      </c>
      <c r="R240" s="518">
        <f t="shared" si="439"/>
        <v>1.6839999999999999</v>
      </c>
      <c r="S240" s="518">
        <f t="shared" si="439"/>
        <v>-3.1749999999999998</v>
      </c>
      <c r="T240" s="518">
        <f t="shared" si="439"/>
        <v>15.856</v>
      </c>
      <c r="U240" s="89">
        <f>-U172-U241</f>
        <v>1.3699999999999992</v>
      </c>
      <c r="V240" s="518">
        <f t="shared" ref="V240:BF240" si="440">-V172-V241</f>
        <v>1.4370000000000001</v>
      </c>
      <c r="W240" s="518">
        <f t="shared" si="440"/>
        <v>-1.2689999999999999</v>
      </c>
      <c r="X240" s="518">
        <f t="shared" si="440"/>
        <v>0.217</v>
      </c>
      <c r="Y240" s="518">
        <f t="shared" si="440"/>
        <v>0.99999999999999989</v>
      </c>
      <c r="Z240" s="89">
        <f t="shared" si="440"/>
        <v>1.385</v>
      </c>
      <c r="AA240" s="518">
        <f t="shared" si="440"/>
        <v>6.7000000000000004E-2</v>
      </c>
      <c r="AB240" s="518">
        <f t="shared" si="440"/>
        <v>0.11799999999999999</v>
      </c>
      <c r="AC240" s="518">
        <f t="shared" si="440"/>
        <v>0.23200000000000001</v>
      </c>
      <c r="AD240" s="518">
        <f t="shared" si="440"/>
        <v>31.074000000000002</v>
      </c>
      <c r="AE240" s="89">
        <f t="shared" si="440"/>
        <v>31.491</v>
      </c>
      <c r="AF240" s="518">
        <f t="shared" si="440"/>
        <v>6.3E-2</v>
      </c>
      <c r="AG240" s="518">
        <f t="shared" si="440"/>
        <v>0.34100000000000003</v>
      </c>
      <c r="AH240" s="518">
        <f t="shared" si="440"/>
        <v>-0.68400000000000005</v>
      </c>
      <c r="AI240" s="518">
        <f t="shared" si="440"/>
        <v>-15.064</v>
      </c>
      <c r="AJ240" s="89">
        <f t="shared" si="440"/>
        <v>-15.343999999999999</v>
      </c>
      <c r="AK240" s="518">
        <f t="shared" si="440"/>
        <v>0.70299999999999985</v>
      </c>
      <c r="AL240" s="518">
        <f t="shared" si="440"/>
        <v>4.4380000000000006</v>
      </c>
      <c r="AM240" s="518">
        <f t="shared" si="440"/>
        <v>1.3130000000000002</v>
      </c>
      <c r="AN240" s="518">
        <f t="shared" si="440"/>
        <v>5.2309999999999981</v>
      </c>
      <c r="AO240" s="89">
        <f t="shared" si="440"/>
        <v>11.684999999999999</v>
      </c>
      <c r="AP240" s="518">
        <f t="shared" si="440"/>
        <v>-1.9140000000000006</v>
      </c>
      <c r="AQ240" s="518">
        <f t="shared" si="440"/>
        <v>-4.051000000000001</v>
      </c>
      <c r="AR240" s="518">
        <f t="shared" si="440"/>
        <v>2.9859999999999998</v>
      </c>
      <c r="AS240" s="518">
        <f t="shared" si="440"/>
        <v>-1.5410000000000004</v>
      </c>
      <c r="AT240" s="89">
        <f t="shared" si="440"/>
        <v>-4.5200000000000014</v>
      </c>
      <c r="AU240" s="518">
        <f t="shared" si="440"/>
        <v>0.26400000000000023</v>
      </c>
      <c r="AV240" s="518">
        <f t="shared" si="440"/>
        <v>0.59799999999999986</v>
      </c>
      <c r="AW240" s="518">
        <f t="shared" si="440"/>
        <v>2.5560000000000005</v>
      </c>
      <c r="AX240" s="518">
        <f t="shared" si="440"/>
        <v>-0.18100000000000049</v>
      </c>
      <c r="AY240" s="89">
        <f t="shared" si="440"/>
        <v>3.2369999999999992</v>
      </c>
      <c r="AZ240" s="518">
        <f t="shared" si="440"/>
        <v>8.4619999999999997</v>
      </c>
      <c r="BA240" s="518">
        <f t="shared" si="440"/>
        <v>22.359000000000002</v>
      </c>
      <c r="BB240" s="518">
        <f t="shared" si="440"/>
        <v>24.055</v>
      </c>
      <c r="BC240" s="518">
        <f t="shared" si="440"/>
        <v>32.176000000000002</v>
      </c>
      <c r="BD240" s="89">
        <f t="shared" si="440"/>
        <v>87.052000000000007</v>
      </c>
      <c r="BE240" s="518">
        <f t="shared" si="440"/>
        <v>19.664999999999999</v>
      </c>
      <c r="BF240" s="518">
        <f t="shared" si="440"/>
        <v>32.197000000000003</v>
      </c>
      <c r="BG240" s="518">
        <f t="shared" ref="BG240:BL240" si="441">-BG172-BG241</f>
        <v>-43.492000000000004</v>
      </c>
      <c r="BH240" s="518">
        <f t="shared" si="441"/>
        <v>19.688999999999997</v>
      </c>
      <c r="BI240" s="89">
        <f t="shared" si="441"/>
        <v>28.058999999999997</v>
      </c>
      <c r="BJ240" s="518">
        <f t="shared" si="441"/>
        <v>6.7629999999999999</v>
      </c>
      <c r="BK240" s="518">
        <f t="shared" si="441"/>
        <v>12.166</v>
      </c>
      <c r="BL240" s="520">
        <f t="shared" si="441"/>
        <v>30.742000000000001</v>
      </c>
      <c r="BM240" s="518">
        <f>BM253*BM238</f>
        <v>13.908508019380012</v>
      </c>
      <c r="BN240" s="89">
        <f>SUM(BJ240,BK240,BL240,BM240)</f>
        <v>63.579508019380015</v>
      </c>
      <c r="BO240" s="518">
        <f>BO253*BO238</f>
        <v>2.2076633825952032</v>
      </c>
      <c r="BP240" s="518">
        <f>BP253*BP238</f>
        <v>3.4157637737825297</v>
      </c>
      <c r="BQ240" s="518">
        <f>BQ253*BQ238</f>
        <v>3.0745030166267213</v>
      </c>
      <c r="BR240" s="518">
        <f>BR253*BR238</f>
        <v>0.53657619511944632</v>
      </c>
      <c r="BS240" s="89">
        <f>SUM(BO240,BP240,BQ240,BR240)</f>
        <v>9.2345063681239008</v>
      </c>
      <c r="BT240" s="89">
        <f>BT253*BT238</f>
        <v>11.375705116735743</v>
      </c>
      <c r="BU240" s="89">
        <f>BU253*BU238</f>
        <v>11.814025789215988</v>
      </c>
      <c r="BV240" s="89">
        <f>BV253*BV238</f>
        <v>8.4909497154602374</v>
      </c>
      <c r="BW240" s="519"/>
    </row>
    <row r="241" spans="1:75" s="439" customFormat="1">
      <c r="A241" s="31" t="s">
        <v>249</v>
      </c>
      <c r="B241" s="53"/>
      <c r="C241" s="89">
        <f t="shared" ref="C241:T241" si="442">-C171</f>
        <v>0</v>
      </c>
      <c r="D241" s="89">
        <f t="shared" si="442"/>
        <v>2E-3</v>
      </c>
      <c r="E241" s="89">
        <f t="shared" si="442"/>
        <v>-1.2999999999999999E-2</v>
      </c>
      <c r="F241" s="89">
        <f t="shared" si="442"/>
        <v>-1.7000000000000001E-2</v>
      </c>
      <c r="G241" s="518">
        <f t="shared" si="442"/>
        <v>0</v>
      </c>
      <c r="H241" s="518">
        <f t="shared" si="442"/>
        <v>0</v>
      </c>
      <c r="I241" s="518">
        <f t="shared" si="442"/>
        <v>0</v>
      </c>
      <c r="J241" s="518">
        <f t="shared" si="442"/>
        <v>0</v>
      </c>
      <c r="K241" s="89">
        <f t="shared" si="442"/>
        <v>-0.496</v>
      </c>
      <c r="L241" s="518">
        <f t="shared" si="442"/>
        <v>0</v>
      </c>
      <c r="M241" s="518">
        <f t="shared" si="442"/>
        <v>0</v>
      </c>
      <c r="N241" s="518">
        <f t="shared" si="442"/>
        <v>0</v>
      </c>
      <c r="O241" s="518">
        <f t="shared" si="442"/>
        <v>0</v>
      </c>
      <c r="P241" s="89">
        <f t="shared" si="442"/>
        <v>-27.219000000000001</v>
      </c>
      <c r="Q241" s="518">
        <f t="shared" si="442"/>
        <v>0</v>
      </c>
      <c r="R241" s="518">
        <f t="shared" si="442"/>
        <v>0</v>
      </c>
      <c r="S241" s="518">
        <f t="shared" si="442"/>
        <v>0</v>
      </c>
      <c r="T241" s="518">
        <f t="shared" si="442"/>
        <v>0</v>
      </c>
      <c r="U241" s="89">
        <f>-U171</f>
        <v>10.592000000000001</v>
      </c>
      <c r="V241" s="518">
        <f t="shared" ref="V241:BF241" si="443">V514</f>
        <v>0</v>
      </c>
      <c r="W241" s="518">
        <f t="shared" si="443"/>
        <v>0</v>
      </c>
      <c r="X241" s="518">
        <f t="shared" si="443"/>
        <v>0</v>
      </c>
      <c r="Y241" s="518">
        <f t="shared" si="443"/>
        <v>0</v>
      </c>
      <c r="Z241" s="89">
        <f t="shared" si="443"/>
        <v>0</v>
      </c>
      <c r="AA241" s="518">
        <f t="shared" si="443"/>
        <v>0</v>
      </c>
      <c r="AB241" s="518">
        <f t="shared" si="443"/>
        <v>0</v>
      </c>
      <c r="AC241" s="518">
        <f t="shared" si="443"/>
        <v>0</v>
      </c>
      <c r="AD241" s="518">
        <f t="shared" si="443"/>
        <v>0</v>
      </c>
      <c r="AE241" s="89">
        <f t="shared" si="443"/>
        <v>0</v>
      </c>
      <c r="AF241" s="518">
        <f t="shared" si="443"/>
        <v>0</v>
      </c>
      <c r="AG241" s="518">
        <f t="shared" si="443"/>
        <v>0</v>
      </c>
      <c r="AH241" s="518">
        <f t="shared" si="443"/>
        <v>0</v>
      </c>
      <c r="AI241" s="518">
        <f t="shared" si="443"/>
        <v>0</v>
      </c>
      <c r="AJ241" s="89">
        <f>AJ514</f>
        <v>0</v>
      </c>
      <c r="AK241" s="518">
        <f t="shared" si="443"/>
        <v>-1.2589999999999999</v>
      </c>
      <c r="AL241" s="518">
        <f t="shared" si="443"/>
        <v>-0.65300000000000002</v>
      </c>
      <c r="AM241" s="518">
        <f t="shared" si="443"/>
        <v>1.2389999999999999</v>
      </c>
      <c r="AN241" s="518">
        <f t="shared" si="443"/>
        <v>-2.1259999999999999</v>
      </c>
      <c r="AO241" s="89">
        <f t="shared" si="443"/>
        <v>-2.7989999999999999</v>
      </c>
      <c r="AP241" s="518">
        <f t="shared" si="443"/>
        <v>-7.45</v>
      </c>
      <c r="AQ241" s="518">
        <f t="shared" si="443"/>
        <v>-6.8129999999999997</v>
      </c>
      <c r="AR241" s="518">
        <f t="shared" si="443"/>
        <v>7.758</v>
      </c>
      <c r="AS241" s="518">
        <f t="shared" si="443"/>
        <v>-4.6759999999999993</v>
      </c>
      <c r="AT241" s="89">
        <f t="shared" si="443"/>
        <v>-11.180999999999999</v>
      </c>
      <c r="AU241" s="518">
        <f t="shared" si="443"/>
        <v>-2.4060000000000001</v>
      </c>
      <c r="AV241" s="518">
        <f t="shared" si="443"/>
        <v>-5.3490000000000002</v>
      </c>
      <c r="AW241" s="518">
        <f t="shared" si="443"/>
        <v>1.3549999999999995</v>
      </c>
      <c r="AX241" s="518">
        <f t="shared" si="443"/>
        <v>-2.7899999999999991</v>
      </c>
      <c r="AY241" s="89">
        <f t="shared" si="443"/>
        <v>-9.19</v>
      </c>
      <c r="AZ241" s="518">
        <f t="shared" si="443"/>
        <v>-11.074</v>
      </c>
      <c r="BA241" s="518">
        <f t="shared" si="443"/>
        <v>-13.040000000000001</v>
      </c>
      <c r="BB241" s="518">
        <f t="shared" si="443"/>
        <v>-17.047999999999998</v>
      </c>
      <c r="BC241" s="518">
        <f t="shared" si="443"/>
        <v>-15.459000000000003</v>
      </c>
      <c r="BD241" s="89">
        <f t="shared" si="443"/>
        <v>-56.621000000000002</v>
      </c>
      <c r="BE241" s="518">
        <f t="shared" si="443"/>
        <v>-19.861999999999998</v>
      </c>
      <c r="BF241" s="518">
        <f t="shared" si="443"/>
        <v>-22.286000000000005</v>
      </c>
      <c r="BG241" s="518">
        <f t="shared" ref="BG241:BL241" si="444">BG514</f>
        <v>33.303000000000004</v>
      </c>
      <c r="BH241" s="518">
        <f t="shared" si="444"/>
        <v>-13.304999999999998</v>
      </c>
      <c r="BI241" s="89">
        <f t="shared" si="444"/>
        <v>-22.15</v>
      </c>
      <c r="BJ241" s="518">
        <f t="shared" si="444"/>
        <v>-1.976</v>
      </c>
      <c r="BK241" s="518">
        <f t="shared" si="444"/>
        <v>-0.13300000000000001</v>
      </c>
      <c r="BL241" s="520">
        <f t="shared" si="444"/>
        <v>-15.299000000000001</v>
      </c>
      <c r="BM241" s="518">
        <f>BM254*BM238</f>
        <v>-20.862762029070016</v>
      </c>
      <c r="BN241" s="89">
        <f>SUM(BJ241,BK241,BL241,BM241)</f>
        <v>-38.270762029070013</v>
      </c>
      <c r="BO241" s="518">
        <f>BO254*BO238</f>
        <v>-2.2076633825952032</v>
      </c>
      <c r="BP241" s="518">
        <f>BP254*BP238</f>
        <v>-3.4157637737825297</v>
      </c>
      <c r="BQ241" s="518">
        <f>BQ254*BQ238</f>
        <v>-6.1490060332534426</v>
      </c>
      <c r="BR241" s="518">
        <f>BR254*BR238</f>
        <v>-5.3657619511944636</v>
      </c>
      <c r="BS241" s="89">
        <f>SUM(BO241,BP241,BQ241,BR241)</f>
        <v>-17.138195140825641</v>
      </c>
      <c r="BT241" s="89">
        <f>BT254*BT238</f>
        <v>-22.751410233471486</v>
      </c>
      <c r="BU241" s="89">
        <f>BU254*BU238</f>
        <v>-35.442077367647961</v>
      </c>
      <c r="BV241" s="89">
        <f>BV254*BV238</f>
        <v>0</v>
      </c>
      <c r="BW241" s="519"/>
    </row>
    <row r="242" spans="1:75" s="444" customFormat="1">
      <c r="A242" s="18" t="s">
        <v>293</v>
      </c>
      <c r="B242" s="49"/>
      <c r="C242" s="676">
        <f t="shared" ref="C242:AH242" si="445">C238-SUM(C240:C241)</f>
        <v>-2.3079999999999985</v>
      </c>
      <c r="D242" s="676">
        <f t="shared" si="445"/>
        <v>-9.5659999999999989</v>
      </c>
      <c r="E242" s="676">
        <f t="shared" si="445"/>
        <v>-16.668000000000006</v>
      </c>
      <c r="F242" s="676">
        <f t="shared" si="445"/>
        <v>-19.113000000000014</v>
      </c>
      <c r="G242" s="560">
        <f t="shared" si="445"/>
        <v>-4.7989999999999942</v>
      </c>
      <c r="H242" s="560">
        <f t="shared" si="445"/>
        <v>-0.87799999999999123</v>
      </c>
      <c r="I242" s="560">
        <f t="shared" si="445"/>
        <v>-2.3220000000000058</v>
      </c>
      <c r="J242" s="560">
        <f t="shared" si="445"/>
        <v>-2.0690000000000155</v>
      </c>
      <c r="K242" s="676">
        <f t="shared" si="445"/>
        <v>-10.068000000000037</v>
      </c>
      <c r="L242" s="560">
        <f t="shared" si="445"/>
        <v>-2.6349999999999989</v>
      </c>
      <c r="M242" s="560">
        <f t="shared" si="445"/>
        <v>2.742999999999995</v>
      </c>
      <c r="N242" s="560">
        <f t="shared" si="445"/>
        <v>3.6369999999999827</v>
      </c>
      <c r="O242" s="560">
        <f t="shared" si="445"/>
        <v>32.727999999999994</v>
      </c>
      <c r="P242" s="676">
        <f t="shared" si="445"/>
        <v>36.473000000000027</v>
      </c>
      <c r="Q242" s="560">
        <f t="shared" si="445"/>
        <v>-1.2839999999999954</v>
      </c>
      <c r="R242" s="560">
        <f t="shared" si="445"/>
        <v>-1.3049999999999886</v>
      </c>
      <c r="S242" s="560">
        <f t="shared" si="445"/>
        <v>-8.0819999999999901</v>
      </c>
      <c r="T242" s="560">
        <f t="shared" si="445"/>
        <v>-22.228999999999981</v>
      </c>
      <c r="U242" s="676">
        <f t="shared" si="445"/>
        <v>-32.899999999999956</v>
      </c>
      <c r="V242" s="560">
        <f t="shared" si="445"/>
        <v>-15.451999999999996</v>
      </c>
      <c r="W242" s="560">
        <f t="shared" si="445"/>
        <v>0.4490000000000165</v>
      </c>
      <c r="X242" s="560">
        <f t="shared" si="445"/>
        <v>2.0700000000000078</v>
      </c>
      <c r="Y242" s="560">
        <f t="shared" si="445"/>
        <v>8.2629999999999022</v>
      </c>
      <c r="Z242" s="676">
        <f t="shared" si="445"/>
        <v>-4.6700000000001554</v>
      </c>
      <c r="AA242" s="560">
        <f t="shared" si="445"/>
        <v>-4.0260000000000025</v>
      </c>
      <c r="AB242" s="560">
        <f t="shared" si="445"/>
        <v>7.9009999999999732</v>
      </c>
      <c r="AC242" s="560">
        <f t="shared" si="445"/>
        <v>8.0299999999999923</v>
      </c>
      <c r="AD242" s="560">
        <f t="shared" si="445"/>
        <v>141.08999999999997</v>
      </c>
      <c r="AE242" s="676">
        <f t="shared" si="445"/>
        <v>152.99499999999995</v>
      </c>
      <c r="AF242" s="560">
        <f t="shared" si="445"/>
        <v>-2.2859999999999983</v>
      </c>
      <c r="AG242" s="560">
        <f t="shared" si="445"/>
        <v>10.70400000000001</v>
      </c>
      <c r="AH242" s="560">
        <f t="shared" si="445"/>
        <v>14.986000000000027</v>
      </c>
      <c r="AI242" s="560">
        <f t="shared" ref="AI242:AQ242" si="446">AI238-SUM(AI240:AI241)</f>
        <v>31.94599999999998</v>
      </c>
      <c r="AJ242" s="676">
        <f t="shared" si="446"/>
        <v>55.350000000000051</v>
      </c>
      <c r="AK242" s="560">
        <f t="shared" si="446"/>
        <v>1.3649999999999949</v>
      </c>
      <c r="AL242" s="560">
        <f t="shared" si="446"/>
        <v>12.303000000000029</v>
      </c>
      <c r="AM242" s="560">
        <f t="shared" si="446"/>
        <v>10.060999999999984</v>
      </c>
      <c r="AN242" s="560">
        <f t="shared" si="446"/>
        <v>17.151999999999848</v>
      </c>
      <c r="AO242" s="676">
        <f t="shared" si="446"/>
        <v>40.880999999999972</v>
      </c>
      <c r="AP242" s="560">
        <f t="shared" si="446"/>
        <v>-15.502999999999972</v>
      </c>
      <c r="AQ242" s="560">
        <f t="shared" si="446"/>
        <v>-23.99000000000002</v>
      </c>
      <c r="AR242" s="560">
        <f t="shared" ref="AR242:AW242" si="447">AR238-SUM(AR240:AR241)</f>
        <v>-1.0200000000000387</v>
      </c>
      <c r="AS242" s="560">
        <f t="shared" si="447"/>
        <v>21.089000000000013</v>
      </c>
      <c r="AT242" s="676">
        <f t="shared" si="447"/>
        <v>-19.423999999999957</v>
      </c>
      <c r="AU242" s="560">
        <f t="shared" si="447"/>
        <v>-5.7960000000000012</v>
      </c>
      <c r="AV242" s="560">
        <f t="shared" si="447"/>
        <v>4.2119999999999829</v>
      </c>
      <c r="AW242" s="560">
        <f t="shared" si="447"/>
        <v>18.064999999999952</v>
      </c>
      <c r="AX242" s="560">
        <f t="shared" ref="AX242:AY242" si="448">AX238-SUM(AX240:AX241)</f>
        <v>23.190000000000019</v>
      </c>
      <c r="AY242" s="676">
        <f t="shared" si="448"/>
        <v>39.6709999999999</v>
      </c>
      <c r="AZ242" s="560">
        <f t="shared" ref="AZ242:BD242" si="449">AZ238-SUM(AZ240:AZ241)</f>
        <v>-0.91499999999998893</v>
      </c>
      <c r="BA242" s="560">
        <f t="shared" si="449"/>
        <v>8.0090000000000021</v>
      </c>
      <c r="BB242" s="560">
        <f t="shared" si="449"/>
        <v>9.1080000000000325</v>
      </c>
      <c r="BC242" s="560">
        <f t="shared" si="449"/>
        <v>20.145000000000131</v>
      </c>
      <c r="BD242" s="676">
        <f t="shared" si="449"/>
        <v>36.347000000000058</v>
      </c>
      <c r="BE242" s="560">
        <f t="shared" ref="BE242:BV242" si="450">BE238-SUM(BE240:BE241)</f>
        <v>-1.178000000000047</v>
      </c>
      <c r="BF242" s="560">
        <f t="shared" si="450"/>
        <v>14.728999999999907</v>
      </c>
      <c r="BG242" s="560">
        <f t="shared" si="450"/>
        <v>58.215999999999987</v>
      </c>
      <c r="BH242" s="560">
        <f t="shared" si="450"/>
        <v>27.405999999999985</v>
      </c>
      <c r="BI242" s="676">
        <f t="shared" si="450"/>
        <v>99.172999999999888</v>
      </c>
      <c r="BJ242" s="560">
        <f>BJ238-SUM(BJ240:BJ241)</f>
        <v>14.153999999999986</v>
      </c>
      <c r="BK242" s="560">
        <f>BK238-SUM(BK240:BK241)</f>
        <v>38.036000000000016</v>
      </c>
      <c r="BL242" s="561">
        <f>BL238-SUM(BL240:BL241)</f>
        <v>38.439999999999934</v>
      </c>
      <c r="BM242" s="560">
        <f t="shared" si="450"/>
        <v>76.496794106590059</v>
      </c>
      <c r="BN242" s="676">
        <f t="shared" si="450"/>
        <v>167.12679410659038</v>
      </c>
      <c r="BO242" s="560">
        <f t="shared" si="450"/>
        <v>44.153267651904059</v>
      </c>
      <c r="BP242" s="560">
        <f t="shared" si="450"/>
        <v>68.315275475650594</v>
      </c>
      <c r="BQ242" s="560">
        <f t="shared" si="450"/>
        <v>64.564563349161148</v>
      </c>
      <c r="BR242" s="560">
        <f t="shared" si="450"/>
        <v>58.486805268019651</v>
      </c>
      <c r="BS242" s="676">
        <f t="shared" si="450"/>
        <v>235.51991174473523</v>
      </c>
      <c r="BT242" s="676">
        <f t="shared" si="450"/>
        <v>238.88980745145057</v>
      </c>
      <c r="BU242" s="676">
        <f t="shared" si="450"/>
        <v>259.90856736275168</v>
      </c>
      <c r="BV242" s="676">
        <f t="shared" si="450"/>
        <v>161.32804459374452</v>
      </c>
      <c r="BW242" s="318"/>
    </row>
    <row r="243" spans="1:75" s="439" customFormat="1">
      <c r="A243" s="31" t="s">
        <v>294</v>
      </c>
      <c r="B243" s="53"/>
      <c r="C243" s="89"/>
      <c r="D243" s="89"/>
      <c r="E243" s="89"/>
      <c r="F243" s="89"/>
      <c r="G243" s="518"/>
      <c r="H243" s="518"/>
      <c r="I243" s="518"/>
      <c r="J243" s="518"/>
      <c r="K243" s="89"/>
      <c r="L243" s="518"/>
      <c r="M243" s="518"/>
      <c r="N243" s="518"/>
      <c r="O243" s="518"/>
      <c r="P243" s="89"/>
      <c r="Q243" s="518"/>
      <c r="R243" s="518"/>
      <c r="S243" s="518"/>
      <c r="T243" s="518"/>
      <c r="U243" s="89"/>
      <c r="V243" s="518"/>
      <c r="W243" s="518"/>
      <c r="X243" s="518"/>
      <c r="Y243" s="518"/>
      <c r="Z243" s="89"/>
      <c r="AA243" s="518"/>
      <c r="AB243" s="518"/>
      <c r="AC243" s="518"/>
      <c r="AD243" s="518"/>
      <c r="AE243" s="89"/>
      <c r="AF243" s="518"/>
      <c r="AG243" s="518"/>
      <c r="AH243" s="518"/>
      <c r="AI243" s="518"/>
      <c r="AJ243" s="89"/>
      <c r="AK243" s="518"/>
      <c r="AL243" s="518"/>
      <c r="AM243" s="518"/>
      <c r="AN243" s="518"/>
      <c r="AO243" s="89"/>
      <c r="AP243" s="518"/>
      <c r="AQ243" s="518"/>
      <c r="AR243" s="518"/>
      <c r="AS243" s="518"/>
      <c r="AT243" s="89"/>
      <c r="AU243" s="518"/>
      <c r="AV243" s="518"/>
      <c r="AW243" s="518"/>
      <c r="AX243" s="518"/>
      <c r="AY243" s="89"/>
      <c r="AZ243" s="518"/>
      <c r="BA243" s="518"/>
      <c r="BB243" s="518"/>
      <c r="BC243" s="518"/>
      <c r="BD243" s="89"/>
      <c r="BE243" s="518"/>
      <c r="BF243" s="518"/>
      <c r="BG243" s="518"/>
      <c r="BH243" s="518"/>
      <c r="BI243" s="89"/>
      <c r="BJ243" s="518"/>
      <c r="BK243" s="518"/>
      <c r="BL243" s="520"/>
      <c r="BM243" s="518"/>
      <c r="BN243" s="89">
        <f>SUM(BJ243,BK243,BL243,BM243)</f>
        <v>0</v>
      </c>
      <c r="BO243" s="518"/>
      <c r="BP243" s="518"/>
      <c r="BQ243" s="518"/>
      <c r="BR243" s="518"/>
      <c r="BS243" s="89">
        <f>SUM(BO243,BP243,BQ243,BR243)</f>
        <v>0</v>
      </c>
      <c r="BT243" s="89"/>
      <c r="BU243" s="89"/>
      <c r="BV243" s="89"/>
      <c r="BW243" s="519"/>
    </row>
    <row r="244" spans="1:75" s="439" customFormat="1">
      <c r="A244" s="31" t="s">
        <v>295</v>
      </c>
      <c r="B244" s="53"/>
      <c r="C244" s="89"/>
      <c r="D244" s="89"/>
      <c r="E244" s="89"/>
      <c r="F244" s="89"/>
      <c r="G244" s="518"/>
      <c r="H244" s="518"/>
      <c r="I244" s="518"/>
      <c r="J244" s="518"/>
      <c r="K244" s="89"/>
      <c r="L244" s="518"/>
      <c r="M244" s="518"/>
      <c r="N244" s="518"/>
      <c r="O244" s="518"/>
      <c r="P244" s="89"/>
      <c r="Q244" s="518"/>
      <c r="R244" s="518"/>
      <c r="S244" s="518"/>
      <c r="T244" s="518"/>
      <c r="U244" s="89"/>
      <c r="V244" s="518"/>
      <c r="W244" s="518"/>
      <c r="X244" s="518"/>
      <c r="Y244" s="518"/>
      <c r="Z244" s="89"/>
      <c r="AA244" s="518"/>
      <c r="AB244" s="518"/>
      <c r="AC244" s="518"/>
      <c r="AD244" s="518"/>
      <c r="AE244" s="89"/>
      <c r="AF244" s="518"/>
      <c r="AG244" s="518"/>
      <c r="AH244" s="518"/>
      <c r="AI244" s="518"/>
      <c r="AJ244" s="89"/>
      <c r="AK244" s="518"/>
      <c r="AL244" s="518"/>
      <c r="AM244" s="518"/>
      <c r="AN244" s="518"/>
      <c r="AO244" s="89"/>
      <c r="AP244" s="518"/>
      <c r="AQ244" s="518"/>
      <c r="AR244" s="518"/>
      <c r="AS244" s="518"/>
      <c r="AT244" s="89"/>
      <c r="AU244" s="518"/>
      <c r="AV244" s="518"/>
      <c r="AW244" s="518"/>
      <c r="AX244" s="518"/>
      <c r="AY244" s="89"/>
      <c r="AZ244" s="518"/>
      <c r="BA244" s="518"/>
      <c r="BB244" s="518"/>
      <c r="BC244" s="518"/>
      <c r="BD244" s="89"/>
      <c r="BE244" s="518"/>
      <c r="BF244" s="518"/>
      <c r="BG244" s="518"/>
      <c r="BH244" s="518"/>
      <c r="BI244" s="89"/>
      <c r="BJ244" s="518"/>
      <c r="BK244" s="518"/>
      <c r="BL244" s="520"/>
      <c r="BM244" s="518"/>
      <c r="BN244" s="89">
        <f>SUM(BJ244,BK244,BL244,BM244)</f>
        <v>0</v>
      </c>
      <c r="BO244" s="518"/>
      <c r="BP244" s="518"/>
      <c r="BQ244" s="518"/>
      <c r="BR244" s="518"/>
      <c r="BS244" s="89">
        <f>SUM(BO244,BP244,BQ244,BR244)</f>
        <v>0</v>
      </c>
      <c r="BT244" s="89"/>
      <c r="BU244" s="89"/>
      <c r="BV244" s="89"/>
      <c r="BW244" s="519"/>
    </row>
    <row r="245" spans="1:75" s="439" customFormat="1">
      <c r="A245" s="31" t="s">
        <v>296</v>
      </c>
      <c r="B245" s="53"/>
      <c r="C245" s="89">
        <f t="shared" ref="C245:AH245" si="451">C174</f>
        <v>-3.2000000000000001E-2</v>
      </c>
      <c r="D245" s="89">
        <f t="shared" si="451"/>
        <v>0.17499999999999999</v>
      </c>
      <c r="E245" s="89">
        <f t="shared" si="451"/>
        <v>-0.189</v>
      </c>
      <c r="F245" s="89">
        <f t="shared" si="451"/>
        <v>-3.2000000000000001E-2</v>
      </c>
      <c r="G245" s="518">
        <f t="shared" si="451"/>
        <v>0</v>
      </c>
      <c r="H245" s="518">
        <f t="shared" si="451"/>
        <v>0</v>
      </c>
      <c r="I245" s="518">
        <f t="shared" si="451"/>
        <v>0</v>
      </c>
      <c r="J245" s="518">
        <f t="shared" si="451"/>
        <v>0</v>
      </c>
      <c r="K245" s="89">
        <f t="shared" si="451"/>
        <v>0</v>
      </c>
      <c r="L245" s="518">
        <f t="shared" si="451"/>
        <v>0</v>
      </c>
      <c r="M245" s="518">
        <f t="shared" si="451"/>
        <v>0</v>
      </c>
      <c r="N245" s="518">
        <f t="shared" si="451"/>
        <v>0</v>
      </c>
      <c r="O245" s="518">
        <f t="shared" si="451"/>
        <v>0</v>
      </c>
      <c r="P245" s="89">
        <f t="shared" si="451"/>
        <v>0</v>
      </c>
      <c r="Q245" s="518">
        <f t="shared" si="451"/>
        <v>0</v>
      </c>
      <c r="R245" s="518">
        <f t="shared" si="451"/>
        <v>0</v>
      </c>
      <c r="S245" s="518">
        <f t="shared" si="451"/>
        <v>0</v>
      </c>
      <c r="T245" s="518">
        <f t="shared" si="451"/>
        <v>0</v>
      </c>
      <c r="U245" s="89">
        <f t="shared" si="451"/>
        <v>0</v>
      </c>
      <c r="V245" s="518">
        <f t="shared" si="451"/>
        <v>0</v>
      </c>
      <c r="W245" s="518">
        <f t="shared" si="451"/>
        <v>0</v>
      </c>
      <c r="X245" s="518">
        <f t="shared" si="451"/>
        <v>0</v>
      </c>
      <c r="Y245" s="518">
        <f t="shared" si="451"/>
        <v>0</v>
      </c>
      <c r="Z245" s="89">
        <f t="shared" si="451"/>
        <v>0</v>
      </c>
      <c r="AA245" s="518">
        <f t="shared" si="451"/>
        <v>0</v>
      </c>
      <c r="AB245" s="518">
        <f t="shared" si="451"/>
        <v>0</v>
      </c>
      <c r="AC245" s="518">
        <f t="shared" si="451"/>
        <v>0</v>
      </c>
      <c r="AD245" s="518">
        <f t="shared" si="451"/>
        <v>0</v>
      </c>
      <c r="AE245" s="89">
        <f t="shared" si="451"/>
        <v>0</v>
      </c>
      <c r="AF245" s="518">
        <f t="shared" si="451"/>
        <v>0</v>
      </c>
      <c r="AG245" s="518">
        <f t="shared" si="451"/>
        <v>0</v>
      </c>
      <c r="AH245" s="518">
        <f t="shared" si="451"/>
        <v>0</v>
      </c>
      <c r="AI245" s="518">
        <f t="shared" ref="AI245:BG245" si="452">AI174</f>
        <v>0</v>
      </c>
      <c r="AJ245" s="89">
        <f t="shared" si="452"/>
        <v>0</v>
      </c>
      <c r="AK245" s="518">
        <f t="shared" si="452"/>
        <v>0</v>
      </c>
      <c r="AL245" s="518">
        <f t="shared" si="452"/>
        <v>0</v>
      </c>
      <c r="AM245" s="518">
        <f t="shared" si="452"/>
        <v>0</v>
      </c>
      <c r="AN245" s="518">
        <f t="shared" si="452"/>
        <v>0</v>
      </c>
      <c r="AO245" s="89">
        <f t="shared" si="452"/>
        <v>0</v>
      </c>
      <c r="AP245" s="518">
        <f t="shared" si="452"/>
        <v>0</v>
      </c>
      <c r="AQ245" s="518">
        <f t="shared" si="452"/>
        <v>0</v>
      </c>
      <c r="AR245" s="518">
        <f t="shared" si="452"/>
        <v>0</v>
      </c>
      <c r="AS245" s="518">
        <f t="shared" si="452"/>
        <v>0</v>
      </c>
      <c r="AT245" s="89">
        <f t="shared" si="452"/>
        <v>0</v>
      </c>
      <c r="AU245" s="518">
        <f t="shared" si="452"/>
        <v>0</v>
      </c>
      <c r="AV245" s="518">
        <f t="shared" si="452"/>
        <v>0</v>
      </c>
      <c r="AW245" s="518">
        <f t="shared" si="452"/>
        <v>0</v>
      </c>
      <c r="AX245" s="518">
        <f t="shared" si="452"/>
        <v>0</v>
      </c>
      <c r="AY245" s="89">
        <f t="shared" si="452"/>
        <v>0</v>
      </c>
      <c r="AZ245" s="518">
        <f t="shared" si="452"/>
        <v>0</v>
      </c>
      <c r="BA245" s="518">
        <f t="shared" si="452"/>
        <v>0</v>
      </c>
      <c r="BB245" s="518">
        <f t="shared" si="452"/>
        <v>0</v>
      </c>
      <c r="BC245" s="518">
        <f t="shared" si="452"/>
        <v>0</v>
      </c>
      <c r="BD245" s="89">
        <f t="shared" si="452"/>
        <v>0</v>
      </c>
      <c r="BE245" s="518">
        <f t="shared" si="452"/>
        <v>0</v>
      </c>
      <c r="BF245" s="518">
        <f t="shared" si="452"/>
        <v>0</v>
      </c>
      <c r="BG245" s="518">
        <f t="shared" si="452"/>
        <v>0</v>
      </c>
      <c r="BH245" s="518">
        <f>BH174</f>
        <v>0</v>
      </c>
      <c r="BI245" s="89">
        <f>BI174</f>
        <v>0</v>
      </c>
      <c r="BJ245" s="518">
        <f>BJ174</f>
        <v>0</v>
      </c>
      <c r="BK245" s="518">
        <f>BK174</f>
        <v>0</v>
      </c>
      <c r="BL245" s="520">
        <f>BL174</f>
        <v>0</v>
      </c>
      <c r="BM245" s="609">
        <v>0</v>
      </c>
      <c r="BN245" s="89">
        <f>SUM(BJ245,BK245,BL245,BM245)</f>
        <v>0</v>
      </c>
      <c r="BO245" s="609">
        <v>0</v>
      </c>
      <c r="BP245" s="609">
        <v>0</v>
      </c>
      <c r="BQ245" s="609">
        <v>0</v>
      </c>
      <c r="BR245" s="609">
        <v>0</v>
      </c>
      <c r="BS245" s="89">
        <f>SUM(BO245,BP245,BQ245,BR245)</f>
        <v>0</v>
      </c>
      <c r="BT245" s="675">
        <v>0</v>
      </c>
      <c r="BU245" s="675">
        <v>0</v>
      </c>
      <c r="BV245" s="675">
        <v>0</v>
      </c>
      <c r="BW245" s="519"/>
    </row>
    <row r="246" spans="1:75" s="444" customFormat="1">
      <c r="A246" s="18" t="s">
        <v>297</v>
      </c>
      <c r="B246" s="49"/>
      <c r="C246" s="676">
        <f t="shared" ref="C246:AH246" si="453">C242-SUM(C243:C245)</f>
        <v>-2.2759999999999985</v>
      </c>
      <c r="D246" s="676">
        <f t="shared" si="453"/>
        <v>-9.7409999999999997</v>
      </c>
      <c r="E246" s="676">
        <f t="shared" si="453"/>
        <v>-16.479000000000006</v>
      </c>
      <c r="F246" s="676">
        <f t="shared" si="453"/>
        <v>-19.081000000000014</v>
      </c>
      <c r="G246" s="560">
        <f t="shared" si="453"/>
        <v>-4.7989999999999942</v>
      </c>
      <c r="H246" s="560">
        <f t="shared" si="453"/>
        <v>-0.87799999999999123</v>
      </c>
      <c r="I246" s="560">
        <f t="shared" si="453"/>
        <v>-2.3220000000000058</v>
      </c>
      <c r="J246" s="560">
        <f t="shared" si="453"/>
        <v>-2.0690000000000155</v>
      </c>
      <c r="K246" s="676">
        <f t="shared" si="453"/>
        <v>-10.068000000000037</v>
      </c>
      <c r="L246" s="560">
        <f t="shared" si="453"/>
        <v>-2.6349999999999989</v>
      </c>
      <c r="M246" s="560">
        <f t="shared" si="453"/>
        <v>2.742999999999995</v>
      </c>
      <c r="N246" s="560">
        <f t="shared" si="453"/>
        <v>3.6369999999999827</v>
      </c>
      <c r="O246" s="560">
        <f t="shared" si="453"/>
        <v>32.727999999999994</v>
      </c>
      <c r="P246" s="676">
        <f t="shared" si="453"/>
        <v>36.473000000000027</v>
      </c>
      <c r="Q246" s="560">
        <f t="shared" si="453"/>
        <v>-1.2839999999999954</v>
      </c>
      <c r="R246" s="560">
        <f t="shared" si="453"/>
        <v>-1.3049999999999886</v>
      </c>
      <c r="S246" s="560">
        <f t="shared" si="453"/>
        <v>-8.0819999999999901</v>
      </c>
      <c r="T246" s="560">
        <f t="shared" si="453"/>
        <v>-22.228999999999981</v>
      </c>
      <c r="U246" s="676">
        <f t="shared" si="453"/>
        <v>-32.899999999999956</v>
      </c>
      <c r="V246" s="560">
        <f t="shared" si="453"/>
        <v>-15.451999999999996</v>
      </c>
      <c r="W246" s="560">
        <f t="shared" si="453"/>
        <v>0.4490000000000165</v>
      </c>
      <c r="X246" s="560">
        <f t="shared" si="453"/>
        <v>2.0700000000000078</v>
      </c>
      <c r="Y246" s="560">
        <f t="shared" si="453"/>
        <v>8.2629999999999022</v>
      </c>
      <c r="Z246" s="676">
        <f t="shared" si="453"/>
        <v>-4.6700000000001554</v>
      </c>
      <c r="AA246" s="560">
        <f t="shared" si="453"/>
        <v>-4.0260000000000025</v>
      </c>
      <c r="AB246" s="560">
        <f t="shared" si="453"/>
        <v>7.9009999999999732</v>
      </c>
      <c r="AC246" s="560">
        <f t="shared" si="453"/>
        <v>8.0299999999999923</v>
      </c>
      <c r="AD246" s="560">
        <f t="shared" si="453"/>
        <v>141.08999999999997</v>
      </c>
      <c r="AE246" s="676">
        <f t="shared" si="453"/>
        <v>152.99499999999995</v>
      </c>
      <c r="AF246" s="560">
        <f t="shared" si="453"/>
        <v>-2.2859999999999983</v>
      </c>
      <c r="AG246" s="560">
        <f t="shared" si="453"/>
        <v>10.70400000000001</v>
      </c>
      <c r="AH246" s="560">
        <f t="shared" si="453"/>
        <v>14.986000000000027</v>
      </c>
      <c r="AI246" s="560">
        <f t="shared" ref="AI246:AQ246" si="454">AI242-SUM(AI243:AI245)</f>
        <v>31.94599999999998</v>
      </c>
      <c r="AJ246" s="676">
        <f t="shared" si="454"/>
        <v>55.350000000000051</v>
      </c>
      <c r="AK246" s="560">
        <f t="shared" si="454"/>
        <v>1.3649999999999949</v>
      </c>
      <c r="AL246" s="560">
        <f t="shared" si="454"/>
        <v>12.303000000000029</v>
      </c>
      <c r="AM246" s="560">
        <f t="shared" si="454"/>
        <v>10.060999999999984</v>
      </c>
      <c r="AN246" s="560">
        <f t="shared" si="454"/>
        <v>17.151999999999848</v>
      </c>
      <c r="AO246" s="676">
        <f t="shared" si="454"/>
        <v>40.880999999999972</v>
      </c>
      <c r="AP246" s="560">
        <f t="shared" si="454"/>
        <v>-15.502999999999972</v>
      </c>
      <c r="AQ246" s="560">
        <f t="shared" si="454"/>
        <v>-23.99000000000002</v>
      </c>
      <c r="AR246" s="560">
        <f t="shared" ref="AR246:AW246" si="455">AR242-SUM(AR243:AR245)</f>
        <v>-1.0200000000000387</v>
      </c>
      <c r="AS246" s="560">
        <f t="shared" si="455"/>
        <v>21.089000000000013</v>
      </c>
      <c r="AT246" s="676">
        <f t="shared" si="455"/>
        <v>-19.423999999999957</v>
      </c>
      <c r="AU246" s="560">
        <f t="shared" si="455"/>
        <v>-5.7960000000000012</v>
      </c>
      <c r="AV246" s="560">
        <f t="shared" si="455"/>
        <v>4.2119999999999829</v>
      </c>
      <c r="AW246" s="560">
        <f t="shared" si="455"/>
        <v>18.064999999999952</v>
      </c>
      <c r="AX246" s="560">
        <f t="shared" ref="AX246:BA246" si="456">AX242-SUM(AX243:AX245)</f>
        <v>23.190000000000019</v>
      </c>
      <c r="AY246" s="676">
        <f t="shared" si="456"/>
        <v>39.6709999999999</v>
      </c>
      <c r="AZ246" s="560">
        <f t="shared" si="456"/>
        <v>-0.91499999999998893</v>
      </c>
      <c r="BA246" s="560">
        <f t="shared" si="456"/>
        <v>8.0090000000000021</v>
      </c>
      <c r="BB246" s="560">
        <f t="shared" ref="BB246:BN246" si="457">BB242-SUM(BB243:BB245)</f>
        <v>9.1080000000000325</v>
      </c>
      <c r="BC246" s="560">
        <f t="shared" si="457"/>
        <v>20.145000000000131</v>
      </c>
      <c r="BD246" s="676">
        <f t="shared" si="457"/>
        <v>36.347000000000058</v>
      </c>
      <c r="BE246" s="560">
        <f t="shared" ref="BE246:BM246" si="458">BE242-SUM(BE243:BE245)</f>
        <v>-1.178000000000047</v>
      </c>
      <c r="BF246" s="560">
        <f t="shared" si="458"/>
        <v>14.728999999999907</v>
      </c>
      <c r="BG246" s="560">
        <f t="shared" si="458"/>
        <v>58.215999999999987</v>
      </c>
      <c r="BH246" s="560">
        <f t="shared" si="458"/>
        <v>27.405999999999985</v>
      </c>
      <c r="BI246" s="676">
        <f t="shared" si="458"/>
        <v>99.172999999999888</v>
      </c>
      <c r="BJ246" s="560">
        <f>BJ242-SUM(BJ243:BJ245)</f>
        <v>14.153999999999986</v>
      </c>
      <c r="BK246" s="560">
        <f>BK242-SUM(BK243:BK245)</f>
        <v>38.036000000000016</v>
      </c>
      <c r="BL246" s="561">
        <f>BL242-SUM(BL243:BL245)</f>
        <v>38.439999999999934</v>
      </c>
      <c r="BM246" s="560">
        <f t="shared" si="458"/>
        <v>76.496794106590059</v>
      </c>
      <c r="BN246" s="676">
        <f t="shared" si="457"/>
        <v>167.12679410659038</v>
      </c>
      <c r="BO246" s="560">
        <f t="shared" ref="BO246:BV246" si="459">BO242-SUM(BO243:BO245)</f>
        <v>44.153267651904059</v>
      </c>
      <c r="BP246" s="560">
        <f t="shared" si="459"/>
        <v>68.315275475650594</v>
      </c>
      <c r="BQ246" s="560">
        <f t="shared" si="459"/>
        <v>64.564563349161148</v>
      </c>
      <c r="BR246" s="560">
        <f t="shared" si="459"/>
        <v>58.486805268019651</v>
      </c>
      <c r="BS246" s="676">
        <f t="shared" si="459"/>
        <v>235.51991174473523</v>
      </c>
      <c r="BT246" s="676">
        <f t="shared" si="459"/>
        <v>238.88980745145057</v>
      </c>
      <c r="BU246" s="676">
        <f t="shared" si="459"/>
        <v>259.90856736275168</v>
      </c>
      <c r="BV246" s="676">
        <f t="shared" si="459"/>
        <v>161.32804459374452</v>
      </c>
      <c r="BW246" s="318"/>
    </row>
    <row r="247" spans="1:75" s="439" customFormat="1">
      <c r="A247" s="31" t="s">
        <v>298</v>
      </c>
      <c r="B247" s="53"/>
      <c r="C247" s="89"/>
      <c r="D247" s="89"/>
      <c r="E247" s="89"/>
      <c r="F247" s="89"/>
      <c r="G247" s="518"/>
      <c r="H247" s="518"/>
      <c r="I247" s="518"/>
      <c r="J247" s="518"/>
      <c r="K247" s="89"/>
      <c r="L247" s="518"/>
      <c r="M247" s="518"/>
      <c r="N247" s="518"/>
      <c r="O247" s="518"/>
      <c r="P247" s="89"/>
      <c r="Q247" s="518"/>
      <c r="R247" s="518"/>
      <c r="S247" s="518"/>
      <c r="T247" s="518"/>
      <c r="U247" s="89"/>
      <c r="V247" s="518"/>
      <c r="W247" s="518"/>
      <c r="X247" s="518"/>
      <c r="Y247" s="518"/>
      <c r="Z247" s="89"/>
      <c r="AA247" s="518"/>
      <c r="AB247" s="518"/>
      <c r="AC247" s="518"/>
      <c r="AD247" s="518"/>
      <c r="AE247" s="89"/>
      <c r="AF247" s="518"/>
      <c r="AG247" s="518"/>
      <c r="AH247" s="518"/>
      <c r="AI247" s="518"/>
      <c r="AJ247" s="89"/>
      <c r="AK247" s="518"/>
      <c r="AL247" s="518"/>
      <c r="AM247" s="518"/>
      <c r="AN247" s="518"/>
      <c r="AO247" s="89"/>
      <c r="AP247" s="518"/>
      <c r="AQ247" s="518"/>
      <c r="AR247" s="518"/>
      <c r="AS247" s="518"/>
      <c r="AT247" s="89"/>
      <c r="AU247" s="518"/>
      <c r="AV247" s="518"/>
      <c r="AW247" s="518"/>
      <c r="AX247" s="518"/>
      <c r="AY247" s="89"/>
      <c r="AZ247" s="518"/>
      <c r="BA247" s="518"/>
      <c r="BB247" s="518"/>
      <c r="BC247" s="518"/>
      <c r="BD247" s="89"/>
      <c r="BE247" s="518"/>
      <c r="BF247" s="518"/>
      <c r="BG247" s="518"/>
      <c r="BH247" s="518"/>
      <c r="BI247" s="89"/>
      <c r="BJ247" s="518"/>
      <c r="BK247" s="518"/>
      <c r="BL247" s="520"/>
      <c r="BM247" s="518"/>
      <c r="BN247" s="89">
        <f>SUM(BJ247,BK247,BL247,BM247)</f>
        <v>0</v>
      </c>
      <c r="BO247" s="518"/>
      <c r="BP247" s="518"/>
      <c r="BQ247" s="518"/>
      <c r="BR247" s="518"/>
      <c r="BS247" s="89">
        <f>SUM(BO247,BP247,BQ247,BR247)</f>
        <v>0</v>
      </c>
      <c r="BT247" s="89"/>
      <c r="BU247" s="89"/>
      <c r="BV247" s="89"/>
      <c r="BW247" s="519"/>
    </row>
    <row r="248" spans="1:75" s="444" customFormat="1">
      <c r="A248" s="18" t="s">
        <v>299</v>
      </c>
      <c r="B248" s="49"/>
      <c r="C248" s="676">
        <f t="shared" ref="C248:AH248" si="460">C246-C247</f>
        <v>-2.2759999999999985</v>
      </c>
      <c r="D248" s="676">
        <f t="shared" si="460"/>
        <v>-9.7409999999999997</v>
      </c>
      <c r="E248" s="676">
        <f t="shared" si="460"/>
        <v>-16.479000000000006</v>
      </c>
      <c r="F248" s="676">
        <f t="shared" si="460"/>
        <v>-19.081000000000014</v>
      </c>
      <c r="G248" s="560">
        <f t="shared" si="460"/>
        <v>-4.7989999999999942</v>
      </c>
      <c r="H248" s="560">
        <f t="shared" si="460"/>
        <v>-0.87799999999999123</v>
      </c>
      <c r="I248" s="560">
        <f t="shared" si="460"/>
        <v>-2.3220000000000058</v>
      </c>
      <c r="J248" s="560">
        <f t="shared" si="460"/>
        <v>-2.0690000000000155</v>
      </c>
      <c r="K248" s="676">
        <f t="shared" si="460"/>
        <v>-10.068000000000037</v>
      </c>
      <c r="L248" s="560">
        <f t="shared" si="460"/>
        <v>-2.6349999999999989</v>
      </c>
      <c r="M248" s="560">
        <f t="shared" si="460"/>
        <v>2.742999999999995</v>
      </c>
      <c r="N248" s="560">
        <f t="shared" si="460"/>
        <v>3.6369999999999827</v>
      </c>
      <c r="O248" s="560">
        <f t="shared" si="460"/>
        <v>32.727999999999994</v>
      </c>
      <c r="P248" s="676">
        <f t="shared" si="460"/>
        <v>36.473000000000027</v>
      </c>
      <c r="Q248" s="560">
        <f t="shared" si="460"/>
        <v>-1.2839999999999954</v>
      </c>
      <c r="R248" s="560">
        <f t="shared" si="460"/>
        <v>-1.3049999999999886</v>
      </c>
      <c r="S248" s="560">
        <f t="shared" si="460"/>
        <v>-8.0819999999999901</v>
      </c>
      <c r="T248" s="560">
        <f t="shared" si="460"/>
        <v>-22.228999999999981</v>
      </c>
      <c r="U248" s="676">
        <f t="shared" si="460"/>
        <v>-32.899999999999956</v>
      </c>
      <c r="V248" s="560">
        <f t="shared" si="460"/>
        <v>-15.451999999999996</v>
      </c>
      <c r="W248" s="560">
        <f t="shared" si="460"/>
        <v>0.4490000000000165</v>
      </c>
      <c r="X248" s="560">
        <f t="shared" si="460"/>
        <v>2.0700000000000078</v>
      </c>
      <c r="Y248" s="560">
        <f t="shared" si="460"/>
        <v>8.2629999999999022</v>
      </c>
      <c r="Z248" s="676">
        <f t="shared" si="460"/>
        <v>-4.6700000000001554</v>
      </c>
      <c r="AA248" s="560">
        <f t="shared" si="460"/>
        <v>-4.0260000000000025</v>
      </c>
      <c r="AB248" s="560">
        <f t="shared" si="460"/>
        <v>7.9009999999999732</v>
      </c>
      <c r="AC248" s="560">
        <f t="shared" si="460"/>
        <v>8.0299999999999923</v>
      </c>
      <c r="AD248" s="560">
        <f t="shared" si="460"/>
        <v>141.08999999999997</v>
      </c>
      <c r="AE248" s="676">
        <f t="shared" si="460"/>
        <v>152.99499999999995</v>
      </c>
      <c r="AF248" s="560">
        <f t="shared" si="460"/>
        <v>-2.2859999999999983</v>
      </c>
      <c r="AG248" s="560">
        <f t="shared" si="460"/>
        <v>10.70400000000001</v>
      </c>
      <c r="AH248" s="560">
        <f t="shared" si="460"/>
        <v>14.986000000000027</v>
      </c>
      <c r="AI248" s="560">
        <f t="shared" ref="AI248:AQ248" si="461">AI246-AI247</f>
        <v>31.94599999999998</v>
      </c>
      <c r="AJ248" s="676">
        <f t="shared" si="461"/>
        <v>55.350000000000051</v>
      </c>
      <c r="AK248" s="560">
        <f t="shared" si="461"/>
        <v>1.3649999999999949</v>
      </c>
      <c r="AL248" s="560">
        <f t="shared" si="461"/>
        <v>12.303000000000029</v>
      </c>
      <c r="AM248" s="560">
        <f t="shared" si="461"/>
        <v>10.060999999999984</v>
      </c>
      <c r="AN248" s="560">
        <f t="shared" si="461"/>
        <v>17.151999999999848</v>
      </c>
      <c r="AO248" s="676">
        <f t="shared" si="461"/>
        <v>40.880999999999972</v>
      </c>
      <c r="AP248" s="560">
        <f t="shared" si="461"/>
        <v>-15.502999999999972</v>
      </c>
      <c r="AQ248" s="560">
        <f t="shared" si="461"/>
        <v>-23.99000000000002</v>
      </c>
      <c r="AR248" s="560">
        <f t="shared" ref="AR248:AW248" si="462">AR246-AR247</f>
        <v>-1.0200000000000387</v>
      </c>
      <c r="AS248" s="560">
        <f t="shared" si="462"/>
        <v>21.089000000000013</v>
      </c>
      <c r="AT248" s="676">
        <f t="shared" si="462"/>
        <v>-19.423999999999957</v>
      </c>
      <c r="AU248" s="560">
        <f t="shared" si="462"/>
        <v>-5.7960000000000012</v>
      </c>
      <c r="AV248" s="560">
        <f t="shared" si="462"/>
        <v>4.2119999999999829</v>
      </c>
      <c r="AW248" s="560">
        <f t="shared" si="462"/>
        <v>18.064999999999952</v>
      </c>
      <c r="AX248" s="560">
        <f t="shared" ref="AX248:BA248" si="463">AX246-AX247</f>
        <v>23.190000000000019</v>
      </c>
      <c r="AY248" s="676">
        <f t="shared" si="463"/>
        <v>39.6709999999999</v>
      </c>
      <c r="AZ248" s="560">
        <f t="shared" si="463"/>
        <v>-0.91499999999998893</v>
      </c>
      <c r="BA248" s="560">
        <f t="shared" si="463"/>
        <v>8.0090000000000021</v>
      </c>
      <c r="BB248" s="560">
        <f t="shared" ref="BB248:BN248" si="464">BB246-BB247</f>
        <v>9.1080000000000325</v>
      </c>
      <c r="BC248" s="560">
        <f t="shared" si="464"/>
        <v>20.145000000000131</v>
      </c>
      <c r="BD248" s="676">
        <f t="shared" si="464"/>
        <v>36.347000000000058</v>
      </c>
      <c r="BE248" s="560">
        <f t="shared" ref="BE248:BM248" si="465">BE246-BE247</f>
        <v>-1.178000000000047</v>
      </c>
      <c r="BF248" s="560">
        <f t="shared" si="465"/>
        <v>14.728999999999907</v>
      </c>
      <c r="BG248" s="560">
        <f t="shared" si="465"/>
        <v>58.215999999999987</v>
      </c>
      <c r="BH248" s="560">
        <f t="shared" si="465"/>
        <v>27.405999999999985</v>
      </c>
      <c r="BI248" s="676">
        <f t="shared" si="465"/>
        <v>99.172999999999888</v>
      </c>
      <c r="BJ248" s="560">
        <f>BJ246-BJ247</f>
        <v>14.153999999999986</v>
      </c>
      <c r="BK248" s="560">
        <f>BK246-BK247</f>
        <v>38.036000000000016</v>
      </c>
      <c r="BL248" s="561">
        <f>BL246-BL247</f>
        <v>38.439999999999934</v>
      </c>
      <c r="BM248" s="560">
        <f t="shared" si="465"/>
        <v>76.496794106590059</v>
      </c>
      <c r="BN248" s="676">
        <f t="shared" si="464"/>
        <v>167.12679410659038</v>
      </c>
      <c r="BO248" s="560">
        <f t="shared" ref="BO248:BV248" si="466">BO246-BO247</f>
        <v>44.153267651904059</v>
      </c>
      <c r="BP248" s="560">
        <f t="shared" si="466"/>
        <v>68.315275475650594</v>
      </c>
      <c r="BQ248" s="560">
        <f t="shared" si="466"/>
        <v>64.564563349161148</v>
      </c>
      <c r="BR248" s="560">
        <f t="shared" si="466"/>
        <v>58.486805268019651</v>
      </c>
      <c r="BS248" s="676">
        <f t="shared" si="466"/>
        <v>235.51991174473523</v>
      </c>
      <c r="BT248" s="676">
        <f t="shared" si="466"/>
        <v>238.88980745145057</v>
      </c>
      <c r="BU248" s="676">
        <f t="shared" si="466"/>
        <v>259.90856736275168</v>
      </c>
      <c r="BV248" s="676">
        <f t="shared" si="466"/>
        <v>161.32804459374452</v>
      </c>
      <c r="BW248" s="318"/>
    </row>
    <row r="249" spans="1:75" s="439" customFormat="1">
      <c r="A249" s="31" t="s">
        <v>300</v>
      </c>
      <c r="B249" s="53"/>
      <c r="C249" s="89">
        <f t="shared" ref="C249:AH249" si="467">-SUM(C194:C198)</f>
        <v>0</v>
      </c>
      <c r="D249" s="89">
        <f t="shared" si="467"/>
        <v>0</v>
      </c>
      <c r="E249" s="89">
        <f t="shared" si="467"/>
        <v>0</v>
      </c>
      <c r="F249" s="89">
        <f t="shared" si="467"/>
        <v>0</v>
      </c>
      <c r="G249" s="518">
        <f t="shared" si="467"/>
        <v>0</v>
      </c>
      <c r="H249" s="518">
        <f t="shared" si="467"/>
        <v>0</v>
      </c>
      <c r="I249" s="518">
        <f t="shared" si="467"/>
        <v>0</v>
      </c>
      <c r="J249" s="518">
        <f t="shared" si="467"/>
        <v>-9.4089999999999989</v>
      </c>
      <c r="K249" s="89">
        <f t="shared" si="467"/>
        <v>-28.381999999999998</v>
      </c>
      <c r="L249" s="518">
        <f t="shared" si="467"/>
        <v>0</v>
      </c>
      <c r="M249" s="518">
        <f t="shared" si="467"/>
        <v>0</v>
      </c>
      <c r="N249" s="518">
        <f t="shared" si="467"/>
        <v>0</v>
      </c>
      <c r="O249" s="518">
        <f t="shared" si="467"/>
        <v>13.830999999999998</v>
      </c>
      <c r="P249" s="89">
        <f t="shared" si="467"/>
        <v>-16.524000000000004</v>
      </c>
      <c r="Q249" s="518">
        <f t="shared" si="467"/>
        <v>-9.1859999999999999</v>
      </c>
      <c r="R249" s="518">
        <f t="shared" si="467"/>
        <v>-10.658999999999999</v>
      </c>
      <c r="S249" s="518">
        <f t="shared" si="467"/>
        <v>-10.755999999999998</v>
      </c>
      <c r="T249" s="518">
        <f t="shared" si="467"/>
        <v>-31.204000000000001</v>
      </c>
      <c r="U249" s="89">
        <f t="shared" si="467"/>
        <v>-61.804999999999993</v>
      </c>
      <c r="V249" s="518">
        <f t="shared" si="467"/>
        <v>-21.414999999999999</v>
      </c>
      <c r="W249" s="518">
        <f t="shared" si="467"/>
        <v>-12.067</v>
      </c>
      <c r="X249" s="518">
        <f t="shared" si="467"/>
        <v>-16.338999999999999</v>
      </c>
      <c r="Y249" s="518">
        <f t="shared" si="467"/>
        <v>-14.288</v>
      </c>
      <c r="Z249" s="89">
        <f t="shared" si="467"/>
        <v>-64.11</v>
      </c>
      <c r="AA249" s="518">
        <f t="shared" si="467"/>
        <v>-21.054000000000002</v>
      </c>
      <c r="AB249" s="518">
        <f t="shared" si="467"/>
        <v>-14.046999999999999</v>
      </c>
      <c r="AC249" s="518">
        <f t="shared" si="467"/>
        <v>-17.458000000000002</v>
      </c>
      <c r="AD249" s="518">
        <f t="shared" si="467"/>
        <v>125.25199999999998</v>
      </c>
      <c r="AE249" s="89">
        <f t="shared" si="467"/>
        <v>72.691999999999993</v>
      </c>
      <c r="AF249" s="518">
        <f t="shared" si="467"/>
        <v>0</v>
      </c>
      <c r="AG249" s="518">
        <f t="shared" si="467"/>
        <v>0</v>
      </c>
      <c r="AH249" s="518">
        <f t="shared" si="467"/>
        <v>0</v>
      </c>
      <c r="AI249" s="518">
        <f t="shared" ref="AI249:BG249" si="468">-SUM(AI194:AI198)</f>
        <v>0</v>
      </c>
      <c r="AJ249" s="89">
        <f t="shared" si="468"/>
        <v>0</v>
      </c>
      <c r="AK249" s="518">
        <f t="shared" si="468"/>
        <v>0</v>
      </c>
      <c r="AL249" s="518">
        <f t="shared" si="468"/>
        <v>0</v>
      </c>
      <c r="AM249" s="518">
        <f t="shared" si="468"/>
        <v>0</v>
      </c>
      <c r="AN249" s="518">
        <f t="shared" si="468"/>
        <v>0</v>
      </c>
      <c r="AO249" s="89">
        <f t="shared" si="468"/>
        <v>0</v>
      </c>
      <c r="AP249" s="518">
        <f t="shared" si="468"/>
        <v>0</v>
      </c>
      <c r="AQ249" s="518">
        <f t="shared" si="468"/>
        <v>0</v>
      </c>
      <c r="AR249" s="518">
        <f t="shared" si="468"/>
        <v>0</v>
      </c>
      <c r="AS249" s="518">
        <f t="shared" si="468"/>
        <v>0</v>
      </c>
      <c r="AT249" s="89">
        <f t="shared" si="468"/>
        <v>0</v>
      </c>
      <c r="AU249" s="518">
        <f t="shared" si="468"/>
        <v>0</v>
      </c>
      <c r="AV249" s="518">
        <f t="shared" si="468"/>
        <v>0</v>
      </c>
      <c r="AW249" s="518">
        <f t="shared" si="468"/>
        <v>0</v>
      </c>
      <c r="AX249" s="518">
        <f t="shared" si="468"/>
        <v>0</v>
      </c>
      <c r="AY249" s="89">
        <f t="shared" si="468"/>
        <v>0</v>
      </c>
      <c r="AZ249" s="518">
        <f t="shared" si="468"/>
        <v>0</v>
      </c>
      <c r="BA249" s="518">
        <f t="shared" si="468"/>
        <v>0</v>
      </c>
      <c r="BB249" s="518">
        <f t="shared" si="468"/>
        <v>0</v>
      </c>
      <c r="BC249" s="518">
        <f t="shared" si="468"/>
        <v>0</v>
      </c>
      <c r="BD249" s="89">
        <f t="shared" si="468"/>
        <v>0</v>
      </c>
      <c r="BE249" s="518">
        <f t="shared" si="468"/>
        <v>0</v>
      </c>
      <c r="BF249" s="518">
        <f t="shared" si="468"/>
        <v>0</v>
      </c>
      <c r="BG249" s="518">
        <f t="shared" si="468"/>
        <v>0</v>
      </c>
      <c r="BH249" s="518">
        <f>-SUM(BH194:BH198)</f>
        <v>0</v>
      </c>
      <c r="BI249" s="89">
        <f>-SUM(BI194:BI198)</f>
        <v>0</v>
      </c>
      <c r="BJ249" s="518">
        <f>-SUM(BJ194:BJ198)</f>
        <v>0</v>
      </c>
      <c r="BK249" s="518">
        <f>-SUM(BK194:BK198)</f>
        <v>0</v>
      </c>
      <c r="BL249" s="520">
        <f>-SUM(BL194:BL198)</f>
        <v>0</v>
      </c>
      <c r="BM249" s="609">
        <v>0</v>
      </c>
      <c r="BN249" s="89">
        <f>SUM(BJ249,BK249,BL249,BM249)</f>
        <v>0</v>
      </c>
      <c r="BO249" s="609">
        <v>0</v>
      </c>
      <c r="BP249" s="609">
        <v>0</v>
      </c>
      <c r="BQ249" s="609">
        <v>0</v>
      </c>
      <c r="BR249" s="609">
        <v>0</v>
      </c>
      <c r="BS249" s="89">
        <f>SUM(BO249,BP249,BQ249,BR249)</f>
        <v>0</v>
      </c>
      <c r="BT249" s="675">
        <v>0</v>
      </c>
      <c r="BU249" s="675">
        <v>0</v>
      </c>
      <c r="BV249" s="675">
        <v>0</v>
      </c>
      <c r="BW249" s="519"/>
    </row>
    <row r="250" spans="1:75" s="439" customFormat="1">
      <c r="A250" s="31" t="s">
        <v>301</v>
      </c>
      <c r="B250" s="53"/>
      <c r="C250" s="89"/>
      <c r="D250" s="89"/>
      <c r="E250" s="89"/>
      <c r="F250" s="89"/>
      <c r="G250" s="518"/>
      <c r="H250" s="518"/>
      <c r="I250" s="518"/>
      <c r="J250" s="518"/>
      <c r="K250" s="89"/>
      <c r="L250" s="518"/>
      <c r="M250" s="518"/>
      <c r="N250" s="518"/>
      <c r="O250" s="518"/>
      <c r="P250" s="89"/>
      <c r="Q250" s="518"/>
      <c r="R250" s="518"/>
      <c r="S250" s="518"/>
      <c r="T250" s="518"/>
      <c r="U250" s="89"/>
      <c r="V250" s="518"/>
      <c r="W250" s="518"/>
      <c r="X250" s="518"/>
      <c r="Y250" s="518"/>
      <c r="Z250" s="89"/>
      <c r="AA250" s="518"/>
      <c r="AB250" s="518"/>
      <c r="AC250" s="518"/>
      <c r="AD250" s="518"/>
      <c r="AE250" s="89"/>
      <c r="AF250" s="518"/>
      <c r="AG250" s="518"/>
      <c r="AH250" s="518"/>
      <c r="AI250" s="518"/>
      <c r="AJ250" s="89"/>
      <c r="AK250" s="518"/>
      <c r="AL250" s="518"/>
      <c r="AM250" s="518"/>
      <c r="AN250" s="518"/>
      <c r="AO250" s="89"/>
      <c r="AP250" s="518"/>
      <c r="AQ250" s="518"/>
      <c r="AR250" s="518"/>
      <c r="AS250" s="518"/>
      <c r="AT250" s="89"/>
      <c r="AU250" s="518"/>
      <c r="AV250" s="518"/>
      <c r="AW250" s="518"/>
      <c r="AX250" s="518"/>
      <c r="AY250" s="89"/>
      <c r="AZ250" s="518"/>
      <c r="BA250" s="518"/>
      <c r="BB250" s="518"/>
      <c r="BC250" s="518"/>
      <c r="BD250" s="89"/>
      <c r="BE250" s="518"/>
      <c r="BF250" s="518"/>
      <c r="BG250" s="518"/>
      <c r="BH250" s="518"/>
      <c r="BI250" s="89"/>
      <c r="BJ250" s="518"/>
      <c r="BK250" s="518"/>
      <c r="BL250" s="520"/>
      <c r="BM250" s="518"/>
      <c r="BN250" s="89"/>
      <c r="BO250" s="518"/>
      <c r="BP250" s="518"/>
      <c r="BQ250" s="518"/>
      <c r="BR250" s="518"/>
      <c r="BS250" s="89"/>
      <c r="BT250" s="89"/>
      <c r="BU250" s="89"/>
      <c r="BV250" s="89"/>
      <c r="BW250" s="519"/>
    </row>
    <row r="251" spans="1:75" s="444" customFormat="1">
      <c r="A251" s="18" t="s">
        <v>302</v>
      </c>
      <c r="B251" s="49"/>
      <c r="C251" s="676">
        <f t="shared" ref="C251:AH251" si="469">C246-SUM(C249:C250)</f>
        <v>-2.2759999999999985</v>
      </c>
      <c r="D251" s="676">
        <f t="shared" si="469"/>
        <v>-9.7409999999999997</v>
      </c>
      <c r="E251" s="676">
        <f t="shared" si="469"/>
        <v>-16.479000000000006</v>
      </c>
      <c r="F251" s="676">
        <f t="shared" si="469"/>
        <v>-19.081000000000014</v>
      </c>
      <c r="G251" s="560">
        <f t="shared" si="469"/>
        <v>-4.7989999999999942</v>
      </c>
      <c r="H251" s="560">
        <f t="shared" si="469"/>
        <v>-0.87799999999999123</v>
      </c>
      <c r="I251" s="560">
        <f t="shared" si="469"/>
        <v>-2.3220000000000058</v>
      </c>
      <c r="J251" s="560">
        <f t="shared" si="469"/>
        <v>7.3399999999999839</v>
      </c>
      <c r="K251" s="676">
        <f t="shared" si="469"/>
        <v>18.313999999999961</v>
      </c>
      <c r="L251" s="560">
        <f t="shared" si="469"/>
        <v>-2.6349999999999989</v>
      </c>
      <c r="M251" s="560">
        <f t="shared" si="469"/>
        <v>2.742999999999995</v>
      </c>
      <c r="N251" s="560">
        <f t="shared" si="469"/>
        <v>3.6369999999999827</v>
      </c>
      <c r="O251" s="560">
        <f t="shared" si="469"/>
        <v>18.896999999999998</v>
      </c>
      <c r="P251" s="676">
        <f t="shared" si="469"/>
        <v>52.997000000000028</v>
      </c>
      <c r="Q251" s="560">
        <f t="shared" si="469"/>
        <v>7.9020000000000046</v>
      </c>
      <c r="R251" s="560">
        <f t="shared" si="469"/>
        <v>9.3540000000000099</v>
      </c>
      <c r="S251" s="560">
        <f t="shared" si="469"/>
        <v>2.6740000000000084</v>
      </c>
      <c r="T251" s="560">
        <f t="shared" si="469"/>
        <v>8.9750000000000192</v>
      </c>
      <c r="U251" s="676">
        <f t="shared" si="469"/>
        <v>28.905000000000037</v>
      </c>
      <c r="V251" s="560">
        <f t="shared" si="469"/>
        <v>5.9630000000000027</v>
      </c>
      <c r="W251" s="560">
        <f t="shared" si="469"/>
        <v>12.516000000000016</v>
      </c>
      <c r="X251" s="560">
        <f t="shared" si="469"/>
        <v>18.409000000000006</v>
      </c>
      <c r="Y251" s="560">
        <f t="shared" si="469"/>
        <v>22.550999999999902</v>
      </c>
      <c r="Z251" s="676">
        <f t="shared" si="469"/>
        <v>59.439999999999841</v>
      </c>
      <c r="AA251" s="560">
        <f t="shared" si="469"/>
        <v>17.027999999999999</v>
      </c>
      <c r="AB251" s="560">
        <f t="shared" si="469"/>
        <v>21.947999999999972</v>
      </c>
      <c r="AC251" s="560">
        <f t="shared" si="469"/>
        <v>25.487999999999992</v>
      </c>
      <c r="AD251" s="560">
        <f t="shared" si="469"/>
        <v>15.837999999999994</v>
      </c>
      <c r="AE251" s="676">
        <f t="shared" si="469"/>
        <v>80.302999999999955</v>
      </c>
      <c r="AF251" s="560">
        <f t="shared" si="469"/>
        <v>-2.2859999999999983</v>
      </c>
      <c r="AG251" s="560">
        <f t="shared" si="469"/>
        <v>10.70400000000001</v>
      </c>
      <c r="AH251" s="560">
        <f t="shared" si="469"/>
        <v>14.986000000000027</v>
      </c>
      <c r="AI251" s="560">
        <f t="shared" ref="AI251:AQ251" si="470">AI246-SUM(AI249:AI250)</f>
        <v>31.94599999999998</v>
      </c>
      <c r="AJ251" s="676">
        <f t="shared" si="470"/>
        <v>55.350000000000051</v>
      </c>
      <c r="AK251" s="560">
        <f t="shared" si="470"/>
        <v>1.3649999999999949</v>
      </c>
      <c r="AL251" s="560">
        <f t="shared" si="470"/>
        <v>12.303000000000029</v>
      </c>
      <c r="AM251" s="560">
        <f t="shared" si="470"/>
        <v>10.060999999999984</v>
      </c>
      <c r="AN251" s="560">
        <f t="shared" si="470"/>
        <v>17.151999999999848</v>
      </c>
      <c r="AO251" s="676">
        <f t="shared" si="470"/>
        <v>40.880999999999972</v>
      </c>
      <c r="AP251" s="560">
        <f t="shared" si="470"/>
        <v>-15.502999999999972</v>
      </c>
      <c r="AQ251" s="560">
        <f t="shared" si="470"/>
        <v>-23.99000000000002</v>
      </c>
      <c r="AR251" s="560">
        <f t="shared" ref="AR251:AW251" si="471">AR246-SUM(AR249:AR250)</f>
        <v>-1.0200000000000387</v>
      </c>
      <c r="AS251" s="560">
        <f t="shared" si="471"/>
        <v>21.089000000000013</v>
      </c>
      <c r="AT251" s="676">
        <f t="shared" si="471"/>
        <v>-19.423999999999957</v>
      </c>
      <c r="AU251" s="560">
        <f t="shared" si="471"/>
        <v>-5.7960000000000012</v>
      </c>
      <c r="AV251" s="560">
        <f t="shared" si="471"/>
        <v>4.2119999999999829</v>
      </c>
      <c r="AW251" s="560">
        <f t="shared" si="471"/>
        <v>18.064999999999952</v>
      </c>
      <c r="AX251" s="560">
        <f t="shared" ref="AX251:BA251" si="472">AX246-SUM(AX249:AX250)</f>
        <v>23.190000000000019</v>
      </c>
      <c r="AY251" s="676">
        <f t="shared" si="472"/>
        <v>39.6709999999999</v>
      </c>
      <c r="AZ251" s="560">
        <f t="shared" si="472"/>
        <v>-0.91499999999998893</v>
      </c>
      <c r="BA251" s="560">
        <f t="shared" si="472"/>
        <v>8.0090000000000021</v>
      </c>
      <c r="BB251" s="560">
        <f t="shared" ref="BB251:BN251" si="473">BB246-SUM(BB249:BB250)</f>
        <v>9.1080000000000325</v>
      </c>
      <c r="BC251" s="560">
        <f t="shared" si="473"/>
        <v>20.145000000000131</v>
      </c>
      <c r="BD251" s="676">
        <f t="shared" si="473"/>
        <v>36.347000000000058</v>
      </c>
      <c r="BE251" s="560">
        <f t="shared" ref="BE251:BM251" si="474">BE246-SUM(BE249:BE250)</f>
        <v>-1.178000000000047</v>
      </c>
      <c r="BF251" s="560">
        <f t="shared" si="474"/>
        <v>14.728999999999907</v>
      </c>
      <c r="BG251" s="560">
        <f t="shared" si="474"/>
        <v>58.215999999999987</v>
      </c>
      <c r="BH251" s="560">
        <f t="shared" si="474"/>
        <v>27.405999999999985</v>
      </c>
      <c r="BI251" s="676">
        <f t="shared" si="474"/>
        <v>99.172999999999888</v>
      </c>
      <c r="BJ251" s="560">
        <f>BJ246-SUM(BJ249:BJ250)</f>
        <v>14.153999999999986</v>
      </c>
      <c r="BK251" s="560">
        <f>BK246-SUM(BK249:BK250)</f>
        <v>38.036000000000016</v>
      </c>
      <c r="BL251" s="561">
        <f>BL246-SUM(BL249:BL250)</f>
        <v>38.439999999999934</v>
      </c>
      <c r="BM251" s="560">
        <f t="shared" si="474"/>
        <v>76.496794106590059</v>
      </c>
      <c r="BN251" s="676">
        <f t="shared" si="473"/>
        <v>167.12679410659038</v>
      </c>
      <c r="BO251" s="560">
        <f t="shared" ref="BO251:BV251" si="475">BO246-SUM(BO249:BO250)</f>
        <v>44.153267651904059</v>
      </c>
      <c r="BP251" s="560">
        <f t="shared" si="475"/>
        <v>68.315275475650594</v>
      </c>
      <c r="BQ251" s="560">
        <f t="shared" si="475"/>
        <v>64.564563349161148</v>
      </c>
      <c r="BR251" s="560">
        <f t="shared" si="475"/>
        <v>58.486805268019651</v>
      </c>
      <c r="BS251" s="676">
        <f t="shared" si="475"/>
        <v>235.51991174473523</v>
      </c>
      <c r="BT251" s="676">
        <f t="shared" si="475"/>
        <v>238.88980745145057</v>
      </c>
      <c r="BU251" s="676">
        <f t="shared" si="475"/>
        <v>259.90856736275168</v>
      </c>
      <c r="BV251" s="676">
        <f t="shared" si="475"/>
        <v>161.32804459374452</v>
      </c>
      <c r="BW251" s="318"/>
    </row>
    <row r="252" spans="1:75" s="459" customFormat="1">
      <c r="A252" s="529"/>
      <c r="B252" s="530"/>
      <c r="C252" s="723"/>
      <c r="D252" s="723"/>
      <c r="E252" s="723"/>
      <c r="F252" s="723"/>
      <c r="G252" s="524"/>
      <c r="H252" s="524"/>
      <c r="I252" s="524"/>
      <c r="J252" s="524"/>
      <c r="K252" s="723"/>
      <c r="L252" s="524"/>
      <c r="M252" s="524"/>
      <c r="N252" s="524"/>
      <c r="O252" s="524"/>
      <c r="P252" s="723"/>
      <c r="Q252" s="524"/>
      <c r="R252" s="524"/>
      <c r="S252" s="524"/>
      <c r="T252" s="524"/>
      <c r="U252" s="723"/>
      <c r="V252" s="524"/>
      <c r="W252" s="524"/>
      <c r="X252" s="524"/>
      <c r="Y252" s="524"/>
      <c r="Z252" s="723"/>
      <c r="AA252" s="524"/>
      <c r="AB252" s="524"/>
      <c r="AC252" s="524"/>
      <c r="AD252" s="524"/>
      <c r="AE252" s="723"/>
      <c r="AF252" s="524"/>
      <c r="AG252" s="524"/>
      <c r="AH252" s="524"/>
      <c r="AI252" s="524"/>
      <c r="AJ252" s="723"/>
      <c r="AK252" s="524"/>
      <c r="AL252" s="524"/>
      <c r="AM252" s="524"/>
      <c r="AN252" s="524"/>
      <c r="AO252" s="723"/>
      <c r="AP252" s="524"/>
      <c r="AQ252" s="524"/>
      <c r="AR252" s="524"/>
      <c r="AS252" s="524"/>
      <c r="AT252" s="723"/>
      <c r="AU252" s="524"/>
      <c r="AV252" s="524"/>
      <c r="AW252" s="524"/>
      <c r="AX252" s="524"/>
      <c r="AY252" s="723"/>
      <c r="AZ252" s="524"/>
      <c r="BA252" s="524"/>
      <c r="BB252" s="524"/>
      <c r="BC252" s="524"/>
      <c r="BD252" s="723"/>
      <c r="BE252" s="524"/>
      <c r="BF252" s="524"/>
      <c r="BG252" s="524"/>
      <c r="BH252" s="524"/>
      <c r="BI252" s="723"/>
      <c r="BJ252" s="524"/>
      <c r="BK252" s="524"/>
      <c r="BL252" s="576"/>
      <c r="BM252" s="524"/>
      <c r="BN252" s="723"/>
      <c r="BO252" s="524"/>
      <c r="BP252" s="524"/>
      <c r="BQ252" s="524"/>
      <c r="BR252" s="524"/>
      <c r="BS252" s="723"/>
      <c r="BT252" s="723"/>
      <c r="BU252" s="723"/>
      <c r="BV252" s="723"/>
      <c r="BW252" s="142"/>
    </row>
    <row r="253" spans="1:75" s="442" customFormat="1">
      <c r="A253" s="34" t="s">
        <v>303</v>
      </c>
      <c r="B253" s="73"/>
      <c r="C253" s="170">
        <f t="shared" ref="C253:AQ253" si="476">C240/C238</f>
        <v>-3.4782608695652197E-3</v>
      </c>
      <c r="D253" s="170">
        <f t="shared" si="476"/>
        <v>-7.6914972078811501E-3</v>
      </c>
      <c r="E253" s="170">
        <f t="shared" si="476"/>
        <v>-6.941929252686223E-3</v>
      </c>
      <c r="F253" s="170">
        <f t="shared" si="476"/>
        <v>-7.3192564899162713E-3</v>
      </c>
      <c r="G253" s="34">
        <f t="shared" si="476"/>
        <v>-9.2534174553102096E-3</v>
      </c>
      <c r="H253" s="34">
        <f t="shared" si="476"/>
        <v>-0.35913312693498939</v>
      </c>
      <c r="I253" s="34">
        <f t="shared" si="476"/>
        <v>-0.28145695364238321</v>
      </c>
      <c r="J253" s="34">
        <f t="shared" si="476"/>
        <v>-2.5780862667327514E-2</v>
      </c>
      <c r="K253" s="170">
        <f t="shared" si="476"/>
        <v>-0.14452871072589327</v>
      </c>
      <c r="L253" s="34">
        <f t="shared" si="476"/>
        <v>0.42792010421189763</v>
      </c>
      <c r="M253" s="34">
        <f t="shared" si="476"/>
        <v>0.11857326478149119</v>
      </c>
      <c r="N253" s="34">
        <f t="shared" si="476"/>
        <v>0.23334738617200759</v>
      </c>
      <c r="O253" s="34">
        <f t="shared" si="476"/>
        <v>-3.0757160647571644</v>
      </c>
      <c r="P253" s="170">
        <f t="shared" si="476"/>
        <v>0.17960992907801376</v>
      </c>
      <c r="Q253" s="34">
        <f t="shared" si="476"/>
        <v>0.6517493897477632</v>
      </c>
      <c r="R253" s="34">
        <f t="shared" si="476"/>
        <v>4.4432717678098932</v>
      </c>
      <c r="S253" s="34">
        <f t="shared" si="476"/>
        <v>0.2820467264813008</v>
      </c>
      <c r="T253" s="34">
        <f t="shared" si="476"/>
        <v>-2.4879962341126696</v>
      </c>
      <c r="U253" s="170">
        <f t="shared" si="476"/>
        <v>-6.543127328302617E-2</v>
      </c>
      <c r="V253" s="34">
        <f t="shared" si="476"/>
        <v>-0.10253300035676063</v>
      </c>
      <c r="W253" s="34">
        <f t="shared" si="476"/>
        <v>1.5475609756097872</v>
      </c>
      <c r="X253" s="34">
        <f t="shared" si="476"/>
        <v>9.4884127678180691E-2</v>
      </c>
      <c r="Y253" s="34">
        <f t="shared" si="476"/>
        <v>0.10795638562021057</v>
      </c>
      <c r="Z253" s="170">
        <f t="shared" si="476"/>
        <v>-0.42161339421611399</v>
      </c>
      <c r="AA253" s="34">
        <f t="shared" si="476"/>
        <v>-1.6923465521596355E-2</v>
      </c>
      <c r="AB253" s="34">
        <f t="shared" si="476"/>
        <v>1.4715051752088837E-2</v>
      </c>
      <c r="AC253" s="34">
        <f t="shared" si="476"/>
        <v>2.8080367949649025E-2</v>
      </c>
      <c r="AD253" s="34">
        <f t="shared" si="476"/>
        <v>0.18049069491879838</v>
      </c>
      <c r="AE253" s="170">
        <f t="shared" si="476"/>
        <v>0.17069587936211966</v>
      </c>
      <c r="AF253" s="34">
        <f t="shared" si="476"/>
        <v>-2.8340080971659944E-2</v>
      </c>
      <c r="AG253" s="34">
        <f t="shared" si="476"/>
        <v>3.0873698506111342E-2</v>
      </c>
      <c r="AH253" s="34">
        <f t="shared" si="476"/>
        <v>-4.7825478953992362E-2</v>
      </c>
      <c r="AI253" s="34">
        <f t="shared" si="476"/>
        <v>-0.89231133751925229</v>
      </c>
      <c r="AJ253" s="170">
        <f t="shared" si="476"/>
        <v>-0.38354246862970504</v>
      </c>
      <c r="AK253" s="34">
        <f t="shared" si="476"/>
        <v>0.86897404202719941</v>
      </c>
      <c r="AL253" s="34">
        <f t="shared" si="476"/>
        <v>0.27585778219791102</v>
      </c>
      <c r="AM253" s="34">
        <f t="shared" si="476"/>
        <v>0.10409894553238737</v>
      </c>
      <c r="AN253" s="34">
        <f t="shared" si="476"/>
        <v>0.25823172236757852</v>
      </c>
      <c r="AO253" s="170">
        <f t="shared" si="476"/>
        <v>0.23479414069564181</v>
      </c>
      <c r="AP253" s="34">
        <f t="shared" si="476"/>
        <v>7.6969477620943527E-2</v>
      </c>
      <c r="AQ253" s="34">
        <f t="shared" si="476"/>
        <v>0.11622769266081365</v>
      </c>
      <c r="AR253" s="34">
        <f t="shared" ref="AR253:AW253" si="477">AR240/AR238</f>
        <v>0.30707527766351417</v>
      </c>
      <c r="AS253" s="34">
        <f t="shared" si="477"/>
        <v>-0.10361753630984392</v>
      </c>
      <c r="AT253" s="170">
        <f t="shared" si="477"/>
        <v>0.12868327402135252</v>
      </c>
      <c r="AU253" s="34">
        <f t="shared" si="477"/>
        <v>-3.3257747543461856E-2</v>
      </c>
      <c r="AV253" s="34">
        <f t="shared" si="477"/>
        <v>-1.1094619666047878</v>
      </c>
      <c r="AW253" s="34">
        <f t="shared" si="477"/>
        <v>0.11630870040043711</v>
      </c>
      <c r="AX253" s="34">
        <f t="shared" ref="AX253:BD253" si="478">AX240/AX238</f>
        <v>-8.9519758642860828E-3</v>
      </c>
      <c r="AY253" s="170">
        <f t="shared" si="478"/>
        <v>9.6002135357969309E-2</v>
      </c>
      <c r="AZ253" s="34">
        <f t="shared" si="478"/>
        <v>-2.3992061241848672</v>
      </c>
      <c r="BA253" s="34">
        <f t="shared" si="478"/>
        <v>1.2903393351800554</v>
      </c>
      <c r="BB253" s="34">
        <f t="shared" si="478"/>
        <v>1.4927086565311789</v>
      </c>
      <c r="BC253" s="34">
        <f t="shared" si="478"/>
        <v>0.87287721773099369</v>
      </c>
      <c r="BD253" s="170">
        <f t="shared" si="478"/>
        <v>1.3036029830183582</v>
      </c>
      <c r="BE253" s="34">
        <f t="shared" ref="BE253:BJ253" si="479">BE240/BE238</f>
        <v>-14.301818181817701</v>
      </c>
      <c r="BF253" s="34">
        <f t="shared" si="479"/>
        <v>1.3066964285714338</v>
      </c>
      <c r="BG253" s="34">
        <f t="shared" si="479"/>
        <v>-0.90557394798759061</v>
      </c>
      <c r="BH253" s="34">
        <f t="shared" si="479"/>
        <v>0.58268718555785748</v>
      </c>
      <c r="BI253" s="170">
        <f t="shared" si="479"/>
        <v>0.26702004149140696</v>
      </c>
      <c r="BJ253" s="34">
        <f t="shared" si="479"/>
        <v>0.35705612164088513</v>
      </c>
      <c r="BK253" s="34">
        <f>BK240/BK238</f>
        <v>0.24298468114002669</v>
      </c>
      <c r="BL253" s="394">
        <f>BL240/BL238</f>
        <v>0.57053244993782903</v>
      </c>
      <c r="BM253" s="623">
        <v>0.2</v>
      </c>
      <c r="BN253" s="170">
        <f>BN240/BN238</f>
        <v>0.33039379309749506</v>
      </c>
      <c r="BO253" s="623">
        <v>0.05</v>
      </c>
      <c r="BP253" s="623">
        <v>0.05</v>
      </c>
      <c r="BQ253" s="623">
        <v>0.05</v>
      </c>
      <c r="BR253" s="623">
        <v>0.01</v>
      </c>
      <c r="BS253" s="170">
        <f>BS240/BS238</f>
        <v>4.0570510517866365E-2</v>
      </c>
      <c r="BT253" s="729">
        <v>0.05</v>
      </c>
      <c r="BU253" s="729">
        <v>0.05</v>
      </c>
      <c r="BV253" s="729">
        <v>0.05</v>
      </c>
      <c r="BW253" s="84"/>
    </row>
    <row r="254" spans="1:75" s="442" customFormat="1">
      <c r="A254" s="34" t="s">
        <v>304</v>
      </c>
      <c r="B254" s="73"/>
      <c r="C254" s="170">
        <f t="shared" ref="C254:AQ254" si="480">C241/C238</f>
        <v>0</v>
      </c>
      <c r="D254" s="170">
        <f t="shared" si="480"/>
        <v>-2.1072595090085346E-4</v>
      </c>
      <c r="E254" s="170">
        <f t="shared" si="480"/>
        <v>7.8473982856452939E-4</v>
      </c>
      <c r="F254" s="170">
        <f t="shared" si="480"/>
        <v>8.9516086567321301E-4</v>
      </c>
      <c r="G254" s="34">
        <f t="shared" si="480"/>
        <v>0</v>
      </c>
      <c r="H254" s="34">
        <f t="shared" si="480"/>
        <v>0</v>
      </c>
      <c r="I254" s="34">
        <f t="shared" si="480"/>
        <v>0</v>
      </c>
      <c r="J254" s="34">
        <f t="shared" si="480"/>
        <v>0</v>
      </c>
      <c r="K254" s="170">
        <f t="shared" si="480"/>
        <v>5.3737811484290146E-2</v>
      </c>
      <c r="L254" s="34">
        <f t="shared" si="480"/>
        <v>0</v>
      </c>
      <c r="M254" s="34">
        <f t="shared" si="480"/>
        <v>0</v>
      </c>
      <c r="N254" s="34">
        <f t="shared" si="480"/>
        <v>0</v>
      </c>
      <c r="O254" s="34">
        <f t="shared" si="480"/>
        <v>0</v>
      </c>
      <c r="P254" s="170">
        <f t="shared" si="480"/>
        <v>-2.4130319148936117</v>
      </c>
      <c r="Q254" s="34">
        <f t="shared" si="480"/>
        <v>0</v>
      </c>
      <c r="R254" s="34">
        <f t="shared" si="480"/>
        <v>0</v>
      </c>
      <c r="S254" s="34">
        <f t="shared" si="480"/>
        <v>0</v>
      </c>
      <c r="T254" s="34">
        <f t="shared" si="480"/>
        <v>0</v>
      </c>
      <c r="U254" s="170">
        <f t="shared" si="480"/>
        <v>-0.50587448657942602</v>
      </c>
      <c r="V254" s="34">
        <f t="shared" si="480"/>
        <v>0</v>
      </c>
      <c r="W254" s="34">
        <f t="shared" si="480"/>
        <v>0</v>
      </c>
      <c r="X254" s="34">
        <f t="shared" si="480"/>
        <v>0</v>
      </c>
      <c r="Y254" s="34">
        <f t="shared" si="480"/>
        <v>0</v>
      </c>
      <c r="Z254" s="170">
        <f t="shared" si="480"/>
        <v>0</v>
      </c>
      <c r="AA254" s="34">
        <f t="shared" si="480"/>
        <v>0</v>
      </c>
      <c r="AB254" s="34">
        <f t="shared" si="480"/>
        <v>0</v>
      </c>
      <c r="AC254" s="34">
        <f t="shared" si="480"/>
        <v>0</v>
      </c>
      <c r="AD254" s="34">
        <f t="shared" si="480"/>
        <v>0</v>
      </c>
      <c r="AE254" s="170">
        <f t="shared" si="480"/>
        <v>0</v>
      </c>
      <c r="AF254" s="34">
        <f t="shared" si="480"/>
        <v>0</v>
      </c>
      <c r="AG254" s="34">
        <f t="shared" si="480"/>
        <v>0</v>
      </c>
      <c r="AH254" s="34">
        <f t="shared" si="480"/>
        <v>0</v>
      </c>
      <c r="AI254" s="34">
        <f t="shared" si="480"/>
        <v>0</v>
      </c>
      <c r="AJ254" s="170">
        <f t="shared" si="480"/>
        <v>0</v>
      </c>
      <c r="AK254" s="34">
        <f t="shared" si="480"/>
        <v>-1.5562422744128652</v>
      </c>
      <c r="AL254" s="34">
        <f t="shared" si="480"/>
        <v>-4.0589259075086946E-2</v>
      </c>
      <c r="AM254" s="34">
        <f t="shared" si="480"/>
        <v>9.8231982874811816E-2</v>
      </c>
      <c r="AN254" s="34">
        <f t="shared" si="480"/>
        <v>-0.10495137483339172</v>
      </c>
      <c r="AO254" s="170">
        <f t="shared" si="480"/>
        <v>-5.6242088130689045E-2</v>
      </c>
      <c r="AP254" s="34">
        <f t="shared" si="480"/>
        <v>0.29959383922467558</v>
      </c>
      <c r="AQ254" s="34">
        <f t="shared" si="480"/>
        <v>0.19547254260630045</v>
      </c>
      <c r="AR254" s="34">
        <f t="shared" ref="AR254:AW254" si="481">AR241/AR238</f>
        <v>0.79781982723159517</v>
      </c>
      <c r="AS254" s="34">
        <f t="shared" si="481"/>
        <v>-0.31441635287789099</v>
      </c>
      <c r="AT254" s="170">
        <f t="shared" si="481"/>
        <v>0.31832028469750928</v>
      </c>
      <c r="AU254" s="34">
        <f t="shared" si="481"/>
        <v>0.30309901738473166</v>
      </c>
      <c r="AV254" s="34">
        <f t="shared" si="481"/>
        <v>9.923933209647176</v>
      </c>
      <c r="AW254" s="34">
        <f t="shared" si="481"/>
        <v>6.1658172551874883E-2</v>
      </c>
      <c r="AX254" s="34">
        <f t="shared" ref="AX254:BD254" si="482">AX241/AX238</f>
        <v>-0.13798902022849777</v>
      </c>
      <c r="AY254" s="170">
        <f t="shared" si="482"/>
        <v>-0.27255471854795738</v>
      </c>
      <c r="AZ254" s="34">
        <f t="shared" si="482"/>
        <v>3.139778848880078</v>
      </c>
      <c r="BA254" s="34">
        <f t="shared" si="482"/>
        <v>-0.75253924284395191</v>
      </c>
      <c r="BB254" s="34">
        <f t="shared" si="482"/>
        <v>-1.0578963698417601</v>
      </c>
      <c r="BC254" s="34">
        <f t="shared" si="482"/>
        <v>-0.41937496608973873</v>
      </c>
      <c r="BD254" s="170">
        <f t="shared" si="482"/>
        <v>-0.84789900865554446</v>
      </c>
      <c r="BE254" s="34">
        <f t="shared" ref="BE254:BJ254" si="483">BE241/BE238</f>
        <v>14.445090909090423</v>
      </c>
      <c r="BF254" s="34">
        <f t="shared" si="483"/>
        <v>-0.90446428571428938</v>
      </c>
      <c r="BG254" s="34">
        <f t="shared" si="483"/>
        <v>0.69342244987194734</v>
      </c>
      <c r="BH254" s="34">
        <f t="shared" si="483"/>
        <v>-0.39375554897898796</v>
      </c>
      <c r="BI254" s="170">
        <f t="shared" si="483"/>
        <v>-0.21078776574484709</v>
      </c>
      <c r="BJ254" s="34">
        <f t="shared" si="483"/>
        <v>-0.10432395332875781</v>
      </c>
      <c r="BK254" s="34">
        <f>BK241/BK238</f>
        <v>-2.6563342587229617E-3</v>
      </c>
      <c r="BL254" s="394">
        <f>BL241/BL238</f>
        <v>-0.28392999647384187</v>
      </c>
      <c r="BM254" s="623">
        <v>-0.3</v>
      </c>
      <c r="BN254" s="170">
        <f>BN241/BN238</f>
        <v>-0.19887574826250326</v>
      </c>
      <c r="BO254" s="623">
        <v>-0.05</v>
      </c>
      <c r="BP254" s="623">
        <v>-0.05</v>
      </c>
      <c r="BQ254" s="623">
        <v>-0.1</v>
      </c>
      <c r="BR254" s="623">
        <v>-0.1</v>
      </c>
      <c r="BS254" s="170">
        <f>BS241/BS238</f>
        <v>-7.5294260299413537E-2</v>
      </c>
      <c r="BT254" s="729">
        <v>-0.1</v>
      </c>
      <c r="BU254" s="729">
        <v>-0.15</v>
      </c>
      <c r="BV254" s="729">
        <v>0</v>
      </c>
      <c r="BW254" s="84"/>
    </row>
    <row r="255" spans="1:75" s="442" customFormat="1">
      <c r="A255" s="34"/>
      <c r="B255" s="73"/>
      <c r="C255" s="170"/>
      <c r="D255" s="170"/>
      <c r="E255" s="170"/>
      <c r="F255" s="170"/>
      <c r="G255" s="34"/>
      <c r="H255" s="34"/>
      <c r="I255" s="34"/>
      <c r="J255" s="34"/>
      <c r="K255" s="170"/>
      <c r="L255" s="34"/>
      <c r="M255" s="34"/>
      <c r="N255" s="34"/>
      <c r="O255" s="34"/>
      <c r="P255" s="170"/>
      <c r="Q255" s="34"/>
      <c r="R255" s="34"/>
      <c r="S255" s="34"/>
      <c r="T255" s="34"/>
      <c r="U255" s="170"/>
      <c r="V255" s="34"/>
      <c r="W255" s="34"/>
      <c r="X255" s="34"/>
      <c r="Y255" s="34"/>
      <c r="Z255" s="170"/>
      <c r="AA255" s="34"/>
      <c r="AB255" s="34"/>
      <c r="AC255" s="34"/>
      <c r="AD255" s="34"/>
      <c r="AE255" s="170"/>
      <c r="AF255" s="34"/>
      <c r="AG255" s="34"/>
      <c r="AH255" s="34"/>
      <c r="AI255" s="34"/>
      <c r="AJ255" s="170"/>
      <c r="AK255" s="34"/>
      <c r="AL255" s="34"/>
      <c r="AM255" s="34"/>
      <c r="AN255" s="34"/>
      <c r="AO255" s="170"/>
      <c r="AP255" s="34"/>
      <c r="AQ255" s="34"/>
      <c r="AR255" s="34"/>
      <c r="AS255" s="34"/>
      <c r="AT255" s="170"/>
      <c r="AU255" s="34"/>
      <c r="AV255" s="34"/>
      <c r="AW255" s="34"/>
      <c r="AX255" s="34"/>
      <c r="AY255" s="170"/>
      <c r="AZ255" s="34"/>
      <c r="BA255" s="34"/>
      <c r="BB255" s="34"/>
      <c r="BC255" s="34"/>
      <c r="BD255" s="170"/>
      <c r="BE255" s="34"/>
      <c r="BF255" s="34"/>
      <c r="BG255" s="34"/>
      <c r="BH255" s="34"/>
      <c r="BI255" s="170"/>
      <c r="BJ255" s="34"/>
      <c r="BK255" s="34"/>
      <c r="BL255" s="394"/>
      <c r="BM255" s="34"/>
      <c r="BN255" s="170"/>
      <c r="BO255" s="34"/>
      <c r="BP255" s="34"/>
      <c r="BQ255" s="34"/>
      <c r="BR255" s="34"/>
      <c r="BS255" s="170"/>
      <c r="BT255" s="170"/>
      <c r="BU255" s="170"/>
      <c r="BV255" s="170"/>
      <c r="BW255" s="84"/>
    </row>
    <row r="256" spans="1:75" s="463" customFormat="1">
      <c r="A256" s="35" t="s">
        <v>305</v>
      </c>
      <c r="B256" s="74"/>
      <c r="C256" s="730">
        <f t="shared" ref="C256:AH256" si="484">C246/C261</f>
        <v>-0.18438107582631227</v>
      </c>
      <c r="D256" s="730">
        <f t="shared" si="484"/>
        <v>-0.70720197473500801</v>
      </c>
      <c r="E256" s="730">
        <f t="shared" si="484"/>
        <v>-1.0776927604473223</v>
      </c>
      <c r="F256" s="730">
        <f t="shared" si="484"/>
        <v>-0.35237954532863053</v>
      </c>
      <c r="G256" s="12">
        <f t="shared" si="484"/>
        <v>-7.5298510975475727E-2</v>
      </c>
      <c r="H256" s="12">
        <f t="shared" si="484"/>
        <v>-1.3596382556986981E-2</v>
      </c>
      <c r="I256" s="12">
        <f t="shared" si="484"/>
        <v>-3.5434152296658104E-2</v>
      </c>
      <c r="J256" s="12">
        <f t="shared" si="484"/>
        <v>-3.0052144610513396E-2</v>
      </c>
      <c r="K256" s="730">
        <f t="shared" si="484"/>
        <v>-0.15332368841848831</v>
      </c>
      <c r="L256" s="12">
        <f t="shared" si="484"/>
        <v>-3.7023506765396001E-2</v>
      </c>
      <c r="M256" s="12">
        <f t="shared" si="484"/>
        <v>3.8249156371140854E-2</v>
      </c>
      <c r="N256" s="12">
        <f t="shared" si="484"/>
        <v>5.0377449961908481E-2</v>
      </c>
      <c r="O256" s="12">
        <f t="shared" si="484"/>
        <v>0.45051965035446345</v>
      </c>
      <c r="P256" s="730">
        <f t="shared" si="484"/>
        <v>0.50702012900355908</v>
      </c>
      <c r="Q256" s="12">
        <f t="shared" si="484"/>
        <v>-1.7425764073611575E-2</v>
      </c>
      <c r="R256" s="12">
        <f t="shared" si="484"/>
        <v>-1.7486031273867275E-2</v>
      </c>
      <c r="S256" s="12">
        <f t="shared" si="484"/>
        <v>-0.10773270771404564</v>
      </c>
      <c r="T256" s="12">
        <f t="shared" si="484"/>
        <v>-0.2949238443984501</v>
      </c>
      <c r="U256" s="730">
        <f t="shared" si="484"/>
        <v>-0.44052863436123285</v>
      </c>
      <c r="V256" s="12">
        <f t="shared" si="484"/>
        <v>-0.20362658795002894</v>
      </c>
      <c r="W256" s="12">
        <f t="shared" si="484"/>
        <v>5.8718139851179794E-3</v>
      </c>
      <c r="X256" s="12">
        <f t="shared" si="484"/>
        <v>2.6702441918963996E-2</v>
      </c>
      <c r="Y256" s="12">
        <f t="shared" si="484"/>
        <v>0.10479258348023364</v>
      </c>
      <c r="Z256" s="730">
        <f t="shared" si="484"/>
        <v>-6.0503200062189448E-2</v>
      </c>
      <c r="AA256" s="12">
        <f t="shared" si="484"/>
        <v>-5.0423957015643228E-2</v>
      </c>
      <c r="AB256" s="12">
        <f t="shared" si="484"/>
        <v>9.7548027063064521E-2</v>
      </c>
      <c r="AC256" s="12">
        <f t="shared" si="484"/>
        <v>9.7618497671987159E-2</v>
      </c>
      <c r="AD256" s="12">
        <f t="shared" si="484"/>
        <v>1.6944898155265178</v>
      </c>
      <c r="AE256" s="730">
        <f t="shared" si="484"/>
        <v>1.8748927722359738</v>
      </c>
      <c r="AF256" s="12">
        <f t="shared" si="484"/>
        <v>-2.7284120069224781E-2</v>
      </c>
      <c r="AG256" s="12">
        <f t="shared" si="484"/>
        <v>0.12777996633599553</v>
      </c>
      <c r="AH256" s="12">
        <f t="shared" si="484"/>
        <v>0.17838777259308672</v>
      </c>
      <c r="AI256" s="12">
        <f t="shared" ref="AI256:AQ256" si="485">AI246/AI261</f>
        <v>0.38625976349962493</v>
      </c>
      <c r="AJ256" s="730">
        <f t="shared" si="485"/>
        <v>0.6622952388929445</v>
      </c>
      <c r="AK256" s="12">
        <f t="shared" si="485"/>
        <v>1.6692755466418758E-2</v>
      </c>
      <c r="AL256" s="12">
        <f t="shared" si="485"/>
        <v>0.16273594264626168</v>
      </c>
      <c r="AM256" s="12">
        <f t="shared" si="485"/>
        <v>0.14215873285009797</v>
      </c>
      <c r="AN256" s="12">
        <f t="shared" si="485"/>
        <v>0.24285329972956304</v>
      </c>
      <c r="AO256" s="730">
        <f t="shared" si="485"/>
        <v>0.54780441395205459</v>
      </c>
      <c r="AP256" s="12">
        <f t="shared" si="485"/>
        <v>-0.21667971152233426</v>
      </c>
      <c r="AQ256" s="12">
        <f t="shared" si="485"/>
        <v>-0.33129410464971787</v>
      </c>
      <c r="AR256" s="12">
        <f t="shared" ref="AR256:AW256" si="486">AR246/AR261</f>
        <v>-1.3874908180755213E-2</v>
      </c>
      <c r="AS256" s="12">
        <f t="shared" si="486"/>
        <v>0.28298266330309718</v>
      </c>
      <c r="AT256" s="730">
        <f t="shared" si="486"/>
        <v>-0.26606396822135414</v>
      </c>
      <c r="AU256" s="12">
        <f t="shared" si="486"/>
        <v>-7.7028373978337436E-2</v>
      </c>
      <c r="AV256" s="12">
        <f t="shared" si="486"/>
        <v>5.6304891253492091E-2</v>
      </c>
      <c r="AW256" s="12">
        <f t="shared" si="486"/>
        <v>0.24443873132712643</v>
      </c>
      <c r="AX256" s="12">
        <f t="shared" ref="AX256:BA256" si="487">AX246/AX261</f>
        <v>0.31786717839764267</v>
      </c>
      <c r="AY256" s="730">
        <f t="shared" si="487"/>
        <v>0.53449832257716678</v>
      </c>
      <c r="AZ256" s="12">
        <f t="shared" si="487"/>
        <v>-1.2772372590348679E-2</v>
      </c>
      <c r="BA256" s="12">
        <f t="shared" si="487"/>
        <v>0.11245910386565008</v>
      </c>
      <c r="BB256" s="12">
        <f t="shared" ref="BB256:BN256" si="488">BB246/BB261</f>
        <v>0.12895370239275142</v>
      </c>
      <c r="BC256" s="12">
        <f t="shared" si="488"/>
        <v>0.28778160311995726</v>
      </c>
      <c r="BD256" s="730">
        <f t="shared" si="488"/>
        <v>0.51289034388361376</v>
      </c>
      <c r="BE256" s="12">
        <f t="shared" ref="BE256:BM256" si="489">BE246/BE261</f>
        <v>-1.6871714813595437E-2</v>
      </c>
      <c r="BF256" s="12">
        <f t="shared" si="489"/>
        <v>0.21267471410419178</v>
      </c>
      <c r="BG256" s="12">
        <f t="shared" si="489"/>
        <v>0.84334347385194819</v>
      </c>
      <c r="BH256" s="12">
        <f t="shared" si="489"/>
        <v>0.39840093036778573</v>
      </c>
      <c r="BI256" s="730">
        <f t="shared" si="489"/>
        <v>1.4327010589272025</v>
      </c>
      <c r="BJ256" s="12">
        <f>BJ246/BJ261</f>
        <v>0.20644991904782722</v>
      </c>
      <c r="BK256" s="12">
        <f>BK246/BK261</f>
        <v>0.56087886160878886</v>
      </c>
      <c r="BL256" s="556">
        <f>BL246/BL261</f>
        <v>0.57186212231660594</v>
      </c>
      <c r="BM256" s="12" t="e">
        <f t="shared" si="489"/>
        <v>#REF!</v>
      </c>
      <c r="BN256" s="730" t="e">
        <f t="shared" si="488"/>
        <v>#REF!</v>
      </c>
      <c r="BO256" s="12" t="e">
        <f t="shared" ref="BO256:BV256" si="490">BO246/BO261</f>
        <v>#REF!</v>
      </c>
      <c r="BP256" s="12" t="e">
        <f t="shared" si="490"/>
        <v>#REF!</v>
      </c>
      <c r="BQ256" s="12" t="e">
        <f t="shared" si="490"/>
        <v>#REF!</v>
      </c>
      <c r="BR256" s="12" t="e">
        <f t="shared" si="490"/>
        <v>#REF!</v>
      </c>
      <c r="BS256" s="730" t="e">
        <f t="shared" si="490"/>
        <v>#REF!</v>
      </c>
      <c r="BT256" s="730" t="e">
        <f t="shared" si="490"/>
        <v>#REF!</v>
      </c>
      <c r="BU256" s="730" t="e">
        <f t="shared" si="490"/>
        <v>#REF!</v>
      </c>
      <c r="BV256" s="730" t="e">
        <f t="shared" si="490"/>
        <v>#REF!</v>
      </c>
      <c r="BW256" s="143"/>
    </row>
    <row r="257" spans="1:75" s="463" customFormat="1">
      <c r="A257" s="35" t="s">
        <v>306</v>
      </c>
      <c r="B257" s="74"/>
      <c r="C257" s="730">
        <f t="shared" ref="C257:AH257" si="491">C248/C262</f>
        <v>-0.18438107582631227</v>
      </c>
      <c r="D257" s="730">
        <f t="shared" si="491"/>
        <v>-0.70720197473500801</v>
      </c>
      <c r="E257" s="730">
        <f t="shared" si="491"/>
        <v>-1.0776927604473223</v>
      </c>
      <c r="F257" s="730">
        <f t="shared" si="491"/>
        <v>-0.35237954532863053</v>
      </c>
      <c r="G257" s="12">
        <f t="shared" si="491"/>
        <v>-7.5298510975475727E-2</v>
      </c>
      <c r="H257" s="12">
        <f t="shared" si="491"/>
        <v>-1.3596382556986981E-2</v>
      </c>
      <c r="I257" s="12">
        <f t="shared" si="491"/>
        <v>-3.5434152296658104E-2</v>
      </c>
      <c r="J257" s="12">
        <f t="shared" si="491"/>
        <v>-3.0052144610513396E-2</v>
      </c>
      <c r="K257" s="730">
        <f t="shared" si="491"/>
        <v>-0.15332368841848831</v>
      </c>
      <c r="L257" s="12">
        <f t="shared" si="491"/>
        <v>-3.7023506765396001E-2</v>
      </c>
      <c r="M257" s="12">
        <f t="shared" si="491"/>
        <v>3.5597487541528174E-2</v>
      </c>
      <c r="N257" s="12">
        <f t="shared" si="491"/>
        <v>4.7052887600910559E-2</v>
      </c>
      <c r="O257" s="12">
        <f t="shared" si="491"/>
        <v>0.43822556672870655</v>
      </c>
      <c r="P257" s="730">
        <f t="shared" si="491"/>
        <v>0.47545364480133517</v>
      </c>
      <c r="Q257" s="12">
        <f t="shared" si="491"/>
        <v>-1.7425764073611575E-2</v>
      </c>
      <c r="R257" s="12">
        <f t="shared" si="491"/>
        <v>-1.7486031273867275E-2</v>
      </c>
      <c r="S257" s="12">
        <f t="shared" si="491"/>
        <v>-0.10773270771404564</v>
      </c>
      <c r="T257" s="12">
        <f t="shared" si="491"/>
        <v>-0.2949238443984501</v>
      </c>
      <c r="U257" s="730">
        <f t="shared" si="491"/>
        <v>-0.44052863436123285</v>
      </c>
      <c r="V257" s="12">
        <f t="shared" si="491"/>
        <v>-0.20362658795002894</v>
      </c>
      <c r="W257" s="12">
        <f t="shared" si="491"/>
        <v>5.6634712411707429E-3</v>
      </c>
      <c r="X257" s="12">
        <f t="shared" si="491"/>
        <v>2.4964723759904578E-2</v>
      </c>
      <c r="Y257" s="12">
        <f t="shared" si="491"/>
        <v>9.7944620928356901E-2</v>
      </c>
      <c r="Z257" s="730">
        <f t="shared" si="491"/>
        <v>-6.0503200062189448E-2</v>
      </c>
      <c r="AA257" s="12">
        <f t="shared" si="491"/>
        <v>-5.0423957015643228E-2</v>
      </c>
      <c r="AB257" s="12">
        <f t="shared" si="491"/>
        <v>9.3106292717416606E-2</v>
      </c>
      <c r="AC257" s="12">
        <f t="shared" si="491"/>
        <v>9.1841753113812763E-2</v>
      </c>
      <c r="AD257" s="12">
        <f t="shared" si="491"/>
        <v>1.5841417407706817</v>
      </c>
      <c r="AE257" s="730">
        <f t="shared" si="491"/>
        <v>1.7551336468968675</v>
      </c>
      <c r="AF257" s="12">
        <f t="shared" si="491"/>
        <v>-2.7284120069224781E-2</v>
      </c>
      <c r="AG257" s="12">
        <f t="shared" si="491"/>
        <v>0.12074313882528127</v>
      </c>
      <c r="AH257" s="12">
        <f t="shared" si="491"/>
        <v>0.16890582029665058</v>
      </c>
      <c r="AI257" s="12">
        <f t="shared" ref="AI257:AQ257" si="492">AI248/AI262</f>
        <v>0.37022958267178113</v>
      </c>
      <c r="AJ257" s="730">
        <f t="shared" si="492"/>
        <v>0.6239502192562203</v>
      </c>
      <c r="AK257" s="12">
        <f t="shared" si="492"/>
        <v>1.6042403657432921E-2</v>
      </c>
      <c r="AL257" s="12">
        <f t="shared" si="492"/>
        <v>0.15666624220043332</v>
      </c>
      <c r="AM257" s="12">
        <f t="shared" si="492"/>
        <v>0.1364906663772518</v>
      </c>
      <c r="AN257" s="12">
        <f t="shared" si="492"/>
        <v>0.23500075355885089</v>
      </c>
      <c r="AO257" s="730">
        <f t="shared" si="492"/>
        <v>0.52432376970334327</v>
      </c>
      <c r="AP257" s="12">
        <f t="shared" si="492"/>
        <v>-0.21667971152233426</v>
      </c>
      <c r="AQ257" s="12">
        <f t="shared" si="492"/>
        <v>-0.33129410464971787</v>
      </c>
      <c r="AR257" s="12">
        <f t="shared" ref="AR257:AW257" si="493">AR248/AR262</f>
        <v>-1.3874908180755213E-2</v>
      </c>
      <c r="AS257" s="12">
        <f t="shared" si="493"/>
        <v>0.27398630653103134</v>
      </c>
      <c r="AT257" s="730">
        <f t="shared" si="493"/>
        <v>-0.26606396822135414</v>
      </c>
      <c r="AU257" s="12">
        <f t="shared" si="493"/>
        <v>-7.7028373978337436E-2</v>
      </c>
      <c r="AV257" s="12">
        <f t="shared" si="493"/>
        <v>5.3327931326994198E-2</v>
      </c>
      <c r="AW257" s="12">
        <f t="shared" si="493"/>
        <v>0.23333161116995108</v>
      </c>
      <c r="AX257" s="12">
        <f t="shared" ref="AX257:BA257" si="494">AX248/AX262</f>
        <v>0.30491492886633204</v>
      </c>
      <c r="AY257" s="730">
        <f t="shared" si="494"/>
        <v>0.50461738068586415</v>
      </c>
      <c r="AZ257" s="12">
        <f t="shared" si="494"/>
        <v>-1.2772372590348679E-2</v>
      </c>
      <c r="BA257" s="12">
        <f t="shared" si="494"/>
        <v>0.10996087046063023</v>
      </c>
      <c r="BB257" s="12">
        <f t="shared" ref="BB257:BN257" si="495">BB248/BB262</f>
        <v>0.12535440006606338</v>
      </c>
      <c r="BC257" s="12">
        <f t="shared" si="495"/>
        <v>0.28132724454313307</v>
      </c>
      <c r="BD257" s="730">
        <f t="shared" si="495"/>
        <v>0.49517724312689104</v>
      </c>
      <c r="BE257" s="12">
        <f t="shared" ref="BE257:BM257" si="496">BE248/BE262</f>
        <v>-1.6871714813595437E-2</v>
      </c>
      <c r="BF257" s="12">
        <f t="shared" si="496"/>
        <v>0.20675762935511816</v>
      </c>
      <c r="BG257" s="12">
        <f t="shared" si="496"/>
        <v>0.79134382731152952</v>
      </c>
      <c r="BH257" s="12">
        <f t="shared" si="496"/>
        <v>0.374608728932872</v>
      </c>
      <c r="BI257" s="730">
        <f t="shared" si="496"/>
        <v>1.3475324745910089</v>
      </c>
      <c r="BJ257" s="12">
        <f>BJ248/BJ262</f>
        <v>0.19591124890998915</v>
      </c>
      <c r="BK257" s="12">
        <f>BK248/BK262</f>
        <v>0.53994662426892304</v>
      </c>
      <c r="BL257" s="556">
        <f>BL248/BL262</f>
        <v>0.55578849963130483</v>
      </c>
      <c r="BM257" s="12" t="e">
        <f t="shared" si="496"/>
        <v>#REF!</v>
      </c>
      <c r="BN257" s="730" t="e">
        <f t="shared" si="495"/>
        <v>#REF!</v>
      </c>
      <c r="BO257" s="12" t="e">
        <f t="shared" ref="BO257:BV257" si="497">BO248/BO262</f>
        <v>#REF!</v>
      </c>
      <c r="BP257" s="12" t="e">
        <f t="shared" si="497"/>
        <v>#REF!</v>
      </c>
      <c r="BQ257" s="12" t="e">
        <f t="shared" si="497"/>
        <v>#REF!</v>
      </c>
      <c r="BR257" s="12" t="e">
        <f t="shared" si="497"/>
        <v>#REF!</v>
      </c>
      <c r="BS257" s="730" t="e">
        <f t="shared" si="497"/>
        <v>#REF!</v>
      </c>
      <c r="BT257" s="730" t="e">
        <f t="shared" si="497"/>
        <v>#REF!</v>
      </c>
      <c r="BU257" s="730" t="e">
        <f t="shared" si="497"/>
        <v>#REF!</v>
      </c>
      <c r="BV257" s="730" t="e">
        <f t="shared" si="497"/>
        <v>#REF!</v>
      </c>
      <c r="BW257" s="143"/>
    </row>
    <row r="258" spans="1:75" s="463" customFormat="1">
      <c r="A258" s="35" t="s">
        <v>307</v>
      </c>
      <c r="B258" s="74"/>
      <c r="C258" s="730">
        <f t="shared" ref="C258:AH258" si="498">C251/C263</f>
        <v>-0.18438107582631227</v>
      </c>
      <c r="D258" s="730">
        <f t="shared" si="498"/>
        <v>-0.70720197473500801</v>
      </c>
      <c r="E258" s="730">
        <f t="shared" si="498"/>
        <v>-1.0776927604473223</v>
      </c>
      <c r="F258" s="730">
        <f t="shared" si="498"/>
        <v>-0.35237954532863053</v>
      </c>
      <c r="G258" s="12">
        <f t="shared" si="498"/>
        <v>-7.5298510975475727E-2</v>
      </c>
      <c r="H258" s="12">
        <f t="shared" si="498"/>
        <v>-1.3596382556986981E-2</v>
      </c>
      <c r="I258" s="12">
        <f t="shared" si="498"/>
        <v>-3.5434152296658104E-2</v>
      </c>
      <c r="J258" s="12">
        <f t="shared" si="498"/>
        <v>0.10661321480965016</v>
      </c>
      <c r="K258" s="730">
        <f t="shared" si="498"/>
        <v>0.27890047970760617</v>
      </c>
      <c r="L258" s="12">
        <f t="shared" si="498"/>
        <v>-3.7023506765396001E-2</v>
      </c>
      <c r="M258" s="12">
        <f t="shared" si="498"/>
        <v>3.5597487541528174E-2</v>
      </c>
      <c r="N258" s="12">
        <f t="shared" si="498"/>
        <v>4.7052887600910559E-2</v>
      </c>
      <c r="O258" s="12">
        <f t="shared" si="498"/>
        <v>0.2447449197653184</v>
      </c>
      <c r="P258" s="730">
        <f t="shared" si="498"/>
        <v>0.69085671081447531</v>
      </c>
      <c r="Q258" s="12">
        <f t="shared" si="498"/>
        <v>0.1014390428631947</v>
      </c>
      <c r="R258" s="12">
        <f t="shared" si="498"/>
        <v>0.11878246072966019</v>
      </c>
      <c r="S258" s="12">
        <f t="shared" si="498"/>
        <v>3.4412642849789052E-2</v>
      </c>
      <c r="T258" s="12">
        <f t="shared" si="498"/>
        <v>0.11481974259908426</v>
      </c>
      <c r="U258" s="730">
        <f t="shared" si="498"/>
        <v>0.37020671636056296</v>
      </c>
      <c r="V258" s="12">
        <f t="shared" si="498"/>
        <v>7.6565529461614545E-2</v>
      </c>
      <c r="W258" s="12">
        <f t="shared" si="498"/>
        <v>0.15787083753784076</v>
      </c>
      <c r="X258" s="12">
        <f t="shared" si="498"/>
        <v>0.22201719792081245</v>
      </c>
      <c r="Y258" s="12">
        <f t="shared" si="498"/>
        <v>0.26730595988810274</v>
      </c>
      <c r="Z258" s="730">
        <f t="shared" si="498"/>
        <v>0.7320106895235261</v>
      </c>
      <c r="AA258" s="12">
        <f t="shared" si="498"/>
        <v>0.20007049700387733</v>
      </c>
      <c r="AB258" s="12">
        <f t="shared" si="498"/>
        <v>0.2586377563045012</v>
      </c>
      <c r="AC258" s="12">
        <f t="shared" si="498"/>
        <v>0.29151464549998274</v>
      </c>
      <c r="AD258" s="12">
        <f t="shared" si="498"/>
        <v>0.17782718045450457</v>
      </c>
      <c r="AE258" s="730">
        <f t="shared" si="498"/>
        <v>0.92122289778593502</v>
      </c>
      <c r="AF258" s="12">
        <f t="shared" si="498"/>
        <v>-2.7284120069224781E-2</v>
      </c>
      <c r="AG258" s="12">
        <f t="shared" si="498"/>
        <v>0.12074313882528127</v>
      </c>
      <c r="AH258" s="12">
        <f t="shared" si="498"/>
        <v>0.16890582029665058</v>
      </c>
      <c r="AI258" s="12">
        <f t="shared" ref="AI258:AQ258" si="499">AI251/AI263</f>
        <v>0.37022958267178113</v>
      </c>
      <c r="AJ258" s="730">
        <f t="shared" si="499"/>
        <v>0.6239502192562203</v>
      </c>
      <c r="AK258" s="12">
        <f t="shared" si="499"/>
        <v>1.6042403657432921E-2</v>
      </c>
      <c r="AL258" s="12">
        <f t="shared" si="499"/>
        <v>0.15666624220043332</v>
      </c>
      <c r="AM258" s="12">
        <f t="shared" si="499"/>
        <v>0.1364906663772518</v>
      </c>
      <c r="AN258" s="12">
        <f t="shared" si="499"/>
        <v>0.23500075355885089</v>
      </c>
      <c r="AO258" s="730">
        <f t="shared" si="499"/>
        <v>0.52432376970334327</v>
      </c>
      <c r="AP258" s="12">
        <f t="shared" si="499"/>
        <v>-0.21667971152233426</v>
      </c>
      <c r="AQ258" s="12">
        <f t="shared" si="499"/>
        <v>-0.33129410464971787</v>
      </c>
      <c r="AR258" s="12">
        <f t="shared" ref="AR258:AW258" si="500">AR251/AR263</f>
        <v>-1.3874908180755213E-2</v>
      </c>
      <c r="AS258" s="12">
        <f t="shared" si="500"/>
        <v>0.27398630653103134</v>
      </c>
      <c r="AT258" s="730">
        <f t="shared" si="500"/>
        <v>-0.26606396822135414</v>
      </c>
      <c r="AU258" s="12">
        <f t="shared" si="500"/>
        <v>-7.7028373978337436E-2</v>
      </c>
      <c r="AV258" s="12">
        <f t="shared" si="500"/>
        <v>5.3327931326994198E-2</v>
      </c>
      <c r="AW258" s="12">
        <f t="shared" si="500"/>
        <v>0.23333161116995108</v>
      </c>
      <c r="AX258" s="12">
        <f t="shared" ref="AX258:BA258" si="501">AX251/AX263</f>
        <v>0.30491492886633204</v>
      </c>
      <c r="AY258" s="730">
        <f t="shared" si="501"/>
        <v>0.50461738068586415</v>
      </c>
      <c r="AZ258" s="12">
        <f t="shared" si="501"/>
        <v>-1.2772372590348679E-2</v>
      </c>
      <c r="BA258" s="12">
        <f t="shared" si="501"/>
        <v>0.10996087046063023</v>
      </c>
      <c r="BB258" s="12">
        <f t="shared" ref="BB258:BN258" si="502">BB251/BB263</f>
        <v>0.12535440006606338</v>
      </c>
      <c r="BC258" s="12">
        <f t="shared" si="502"/>
        <v>0.28132724454313307</v>
      </c>
      <c r="BD258" s="730">
        <f t="shared" si="502"/>
        <v>0.49517724312689104</v>
      </c>
      <c r="BE258" s="12">
        <f t="shared" ref="BE258:BM258" si="503">BE251/BE263</f>
        <v>-1.6871714813595437E-2</v>
      </c>
      <c r="BF258" s="12">
        <f t="shared" si="503"/>
        <v>0.20675762935511816</v>
      </c>
      <c r="BG258" s="12">
        <f t="shared" si="503"/>
        <v>0.79134382731152952</v>
      </c>
      <c r="BH258" s="12">
        <f t="shared" si="503"/>
        <v>0.374608728932872</v>
      </c>
      <c r="BI258" s="730">
        <f t="shared" si="503"/>
        <v>1.3475324745910089</v>
      </c>
      <c r="BJ258" s="12">
        <f>BJ251/BJ263</f>
        <v>0.19591124890998915</v>
      </c>
      <c r="BK258" s="12">
        <f>BK251/BK263</f>
        <v>0.53994662426892304</v>
      </c>
      <c r="BL258" s="556">
        <f>BL251/BL263</f>
        <v>0.55578849963130483</v>
      </c>
      <c r="BM258" s="12" t="e">
        <f t="shared" si="503"/>
        <v>#REF!</v>
      </c>
      <c r="BN258" s="730" t="e">
        <f t="shared" si="502"/>
        <v>#REF!</v>
      </c>
      <c r="BO258" s="12" t="e">
        <f t="shared" ref="BO258:BV258" si="504">BO251/BO263</f>
        <v>#REF!</v>
      </c>
      <c r="BP258" s="12" t="e">
        <f t="shared" si="504"/>
        <v>#REF!</v>
      </c>
      <c r="BQ258" s="12" t="e">
        <f t="shared" si="504"/>
        <v>#REF!</v>
      </c>
      <c r="BR258" s="12" t="e">
        <f t="shared" si="504"/>
        <v>#REF!</v>
      </c>
      <c r="BS258" s="730" t="e">
        <f t="shared" si="504"/>
        <v>#REF!</v>
      </c>
      <c r="BT258" s="730" t="e">
        <f t="shared" si="504"/>
        <v>#REF!</v>
      </c>
      <c r="BU258" s="730" t="e">
        <f t="shared" si="504"/>
        <v>#REF!</v>
      </c>
      <c r="BV258" s="730" t="e">
        <f t="shared" si="504"/>
        <v>#REF!</v>
      </c>
      <c r="BW258" s="143"/>
    </row>
    <row r="259" spans="1:75" s="464" customFormat="1">
      <c r="A259" s="32" t="str">
        <f>CONCATENATE("Consensus Estimates - ",IFERROR(LEFT(A258,FIND("(",A258)-1),A258))</f>
        <v>Consensus Estimates - Adjusted Earnings Per Share - WAD</v>
      </c>
      <c r="B259" s="72"/>
      <c r="C259" s="726"/>
      <c r="D259" s="726"/>
      <c r="E259" s="726"/>
      <c r="F259" s="726"/>
      <c r="G259" s="33"/>
      <c r="H259" s="33"/>
      <c r="I259" s="33"/>
      <c r="J259" s="33"/>
      <c r="K259" s="726"/>
      <c r="L259" s="33"/>
      <c r="M259" s="33"/>
      <c r="N259" s="33"/>
      <c r="O259" s="33"/>
      <c r="P259" s="726"/>
      <c r="Q259" s="33"/>
      <c r="R259" s="33"/>
      <c r="S259" s="33"/>
      <c r="T259" s="33"/>
      <c r="U259" s="726"/>
      <c r="V259" s="33"/>
      <c r="W259" s="539"/>
      <c r="X259" s="539"/>
      <c r="Y259" s="539"/>
      <c r="Z259" s="731"/>
      <c r="AA259" s="33"/>
      <c r="AB259" s="539"/>
      <c r="AC259" s="539"/>
      <c r="AD259" s="539"/>
      <c r="AE259" s="731"/>
      <c r="AF259" s="33"/>
      <c r="AG259" s="539"/>
      <c r="AH259" s="539"/>
      <c r="AI259" s="539"/>
      <c r="AJ259" s="731"/>
      <c r="AK259" s="33"/>
      <c r="AL259" s="539"/>
      <c r="AM259" s="539"/>
      <c r="AN259" s="539"/>
      <c r="AO259" s="731"/>
      <c r="AP259" s="33"/>
      <c r="AQ259" s="539"/>
      <c r="AR259" s="539"/>
      <c r="AS259" s="539"/>
      <c r="AT259" s="731"/>
      <c r="AU259" s="33"/>
      <c r="AV259" s="539"/>
      <c r="AW259" s="539"/>
      <c r="AX259" s="539"/>
      <c r="AY259" s="731"/>
      <c r="AZ259" s="33"/>
      <c r="BA259" s="539"/>
      <c r="BB259" s="539"/>
      <c r="BC259" s="539"/>
      <c r="BD259" s="731"/>
      <c r="BE259" s="33"/>
      <c r="BF259" s="539"/>
      <c r="BG259" s="539"/>
      <c r="BH259" s="539"/>
      <c r="BI259" s="731"/>
      <c r="BJ259" s="33"/>
      <c r="BK259" s="539"/>
      <c r="BL259" s="433"/>
      <c r="BM259" s="429" t="str">
        <f t="shared" ref="BM259:BS259" ca="1" si="505">IFERROR(VLOOKUP($A259,tb_ConsensusEstimate,MATCH(BM$5,OFFSET(tb_ConsensusEstimate,0,0,1,COLUMNS(tb_ConsensusEstimate)),0),FALSE),"-")</f>
        <v>N/A</v>
      </c>
      <c r="BN259" s="731" t="str">
        <f t="shared" ca="1" si="505"/>
        <v>N/A</v>
      </c>
      <c r="BO259" s="429" t="str">
        <f t="shared" ca="1" si="505"/>
        <v>N/A</v>
      </c>
      <c r="BP259" s="429" t="str">
        <f t="shared" ca="1" si="505"/>
        <v>N/A</v>
      </c>
      <c r="BQ259" s="429" t="str">
        <f t="shared" ca="1" si="505"/>
        <v>N/A</v>
      </c>
      <c r="BR259" s="429" t="str">
        <f t="shared" ca="1" si="505"/>
        <v>N/A</v>
      </c>
      <c r="BS259" s="731" t="str">
        <f t="shared" ca="1" si="505"/>
        <v>N/A</v>
      </c>
      <c r="BT259" s="731" t="str">
        <f ca="1">IFERROR(VLOOKUP($A259,tb_ConsensusEstimate,MATCH(BT5,OFFSET(tb_ConsensusEstimate,0,0,1,COLUMNS(tb_ConsensusEstimate)),0),FALSE),"-")</f>
        <v>N/A</v>
      </c>
      <c r="BU259" s="731" t="str">
        <f ca="1">IFERROR(VLOOKUP($A259,tb_ConsensusEstimate,MATCH(BU5,OFFSET(tb_ConsensusEstimate,0,0,1,COLUMNS(tb_ConsensusEstimate)),0),FALSE),"-")</f>
        <v>N/A</v>
      </c>
      <c r="BV259" s="731" t="str">
        <f ca="1">IFERROR(VLOOKUP($A259,tb_ConsensusEstimate,MATCH(BV5,OFFSET(tb_ConsensusEstimate,0,0,1,COLUMNS(tb_ConsensusEstimate)),0),FALSE),"-")</f>
        <v>N/A</v>
      </c>
      <c r="BW259" s="33"/>
    </row>
    <row r="260" spans="1:75" s="439" customFormat="1">
      <c r="A260" s="518"/>
      <c r="B260" s="53"/>
      <c r="C260" s="89"/>
      <c r="D260" s="89"/>
      <c r="E260" s="89"/>
      <c r="F260" s="89"/>
      <c r="G260" s="518"/>
      <c r="H260" s="518"/>
      <c r="I260" s="518"/>
      <c r="J260" s="518"/>
      <c r="K260" s="89"/>
      <c r="L260" s="518"/>
      <c r="M260" s="518"/>
      <c r="N260" s="518"/>
      <c r="O260" s="518"/>
      <c r="P260" s="89"/>
      <c r="Q260" s="518"/>
      <c r="R260" s="518"/>
      <c r="S260" s="518"/>
      <c r="T260" s="518"/>
      <c r="U260" s="89"/>
      <c r="V260" s="518"/>
      <c r="W260" s="518"/>
      <c r="X260" s="518"/>
      <c r="Y260" s="518"/>
      <c r="Z260" s="89"/>
      <c r="AA260" s="518"/>
      <c r="AB260" s="518"/>
      <c r="AC260" s="518"/>
      <c r="AD260" s="518"/>
      <c r="AE260" s="89"/>
      <c r="AF260" s="518"/>
      <c r="AG260" s="518"/>
      <c r="AH260" s="518"/>
      <c r="AI260" s="518"/>
      <c r="AJ260" s="89"/>
      <c r="AK260" s="518"/>
      <c r="AL260" s="518"/>
      <c r="AM260" s="518"/>
      <c r="AN260" s="518"/>
      <c r="AO260" s="89"/>
      <c r="AP260" s="518"/>
      <c r="AQ260" s="518"/>
      <c r="AR260" s="518"/>
      <c r="AS260" s="518"/>
      <c r="AT260" s="89"/>
      <c r="AU260" s="518"/>
      <c r="AV260" s="518"/>
      <c r="AW260" s="518"/>
      <c r="AX260" s="518"/>
      <c r="AY260" s="89"/>
      <c r="AZ260" s="518"/>
      <c r="BA260" s="518"/>
      <c r="BB260" s="518"/>
      <c r="BC260" s="518"/>
      <c r="BD260" s="89"/>
      <c r="BE260" s="518"/>
      <c r="BF260" s="518"/>
      <c r="BG260" s="518"/>
      <c r="BH260" s="518"/>
      <c r="BI260" s="89"/>
      <c r="BJ260" s="518"/>
      <c r="BK260" s="518"/>
      <c r="BL260" s="520"/>
      <c r="BM260" s="518"/>
      <c r="BN260" s="89"/>
      <c r="BO260" s="518"/>
      <c r="BP260" s="518"/>
      <c r="BQ260" s="518"/>
      <c r="BR260" s="518"/>
      <c r="BS260" s="89"/>
      <c r="BT260" s="89"/>
      <c r="BU260" s="89"/>
      <c r="BV260" s="89"/>
      <c r="BW260" s="519"/>
    </row>
    <row r="261" spans="1:75" s="439" customFormat="1">
      <c r="A261" s="518" t="s">
        <v>308</v>
      </c>
      <c r="B261" s="53"/>
      <c r="C261" s="675">
        <v>12.343999999999999</v>
      </c>
      <c r="D261" s="675">
        <v>13.773999999999999</v>
      </c>
      <c r="E261" s="675">
        <v>15.291</v>
      </c>
      <c r="F261" s="675">
        <v>54.149000000000001</v>
      </c>
      <c r="G261" s="609">
        <v>63.732999999999997</v>
      </c>
      <c r="H261" s="609">
        <v>64.575999999999993</v>
      </c>
      <c r="I261" s="609">
        <v>65.53</v>
      </c>
      <c r="J261" s="609">
        <v>68.846999999999994</v>
      </c>
      <c r="K261" s="675">
        <v>65.665000000000006</v>
      </c>
      <c r="L261" s="609">
        <v>71.171000000000006</v>
      </c>
      <c r="M261" s="609">
        <v>71.713999999999999</v>
      </c>
      <c r="N261" s="609">
        <v>72.194999999999993</v>
      </c>
      <c r="O261" s="609">
        <v>72.644999999999996</v>
      </c>
      <c r="P261" s="675">
        <v>71.936000000000007</v>
      </c>
      <c r="Q261" s="609">
        <v>73.683999999999997</v>
      </c>
      <c r="R261" s="609">
        <v>74.631</v>
      </c>
      <c r="S261" s="609">
        <v>75.019000000000005</v>
      </c>
      <c r="T261" s="609">
        <v>75.372</v>
      </c>
      <c r="U261" s="675">
        <v>74.683000000000007</v>
      </c>
      <c r="V261" s="609">
        <v>75.884</v>
      </c>
      <c r="W261" s="609">
        <v>76.466999999999999</v>
      </c>
      <c r="X261" s="609">
        <v>77.521000000000001</v>
      </c>
      <c r="Y261" s="609">
        <v>78.850999999999999</v>
      </c>
      <c r="Z261" s="675">
        <v>77.186000000000007</v>
      </c>
      <c r="AA261" s="609">
        <v>79.843000000000004</v>
      </c>
      <c r="AB261" s="609">
        <v>80.995999999999995</v>
      </c>
      <c r="AC261" s="609">
        <v>82.259</v>
      </c>
      <c r="AD261" s="609">
        <v>83.263999999999996</v>
      </c>
      <c r="AE261" s="675">
        <v>81.602000000000004</v>
      </c>
      <c r="AF261" s="609">
        <v>83.784999999999997</v>
      </c>
      <c r="AG261" s="609">
        <v>83.769000000000005</v>
      </c>
      <c r="AH261" s="609">
        <v>84.007999999999996</v>
      </c>
      <c r="AI261" s="609">
        <v>82.706000000000003</v>
      </c>
      <c r="AJ261" s="675">
        <v>83.572999999999993</v>
      </c>
      <c r="AK261" s="609">
        <v>81.772000000000006</v>
      </c>
      <c r="AL261" s="609">
        <v>75.600999999999999</v>
      </c>
      <c r="AM261" s="609">
        <v>70.772999999999996</v>
      </c>
      <c r="AN261" s="609">
        <v>70.626999999999995</v>
      </c>
      <c r="AO261" s="675">
        <v>74.626999999999995</v>
      </c>
      <c r="AP261" s="609">
        <v>71.548000000000002</v>
      </c>
      <c r="AQ261" s="609">
        <v>72.412999999999997</v>
      </c>
      <c r="AR261" s="609">
        <v>73.513999999999996</v>
      </c>
      <c r="AS261" s="609">
        <v>74.524000000000001</v>
      </c>
      <c r="AT261" s="675">
        <v>73.004999999999995</v>
      </c>
      <c r="AU261" s="609">
        <v>75.245000000000005</v>
      </c>
      <c r="AV261" s="609">
        <v>74.807000000000002</v>
      </c>
      <c r="AW261" s="609">
        <v>73.903999999999996</v>
      </c>
      <c r="AX261" s="609">
        <v>72.954999999999998</v>
      </c>
      <c r="AY261" s="675">
        <v>74.221000000000004</v>
      </c>
      <c r="AZ261" s="609">
        <v>71.638999999999996</v>
      </c>
      <c r="BA261" s="609">
        <v>71.216999999999999</v>
      </c>
      <c r="BB261" s="609">
        <v>70.63</v>
      </c>
      <c r="BC261" s="609">
        <v>70.001000000000005</v>
      </c>
      <c r="BD261" s="675">
        <v>70.867000000000004</v>
      </c>
      <c r="BE261" s="609">
        <v>69.820999999999998</v>
      </c>
      <c r="BF261" s="609">
        <v>69.256</v>
      </c>
      <c r="BG261" s="609">
        <v>69.03</v>
      </c>
      <c r="BH261" s="609">
        <v>68.790000000000006</v>
      </c>
      <c r="BI261" s="675">
        <v>69.221000000000004</v>
      </c>
      <c r="BJ261" s="609">
        <v>68.558999999999997</v>
      </c>
      <c r="BK261" s="609">
        <v>67.814999999999998</v>
      </c>
      <c r="BL261" s="610">
        <v>67.218999999999994</v>
      </c>
      <c r="BM261" s="518" t="e">
        <f>AVERAGE(BL273,BM273)</f>
        <v>#REF!</v>
      </c>
      <c r="BN261" s="89" t="e">
        <f>SUM(BJ261*BJ3,BK261*BK3,BL261*BL3,BM261*BM3)/BN3</f>
        <v>#REF!</v>
      </c>
      <c r="BO261" s="518" t="e">
        <f>AVERAGE(BN273,BO273)</f>
        <v>#REF!</v>
      </c>
      <c r="BP261" s="518" t="e">
        <f>AVERAGE(BO273,BP273)</f>
        <v>#REF!</v>
      </c>
      <c r="BQ261" s="518" t="e">
        <f>AVERAGE(BP273,BQ273)</f>
        <v>#REF!</v>
      </c>
      <c r="BR261" s="518" t="e">
        <f>AVERAGE(BQ273,BR273)</f>
        <v>#REF!</v>
      </c>
      <c r="BS261" s="89" t="e">
        <f>SUM(BO261*BO3,BP261*BP3,BQ261*BQ3,BR261*BR3)/BS3</f>
        <v>#REF!</v>
      </c>
      <c r="BT261" s="89" t="e">
        <f>AVERAGE(BS273,BT273)</f>
        <v>#REF!</v>
      </c>
      <c r="BU261" s="89" t="e">
        <f>AVERAGE(BT273,BU273)</f>
        <v>#REF!</v>
      </c>
      <c r="BV261" s="89" t="e">
        <f>AVERAGE(BU273,BV273)</f>
        <v>#REF!</v>
      </c>
      <c r="BW261" s="519"/>
    </row>
    <row r="262" spans="1:75" s="439" customFormat="1">
      <c r="A262" s="518" t="s">
        <v>309</v>
      </c>
      <c r="B262" s="53"/>
      <c r="C262" s="675">
        <v>12.343999999999999</v>
      </c>
      <c r="D262" s="675">
        <v>13.773999999999999</v>
      </c>
      <c r="E262" s="675">
        <v>15.291</v>
      </c>
      <c r="F262" s="675">
        <v>54.149000000000001</v>
      </c>
      <c r="G262" s="609">
        <v>63.732999999999997</v>
      </c>
      <c r="H262" s="609">
        <v>64.575999999999993</v>
      </c>
      <c r="I262" s="609">
        <v>65.53</v>
      </c>
      <c r="J262" s="609">
        <v>68.846999999999994</v>
      </c>
      <c r="K262" s="675">
        <v>65.665000000000006</v>
      </c>
      <c r="L262" s="609">
        <v>71.171000000000006</v>
      </c>
      <c r="M262" s="609">
        <v>77.055999999999997</v>
      </c>
      <c r="N262" s="609">
        <v>77.296000000000006</v>
      </c>
      <c r="O262" s="609">
        <v>74.683000000000007</v>
      </c>
      <c r="P262" s="675">
        <v>76.712000000000003</v>
      </c>
      <c r="Q262" s="609">
        <v>73.683999999999997</v>
      </c>
      <c r="R262" s="609">
        <v>74.631</v>
      </c>
      <c r="S262" s="609">
        <v>75.019000000000005</v>
      </c>
      <c r="T262" s="609">
        <v>75.372</v>
      </c>
      <c r="U262" s="675">
        <v>74.683000000000007</v>
      </c>
      <c r="V262" s="609">
        <v>75.884</v>
      </c>
      <c r="W262" s="609">
        <v>79.28</v>
      </c>
      <c r="X262" s="609">
        <v>82.917000000000002</v>
      </c>
      <c r="Y262" s="609">
        <v>84.364000000000004</v>
      </c>
      <c r="Z262" s="675">
        <v>77.186000000000007</v>
      </c>
      <c r="AA262" s="609">
        <v>79.843000000000004</v>
      </c>
      <c r="AB262" s="609">
        <v>84.86</v>
      </c>
      <c r="AC262" s="609">
        <v>87.433000000000007</v>
      </c>
      <c r="AD262" s="609">
        <v>89.063999999999993</v>
      </c>
      <c r="AE262" s="675">
        <v>87.17</v>
      </c>
      <c r="AF262" s="609">
        <v>83.784999999999997</v>
      </c>
      <c r="AG262" s="609">
        <v>88.650999999999996</v>
      </c>
      <c r="AH262" s="609">
        <v>88.724000000000004</v>
      </c>
      <c r="AI262" s="609">
        <v>86.287000000000006</v>
      </c>
      <c r="AJ262" s="675">
        <v>88.709000000000003</v>
      </c>
      <c r="AK262" s="609">
        <v>85.087000000000003</v>
      </c>
      <c r="AL262" s="609">
        <v>78.53</v>
      </c>
      <c r="AM262" s="609">
        <v>73.712000000000003</v>
      </c>
      <c r="AN262" s="609">
        <v>72.986999999999995</v>
      </c>
      <c r="AO262" s="675">
        <v>77.968999999999994</v>
      </c>
      <c r="AP262" s="609">
        <v>71.548000000000002</v>
      </c>
      <c r="AQ262" s="609">
        <v>72.412999999999997</v>
      </c>
      <c r="AR262" s="609">
        <v>73.513999999999996</v>
      </c>
      <c r="AS262" s="609">
        <v>76.971000000000004</v>
      </c>
      <c r="AT262" s="675">
        <v>73.004999999999995</v>
      </c>
      <c r="AU262" s="609">
        <v>75.245000000000005</v>
      </c>
      <c r="AV262" s="609">
        <v>78.983000000000004</v>
      </c>
      <c r="AW262" s="609">
        <v>77.421999999999997</v>
      </c>
      <c r="AX262" s="609">
        <v>76.054000000000002</v>
      </c>
      <c r="AY262" s="675">
        <v>78.616</v>
      </c>
      <c r="AZ262" s="609">
        <v>71.638999999999996</v>
      </c>
      <c r="BA262" s="609">
        <v>72.834999999999994</v>
      </c>
      <c r="BB262" s="609">
        <v>72.658000000000001</v>
      </c>
      <c r="BC262" s="609">
        <v>71.606999999999999</v>
      </c>
      <c r="BD262" s="675">
        <v>73.402000000000001</v>
      </c>
      <c r="BE262" s="609">
        <v>69.820999999999998</v>
      </c>
      <c r="BF262" s="609">
        <v>71.238</v>
      </c>
      <c r="BG262" s="609">
        <v>73.566000000000003</v>
      </c>
      <c r="BH262" s="609">
        <v>73.159000000000006</v>
      </c>
      <c r="BI262" s="675">
        <v>73.596000000000004</v>
      </c>
      <c r="BJ262" s="609">
        <v>72.247</v>
      </c>
      <c r="BK262" s="609">
        <v>70.444000000000003</v>
      </c>
      <c r="BL262" s="610">
        <v>69.162999999999997</v>
      </c>
      <c r="BM262" s="518" t="e">
        <f>IF(BM248&lt;0,BM261,AVERAGE(BL286,BM286))</f>
        <v>#REF!</v>
      </c>
      <c r="BN262" s="89" t="e">
        <f>IF(BN248&lt;0,BN261,SUM(AVERAGE(BI286,BJ286)*BJ3,AVERAGE(BJ286,BK286)*BK3,AVERAGE(BK286,BL286)*BL3,AVERAGE(BL286,BM286)*BM3)/BN3)</f>
        <v>#REF!</v>
      </c>
      <c r="BO262" s="518" t="e">
        <f>IF(BO248&lt;0,BO261,AVERAGE(BN286,BO286))</f>
        <v>#REF!</v>
      </c>
      <c r="BP262" s="518" t="e">
        <f>IF(BP248&lt;0,BP261,AVERAGE(BO286,BP286))</f>
        <v>#REF!</v>
      </c>
      <c r="BQ262" s="518" t="e">
        <f>IF(BQ248&lt;0,BQ261,AVERAGE(BP286,BQ286))</f>
        <v>#REF!</v>
      </c>
      <c r="BR262" s="518" t="e">
        <f>IF(BR248&lt;0,BR261,AVERAGE(BQ286,BR286))</f>
        <v>#REF!</v>
      </c>
      <c r="BS262" s="89" t="e">
        <f>IF(BS248&lt;0,BS261,SUM(AVERAGE(BN286,BO286)*BO3,AVERAGE(BO286,BP286)*BP3,AVERAGE(BP286,BQ286)*BQ3,AVERAGE(BQ286,BR286)*BR3)/BS3)</f>
        <v>#REF!</v>
      </c>
      <c r="BT262" s="89" t="e">
        <f>IF(BT248&lt;0,BT261,AVERAGE(BS286,BT286))</f>
        <v>#REF!</v>
      </c>
      <c r="BU262" s="89" t="e">
        <f>IF(BU248&lt;0,BU261,AVERAGE(BT286,BU286))</f>
        <v>#REF!</v>
      </c>
      <c r="BV262" s="89" t="e">
        <f>IF(BV248&lt;0,BV261,AVERAGE(BU286,BV286))</f>
        <v>#REF!</v>
      </c>
      <c r="BW262" s="519"/>
    </row>
    <row r="263" spans="1:75" s="439" customFormat="1">
      <c r="A263" s="518" t="s">
        <v>310</v>
      </c>
      <c r="B263" s="53"/>
      <c r="C263" s="675">
        <v>12.343999999999999</v>
      </c>
      <c r="D263" s="675">
        <v>13.773999999999999</v>
      </c>
      <c r="E263" s="675">
        <v>15.291</v>
      </c>
      <c r="F263" s="675">
        <v>54.149000000000001</v>
      </c>
      <c r="G263" s="609">
        <v>63.732999999999997</v>
      </c>
      <c r="H263" s="609">
        <v>64.575999999999993</v>
      </c>
      <c r="I263" s="609">
        <v>65.53</v>
      </c>
      <c r="J263" s="609">
        <v>68.846999999999994</v>
      </c>
      <c r="K263" s="675">
        <v>65.665000000000006</v>
      </c>
      <c r="L263" s="609">
        <v>71.171000000000006</v>
      </c>
      <c r="M263" s="609">
        <v>77.055999999999997</v>
      </c>
      <c r="N263" s="609">
        <v>77.296000000000006</v>
      </c>
      <c r="O263" s="609">
        <v>77.210999999999999</v>
      </c>
      <c r="P263" s="675">
        <v>76.712000000000003</v>
      </c>
      <c r="Q263" s="609">
        <v>77.899000000000001</v>
      </c>
      <c r="R263" s="609">
        <v>78.748999999999995</v>
      </c>
      <c r="S263" s="609">
        <v>77.703999999999994</v>
      </c>
      <c r="T263" s="609">
        <v>78.165999999999997</v>
      </c>
      <c r="U263" s="675">
        <v>78.078000000000003</v>
      </c>
      <c r="V263" s="609">
        <v>77.881</v>
      </c>
      <c r="W263" s="609">
        <v>79.28</v>
      </c>
      <c r="X263" s="609">
        <v>82.917000000000002</v>
      </c>
      <c r="Y263" s="518">
        <f>Y262</f>
        <v>84.364000000000004</v>
      </c>
      <c r="Z263" s="675">
        <v>81.200999999999993</v>
      </c>
      <c r="AA263" s="609">
        <v>85.11</v>
      </c>
      <c r="AB263" s="518">
        <f t="shared" ref="AB263:AQ263" si="506">AB262</f>
        <v>84.86</v>
      </c>
      <c r="AC263" s="518">
        <f t="shared" si="506"/>
        <v>87.433000000000007</v>
      </c>
      <c r="AD263" s="518">
        <f t="shared" si="506"/>
        <v>89.063999999999993</v>
      </c>
      <c r="AE263" s="89">
        <f t="shared" si="506"/>
        <v>87.17</v>
      </c>
      <c r="AF263" s="518">
        <f t="shared" si="506"/>
        <v>83.784999999999997</v>
      </c>
      <c r="AG263" s="518">
        <f t="shared" si="506"/>
        <v>88.650999999999996</v>
      </c>
      <c r="AH263" s="518">
        <f t="shared" si="506"/>
        <v>88.724000000000004</v>
      </c>
      <c r="AI263" s="518">
        <f t="shared" si="506"/>
        <v>86.287000000000006</v>
      </c>
      <c r="AJ263" s="89">
        <f t="shared" si="506"/>
        <v>88.709000000000003</v>
      </c>
      <c r="AK263" s="518">
        <f t="shared" si="506"/>
        <v>85.087000000000003</v>
      </c>
      <c r="AL263" s="518">
        <f t="shared" si="506"/>
        <v>78.53</v>
      </c>
      <c r="AM263" s="518">
        <f t="shared" si="506"/>
        <v>73.712000000000003</v>
      </c>
      <c r="AN263" s="518">
        <f t="shared" si="506"/>
        <v>72.986999999999995</v>
      </c>
      <c r="AO263" s="89">
        <f t="shared" si="506"/>
        <v>77.968999999999994</v>
      </c>
      <c r="AP263" s="518">
        <f t="shared" si="506"/>
        <v>71.548000000000002</v>
      </c>
      <c r="AQ263" s="518">
        <f t="shared" si="506"/>
        <v>72.412999999999997</v>
      </c>
      <c r="AR263" s="518">
        <f>AR262</f>
        <v>73.513999999999996</v>
      </c>
      <c r="AS263" s="518">
        <f>AS262</f>
        <v>76.971000000000004</v>
      </c>
      <c r="AT263" s="89">
        <f>AT262</f>
        <v>73.004999999999995</v>
      </c>
      <c r="AU263" s="518">
        <f>AU262</f>
        <v>75.245000000000005</v>
      </c>
      <c r="AV263" s="609">
        <v>78.983000000000004</v>
      </c>
      <c r="AW263" s="518">
        <f t="shared" ref="AW263:BB263" si="507">AW262</f>
        <v>77.421999999999997</v>
      </c>
      <c r="AX263" s="518">
        <f t="shared" si="507"/>
        <v>76.054000000000002</v>
      </c>
      <c r="AY263" s="89">
        <f t="shared" si="507"/>
        <v>78.616</v>
      </c>
      <c r="AZ263" s="518">
        <f t="shared" si="507"/>
        <v>71.638999999999996</v>
      </c>
      <c r="BA263" s="518">
        <f t="shared" si="507"/>
        <v>72.834999999999994</v>
      </c>
      <c r="BB263" s="518">
        <f t="shared" si="507"/>
        <v>72.658000000000001</v>
      </c>
      <c r="BC263" s="518">
        <f t="shared" ref="BC263:BI263" si="508">BC262</f>
        <v>71.606999999999999</v>
      </c>
      <c r="BD263" s="89">
        <f t="shared" si="508"/>
        <v>73.402000000000001</v>
      </c>
      <c r="BE263" s="518">
        <f t="shared" si="508"/>
        <v>69.820999999999998</v>
      </c>
      <c r="BF263" s="518">
        <f t="shared" si="508"/>
        <v>71.238</v>
      </c>
      <c r="BG263" s="518">
        <f t="shared" si="508"/>
        <v>73.566000000000003</v>
      </c>
      <c r="BH263" s="518">
        <f t="shared" si="508"/>
        <v>73.159000000000006</v>
      </c>
      <c r="BI263" s="89">
        <f t="shared" si="508"/>
        <v>73.596000000000004</v>
      </c>
      <c r="BJ263" s="518">
        <f>BJ262</f>
        <v>72.247</v>
      </c>
      <c r="BK263" s="518">
        <f>BK262</f>
        <v>70.444000000000003</v>
      </c>
      <c r="BL263" s="520">
        <f>BL262</f>
        <v>69.162999999999997</v>
      </c>
      <c r="BM263" s="518" t="e">
        <f>IF(BM251&lt;0,BM261,AVERAGE(BL286,BM286))</f>
        <v>#REF!</v>
      </c>
      <c r="BN263" s="89" t="e">
        <f>IF(BN251&lt;0,BN261,SUM(AVERAGE(BI286,BJ286)*BJ3,AVERAGE(BJ286,BK286)*BK3,AVERAGE(BK286,BL286)*BL3,AVERAGE(BL286,BM286)*BM3)/BN3)</f>
        <v>#REF!</v>
      </c>
      <c r="BO263" s="518" t="e">
        <f>IF(BO251&lt;0,BO261,AVERAGE(BN286,BO286))</f>
        <v>#REF!</v>
      </c>
      <c r="BP263" s="518" t="e">
        <f>IF(BP251&lt;0,BP261,AVERAGE(BO286,BP286))</f>
        <v>#REF!</v>
      </c>
      <c r="BQ263" s="518" t="e">
        <f>IF(BQ251&lt;0,BQ261,AVERAGE(BP286,BQ286))</f>
        <v>#REF!</v>
      </c>
      <c r="BR263" s="518" t="e">
        <f>IF(BR251&lt;0,BR261,AVERAGE(BQ286,BR286))</f>
        <v>#REF!</v>
      </c>
      <c r="BS263" s="89" t="e">
        <f>IF(BS251&lt;0,BS261,SUM(AVERAGE(BN286,BO286)*BO3,AVERAGE(BO286,BP286)*BP3,AVERAGE(BP286,BQ286)*BQ3,AVERAGE(BQ286,BR286)*BR3)/BS3)</f>
        <v>#REF!</v>
      </c>
      <c r="BT263" s="89" t="e">
        <f>IF(BT251&lt;0,BT261,AVERAGE(BS286,BT286))</f>
        <v>#REF!</v>
      </c>
      <c r="BU263" s="89" t="e">
        <f>IF(BU251&lt;0,BU261,AVERAGE(BT286,BU286))</f>
        <v>#REF!</v>
      </c>
      <c r="BV263" s="89" t="e">
        <f>IF(BV251&lt;0,BV261,AVERAGE(BU286,BV286))</f>
        <v>#REF!</v>
      </c>
      <c r="BW263" s="519"/>
    </row>
    <row r="264" spans="1:75" s="439" customFormat="1">
      <c r="A264" s="53"/>
      <c r="B264" s="53"/>
      <c r="C264" s="89"/>
      <c r="D264" s="89"/>
      <c r="E264" s="89"/>
      <c r="F264" s="89"/>
      <c r="G264" s="518"/>
      <c r="H264" s="518"/>
      <c r="I264" s="518"/>
      <c r="J264" s="518"/>
      <c r="K264" s="89"/>
      <c r="L264" s="518"/>
      <c r="M264" s="518"/>
      <c r="N264" s="518"/>
      <c r="O264" s="518"/>
      <c r="P264" s="89"/>
      <c r="Q264" s="518"/>
      <c r="R264" s="518"/>
      <c r="S264" s="518"/>
      <c r="T264" s="518"/>
      <c r="U264" s="89"/>
      <c r="V264" s="518"/>
      <c r="W264" s="518"/>
      <c r="X264" s="518"/>
      <c r="Y264" s="518"/>
      <c r="Z264" s="89"/>
      <c r="AA264" s="518"/>
      <c r="AB264" s="518"/>
      <c r="AC264" s="518"/>
      <c r="AD264" s="518"/>
      <c r="AE264" s="89"/>
      <c r="AF264" s="518"/>
      <c r="AG264" s="518"/>
      <c r="AH264" s="518"/>
      <c r="AI264" s="518"/>
      <c r="AJ264" s="89"/>
      <c r="AK264" s="518"/>
      <c r="AL264" s="518"/>
      <c r="AM264" s="518"/>
      <c r="AN264" s="518"/>
      <c r="AO264" s="89"/>
      <c r="AP264" s="518"/>
      <c r="AQ264" s="518"/>
      <c r="AR264" s="518"/>
      <c r="AS264" s="518"/>
      <c r="AT264" s="89"/>
      <c r="AU264" s="518"/>
      <c r="AV264" s="518"/>
      <c r="AW264" s="518"/>
      <c r="AX264" s="518"/>
      <c r="AY264" s="89"/>
      <c r="AZ264" s="518"/>
      <c r="BA264" s="518"/>
      <c r="BB264" s="518"/>
      <c r="BC264" s="518"/>
      <c r="BD264" s="89"/>
      <c r="BE264" s="518"/>
      <c r="BF264" s="518"/>
      <c r="BG264" s="518"/>
      <c r="BH264" s="518"/>
      <c r="BI264" s="89"/>
      <c r="BJ264" s="518"/>
      <c r="BK264" s="518"/>
      <c r="BL264" s="520"/>
      <c r="BM264" s="518"/>
      <c r="BN264" s="89"/>
      <c r="BO264" s="518"/>
      <c r="BP264" s="518"/>
      <c r="BQ264" s="518"/>
      <c r="BR264" s="518"/>
      <c r="BS264" s="89"/>
      <c r="BT264" s="89"/>
      <c r="BU264" s="89"/>
      <c r="BV264" s="89"/>
      <c r="BW264" s="519"/>
    </row>
    <row r="265" spans="1:75" s="444" customFormat="1">
      <c r="A265" s="517" t="s">
        <v>311</v>
      </c>
      <c r="B265" s="517"/>
      <c r="C265" s="517"/>
      <c r="D265" s="517"/>
      <c r="E265" s="517"/>
      <c r="F265" s="517"/>
      <c r="G265" s="517"/>
      <c r="H265" s="517"/>
      <c r="I265" s="517"/>
      <c r="J265" s="517"/>
      <c r="K265" s="517"/>
      <c r="L265" s="517"/>
      <c r="M265" s="517"/>
      <c r="N265" s="517"/>
      <c r="O265" s="517"/>
      <c r="P265" s="517"/>
      <c r="Q265" s="517"/>
      <c r="R265" s="517"/>
      <c r="S265" s="517"/>
      <c r="T265" s="517"/>
      <c r="U265" s="517"/>
      <c r="V265" s="517"/>
      <c r="W265" s="517"/>
      <c r="X265" s="517"/>
      <c r="Y265" s="517"/>
      <c r="Z265" s="517"/>
      <c r="AA265" s="517"/>
      <c r="AB265" s="517"/>
      <c r="AC265" s="517"/>
      <c r="AD265" s="517"/>
      <c r="AE265" s="517"/>
      <c r="AF265" s="517"/>
      <c r="AG265" s="517"/>
      <c r="AH265" s="517"/>
      <c r="AI265" s="517"/>
      <c r="AJ265" s="517"/>
      <c r="AK265" s="517"/>
      <c r="AL265" s="517"/>
      <c r="AM265" s="517"/>
      <c r="AN265" s="517"/>
      <c r="AO265" s="517"/>
      <c r="AP265" s="517"/>
      <c r="AQ265" s="517"/>
      <c r="AR265" s="517"/>
      <c r="AS265" s="517"/>
      <c r="AT265" s="517"/>
      <c r="AU265" s="517"/>
      <c r="AV265" s="517"/>
      <c r="AW265" s="517"/>
      <c r="AX265" s="517"/>
      <c r="AY265" s="517"/>
      <c r="AZ265" s="517"/>
      <c r="BA265" s="517"/>
      <c r="BB265" s="517"/>
      <c r="BC265" s="517"/>
      <c r="BD265" s="517"/>
      <c r="BE265" s="517"/>
      <c r="BF265" s="517"/>
      <c r="BG265" s="517"/>
      <c r="BH265" s="517"/>
      <c r="BI265" s="517"/>
      <c r="BJ265" s="517"/>
      <c r="BK265" s="517"/>
      <c r="BL265" s="562"/>
      <c r="BM265" s="517"/>
      <c r="BN265" s="517"/>
      <c r="BO265" s="517"/>
      <c r="BP265" s="517"/>
      <c r="BQ265" s="517"/>
      <c r="BR265" s="517"/>
      <c r="BS265" s="517"/>
      <c r="BT265" s="517"/>
      <c r="BU265" s="517"/>
      <c r="BV265" s="517"/>
      <c r="BW265" s="318"/>
    </row>
    <row r="266" spans="1:75" s="465" customFormat="1" ht="15" hidden="1" customHeight="1" outlineLevel="2">
      <c r="A266" s="326" t="s">
        <v>312</v>
      </c>
      <c r="B266" s="328"/>
      <c r="C266" s="732"/>
      <c r="D266" s="732"/>
      <c r="E266" s="732"/>
      <c r="F266" s="732">
        <f t="shared" ref="F266:AK266" si="509">WORKDAY(F4+1,-1)</f>
        <v>41274</v>
      </c>
      <c r="G266" s="329">
        <f t="shared" si="509"/>
        <v>41362</v>
      </c>
      <c r="H266" s="329">
        <f t="shared" si="509"/>
        <v>41453</v>
      </c>
      <c r="I266" s="329">
        <f t="shared" si="509"/>
        <v>41547</v>
      </c>
      <c r="J266" s="329">
        <f t="shared" si="509"/>
        <v>41639</v>
      </c>
      <c r="K266" s="732">
        <f t="shared" si="509"/>
        <v>41639</v>
      </c>
      <c r="L266" s="329">
        <f t="shared" si="509"/>
        <v>41729</v>
      </c>
      <c r="M266" s="329">
        <f t="shared" si="509"/>
        <v>41820</v>
      </c>
      <c r="N266" s="329">
        <f t="shared" si="509"/>
        <v>41912</v>
      </c>
      <c r="O266" s="329">
        <f t="shared" si="509"/>
        <v>42004</v>
      </c>
      <c r="P266" s="732">
        <f t="shared" si="509"/>
        <v>42004</v>
      </c>
      <c r="Q266" s="329">
        <f t="shared" si="509"/>
        <v>42094</v>
      </c>
      <c r="R266" s="329">
        <f t="shared" si="509"/>
        <v>42185</v>
      </c>
      <c r="S266" s="329">
        <f t="shared" si="509"/>
        <v>42277</v>
      </c>
      <c r="T266" s="329">
        <f t="shared" si="509"/>
        <v>42369</v>
      </c>
      <c r="U266" s="732">
        <f t="shared" si="509"/>
        <v>42369</v>
      </c>
      <c r="V266" s="329">
        <f t="shared" si="509"/>
        <v>42460</v>
      </c>
      <c r="W266" s="329">
        <f t="shared" si="509"/>
        <v>42551</v>
      </c>
      <c r="X266" s="329">
        <f t="shared" si="509"/>
        <v>42643</v>
      </c>
      <c r="Y266" s="329">
        <f t="shared" si="509"/>
        <v>42734</v>
      </c>
      <c r="Z266" s="732">
        <f t="shared" si="509"/>
        <v>42734</v>
      </c>
      <c r="AA266" s="329">
        <f t="shared" si="509"/>
        <v>42825</v>
      </c>
      <c r="AB266" s="329">
        <f t="shared" si="509"/>
        <v>42916</v>
      </c>
      <c r="AC266" s="329">
        <f t="shared" si="509"/>
        <v>43007</v>
      </c>
      <c r="AD266" s="329">
        <f t="shared" si="509"/>
        <v>43098</v>
      </c>
      <c r="AE266" s="732">
        <f t="shared" si="509"/>
        <v>43098</v>
      </c>
      <c r="AF266" s="329">
        <f t="shared" si="509"/>
        <v>43189</v>
      </c>
      <c r="AG266" s="329">
        <f t="shared" si="509"/>
        <v>43280</v>
      </c>
      <c r="AH266" s="329">
        <f t="shared" si="509"/>
        <v>43371</v>
      </c>
      <c r="AI266" s="329">
        <f t="shared" si="509"/>
        <v>43465</v>
      </c>
      <c r="AJ266" s="732">
        <f t="shared" si="509"/>
        <v>43465</v>
      </c>
      <c r="AK266" s="329">
        <f t="shared" si="509"/>
        <v>43553</v>
      </c>
      <c r="AL266" s="329">
        <f t="shared" ref="AL266:BG266" si="510">WORKDAY(AL4+1,-1)</f>
        <v>43644</v>
      </c>
      <c r="AM266" s="329">
        <f t="shared" si="510"/>
        <v>43738</v>
      </c>
      <c r="AN266" s="329">
        <f t="shared" si="510"/>
        <v>43830</v>
      </c>
      <c r="AO266" s="732">
        <f t="shared" si="510"/>
        <v>43830</v>
      </c>
      <c r="AP266" s="329">
        <f t="shared" si="510"/>
        <v>43921</v>
      </c>
      <c r="AQ266" s="329">
        <f t="shared" si="510"/>
        <v>44012</v>
      </c>
      <c r="AR266" s="329">
        <f t="shared" si="510"/>
        <v>44104</v>
      </c>
      <c r="AS266" s="329">
        <f t="shared" si="510"/>
        <v>44196</v>
      </c>
      <c r="AT266" s="732">
        <f t="shared" si="510"/>
        <v>44196</v>
      </c>
      <c r="AU266" s="329">
        <f t="shared" si="510"/>
        <v>44286</v>
      </c>
      <c r="AV266" s="329">
        <f t="shared" si="510"/>
        <v>44377</v>
      </c>
      <c r="AW266" s="329">
        <f t="shared" si="510"/>
        <v>44469</v>
      </c>
      <c r="AX266" s="329">
        <f t="shared" si="510"/>
        <v>44561</v>
      </c>
      <c r="AY266" s="732">
        <f t="shared" si="510"/>
        <v>44561</v>
      </c>
      <c r="AZ266" s="329">
        <f t="shared" si="510"/>
        <v>44651</v>
      </c>
      <c r="BA266" s="329">
        <f t="shared" si="510"/>
        <v>44742</v>
      </c>
      <c r="BB266" s="329">
        <f t="shared" si="510"/>
        <v>44834</v>
      </c>
      <c r="BC266" s="329">
        <f t="shared" si="510"/>
        <v>44925</v>
      </c>
      <c r="BD266" s="732">
        <f t="shared" si="510"/>
        <v>44925</v>
      </c>
      <c r="BE266" s="329">
        <f t="shared" si="510"/>
        <v>45016</v>
      </c>
      <c r="BF266" s="329">
        <f t="shared" si="510"/>
        <v>45107</v>
      </c>
      <c r="BG266" s="329">
        <f t="shared" si="510"/>
        <v>45198</v>
      </c>
      <c r="BH266" s="329">
        <f>WORKDAY(BH4+1,-1)</f>
        <v>45289</v>
      </c>
      <c r="BI266" s="732">
        <f>WORKDAY(BI4+1,-1)</f>
        <v>45289</v>
      </c>
      <c r="BJ266" s="329">
        <f>WORKDAY(BJ4+1,-1)</f>
        <v>45380</v>
      </c>
      <c r="BK266" s="329">
        <f>WORKDAY(BK4+1,-1)</f>
        <v>45471</v>
      </c>
      <c r="BL266" s="504">
        <f>WORKDAY(BL4+1,-1)</f>
        <v>45565</v>
      </c>
      <c r="BM266" s="329"/>
      <c r="BN266" s="732"/>
      <c r="BO266" s="329"/>
      <c r="BP266" s="329"/>
      <c r="BQ266" s="329"/>
      <c r="BR266" s="329"/>
      <c r="BS266" s="732"/>
      <c r="BT266" s="732"/>
      <c r="BU266" s="732"/>
      <c r="BV266" s="732"/>
      <c r="BW266" s="329"/>
    </row>
    <row r="267" spans="1:75" s="466" customFormat="1" ht="15" hidden="1" customHeight="1" outlineLevel="1" collapsed="1">
      <c r="A267" s="327" t="s">
        <v>313</v>
      </c>
      <c r="B267" s="330"/>
      <c r="C267" s="733"/>
      <c r="D267" s="733"/>
      <c r="E267" s="733"/>
      <c r="F267" s="733">
        <f>F423</f>
        <v>18.87</v>
      </c>
      <c r="G267" s="327">
        <f t="shared" ref="G267:BN267" si="511">G423</f>
        <v>23.71</v>
      </c>
      <c r="H267" s="327">
        <f t="shared" si="511"/>
        <v>34.770000000000003</v>
      </c>
      <c r="I267" s="327">
        <f t="shared" si="511"/>
        <v>68.05</v>
      </c>
      <c r="J267" s="327">
        <f t="shared" si="511"/>
        <v>66.010000000000005</v>
      </c>
      <c r="K267" s="733">
        <f t="shared" si="511"/>
        <v>66.010000000000005</v>
      </c>
      <c r="L267" s="327">
        <f t="shared" si="511"/>
        <v>76.44</v>
      </c>
      <c r="M267" s="327">
        <f t="shared" si="511"/>
        <v>77.28</v>
      </c>
      <c r="N267" s="327">
        <f t="shared" si="511"/>
        <v>69.540000000000006</v>
      </c>
      <c r="O267" s="327">
        <f t="shared" si="511"/>
        <v>54.24</v>
      </c>
      <c r="P267" s="733">
        <f t="shared" si="511"/>
        <v>54.24</v>
      </c>
      <c r="Q267" s="327">
        <f t="shared" si="511"/>
        <v>47.39</v>
      </c>
      <c r="R267" s="327">
        <f t="shared" si="511"/>
        <v>42.47</v>
      </c>
      <c r="S267" s="327">
        <f t="shared" si="511"/>
        <v>21.14</v>
      </c>
      <c r="T267" s="327">
        <f t="shared" si="511"/>
        <v>28.25</v>
      </c>
      <c r="U267" s="733">
        <f t="shared" si="511"/>
        <v>28.25</v>
      </c>
      <c r="V267" s="327">
        <f t="shared" si="511"/>
        <v>20.43</v>
      </c>
      <c r="W267" s="327">
        <f t="shared" si="511"/>
        <v>29.2</v>
      </c>
      <c r="X267" s="327">
        <f t="shared" si="511"/>
        <v>40.98</v>
      </c>
      <c r="Y267" s="327">
        <f t="shared" si="511"/>
        <v>38.130000000000003</v>
      </c>
      <c r="Z267" s="733">
        <f t="shared" si="511"/>
        <v>38.130000000000003</v>
      </c>
      <c r="AA267" s="327">
        <f t="shared" si="511"/>
        <v>32.520000000000003</v>
      </c>
      <c r="AB267" s="327">
        <f t="shared" si="511"/>
        <v>29.89</v>
      </c>
      <c r="AC267" s="327">
        <f t="shared" si="511"/>
        <v>43.3</v>
      </c>
      <c r="AD267" s="327">
        <f t="shared" si="511"/>
        <v>41.96</v>
      </c>
      <c r="AE267" s="733">
        <f t="shared" si="511"/>
        <v>41.96</v>
      </c>
      <c r="AF267" s="327">
        <f t="shared" si="511"/>
        <v>41.75</v>
      </c>
      <c r="AG267" s="327">
        <f t="shared" si="511"/>
        <v>39.18</v>
      </c>
      <c r="AH267" s="327">
        <f t="shared" si="511"/>
        <v>49.2</v>
      </c>
      <c r="AI267" s="327">
        <f t="shared" si="511"/>
        <v>34.42</v>
      </c>
      <c r="AJ267" s="733">
        <f t="shared" si="511"/>
        <v>34.42</v>
      </c>
      <c r="AK267" s="327">
        <f t="shared" si="511"/>
        <v>34.5</v>
      </c>
      <c r="AL267" s="327">
        <f t="shared" si="511"/>
        <v>34.18</v>
      </c>
      <c r="AM267" s="327">
        <f t="shared" si="511"/>
        <v>34.42</v>
      </c>
      <c r="AN267" s="327">
        <f t="shared" si="511"/>
        <v>34.58</v>
      </c>
      <c r="AO267" s="733">
        <f t="shared" si="511"/>
        <v>34.58</v>
      </c>
      <c r="AP267" s="327">
        <f t="shared" si="511"/>
        <v>17.53</v>
      </c>
      <c r="AQ267" s="327">
        <f t="shared" si="511"/>
        <v>21.47</v>
      </c>
      <c r="AR267" s="327">
        <f t="shared" si="511"/>
        <v>20.07</v>
      </c>
      <c r="AS267" s="327">
        <f t="shared" si="511"/>
        <v>31.64</v>
      </c>
      <c r="AT267" s="733">
        <f t="shared" si="511"/>
        <v>31.64</v>
      </c>
      <c r="AU267" s="327">
        <f t="shared" si="511"/>
        <v>38.57</v>
      </c>
      <c r="AV267" s="327">
        <f t="shared" si="511"/>
        <v>40.369999999999997</v>
      </c>
      <c r="AW267" s="327">
        <f t="shared" si="511"/>
        <v>37.979999999999997</v>
      </c>
      <c r="AX267" s="327">
        <f t="shared" si="511"/>
        <v>36.479999999999997</v>
      </c>
      <c r="AY267" s="733">
        <f t="shared" si="511"/>
        <v>36.479999999999997</v>
      </c>
      <c r="AZ267" s="327">
        <f t="shared" si="511"/>
        <v>34.76</v>
      </c>
      <c r="BA267" s="327">
        <f t="shared" si="511"/>
        <v>28.47</v>
      </c>
      <c r="BB267" s="327">
        <f t="shared" si="511"/>
        <v>33.770000000000003</v>
      </c>
      <c r="BC267" s="327">
        <f t="shared" si="511"/>
        <v>27.34</v>
      </c>
      <c r="BD267" s="733">
        <f t="shared" si="511"/>
        <v>27.34</v>
      </c>
      <c r="BE267" s="327">
        <f t="shared" ref="BE267" si="512">BE423</f>
        <v>29.98</v>
      </c>
      <c r="BF267" s="327">
        <f t="shared" ref="BF267:BM267" si="513">BF423</f>
        <v>36.47</v>
      </c>
      <c r="BG267" s="327">
        <f t="shared" si="513"/>
        <v>41.59</v>
      </c>
      <c r="BH267" s="327">
        <f t="shared" si="513"/>
        <v>47.34</v>
      </c>
      <c r="BI267" s="733">
        <f t="shared" si="513"/>
        <v>47.34</v>
      </c>
      <c r="BJ267" s="327">
        <f>BJ423</f>
        <v>39.4</v>
      </c>
      <c r="BK267" s="327">
        <f>BK423</f>
        <v>36.950000000000003</v>
      </c>
      <c r="BL267" s="505">
        <f>BL423</f>
        <v>34.909999999999997</v>
      </c>
      <c r="BM267" s="327" t="e">
        <f t="shared" si="513"/>
        <v>#REF!</v>
      </c>
      <c r="BN267" s="733" t="e">
        <f t="shared" si="511"/>
        <v>#REF!</v>
      </c>
      <c r="BO267" s="327" t="e">
        <f t="shared" ref="BO267:BV267" si="514">BO423</f>
        <v>#REF!</v>
      </c>
      <c r="BP267" s="327" t="e">
        <f t="shared" si="514"/>
        <v>#REF!</v>
      </c>
      <c r="BQ267" s="327" t="e">
        <f t="shared" si="514"/>
        <v>#REF!</v>
      </c>
      <c r="BR267" s="327" t="e">
        <f t="shared" si="514"/>
        <v>#REF!</v>
      </c>
      <c r="BS267" s="733" t="e">
        <f t="shared" si="514"/>
        <v>#REF!</v>
      </c>
      <c r="BT267" s="733" t="e">
        <f t="shared" si="514"/>
        <v>#REF!</v>
      </c>
      <c r="BU267" s="733" t="e">
        <f t="shared" si="514"/>
        <v>#REF!</v>
      </c>
      <c r="BV267" s="733" t="e">
        <f t="shared" si="514"/>
        <v>#REF!</v>
      </c>
      <c r="BW267" s="331"/>
    </row>
    <row r="268" spans="1:75" s="467" customFormat="1" ht="15" hidden="1" customHeight="1" outlineLevel="1">
      <c r="A268" s="518"/>
      <c r="B268" s="294"/>
      <c r="C268" s="89"/>
      <c r="D268" s="89"/>
      <c r="E268" s="89"/>
      <c r="F268" s="89"/>
      <c r="G268" s="518"/>
      <c r="H268" s="518"/>
      <c r="I268" s="518"/>
      <c r="J268" s="518"/>
      <c r="K268" s="89"/>
      <c r="L268" s="518"/>
      <c r="M268" s="518"/>
      <c r="N268" s="518"/>
      <c r="O268" s="518"/>
      <c r="P268" s="89"/>
      <c r="Q268" s="518"/>
      <c r="R268" s="518"/>
      <c r="S268" s="518"/>
      <c r="T268" s="518"/>
      <c r="U268" s="89"/>
      <c r="V268" s="518"/>
      <c r="W268" s="518"/>
      <c r="X268" s="518"/>
      <c r="Y268" s="518"/>
      <c r="Z268" s="89"/>
      <c r="AA268" s="518"/>
      <c r="AB268" s="518"/>
      <c r="AC268" s="518"/>
      <c r="AD268" s="518"/>
      <c r="AE268" s="89"/>
      <c r="AF268" s="518"/>
      <c r="AG268" s="518"/>
      <c r="AH268" s="518"/>
      <c r="AI268" s="518"/>
      <c r="AJ268" s="89"/>
      <c r="AK268" s="518"/>
      <c r="AL268" s="518"/>
      <c r="AM268" s="518"/>
      <c r="AN268" s="518"/>
      <c r="AO268" s="89"/>
      <c r="AP268" s="518"/>
      <c r="AQ268" s="518"/>
      <c r="AR268" s="518"/>
      <c r="AS268" s="518"/>
      <c r="AT268" s="89"/>
      <c r="AU268" s="518"/>
      <c r="AV268" s="518"/>
      <c r="AW268" s="518"/>
      <c r="AX268" s="518"/>
      <c r="AY268" s="89"/>
      <c r="AZ268" s="518"/>
      <c r="BA268" s="518"/>
      <c r="BB268" s="518"/>
      <c r="BC268" s="518"/>
      <c r="BD268" s="89"/>
      <c r="BE268" s="518"/>
      <c r="BF268" s="518"/>
      <c r="BG268" s="518"/>
      <c r="BH268" s="518"/>
      <c r="BI268" s="89"/>
      <c r="BJ268" s="518"/>
      <c r="BK268" s="518"/>
      <c r="BL268" s="520"/>
      <c r="BM268" s="518"/>
      <c r="BN268" s="89"/>
      <c r="BO268" s="518"/>
      <c r="BP268" s="518"/>
      <c r="BQ268" s="518"/>
      <c r="BR268" s="518"/>
      <c r="BS268" s="89"/>
      <c r="BT268" s="89"/>
      <c r="BU268" s="89"/>
      <c r="BV268" s="89"/>
      <c r="BW268" s="295"/>
    </row>
    <row r="269" spans="1:75" s="468" customFormat="1" ht="15" hidden="1" customHeight="1" outlineLevel="2">
      <c r="A269" s="296" t="s">
        <v>314</v>
      </c>
      <c r="B269" s="297"/>
      <c r="C269" s="734"/>
      <c r="D269" s="734"/>
      <c r="E269" s="734"/>
      <c r="F269" s="735">
        <v>1</v>
      </c>
      <c r="G269" s="632">
        <v>1</v>
      </c>
      <c r="H269" s="632">
        <v>1</v>
      </c>
      <c r="I269" s="632">
        <v>1</v>
      </c>
      <c r="J269" s="296">
        <f>K269</f>
        <v>1</v>
      </c>
      <c r="K269" s="735">
        <v>1</v>
      </c>
      <c r="L269" s="632">
        <v>1</v>
      </c>
      <c r="M269" s="632">
        <v>1</v>
      </c>
      <c r="N269" s="632">
        <v>1</v>
      </c>
      <c r="O269" s="296">
        <f>P269</f>
        <v>1</v>
      </c>
      <c r="P269" s="735">
        <v>1</v>
      </c>
      <c r="Q269" s="632">
        <v>1</v>
      </c>
      <c r="R269" s="632">
        <v>1</v>
      </c>
      <c r="S269" s="632">
        <v>1</v>
      </c>
      <c r="T269" s="296">
        <f>U269</f>
        <v>1</v>
      </c>
      <c r="U269" s="735">
        <v>1</v>
      </c>
      <c r="V269" s="632">
        <v>1</v>
      </c>
      <c r="W269" s="632">
        <v>1</v>
      </c>
      <c r="X269" s="296"/>
      <c r="Y269" s="296"/>
      <c r="Z269" s="734"/>
      <c r="AA269" s="296"/>
      <c r="AB269" s="296"/>
      <c r="AC269" s="296"/>
      <c r="AD269" s="296"/>
      <c r="AE269" s="734"/>
      <c r="AF269" s="296"/>
      <c r="AG269" s="296"/>
      <c r="AH269" s="296"/>
      <c r="AI269" s="296"/>
      <c r="AJ269" s="734"/>
      <c r="AK269" s="296"/>
      <c r="AL269" s="296"/>
      <c r="AM269" s="296"/>
      <c r="AN269" s="296"/>
      <c r="AO269" s="734"/>
      <c r="AP269" s="296"/>
      <c r="AQ269" s="296"/>
      <c r="AR269" s="296"/>
      <c r="AS269" s="296"/>
      <c r="AT269" s="734"/>
      <c r="AU269" s="296"/>
      <c r="AV269" s="296"/>
      <c r="AW269" s="296"/>
      <c r="AX269" s="296"/>
      <c r="AY269" s="734"/>
      <c r="AZ269" s="296"/>
      <c r="BA269" s="296"/>
      <c r="BB269" s="296"/>
      <c r="BC269" s="296"/>
      <c r="BD269" s="734"/>
      <c r="BE269" s="296"/>
      <c r="BF269" s="296"/>
      <c r="BG269" s="296"/>
      <c r="BH269" s="296"/>
      <c r="BI269" s="734"/>
      <c r="BJ269" s="296"/>
      <c r="BK269" s="296"/>
      <c r="BL269" s="403"/>
      <c r="BM269" s="296"/>
      <c r="BN269" s="734"/>
      <c r="BO269" s="296"/>
      <c r="BP269" s="296"/>
      <c r="BQ269" s="296"/>
      <c r="BR269" s="296"/>
      <c r="BS269" s="734"/>
      <c r="BT269" s="734"/>
      <c r="BU269" s="734"/>
      <c r="BV269" s="734"/>
      <c r="BW269" s="298"/>
    </row>
    <row r="270" spans="1:75" s="439" customFormat="1" ht="15" hidden="1" customHeight="1" outlineLevel="2">
      <c r="A270" s="518"/>
      <c r="B270" s="53"/>
      <c r="C270" s="89"/>
      <c r="D270" s="89"/>
      <c r="E270" s="89"/>
      <c r="F270" s="89"/>
      <c r="G270" s="518"/>
      <c r="H270" s="518"/>
      <c r="I270" s="518"/>
      <c r="J270" s="518"/>
      <c r="K270" s="89"/>
      <c r="L270" s="518"/>
      <c r="M270" s="518"/>
      <c r="N270" s="518"/>
      <c r="O270" s="518"/>
      <c r="P270" s="89"/>
      <c r="Q270" s="518"/>
      <c r="R270" s="518"/>
      <c r="S270" s="518"/>
      <c r="T270" s="518"/>
      <c r="U270" s="89"/>
      <c r="V270" s="518"/>
      <c r="W270" s="518"/>
      <c r="X270" s="518"/>
      <c r="Y270" s="518"/>
      <c r="Z270" s="89"/>
      <c r="AA270" s="518"/>
      <c r="AB270" s="518"/>
      <c r="AC270" s="518"/>
      <c r="AD270" s="518"/>
      <c r="AE270" s="89"/>
      <c r="AF270" s="518"/>
      <c r="AG270" s="518"/>
      <c r="AH270" s="518"/>
      <c r="AI270" s="518"/>
      <c r="AJ270" s="89"/>
      <c r="AK270" s="518"/>
      <c r="AL270" s="518"/>
      <c r="AM270" s="518"/>
      <c r="AN270" s="518"/>
      <c r="AO270" s="89"/>
      <c r="AP270" s="518"/>
      <c r="AQ270" s="518"/>
      <c r="AR270" s="518"/>
      <c r="AS270" s="518"/>
      <c r="AT270" s="89"/>
      <c r="AU270" s="518"/>
      <c r="AV270" s="518"/>
      <c r="AW270" s="518"/>
      <c r="AX270" s="518"/>
      <c r="AY270" s="89"/>
      <c r="AZ270" s="518"/>
      <c r="BA270" s="518"/>
      <c r="BB270" s="518"/>
      <c r="BC270" s="518"/>
      <c r="BD270" s="89"/>
      <c r="BE270" s="518"/>
      <c r="BF270" s="518"/>
      <c r="BG270" s="518"/>
      <c r="BH270" s="518"/>
      <c r="BI270" s="89"/>
      <c r="BJ270" s="518"/>
      <c r="BK270" s="518"/>
      <c r="BL270" s="520"/>
      <c r="BM270" s="518"/>
      <c r="BN270" s="89"/>
      <c r="BO270" s="518"/>
      <c r="BP270" s="518"/>
      <c r="BQ270" s="518"/>
      <c r="BR270" s="518"/>
      <c r="BS270" s="89"/>
      <c r="BT270" s="89"/>
      <c r="BU270" s="89"/>
      <c r="BV270" s="89"/>
      <c r="BW270" s="519"/>
    </row>
    <row r="271" spans="1:75" s="439" customFormat="1" ht="15" hidden="1" customHeight="1" outlineLevel="2">
      <c r="A271" s="31" t="s">
        <v>315</v>
      </c>
      <c r="B271" s="53"/>
      <c r="C271" s="89"/>
      <c r="D271" s="89"/>
      <c r="E271" s="89"/>
      <c r="F271" s="675">
        <v>23.380282999999999</v>
      </c>
      <c r="G271" s="609">
        <v>30.697963000000001</v>
      </c>
      <c r="H271" s="609">
        <v>39.186394999999997</v>
      </c>
      <c r="I271" s="609">
        <v>53.573296999999997</v>
      </c>
      <c r="J271" s="518">
        <f>K271</f>
        <v>59.163133999999999</v>
      </c>
      <c r="K271" s="675">
        <v>59.163133999999999</v>
      </c>
      <c r="L271" s="609">
        <v>60.908205000000002</v>
      </c>
      <c r="M271" s="609">
        <v>61.529052999999998</v>
      </c>
      <c r="N271" s="609">
        <v>62.447651</v>
      </c>
      <c r="O271" s="518">
        <f>P271</f>
        <v>63.062071000000003</v>
      </c>
      <c r="P271" s="675">
        <v>63.062071000000003</v>
      </c>
      <c r="Q271" s="609">
        <v>65.050725999999997</v>
      </c>
      <c r="R271" s="609">
        <v>65.753489000000002</v>
      </c>
      <c r="S271" s="609">
        <v>65.982119999999995</v>
      </c>
      <c r="T271" s="518">
        <f>U271</f>
        <v>66.535156000000001</v>
      </c>
      <c r="U271" s="675">
        <v>66.535156000000001</v>
      </c>
      <c r="V271" s="609">
        <v>67.982104000000007</v>
      </c>
      <c r="W271" s="609">
        <v>68.795652000000004</v>
      </c>
      <c r="X271" s="518"/>
      <c r="Y271" s="518"/>
      <c r="Z271" s="89"/>
      <c r="AA271" s="518"/>
      <c r="AB271" s="518"/>
      <c r="AC271" s="518"/>
      <c r="AD271" s="518"/>
      <c r="AE271" s="89"/>
      <c r="AF271" s="518"/>
      <c r="AG271" s="518"/>
      <c r="AH271" s="518"/>
      <c r="AI271" s="518"/>
      <c r="AJ271" s="89"/>
      <c r="AK271" s="518"/>
      <c r="AL271" s="518"/>
      <c r="AM271" s="518"/>
      <c r="AN271" s="518"/>
      <c r="AO271" s="89"/>
      <c r="AP271" s="518"/>
      <c r="AQ271" s="518"/>
      <c r="AR271" s="518"/>
      <c r="AS271" s="518"/>
      <c r="AT271" s="89"/>
      <c r="AU271" s="518"/>
      <c r="AV271" s="518"/>
      <c r="AW271" s="518"/>
      <c r="AX271" s="518"/>
      <c r="AY271" s="89"/>
      <c r="AZ271" s="518"/>
      <c r="BA271" s="518"/>
      <c r="BB271" s="518"/>
      <c r="BC271" s="518"/>
      <c r="BD271" s="89"/>
      <c r="BE271" s="518"/>
      <c r="BF271" s="518"/>
      <c r="BG271" s="518"/>
      <c r="BH271" s="518"/>
      <c r="BI271" s="89"/>
      <c r="BJ271" s="518"/>
      <c r="BK271" s="518"/>
      <c r="BL271" s="520"/>
      <c r="BM271" s="518"/>
      <c r="BN271" s="89"/>
      <c r="BO271" s="518"/>
      <c r="BP271" s="518"/>
      <c r="BQ271" s="518"/>
      <c r="BR271" s="518"/>
      <c r="BS271" s="89"/>
      <c r="BT271" s="89"/>
      <c r="BU271" s="89"/>
      <c r="BV271" s="89"/>
      <c r="BW271" s="519"/>
    </row>
    <row r="272" spans="1:75" s="439" customFormat="1" ht="15" hidden="1" customHeight="1" outlineLevel="2">
      <c r="A272" s="80" t="s">
        <v>316</v>
      </c>
      <c r="B272" s="292"/>
      <c r="C272" s="674"/>
      <c r="D272" s="674"/>
      <c r="E272" s="674"/>
      <c r="F272" s="718">
        <v>40.124986</v>
      </c>
      <c r="G272" s="611">
        <v>33.588155999999998</v>
      </c>
      <c r="H272" s="611">
        <v>25.868912000000002</v>
      </c>
      <c r="I272" s="611">
        <v>12.400323999999999</v>
      </c>
      <c r="J272" s="521">
        <f>K272</f>
        <v>11.711359</v>
      </c>
      <c r="K272" s="718">
        <v>11.711359</v>
      </c>
      <c r="L272" s="611">
        <v>10.643936</v>
      </c>
      <c r="M272" s="611">
        <v>10.466189999999999</v>
      </c>
      <c r="N272" s="611">
        <v>10.030034000000001</v>
      </c>
      <c r="O272" s="521">
        <f>P272</f>
        <v>9.858511</v>
      </c>
      <c r="P272" s="718">
        <v>9.858511</v>
      </c>
      <c r="Q272" s="611">
        <v>9.6006079999999994</v>
      </c>
      <c r="R272" s="611">
        <v>9.4792159999999992</v>
      </c>
      <c r="S272" s="611">
        <v>9.4604579999999991</v>
      </c>
      <c r="T272" s="521">
        <f>U272</f>
        <v>9.4476460000000007</v>
      </c>
      <c r="U272" s="718">
        <v>9.4476460000000007</v>
      </c>
      <c r="V272" s="611">
        <v>8.4426459999999999</v>
      </c>
      <c r="W272" s="611">
        <v>8.4491460000000007</v>
      </c>
      <c r="X272" s="521"/>
      <c r="Y272" s="521"/>
      <c r="Z272" s="674"/>
      <c r="AA272" s="521"/>
      <c r="AB272" s="521"/>
      <c r="AC272" s="521"/>
      <c r="AD272" s="521"/>
      <c r="AE272" s="674"/>
      <c r="AF272" s="521"/>
      <c r="AG272" s="521"/>
      <c r="AH272" s="521"/>
      <c r="AI272" s="521"/>
      <c r="AJ272" s="674"/>
      <c r="AK272" s="521"/>
      <c r="AL272" s="521"/>
      <c r="AM272" s="521"/>
      <c r="AN272" s="521"/>
      <c r="AO272" s="674"/>
      <c r="AP272" s="521"/>
      <c r="AQ272" s="521"/>
      <c r="AR272" s="521"/>
      <c r="AS272" s="521"/>
      <c r="AT272" s="674"/>
      <c r="AU272" s="521"/>
      <c r="AV272" s="521"/>
      <c r="AW272" s="521"/>
      <c r="AX272" s="521"/>
      <c r="AY272" s="674"/>
      <c r="AZ272" s="521"/>
      <c r="BA272" s="521"/>
      <c r="BB272" s="521"/>
      <c r="BC272" s="521"/>
      <c r="BD272" s="674"/>
      <c r="BE272" s="521"/>
      <c r="BF272" s="521"/>
      <c r="BG272" s="521"/>
      <c r="BH272" s="521"/>
      <c r="BI272" s="674"/>
      <c r="BJ272" s="521"/>
      <c r="BK272" s="521"/>
      <c r="BL272" s="522"/>
      <c r="BM272" s="521"/>
      <c r="BN272" s="674"/>
      <c r="BO272" s="521"/>
      <c r="BP272" s="521"/>
      <c r="BQ272" s="521"/>
      <c r="BR272" s="521"/>
      <c r="BS272" s="674"/>
      <c r="BT272" s="674"/>
      <c r="BU272" s="674"/>
      <c r="BV272" s="674"/>
      <c r="BW272" s="519"/>
    </row>
    <row r="273" spans="1:75" s="439" customFormat="1" ht="15" hidden="1" customHeight="1" outlineLevel="1" collapsed="1">
      <c r="A273" s="518" t="s">
        <v>317</v>
      </c>
      <c r="B273" s="53"/>
      <c r="C273" s="89"/>
      <c r="D273" s="89"/>
      <c r="E273" s="89"/>
      <c r="F273" s="89">
        <f>SUM(F271:F272)</f>
        <v>63.505268999999998</v>
      </c>
      <c r="G273" s="518">
        <f t="shared" ref="G273:V273" si="515">SUM(G271:G272)</f>
        <v>64.286118999999999</v>
      </c>
      <c r="H273" s="518">
        <f t="shared" si="515"/>
        <v>65.055306999999999</v>
      </c>
      <c r="I273" s="518">
        <f t="shared" si="515"/>
        <v>65.973620999999994</v>
      </c>
      <c r="J273" s="518">
        <f t="shared" si="515"/>
        <v>70.874493000000001</v>
      </c>
      <c r="K273" s="89">
        <f t="shared" si="515"/>
        <v>70.874493000000001</v>
      </c>
      <c r="L273" s="518">
        <f t="shared" si="515"/>
        <v>71.552141000000006</v>
      </c>
      <c r="M273" s="518">
        <f t="shared" si="515"/>
        <v>71.995243000000002</v>
      </c>
      <c r="N273" s="518">
        <f t="shared" si="515"/>
        <v>72.477685000000008</v>
      </c>
      <c r="O273" s="518">
        <f t="shared" si="515"/>
        <v>72.920581999999996</v>
      </c>
      <c r="P273" s="89">
        <f t="shared" si="515"/>
        <v>72.920581999999996</v>
      </c>
      <c r="Q273" s="518">
        <f t="shared" si="515"/>
        <v>74.651333999999991</v>
      </c>
      <c r="R273" s="518">
        <f t="shared" si="515"/>
        <v>75.232704999999996</v>
      </c>
      <c r="S273" s="518">
        <f t="shared" si="515"/>
        <v>75.442577999999997</v>
      </c>
      <c r="T273" s="518">
        <f t="shared" si="515"/>
        <v>75.982802000000007</v>
      </c>
      <c r="U273" s="89">
        <f t="shared" si="515"/>
        <v>75.982802000000007</v>
      </c>
      <c r="V273" s="518">
        <f t="shared" si="515"/>
        <v>76.424750000000003</v>
      </c>
      <c r="W273" s="518">
        <f>SUM(W271:W272)</f>
        <v>77.244798000000003</v>
      </c>
      <c r="X273" s="609">
        <v>78.313998999999995</v>
      </c>
      <c r="Y273" s="518">
        <f>Z273</f>
        <v>79.429833000000002</v>
      </c>
      <c r="Z273" s="675">
        <v>79.429833000000002</v>
      </c>
      <c r="AA273" s="609">
        <v>80.290088999999995</v>
      </c>
      <c r="AB273" s="609">
        <v>81.752996999999993</v>
      </c>
      <c r="AC273" s="609">
        <v>82.741466000000003</v>
      </c>
      <c r="AD273" s="518">
        <f>AE273</f>
        <v>83.724915999999993</v>
      </c>
      <c r="AE273" s="675">
        <v>83.724915999999993</v>
      </c>
      <c r="AF273" s="609">
        <v>83.596509999999995</v>
      </c>
      <c r="AG273" s="609">
        <v>83.792697000000004</v>
      </c>
      <c r="AH273" s="609">
        <v>84.375021000000004</v>
      </c>
      <c r="AI273" s="518">
        <f>AJ273</f>
        <v>81.996838999999994</v>
      </c>
      <c r="AJ273" s="675">
        <v>81.996838999999994</v>
      </c>
      <c r="AK273" s="609">
        <v>79.689829000000003</v>
      </c>
      <c r="AL273" s="609">
        <v>71.752010999999996</v>
      </c>
      <c r="AM273" s="609">
        <v>70.199922999999998</v>
      </c>
      <c r="AN273" s="518">
        <f>AO273</f>
        <v>71.185468</v>
      </c>
      <c r="AO273" s="675">
        <v>71.185468</v>
      </c>
      <c r="AP273" s="609">
        <v>71.887845999999996</v>
      </c>
      <c r="AQ273" s="609">
        <v>73.121229</v>
      </c>
      <c r="AR273" s="609">
        <v>73.976487000000006</v>
      </c>
      <c r="AS273" s="518">
        <f>AT273</f>
        <v>75.272350000000003</v>
      </c>
      <c r="AT273" s="675">
        <v>75.272350000000003</v>
      </c>
      <c r="AU273" s="609">
        <v>75.065258999999998</v>
      </c>
      <c r="AV273" s="609">
        <v>74.486036999999996</v>
      </c>
      <c r="AW273" s="609">
        <v>73.546379999999999</v>
      </c>
      <c r="AX273" s="518">
        <f>AY273</f>
        <v>72.170919999999995</v>
      </c>
      <c r="AY273" s="675">
        <v>72.170919999999995</v>
      </c>
      <c r="AZ273" s="609">
        <v>71.558999999999997</v>
      </c>
      <c r="BA273" s="609">
        <v>71.119</v>
      </c>
      <c r="BB273" s="609">
        <v>70.399000000000001</v>
      </c>
      <c r="BC273" s="518">
        <f>BD273</f>
        <v>69.796999999999997</v>
      </c>
      <c r="BD273" s="675">
        <v>69.796999999999997</v>
      </c>
      <c r="BE273" s="609">
        <v>69.649000000000001</v>
      </c>
      <c r="BF273" s="609">
        <v>69.287000000000006</v>
      </c>
      <c r="BG273" s="609">
        <v>68.962000000000003</v>
      </c>
      <c r="BH273" s="518">
        <f>BI273</f>
        <v>68.864000000000004</v>
      </c>
      <c r="BI273" s="675">
        <v>68.864000000000004</v>
      </c>
      <c r="BJ273" s="609">
        <v>68.33</v>
      </c>
      <c r="BK273" s="609">
        <v>67.622</v>
      </c>
      <c r="BL273" s="610">
        <v>66.638000000000005</v>
      </c>
      <c r="BM273" s="518" t="e">
        <f>BM274+BM275</f>
        <v>#REF!</v>
      </c>
      <c r="BN273" s="89" t="e">
        <f t="shared" ref="BN273" si="516">BN274+BN275</f>
        <v>#REF!</v>
      </c>
      <c r="BO273" s="518" t="e">
        <f t="shared" ref="BO273:BV273" si="517">BO274+BO275</f>
        <v>#REF!</v>
      </c>
      <c r="BP273" s="518" t="e">
        <f t="shared" si="517"/>
        <v>#REF!</v>
      </c>
      <c r="BQ273" s="518" t="e">
        <f t="shared" si="517"/>
        <v>#REF!</v>
      </c>
      <c r="BR273" s="518" t="e">
        <f t="shared" si="517"/>
        <v>#REF!</v>
      </c>
      <c r="BS273" s="89" t="e">
        <f t="shared" si="517"/>
        <v>#REF!</v>
      </c>
      <c r="BT273" s="89" t="e">
        <f t="shared" si="517"/>
        <v>#REF!</v>
      </c>
      <c r="BU273" s="89" t="e">
        <f t="shared" si="517"/>
        <v>#REF!</v>
      </c>
      <c r="BV273" s="89" t="e">
        <f t="shared" si="517"/>
        <v>#REF!</v>
      </c>
      <c r="BW273" s="519"/>
    </row>
    <row r="274" spans="1:75" s="439" customFormat="1" ht="15" hidden="1" customHeight="1" outlineLevel="1">
      <c r="A274" s="80" t="str">
        <f>A323</f>
        <v>EoP Unvested RSAs, mm shares</v>
      </c>
      <c r="B274" s="292"/>
      <c r="C274" s="674"/>
      <c r="D274" s="674"/>
      <c r="E274" s="674"/>
      <c r="F274" s="674">
        <f>F323</f>
        <v>0.115971</v>
      </c>
      <c r="G274" s="521">
        <f t="shared" ref="G274:V274" si="518">G323</f>
        <v>0.106</v>
      </c>
      <c r="H274" s="521">
        <f t="shared" si="518"/>
        <v>9.7000000000000003E-2</v>
      </c>
      <c r="I274" s="521">
        <f t="shared" si="518"/>
        <v>8.7999999999999995E-2</v>
      </c>
      <c r="J274" s="521">
        <f t="shared" si="518"/>
        <v>7.3469999999999994E-2</v>
      </c>
      <c r="K274" s="674">
        <f t="shared" si="518"/>
        <v>7.3469999999999994E-2</v>
      </c>
      <c r="L274" s="521">
        <f t="shared" si="518"/>
        <v>6.3782000000000005E-2</v>
      </c>
      <c r="M274" s="521">
        <f t="shared" si="518"/>
        <v>5.4406999999999997E-2</v>
      </c>
      <c r="N274" s="521">
        <f t="shared" si="518"/>
        <v>4.5032000000000003E-2</v>
      </c>
      <c r="O274" s="521">
        <f t="shared" si="518"/>
        <v>3.0970000000000001E-2</v>
      </c>
      <c r="P274" s="674">
        <f t="shared" si="518"/>
        <v>3.0970000000000001E-2</v>
      </c>
      <c r="Q274" s="521">
        <f t="shared" si="518"/>
        <v>2.1283E-2</v>
      </c>
      <c r="R274" s="521">
        <f t="shared" si="518"/>
        <v>1.0658000000000001E-2</v>
      </c>
      <c r="S274" s="521">
        <f t="shared" si="518"/>
        <v>3.7490000000000002E-3</v>
      </c>
      <c r="T274" s="521">
        <f t="shared" si="518"/>
        <v>3.1199999999999999E-4</v>
      </c>
      <c r="U274" s="674">
        <f t="shared" si="518"/>
        <v>3.1199999999999999E-4</v>
      </c>
      <c r="V274" s="521">
        <f t="shared" si="518"/>
        <v>0</v>
      </c>
      <c r="W274" s="521"/>
      <c r="X274" s="521"/>
      <c r="Y274" s="521"/>
      <c r="Z274" s="674"/>
      <c r="AA274" s="521"/>
      <c r="AB274" s="521"/>
      <c r="AC274" s="521"/>
      <c r="AD274" s="521"/>
      <c r="AE274" s="674"/>
      <c r="AF274" s="521"/>
      <c r="AG274" s="521"/>
      <c r="AH274" s="521"/>
      <c r="AI274" s="521"/>
      <c r="AJ274" s="674"/>
      <c r="AK274" s="521"/>
      <c r="AL274" s="521"/>
      <c r="AM274" s="521"/>
      <c r="AN274" s="521"/>
      <c r="AO274" s="674"/>
      <c r="AP274" s="521"/>
      <c r="AQ274" s="521"/>
      <c r="AR274" s="521"/>
      <c r="AS274" s="521"/>
      <c r="AT274" s="674"/>
      <c r="AU274" s="521"/>
      <c r="AV274" s="521"/>
      <c r="AW274" s="521"/>
      <c r="AX274" s="521"/>
      <c r="AY274" s="674"/>
      <c r="AZ274" s="521"/>
      <c r="BA274" s="521"/>
      <c r="BB274" s="521"/>
      <c r="BC274" s="521"/>
      <c r="BD274" s="674"/>
      <c r="BE274" s="521"/>
      <c r="BF274" s="521"/>
      <c r="BG274" s="521"/>
      <c r="BH274" s="521"/>
      <c r="BI274" s="674"/>
      <c r="BJ274" s="521"/>
      <c r="BK274" s="521"/>
      <c r="BL274" s="522"/>
      <c r="BM274" s="521"/>
      <c r="BN274" s="674"/>
      <c r="BO274" s="521"/>
      <c r="BP274" s="521"/>
      <c r="BQ274" s="521"/>
      <c r="BR274" s="521"/>
      <c r="BS274" s="674"/>
      <c r="BT274" s="674"/>
      <c r="BU274" s="674"/>
      <c r="BV274" s="674"/>
      <c r="BW274" s="519"/>
    </row>
    <row r="275" spans="1:75" s="439" customFormat="1" ht="15" hidden="1" customHeight="1" outlineLevel="1">
      <c r="A275" s="518" t="s">
        <v>318</v>
      </c>
      <c r="B275" s="53"/>
      <c r="C275" s="89"/>
      <c r="D275" s="89"/>
      <c r="E275" s="89"/>
      <c r="F275" s="89">
        <f>F273-F274</f>
        <v>63.389297999999997</v>
      </c>
      <c r="G275" s="518">
        <f t="shared" ref="G275:BD275" si="519">G273-G274</f>
        <v>64.180119000000005</v>
      </c>
      <c r="H275" s="518">
        <f t="shared" si="519"/>
        <v>64.958307000000005</v>
      </c>
      <c r="I275" s="518">
        <f t="shared" si="519"/>
        <v>65.885621</v>
      </c>
      <c r="J275" s="518">
        <f t="shared" si="519"/>
        <v>70.801023000000001</v>
      </c>
      <c r="K275" s="89">
        <f t="shared" si="519"/>
        <v>70.801023000000001</v>
      </c>
      <c r="L275" s="518">
        <f t="shared" si="519"/>
        <v>71.488359000000003</v>
      </c>
      <c r="M275" s="518">
        <f t="shared" si="519"/>
        <v>71.940836000000004</v>
      </c>
      <c r="N275" s="518">
        <f t="shared" si="519"/>
        <v>72.432653000000002</v>
      </c>
      <c r="O275" s="518">
        <f t="shared" si="519"/>
        <v>72.889612</v>
      </c>
      <c r="P275" s="89">
        <f t="shared" si="519"/>
        <v>72.889612</v>
      </c>
      <c r="Q275" s="518">
        <f t="shared" si="519"/>
        <v>74.630050999999995</v>
      </c>
      <c r="R275" s="518">
        <f t="shared" si="519"/>
        <v>75.222046999999989</v>
      </c>
      <c r="S275" s="518">
        <f t="shared" si="519"/>
        <v>75.438828999999998</v>
      </c>
      <c r="T275" s="518">
        <f t="shared" si="519"/>
        <v>75.982490000000013</v>
      </c>
      <c r="U275" s="89">
        <f t="shared" si="519"/>
        <v>75.982490000000013</v>
      </c>
      <c r="V275" s="518">
        <f t="shared" si="519"/>
        <v>76.424750000000003</v>
      </c>
      <c r="W275" s="518">
        <f t="shared" si="519"/>
        <v>77.244798000000003</v>
      </c>
      <c r="X275" s="518">
        <f t="shared" si="519"/>
        <v>78.313998999999995</v>
      </c>
      <c r="Y275" s="518">
        <f t="shared" si="519"/>
        <v>79.429833000000002</v>
      </c>
      <c r="Z275" s="89">
        <f t="shared" si="519"/>
        <v>79.429833000000002</v>
      </c>
      <c r="AA275" s="518">
        <f t="shared" si="519"/>
        <v>80.290088999999995</v>
      </c>
      <c r="AB275" s="518">
        <f t="shared" si="519"/>
        <v>81.752996999999993</v>
      </c>
      <c r="AC275" s="518">
        <f t="shared" si="519"/>
        <v>82.741466000000003</v>
      </c>
      <c r="AD275" s="518">
        <f t="shared" si="519"/>
        <v>83.724915999999993</v>
      </c>
      <c r="AE275" s="89">
        <f t="shared" si="519"/>
        <v>83.724915999999993</v>
      </c>
      <c r="AF275" s="518">
        <f t="shared" si="519"/>
        <v>83.596509999999995</v>
      </c>
      <c r="AG275" s="518">
        <f t="shared" si="519"/>
        <v>83.792697000000004</v>
      </c>
      <c r="AH275" s="518">
        <f t="shared" si="519"/>
        <v>84.375021000000004</v>
      </c>
      <c r="AI275" s="518">
        <f t="shared" si="519"/>
        <v>81.996838999999994</v>
      </c>
      <c r="AJ275" s="89">
        <f t="shared" si="519"/>
        <v>81.996838999999994</v>
      </c>
      <c r="AK275" s="518">
        <f t="shared" si="519"/>
        <v>79.689829000000003</v>
      </c>
      <c r="AL275" s="518">
        <f t="shared" si="519"/>
        <v>71.752010999999996</v>
      </c>
      <c r="AM275" s="518">
        <f t="shared" si="519"/>
        <v>70.199922999999998</v>
      </c>
      <c r="AN275" s="518">
        <f t="shared" si="519"/>
        <v>71.185468</v>
      </c>
      <c r="AO275" s="89">
        <f t="shared" si="519"/>
        <v>71.185468</v>
      </c>
      <c r="AP275" s="518">
        <f t="shared" si="519"/>
        <v>71.887845999999996</v>
      </c>
      <c r="AQ275" s="518">
        <f t="shared" si="519"/>
        <v>73.121229</v>
      </c>
      <c r="AR275" s="518">
        <f t="shared" si="519"/>
        <v>73.976487000000006</v>
      </c>
      <c r="AS275" s="518">
        <f t="shared" si="519"/>
        <v>75.272350000000003</v>
      </c>
      <c r="AT275" s="89">
        <f t="shared" si="519"/>
        <v>75.272350000000003</v>
      </c>
      <c r="AU275" s="518">
        <f t="shared" si="519"/>
        <v>75.065258999999998</v>
      </c>
      <c r="AV275" s="518">
        <f t="shared" si="519"/>
        <v>74.486036999999996</v>
      </c>
      <c r="AW275" s="518">
        <f t="shared" si="519"/>
        <v>73.546379999999999</v>
      </c>
      <c r="AX275" s="518">
        <f t="shared" si="519"/>
        <v>72.170919999999995</v>
      </c>
      <c r="AY275" s="89">
        <f t="shared" si="519"/>
        <v>72.170919999999995</v>
      </c>
      <c r="AZ275" s="518">
        <f t="shared" si="519"/>
        <v>71.558999999999997</v>
      </c>
      <c r="BA275" s="518">
        <f t="shared" si="519"/>
        <v>71.119</v>
      </c>
      <c r="BB275" s="518">
        <f t="shared" si="519"/>
        <v>70.399000000000001</v>
      </c>
      <c r="BC275" s="518">
        <f t="shared" si="519"/>
        <v>69.796999999999997</v>
      </c>
      <c r="BD275" s="89">
        <f t="shared" si="519"/>
        <v>69.796999999999997</v>
      </c>
      <c r="BE275" s="518">
        <f t="shared" ref="BE275:BF275" si="520">BE273-BE274</f>
        <v>69.649000000000001</v>
      </c>
      <c r="BF275" s="518">
        <f t="shared" si="520"/>
        <v>69.287000000000006</v>
      </c>
      <c r="BG275" s="518">
        <f t="shared" ref="BG275:BL275" si="521">BG273-BG274</f>
        <v>68.962000000000003</v>
      </c>
      <c r="BH275" s="518">
        <f t="shared" si="521"/>
        <v>68.864000000000004</v>
      </c>
      <c r="BI275" s="89">
        <f t="shared" si="521"/>
        <v>68.864000000000004</v>
      </c>
      <c r="BJ275" s="518">
        <f t="shared" si="521"/>
        <v>68.33</v>
      </c>
      <c r="BK275" s="519">
        <f t="shared" si="521"/>
        <v>67.622</v>
      </c>
      <c r="BL275" s="564">
        <f t="shared" si="521"/>
        <v>66.638000000000005</v>
      </c>
      <c r="BM275" s="518" t="e">
        <f>BL275*(1+BM276)+BM378/(BM379/BM424)</f>
        <v>#REF!</v>
      </c>
      <c r="BN275" s="89" t="e">
        <f>BM275</f>
        <v>#REF!</v>
      </c>
      <c r="BO275" s="518" t="e">
        <f>BN275*(1+BO276)+BO378/(BO379/BO424)</f>
        <v>#REF!</v>
      </c>
      <c r="BP275" s="518" t="e">
        <f>BO275*(1+BP276)+BP378/(BP379/BP424)</f>
        <v>#REF!</v>
      </c>
      <c r="BQ275" s="518" t="e">
        <f>BP275*(1+BQ276)+BQ378/(BQ379/BQ424)</f>
        <v>#REF!</v>
      </c>
      <c r="BR275" s="518" t="e">
        <f>BQ275*(1+BR276)+BR378/(BR379/BR424)</f>
        <v>#REF!</v>
      </c>
      <c r="BS275" s="89" t="e">
        <f>BR275</f>
        <v>#REF!</v>
      </c>
      <c r="BT275" s="89" t="e">
        <f>BS275*(1+BT277)+BT378/(BT379/BT424)</f>
        <v>#REF!</v>
      </c>
      <c r="BU275" s="89" t="e">
        <f>BT275*(1+BU277)+BU378/(BU379/BU424)</f>
        <v>#REF!</v>
      </c>
      <c r="BV275" s="89" t="e">
        <f>BU275*(1+BV277)+BV378/(BV379/BV424)</f>
        <v>#REF!</v>
      </c>
      <c r="BW275" s="519"/>
    </row>
    <row r="276" spans="1:75" s="439" customFormat="1" ht="15" hidden="1" customHeight="1" outlineLevel="1">
      <c r="A276" s="531" t="s">
        <v>319</v>
      </c>
      <c r="B276" s="530"/>
      <c r="C276" s="685"/>
      <c r="D276" s="685"/>
      <c r="E276" s="685"/>
      <c r="F276" s="685"/>
      <c r="G276" s="54"/>
      <c r="H276" s="54"/>
      <c r="I276" s="54"/>
      <c r="J276" s="54"/>
      <c r="K276" s="685"/>
      <c r="L276" s="54"/>
      <c r="M276" s="54"/>
      <c r="N276" s="54"/>
      <c r="O276" s="54"/>
      <c r="P276" s="685"/>
      <c r="Q276" s="54"/>
      <c r="R276" s="54"/>
      <c r="S276" s="54"/>
      <c r="T276" s="54"/>
      <c r="U276" s="685"/>
      <c r="V276" s="54"/>
      <c r="W276" s="54"/>
      <c r="X276" s="54"/>
      <c r="Y276" s="54"/>
      <c r="Z276" s="685"/>
      <c r="AA276" s="54"/>
      <c r="AB276" s="54"/>
      <c r="AC276" s="54"/>
      <c r="AD276" s="54"/>
      <c r="AE276" s="685"/>
      <c r="AF276" s="54"/>
      <c r="AG276" s="54"/>
      <c r="AH276" s="54"/>
      <c r="AI276" s="54"/>
      <c r="AJ276" s="685"/>
      <c r="AK276" s="54"/>
      <c r="AL276" s="54"/>
      <c r="AM276" s="54"/>
      <c r="AN276" s="54"/>
      <c r="AO276" s="685"/>
      <c r="AP276" s="54"/>
      <c r="AQ276" s="54"/>
      <c r="AR276" s="54"/>
      <c r="AS276" s="54"/>
      <c r="AT276" s="685"/>
      <c r="AU276" s="54"/>
      <c r="AV276" s="54"/>
      <c r="AW276" s="54"/>
      <c r="AX276" s="54"/>
      <c r="AY276" s="685"/>
      <c r="AZ276" s="54"/>
      <c r="BA276" s="54"/>
      <c r="BB276" s="54"/>
      <c r="BC276" s="54"/>
      <c r="BD276" s="685"/>
      <c r="BE276" s="54"/>
      <c r="BF276" s="54"/>
      <c r="BG276" s="54"/>
      <c r="BH276" s="54"/>
      <c r="BI276" s="685"/>
      <c r="BJ276" s="54"/>
      <c r="BK276" s="54"/>
      <c r="BL276" s="392"/>
      <c r="BM276" s="618">
        <v>1E-4</v>
      </c>
      <c r="BN276" s="685"/>
      <c r="BO276" s="618">
        <v>1E-4</v>
      </c>
      <c r="BP276" s="618">
        <v>1E-4</v>
      </c>
      <c r="BQ276" s="618">
        <v>1E-4</v>
      </c>
      <c r="BR276" s="618">
        <v>1E-4</v>
      </c>
      <c r="BS276" s="685"/>
      <c r="BT276" s="685"/>
      <c r="BU276" s="685"/>
      <c r="BV276" s="685"/>
      <c r="BW276" s="519"/>
    </row>
    <row r="277" spans="1:75" s="439" customFormat="1" ht="15" hidden="1" customHeight="1" outlineLevel="1">
      <c r="A277" s="531" t="s">
        <v>320</v>
      </c>
      <c r="B277" s="530"/>
      <c r="C277" s="685"/>
      <c r="D277" s="685"/>
      <c r="E277" s="685"/>
      <c r="F277" s="685"/>
      <c r="G277" s="54"/>
      <c r="H277" s="54"/>
      <c r="I277" s="54"/>
      <c r="J277" s="54"/>
      <c r="K277" s="685"/>
      <c r="L277" s="54"/>
      <c r="M277" s="54"/>
      <c r="N277" s="54"/>
      <c r="O277" s="54"/>
      <c r="P277" s="685"/>
      <c r="Q277" s="54"/>
      <c r="R277" s="54"/>
      <c r="S277" s="54"/>
      <c r="T277" s="54"/>
      <c r="U277" s="685"/>
      <c r="V277" s="54"/>
      <c r="W277" s="54"/>
      <c r="X277" s="54"/>
      <c r="Y277" s="54"/>
      <c r="Z277" s="685"/>
      <c r="AA277" s="54"/>
      <c r="AB277" s="54"/>
      <c r="AC277" s="54"/>
      <c r="AD277" s="54"/>
      <c r="AE277" s="685"/>
      <c r="AF277" s="54"/>
      <c r="AG277" s="54"/>
      <c r="AH277" s="54"/>
      <c r="AI277" s="54"/>
      <c r="AJ277" s="685"/>
      <c r="AK277" s="54"/>
      <c r="AL277" s="54"/>
      <c r="AM277" s="54"/>
      <c r="AN277" s="54"/>
      <c r="AO277" s="685"/>
      <c r="AP277" s="54"/>
      <c r="AQ277" s="54"/>
      <c r="AR277" s="54"/>
      <c r="AS277" s="54"/>
      <c r="AT277" s="685"/>
      <c r="AU277" s="54"/>
      <c r="AV277" s="54"/>
      <c r="AW277" s="54"/>
      <c r="AX277" s="54"/>
      <c r="AY277" s="685"/>
      <c r="AZ277" s="54"/>
      <c r="BA277" s="54"/>
      <c r="BB277" s="54"/>
      <c r="BC277" s="54"/>
      <c r="BD277" s="685"/>
      <c r="BE277" s="54"/>
      <c r="BF277" s="54"/>
      <c r="BG277" s="54"/>
      <c r="BH277" s="54"/>
      <c r="BI277" s="685"/>
      <c r="BJ277" s="54"/>
      <c r="BK277" s="54"/>
      <c r="BL277" s="392"/>
      <c r="BM277" s="54"/>
      <c r="BN277" s="685"/>
      <c r="BO277" s="54"/>
      <c r="BP277" s="54"/>
      <c r="BQ277" s="54"/>
      <c r="BR277" s="54"/>
      <c r="BS277" s="685"/>
      <c r="BT277" s="686">
        <v>4.0000000000000002E-4</v>
      </c>
      <c r="BU277" s="686">
        <v>4.0000000000000002E-4</v>
      </c>
      <c r="BV277" s="686">
        <v>4.0000000000000002E-4</v>
      </c>
      <c r="BW277" s="519"/>
    </row>
    <row r="278" spans="1:75" s="439" customFormat="1" ht="15" hidden="1" customHeight="1" outlineLevel="2">
      <c r="A278" s="531" t="s">
        <v>321</v>
      </c>
      <c r="B278" s="530"/>
      <c r="C278" s="685"/>
      <c r="D278" s="685"/>
      <c r="E278" s="685"/>
      <c r="F278" s="685"/>
      <c r="G278" s="54"/>
      <c r="H278" s="54"/>
      <c r="I278" s="54"/>
      <c r="J278" s="54"/>
      <c r="K278" s="685"/>
      <c r="L278" s="54"/>
      <c r="M278" s="54"/>
      <c r="N278" s="54"/>
      <c r="O278" s="54"/>
      <c r="P278" s="685"/>
      <c r="Q278" s="54"/>
      <c r="R278" s="54"/>
      <c r="S278" s="54"/>
      <c r="T278" s="54"/>
      <c r="U278" s="685"/>
      <c r="V278" s="54"/>
      <c r="W278" s="54"/>
      <c r="X278" s="54"/>
      <c r="Y278" s="54"/>
      <c r="Z278" s="685"/>
      <c r="AA278" s="54"/>
      <c r="AB278" s="54"/>
      <c r="AC278" s="54"/>
      <c r="AD278" s="54"/>
      <c r="AE278" s="685"/>
      <c r="AF278" s="54"/>
      <c r="AG278" s="54"/>
      <c r="AH278" s="54"/>
      <c r="AI278" s="54"/>
      <c r="AJ278" s="685"/>
      <c r="AK278" s="54"/>
      <c r="AL278" s="54"/>
      <c r="AM278" s="54"/>
      <c r="AN278" s="54"/>
      <c r="AO278" s="685"/>
      <c r="AP278" s="54"/>
      <c r="AQ278" s="54"/>
      <c r="AR278" s="54"/>
      <c r="AS278" s="54"/>
      <c r="AT278" s="685"/>
      <c r="AU278" s="54"/>
      <c r="AV278" s="54"/>
      <c r="AW278" s="54"/>
      <c r="AX278" s="54"/>
      <c r="AY278" s="685"/>
      <c r="AZ278" s="54"/>
      <c r="BA278" s="54"/>
      <c r="BB278" s="54"/>
      <c r="BC278" s="54"/>
      <c r="BD278" s="685"/>
      <c r="BE278" s="54"/>
      <c r="BF278" s="54"/>
      <c r="BG278" s="54"/>
      <c r="BH278" s="54"/>
      <c r="BI278" s="685"/>
      <c r="BJ278" s="54"/>
      <c r="BK278" s="54"/>
      <c r="BL278" s="392"/>
      <c r="BM278" s="54" t="e">
        <f>BM378/(BM379/BM424)/BL273</f>
        <v>#REF!</v>
      </c>
      <c r="BN278" s="685"/>
      <c r="BO278" s="54" t="e">
        <f>BO378/(BO379/BO424)/BM273</f>
        <v>#REF!</v>
      </c>
      <c r="BP278" s="54" t="e">
        <f>BP378/(BP379/BP424)/BO273</f>
        <v>#REF!</v>
      </c>
      <c r="BQ278" s="54" t="e">
        <f>BQ378/(BQ379/BQ424)/BP273</f>
        <v>#REF!</v>
      </c>
      <c r="BR278" s="54" t="e">
        <f>BR378/(BR379/BR424)/BQ273</f>
        <v>#REF!</v>
      </c>
      <c r="BS278" s="685"/>
      <c r="BT278" s="685"/>
      <c r="BU278" s="685"/>
      <c r="BV278" s="685"/>
      <c r="BW278" s="519"/>
    </row>
    <row r="279" spans="1:75" s="439" customFormat="1" ht="15" hidden="1" customHeight="1" outlineLevel="2">
      <c r="A279" s="320" t="s">
        <v>322</v>
      </c>
      <c r="B279" s="321"/>
      <c r="C279" s="736"/>
      <c r="D279" s="736"/>
      <c r="E279" s="736"/>
      <c r="F279" s="736"/>
      <c r="G279" s="322"/>
      <c r="H279" s="322"/>
      <c r="I279" s="322"/>
      <c r="J279" s="322"/>
      <c r="K279" s="736"/>
      <c r="L279" s="322"/>
      <c r="M279" s="322"/>
      <c r="N279" s="322"/>
      <c r="O279" s="322"/>
      <c r="P279" s="736"/>
      <c r="Q279" s="322"/>
      <c r="R279" s="322"/>
      <c r="S279" s="322"/>
      <c r="T279" s="322"/>
      <c r="U279" s="736"/>
      <c r="V279" s="322"/>
      <c r="W279" s="322"/>
      <c r="X279" s="322"/>
      <c r="Y279" s="322"/>
      <c r="Z279" s="736"/>
      <c r="AA279" s="322"/>
      <c r="AB279" s="322"/>
      <c r="AC279" s="322"/>
      <c r="AD279" s="322"/>
      <c r="AE279" s="736"/>
      <c r="AF279" s="322"/>
      <c r="AG279" s="322"/>
      <c r="AH279" s="322"/>
      <c r="AI279" s="322"/>
      <c r="AJ279" s="736"/>
      <c r="AK279" s="322"/>
      <c r="AL279" s="322"/>
      <c r="AM279" s="322"/>
      <c r="AN279" s="322"/>
      <c r="AO279" s="736"/>
      <c r="AP279" s="322"/>
      <c r="AQ279" s="322"/>
      <c r="AR279" s="322"/>
      <c r="AS279" s="322"/>
      <c r="AT279" s="736"/>
      <c r="AU279" s="322"/>
      <c r="AV279" s="322"/>
      <c r="AW279" s="322"/>
      <c r="AX279" s="322"/>
      <c r="AY279" s="736"/>
      <c r="AZ279" s="322"/>
      <c r="BA279" s="322"/>
      <c r="BB279" s="322"/>
      <c r="BC279" s="322"/>
      <c r="BD279" s="736"/>
      <c r="BE279" s="322"/>
      <c r="BF279" s="322"/>
      <c r="BG279" s="322"/>
      <c r="BH279" s="322"/>
      <c r="BI279" s="736"/>
      <c r="BJ279" s="322"/>
      <c r="BK279" s="322"/>
      <c r="BL279" s="404"/>
      <c r="BM279" s="322"/>
      <c r="BN279" s="736"/>
      <c r="BO279" s="322"/>
      <c r="BP279" s="322"/>
      <c r="BQ279" s="322"/>
      <c r="BR279" s="322"/>
      <c r="BS279" s="736" t="e">
        <f>BS378/(BS379/BS424)/BN273</f>
        <v>#REF!</v>
      </c>
      <c r="BT279" s="736" t="e">
        <f>BT378/(BT379/BT424)/BS273</f>
        <v>#REF!</v>
      </c>
      <c r="BU279" s="736" t="e">
        <f>BU378/(BU379/BU424)/BT273</f>
        <v>#REF!</v>
      </c>
      <c r="BV279" s="736" t="e">
        <f>BV378/(BV379/BV424)/BU273</f>
        <v>#REF!</v>
      </c>
      <c r="BW279" s="519"/>
    </row>
    <row r="280" spans="1:75" s="439" customFormat="1" ht="15" hidden="1" customHeight="1" outlineLevel="1" collapsed="1">
      <c r="A280" s="524" t="s">
        <v>323</v>
      </c>
      <c r="B280" s="530"/>
      <c r="C280" s="685"/>
      <c r="D280" s="685"/>
      <c r="E280" s="685"/>
      <c r="F280" s="685"/>
      <c r="G280" s="54">
        <f>G275/F275-1</f>
        <v>1.2475623251104739E-2</v>
      </c>
      <c r="H280" s="54">
        <f t="shared" ref="H280:J280" si="522">H275/G275-1</f>
        <v>1.2125063214669218E-2</v>
      </c>
      <c r="I280" s="54">
        <f t="shared" si="522"/>
        <v>1.4275525992387683E-2</v>
      </c>
      <c r="J280" s="54">
        <f t="shared" si="522"/>
        <v>7.4605079612135805E-2</v>
      </c>
      <c r="K280" s="685"/>
      <c r="L280" s="54">
        <f>L275/K275-1</f>
        <v>9.7079953209151526E-3</v>
      </c>
      <c r="M280" s="54">
        <f t="shared" ref="M280:O280" si="523">M275/L275-1</f>
        <v>6.3293801442554365E-3</v>
      </c>
      <c r="N280" s="54">
        <f t="shared" si="523"/>
        <v>6.8364092961055167E-3</v>
      </c>
      <c r="O280" s="54">
        <f t="shared" si="523"/>
        <v>6.3087431023685081E-3</v>
      </c>
      <c r="P280" s="685"/>
      <c r="Q280" s="54">
        <f>Q275/P275-1</f>
        <v>2.3877737200741267E-2</v>
      </c>
      <c r="R280" s="54">
        <f t="shared" ref="R280:T280" si="524">R275/Q275-1</f>
        <v>7.9324078178639734E-3</v>
      </c>
      <c r="S280" s="54">
        <f t="shared" si="524"/>
        <v>2.8818944530983881E-3</v>
      </c>
      <c r="T280" s="54">
        <f t="shared" si="524"/>
        <v>7.2066468582117071E-3</v>
      </c>
      <c r="U280" s="685"/>
      <c r="V280" s="54">
        <f>V275/U275-1</f>
        <v>5.820551550758557E-3</v>
      </c>
      <c r="W280" s="54">
        <f t="shared" ref="W280:Y280" si="525">W275/V275-1</f>
        <v>1.0730136506825305E-2</v>
      </c>
      <c r="X280" s="54">
        <f t="shared" si="525"/>
        <v>1.3841721742867241E-2</v>
      </c>
      <c r="Y280" s="54">
        <f t="shared" si="525"/>
        <v>1.4248206122126517E-2</v>
      </c>
      <c r="Z280" s="685"/>
      <c r="AA280" s="54">
        <f>AA275/Z275-1</f>
        <v>1.0830389130995544E-2</v>
      </c>
      <c r="AB280" s="54">
        <f t="shared" ref="AB280:AD280" si="526">AB275/AA275-1</f>
        <v>1.8220281210548972E-2</v>
      </c>
      <c r="AC280" s="54">
        <f t="shared" si="526"/>
        <v>1.2090920654566517E-2</v>
      </c>
      <c r="AD280" s="54">
        <f t="shared" si="526"/>
        <v>1.1885817928340758E-2</v>
      </c>
      <c r="AE280" s="685"/>
      <c r="AF280" s="54">
        <f>AF275/AE275-1</f>
        <v>-1.5336653189356175E-3</v>
      </c>
      <c r="AG280" s="54">
        <f t="shared" ref="AG280:AI280" si="527">AG275/AF275-1</f>
        <v>2.3468324215927261E-3</v>
      </c>
      <c r="AH280" s="54">
        <f t="shared" si="527"/>
        <v>6.9495793887621726E-3</v>
      </c>
      <c r="AI280" s="54">
        <f t="shared" si="527"/>
        <v>-2.8185853725595011E-2</v>
      </c>
      <c r="AJ280" s="685"/>
      <c r="AK280" s="54">
        <f>AK275/AJ275-1</f>
        <v>-2.8135352876224817E-2</v>
      </c>
      <c r="AL280" s="54">
        <f t="shared" ref="AL280:AN280" si="528">AL275/AK275-1</f>
        <v>-9.9608922488715668E-2</v>
      </c>
      <c r="AM280" s="54">
        <f t="shared" si="528"/>
        <v>-2.1631282222877357E-2</v>
      </c>
      <c r="AN280" s="54">
        <f t="shared" si="528"/>
        <v>1.4039117963135173E-2</v>
      </c>
      <c r="AO280" s="685"/>
      <c r="AP280" s="54">
        <f>AP275/AO275-1</f>
        <v>9.8668733905071804E-3</v>
      </c>
      <c r="AQ280" s="54">
        <f t="shared" ref="AQ280:AS280" si="529">AQ275/AP275-1</f>
        <v>1.7157044877933902E-2</v>
      </c>
      <c r="AR280" s="54">
        <f t="shared" si="529"/>
        <v>1.169643907380169E-2</v>
      </c>
      <c r="AS280" s="54">
        <f t="shared" si="529"/>
        <v>1.7517228143044905E-2</v>
      </c>
      <c r="AT280" s="685"/>
      <c r="AU280" s="54">
        <f>AU273/AS273-1</f>
        <v>-2.7512227265390488E-3</v>
      </c>
      <c r="AV280" s="54">
        <f>AV273/AU273-1</f>
        <v>-7.7162459400826888E-3</v>
      </c>
      <c r="AW280" s="54">
        <f>AW273/AV273-1</f>
        <v>-1.2615210015804679E-2</v>
      </c>
      <c r="AX280" s="54">
        <f>AX273/AW273-1</f>
        <v>-1.8701940190666178E-2</v>
      </c>
      <c r="AY280" s="685"/>
      <c r="AZ280" s="54">
        <f>AZ273/AX273-1</f>
        <v>-8.4787612517617239E-3</v>
      </c>
      <c r="BA280" s="54">
        <f>BA273/AZ273-1</f>
        <v>-6.1487723417039675E-3</v>
      </c>
      <c r="BB280" s="54">
        <f>BB273/BA273-1</f>
        <v>-1.0123876882408345E-2</v>
      </c>
      <c r="BC280" s="54">
        <f>BC273/BB273-1</f>
        <v>-8.5512578303669207E-3</v>
      </c>
      <c r="BD280" s="685"/>
      <c r="BE280" s="54">
        <f>BE273/BC273-1</f>
        <v>-2.1204349757152352E-3</v>
      </c>
      <c r="BF280" s="54">
        <f>BF273/BE273-1</f>
        <v>-5.197490272652816E-3</v>
      </c>
      <c r="BG280" s="54">
        <f>BG273/BF273-1</f>
        <v>-4.6906346067805416E-3</v>
      </c>
      <c r="BH280" s="54">
        <f>BH273/BG273-1</f>
        <v>-1.42107247469625E-3</v>
      </c>
      <c r="BI280" s="685"/>
      <c r="BJ280" s="54">
        <f>BJ273/BH273-1</f>
        <v>-7.7544144981414043E-3</v>
      </c>
      <c r="BK280" s="54">
        <f>BK273/BJ273-1</f>
        <v>-1.0361481047855947E-2</v>
      </c>
      <c r="BL280" s="392">
        <f>BL273/BK273-1</f>
        <v>-1.455147732986295E-2</v>
      </c>
      <c r="BM280" s="54" t="e">
        <f>BM273/BL273-1</f>
        <v>#REF!</v>
      </c>
      <c r="BN280" s="685"/>
      <c r="BO280" s="54" t="e">
        <f>BO273/BM273-1</f>
        <v>#REF!</v>
      </c>
      <c r="BP280" s="54" t="e">
        <f>BP273/BO273-1</f>
        <v>#REF!</v>
      </c>
      <c r="BQ280" s="54" t="e">
        <f>BQ273/BP273-1</f>
        <v>#REF!</v>
      </c>
      <c r="BR280" s="54" t="e">
        <f>BR273/BQ273-1</f>
        <v>#REF!</v>
      </c>
      <c r="BS280" s="685"/>
      <c r="BT280" s="685"/>
      <c r="BU280" s="685"/>
      <c r="BV280" s="685"/>
      <c r="BW280" s="519"/>
    </row>
    <row r="281" spans="1:75" s="439" customFormat="1" ht="15" hidden="1" customHeight="1" outlineLevel="1">
      <c r="A281" s="524" t="s">
        <v>324</v>
      </c>
      <c r="B281" s="530"/>
      <c r="C281" s="685"/>
      <c r="D281" s="685"/>
      <c r="E281" s="685"/>
      <c r="F281" s="685"/>
      <c r="G281" s="54"/>
      <c r="H281" s="54"/>
      <c r="I281" s="54"/>
      <c r="J281" s="54"/>
      <c r="K281" s="685">
        <f>K275/F275-1</f>
        <v>0.11692391671540525</v>
      </c>
      <c r="L281" s="54">
        <f>L275/G275-1</f>
        <v>0.11387077671202195</v>
      </c>
      <c r="M281" s="54">
        <f t="shared" ref="M281:P281" si="530">M275/H275-1</f>
        <v>0.10749247205596046</v>
      </c>
      <c r="N281" s="54">
        <f t="shared" si="530"/>
        <v>9.9369663678209763E-2</v>
      </c>
      <c r="O281" s="54">
        <f t="shared" si="530"/>
        <v>2.9499418391172094E-2</v>
      </c>
      <c r="P281" s="685">
        <f t="shared" si="530"/>
        <v>2.9499418391172094E-2</v>
      </c>
      <c r="Q281" s="54">
        <f>Q275/L275-1</f>
        <v>4.394690329931894E-2</v>
      </c>
      <c r="R281" s="54">
        <f t="shared" ref="R281" si="531">R275/M275-1</f>
        <v>4.5609853630280028E-2</v>
      </c>
      <c r="S281" s="54">
        <f t="shared" ref="S281" si="532">S275/N275-1</f>
        <v>4.1503049736421938E-2</v>
      </c>
      <c r="T281" s="54">
        <f t="shared" ref="T281" si="533">T275/O275-1</f>
        <v>4.2432356479000344E-2</v>
      </c>
      <c r="U281" s="685">
        <f t="shared" ref="U281" si="534">U275/P275-1</f>
        <v>4.2432356479000344E-2</v>
      </c>
      <c r="V281" s="54">
        <f>V275/Q275-1</f>
        <v>2.4047940152151392E-2</v>
      </c>
      <c r="W281" s="54">
        <f t="shared" ref="W281" si="535">W275/R275-1</f>
        <v>2.6890400895365429E-2</v>
      </c>
      <c r="X281" s="54">
        <f t="shared" ref="X281" si="536">X275/S275-1</f>
        <v>3.8112601138069024E-2</v>
      </c>
      <c r="Y281" s="54">
        <f t="shared" ref="Y281" si="537">Y275/T275-1</f>
        <v>4.5370229377847293E-2</v>
      </c>
      <c r="Z281" s="685">
        <f t="shared" ref="Z281" si="538">Z275/U275-1</f>
        <v>4.5370229377847293E-2</v>
      </c>
      <c r="AA281" s="54">
        <f>AA275/V275-1</f>
        <v>5.0577057824853666E-2</v>
      </c>
      <c r="AB281" s="54">
        <f t="shared" ref="AB281" si="539">AB275/W275-1</f>
        <v>5.8362493225757373E-2</v>
      </c>
      <c r="AC281" s="54">
        <f t="shared" ref="AC281" si="540">AC275/X275-1</f>
        <v>5.6534809312955847E-2</v>
      </c>
      <c r="AD281" s="54">
        <f t="shared" ref="AD281" si="541">AD275/Y275-1</f>
        <v>5.4073927109981268E-2</v>
      </c>
      <c r="AE281" s="685">
        <f t="shared" ref="AE281" si="542">AE275/Z275-1</f>
        <v>5.4073927109981268E-2</v>
      </c>
      <c r="AF281" s="54">
        <f>AF275/AA275-1</f>
        <v>4.1180935793955875E-2</v>
      </c>
      <c r="AG281" s="54">
        <f t="shared" ref="AG281" si="543">AG275/AB275-1</f>
        <v>2.4949544051577899E-2</v>
      </c>
      <c r="AH281" s="54">
        <f t="shared" ref="AH281" si="544">AH275/AC275-1</f>
        <v>1.974288200308183E-2</v>
      </c>
      <c r="AI281" s="54">
        <f t="shared" ref="AI281" si="545">AI275/AD275-1</f>
        <v>-2.0639937100683348E-2</v>
      </c>
      <c r="AJ281" s="685">
        <f t="shared" ref="AJ281" si="546">AJ275/AE275-1</f>
        <v>-2.0639937100683348E-2</v>
      </c>
      <c r="AK281" s="54">
        <f>AK275/AF275-1</f>
        <v>-4.673258488901022E-2</v>
      </c>
      <c r="AL281" s="54">
        <f t="shared" ref="AL281" si="547">AL275/AG275-1</f>
        <v>-0.14369612664454523</v>
      </c>
      <c r="AM281" s="54">
        <f t="shared" ref="AM281" si="548">AM275/AH275-1</f>
        <v>-0.16800111966786957</v>
      </c>
      <c r="AN281" s="54">
        <f t="shared" ref="AN281" si="549">AN275/AI275-1</f>
        <v>-0.13185107050285183</v>
      </c>
      <c r="AO281" s="685">
        <f t="shared" ref="AO281" si="550">AO275/AJ275-1</f>
        <v>-0.13185107050285183</v>
      </c>
      <c r="AP281" s="54">
        <f>AP275/AK275-1</f>
        <v>-9.7904376228489687E-2</v>
      </c>
      <c r="AQ281" s="54">
        <f t="shared" ref="AQ281" si="551">AQ275/AL275-1</f>
        <v>1.9082642854428178E-2</v>
      </c>
      <c r="AR281" s="54">
        <f t="shared" ref="AR281" si="552">AR275/AM275-1</f>
        <v>5.3797266985606385E-2</v>
      </c>
      <c r="AS281" s="54">
        <f t="shared" ref="AS281" si="553">AS275/AN275-1</f>
        <v>5.7411745891731814E-2</v>
      </c>
      <c r="AT281" s="685">
        <f t="shared" ref="AT281" si="554">AT275/AO275-1</f>
        <v>5.7411745891731814E-2</v>
      </c>
      <c r="AU281" s="54">
        <f t="shared" ref="AU281:AY281" si="555">AU273/AP273-1</f>
        <v>4.41995855599846E-2</v>
      </c>
      <c r="AV281" s="54">
        <f t="shared" si="555"/>
        <v>1.8665003565517146E-2</v>
      </c>
      <c r="AW281" s="54">
        <f t="shared" si="555"/>
        <v>-5.8141041490656908E-3</v>
      </c>
      <c r="AX281" s="54">
        <f t="shared" si="555"/>
        <v>-4.120277897528124E-2</v>
      </c>
      <c r="AY281" s="685">
        <f t="shared" si="555"/>
        <v>-4.120277897528124E-2</v>
      </c>
      <c r="AZ281" s="54">
        <f t="shared" ref="AZ281" si="556">AZ273/AU273-1</f>
        <v>-4.6709477149742495E-2</v>
      </c>
      <c r="BA281" s="54">
        <f t="shared" ref="BA281" si="557">BA273/AV273-1</f>
        <v>-4.5203599702854369E-2</v>
      </c>
      <c r="BB281" s="54">
        <f t="shared" ref="BB281" si="558">BB273/AW273-1</f>
        <v>-4.2794492400577644E-2</v>
      </c>
      <c r="BC281" s="54">
        <f t="shared" ref="BC281" si="559">BC273/AX273-1</f>
        <v>-3.2893026720457463E-2</v>
      </c>
      <c r="BD281" s="685">
        <f t="shared" ref="BD281:BF281" si="560">BD273/AY273-1</f>
        <v>-3.2893026720457463E-2</v>
      </c>
      <c r="BE281" s="54">
        <f t="shared" si="560"/>
        <v>-2.6691261756033424E-2</v>
      </c>
      <c r="BF281" s="54">
        <f t="shared" si="560"/>
        <v>-2.5759642289683415E-2</v>
      </c>
      <c r="BG281" s="54">
        <f t="shared" ref="BG281:BM281" si="561">BG273/BB273-1</f>
        <v>-2.0412221764513627E-2</v>
      </c>
      <c r="BH281" s="54">
        <f t="shared" si="561"/>
        <v>-1.3367336705015886E-2</v>
      </c>
      <c r="BI281" s="685">
        <f t="shared" si="561"/>
        <v>-1.3367336705015886E-2</v>
      </c>
      <c r="BJ281" s="54">
        <f>BJ273/BE273-1</f>
        <v>-1.8937816766931403E-2</v>
      </c>
      <c r="BK281" s="54">
        <f>BK273/BF273-1</f>
        <v>-2.4030481908583257E-2</v>
      </c>
      <c r="BL281" s="392">
        <f>BL273/BG273-1</f>
        <v>-3.3699718685652913E-2</v>
      </c>
      <c r="BM281" s="54" t="e">
        <f t="shared" si="561"/>
        <v>#REF!</v>
      </c>
      <c r="BN281" s="685" t="e">
        <f t="shared" ref="BN281" si="562">BN273/BI273-1</f>
        <v>#REF!</v>
      </c>
      <c r="BO281" s="54" t="e">
        <f>BO273/BJ273-1</f>
        <v>#REF!</v>
      </c>
      <c r="BP281" s="54" t="e">
        <f>BP273/BK273-1</f>
        <v>#REF!</v>
      </c>
      <c r="BQ281" s="54" t="e">
        <f>BQ273/BL273-1</f>
        <v>#REF!</v>
      </c>
      <c r="BR281" s="54" t="e">
        <f>BR273/BM273-1</f>
        <v>#REF!</v>
      </c>
      <c r="BS281" s="685" t="e">
        <f>BS273/BN273-1</f>
        <v>#REF!</v>
      </c>
      <c r="BT281" s="685" t="e">
        <f>BT275/BS275-1</f>
        <v>#REF!</v>
      </c>
      <c r="BU281" s="685" t="e">
        <f>BU275/BT275-1</f>
        <v>#REF!</v>
      </c>
      <c r="BV281" s="685" t="e">
        <f>BV275/BU275-1</f>
        <v>#REF!</v>
      </c>
      <c r="BW281" s="519"/>
    </row>
    <row r="282" spans="1:75" s="467" customFormat="1" ht="15" hidden="1" customHeight="1" outlineLevel="1">
      <c r="A282" s="518"/>
      <c r="B282" s="294"/>
      <c r="C282" s="737"/>
      <c r="D282" s="737"/>
      <c r="E282" s="737"/>
      <c r="F282" s="737"/>
      <c r="G282" s="293"/>
      <c r="H282" s="293"/>
      <c r="I282" s="293"/>
      <c r="J282" s="293"/>
      <c r="K282" s="737"/>
      <c r="L282" s="293"/>
      <c r="M282" s="293"/>
      <c r="N282" s="293"/>
      <c r="O282" s="293"/>
      <c r="P282" s="737"/>
      <c r="Q282" s="293"/>
      <c r="R282" s="293"/>
      <c r="S282" s="293"/>
      <c r="T282" s="293"/>
      <c r="U282" s="737"/>
      <c r="V282" s="293"/>
      <c r="W282" s="293"/>
      <c r="X282" s="293"/>
      <c r="Y282" s="293"/>
      <c r="Z282" s="737"/>
      <c r="AA282" s="293"/>
      <c r="AB282" s="293"/>
      <c r="AC282" s="293"/>
      <c r="AD282" s="293"/>
      <c r="AE282" s="737"/>
      <c r="AF282" s="293"/>
      <c r="AG282" s="293"/>
      <c r="AH282" s="293"/>
      <c r="AI282" s="293"/>
      <c r="AJ282" s="737"/>
      <c r="AK282" s="293"/>
      <c r="AL282" s="293"/>
      <c r="AM282" s="293"/>
      <c r="AN282" s="293"/>
      <c r="AO282" s="737"/>
      <c r="AP282" s="293"/>
      <c r="AQ282" s="293"/>
      <c r="AR282" s="293"/>
      <c r="AS282" s="293"/>
      <c r="AT282" s="737"/>
      <c r="AU282" s="293"/>
      <c r="AV282" s="293"/>
      <c r="AW282" s="293"/>
      <c r="AX282" s="293"/>
      <c r="AY282" s="737"/>
      <c r="AZ282" s="293"/>
      <c r="BA282" s="293"/>
      <c r="BB282" s="293"/>
      <c r="BC282" s="293"/>
      <c r="BD282" s="737"/>
      <c r="BE282" s="293"/>
      <c r="BF282" s="293"/>
      <c r="BG282" s="293"/>
      <c r="BH282" s="293"/>
      <c r="BI282" s="737"/>
      <c r="BJ282" s="293"/>
      <c r="BK282" s="293"/>
      <c r="BL282" s="405"/>
      <c r="BM282" s="293"/>
      <c r="BN282" s="737"/>
      <c r="BO282" s="293"/>
      <c r="BP282" s="293"/>
      <c r="BQ282" s="293"/>
      <c r="BR282" s="293"/>
      <c r="BS282" s="737"/>
      <c r="BT282" s="737"/>
      <c r="BU282" s="737"/>
      <c r="BV282" s="737"/>
      <c r="BW282" s="295"/>
    </row>
    <row r="283" spans="1:75" s="467" customFormat="1" ht="15" hidden="1" customHeight="1" outlineLevel="1">
      <c r="A283" s="518" t="s">
        <v>325</v>
      </c>
      <c r="B283" s="294"/>
      <c r="C283" s="89"/>
      <c r="D283" s="89"/>
      <c r="E283" s="89"/>
      <c r="F283" s="89">
        <f>IF(F248&gt;0,(F262-F261),E283)</f>
        <v>0</v>
      </c>
      <c r="G283" s="518">
        <f>IF(G248&gt;0,(G262-G261),F283)</f>
        <v>0</v>
      </c>
      <c r="H283" s="518">
        <f>IF(H248&gt;0,(H262-H261),G283)</f>
        <v>0</v>
      </c>
      <c r="I283" s="518">
        <f>IF(I248&gt;0,(I262-I261),H283)</f>
        <v>0</v>
      </c>
      <c r="J283" s="518">
        <f>IF(J248&gt;0,(J262-J261),I283)</f>
        <v>0</v>
      </c>
      <c r="K283" s="89">
        <f>J283</f>
        <v>0</v>
      </c>
      <c r="L283" s="518">
        <f>IF(L248&gt;0,(L262-L261),K283)</f>
        <v>0</v>
      </c>
      <c r="M283" s="518">
        <f>IF(M248&gt;0,(M262-M261),L283)</f>
        <v>5.3419999999999987</v>
      </c>
      <c r="N283" s="518">
        <f>IF(N248&gt;0,(N262-N261),M283)</f>
        <v>5.1010000000000133</v>
      </c>
      <c r="O283" s="518">
        <f>IF(O248&gt;0,(O262-O261),N283)</f>
        <v>2.0380000000000109</v>
      </c>
      <c r="P283" s="89">
        <f>O283</f>
        <v>2.0380000000000109</v>
      </c>
      <c r="Q283" s="518">
        <f>IF(Q248&gt;0,(Q262-Q261),P283)</f>
        <v>2.0380000000000109</v>
      </c>
      <c r="R283" s="518">
        <f>IF(R248&gt;0,(R262-R261),Q283)</f>
        <v>2.0380000000000109</v>
      </c>
      <c r="S283" s="518">
        <f>IF(S248&gt;0,(S262-S261),R283)</f>
        <v>2.0380000000000109</v>
      </c>
      <c r="T283" s="518">
        <f>IF(T248&gt;0,(T262-T261),S283)</f>
        <v>2.0380000000000109</v>
      </c>
      <c r="U283" s="89">
        <f>T283</f>
        <v>2.0380000000000109</v>
      </c>
      <c r="V283" s="518">
        <f>IF(V248&gt;0,(V262-V261),U283)</f>
        <v>2.0380000000000109</v>
      </c>
      <c r="W283" s="518">
        <f>IF(W248&gt;0,(W262-W261),V283)</f>
        <v>2.8130000000000024</v>
      </c>
      <c r="X283" s="518">
        <f>IF(X248&gt;0,(X262-X261),W283)</f>
        <v>5.3960000000000008</v>
      </c>
      <c r="Y283" s="518">
        <f>IF(Y248&gt;0,(Y262-Y261),X283)</f>
        <v>5.5130000000000052</v>
      </c>
      <c r="Z283" s="89">
        <f>Y283</f>
        <v>5.5130000000000052</v>
      </c>
      <c r="AA283" s="518">
        <f>IF(AA248&gt;0,(AA262-AA261),Z283)</f>
        <v>5.5130000000000052</v>
      </c>
      <c r="AB283" s="518">
        <f>IF(AB248&gt;0,(AB262-AB261),AA283)</f>
        <v>3.8640000000000043</v>
      </c>
      <c r="AC283" s="518">
        <f>IF(AC248&gt;0,(AC262-AC261),AB283)</f>
        <v>5.1740000000000066</v>
      </c>
      <c r="AD283" s="518">
        <f>IF(AD248&gt;0,(AD262-AD261),AC283)</f>
        <v>5.7999999999999972</v>
      </c>
      <c r="AE283" s="89">
        <f>AD283</f>
        <v>5.7999999999999972</v>
      </c>
      <c r="AF283" s="518">
        <f>IF(AF248&gt;0,(AF262-AF261),AE283)</f>
        <v>5.7999999999999972</v>
      </c>
      <c r="AG283" s="518">
        <f>IF(AG248&gt;0,(AG262-AG261),AF283)</f>
        <v>4.8819999999999908</v>
      </c>
      <c r="AH283" s="518">
        <f>IF(AH248&gt;0,(AH262-AH261),AG283)</f>
        <v>4.7160000000000082</v>
      </c>
      <c r="AI283" s="518">
        <f>IF(AI248&gt;0,(AI262-AI261),AH283)</f>
        <v>3.5810000000000031</v>
      </c>
      <c r="AJ283" s="89">
        <f>AI283</f>
        <v>3.5810000000000031</v>
      </c>
      <c r="AK283" s="518">
        <f>IF(AK248&gt;0,(AK262-AK261),AJ283)</f>
        <v>3.3149999999999977</v>
      </c>
      <c r="AL283" s="518">
        <f>IF(AL248&gt;0,(AL262-AL261),AK283)</f>
        <v>2.929000000000002</v>
      </c>
      <c r="AM283" s="518">
        <f>IF(AM248&gt;0,(AM262-AM261),AL283)</f>
        <v>2.9390000000000072</v>
      </c>
      <c r="AN283" s="518">
        <f>IF(AN248&gt;0,(AN262-AN261),AM283)</f>
        <v>2.3599999999999994</v>
      </c>
      <c r="AO283" s="89">
        <f>AN283</f>
        <v>2.3599999999999994</v>
      </c>
      <c r="AP283" s="518">
        <f>IF(AP248&gt;0,(AP262-AP261),AO283)</f>
        <v>2.3599999999999994</v>
      </c>
      <c r="AQ283" s="518">
        <f>IF(AQ248&gt;0,(AQ262-AQ261),AP283)</f>
        <v>2.3599999999999994</v>
      </c>
      <c r="AR283" s="518">
        <f>IF(AR248&gt;0,(AR262-AR261),AQ283)</f>
        <v>2.3599999999999994</v>
      </c>
      <c r="AS283" s="518">
        <f>IF(AS248&gt;0,(AS262-AS261),AR283)</f>
        <v>2.4470000000000027</v>
      </c>
      <c r="AT283" s="89">
        <f>AS283</f>
        <v>2.4470000000000027</v>
      </c>
      <c r="AU283" s="518">
        <f>IF(AU248&gt;0,(AU262-AU261),AT283)</f>
        <v>2.4470000000000027</v>
      </c>
      <c r="AV283" s="518">
        <f>IF(AV248&gt;0,(AV262-AV261),AU283)</f>
        <v>4.1760000000000019</v>
      </c>
      <c r="AW283" s="518">
        <f>IF(AW248&gt;0,(AW262-AW261),AV283)</f>
        <v>3.5180000000000007</v>
      </c>
      <c r="AX283" s="518">
        <f>IF(AX248&gt;0,(AX262-AX261),AW283)</f>
        <v>3.0990000000000038</v>
      </c>
      <c r="AY283" s="89">
        <f>AX283</f>
        <v>3.0990000000000038</v>
      </c>
      <c r="AZ283" s="518">
        <f>IF(AZ248&gt;0,(AZ262-AZ261),AY283)</f>
        <v>3.0990000000000038</v>
      </c>
      <c r="BA283" s="518">
        <f>IF(BA248&gt;0,(BA262-BA261),AZ283)</f>
        <v>1.617999999999995</v>
      </c>
      <c r="BB283" s="518">
        <f>IF(BB248&gt;0,(BB262-BB261),BA283)</f>
        <v>2.0280000000000058</v>
      </c>
      <c r="BC283" s="518">
        <f>IF(BC248&gt;0,(BC262-BC261),BB283)</f>
        <v>1.6059999999999945</v>
      </c>
      <c r="BD283" s="89">
        <f>BC283</f>
        <v>1.6059999999999945</v>
      </c>
      <c r="BE283" s="518">
        <f>IF(BE248&gt;0,(BE262-BE261),BD283)</f>
        <v>1.6059999999999945</v>
      </c>
      <c r="BF283" s="518">
        <f>IF(BF248&gt;0,(BF262-BF261),BE283)</f>
        <v>1.9819999999999993</v>
      </c>
      <c r="BG283" s="518">
        <f>IF(BG248&gt;0,(BG262-BG261),BF283)</f>
        <v>4.5360000000000014</v>
      </c>
      <c r="BH283" s="518">
        <f>IF(BH248&gt;0,(BH262-BH261),BG283)</f>
        <v>4.3689999999999998</v>
      </c>
      <c r="BI283" s="89">
        <f>BH283</f>
        <v>4.3689999999999998</v>
      </c>
      <c r="BJ283" s="518">
        <f>IF(BJ248&gt;0,(BJ262-BJ261),BI283)</f>
        <v>3.6880000000000024</v>
      </c>
      <c r="BK283" s="518">
        <f>IF(BK248&gt;0,(BK262-BK261),BJ283)</f>
        <v>2.6290000000000049</v>
      </c>
      <c r="BL283" s="520">
        <f>IF(BL248&gt;0,(BL262-BL261),BK283)</f>
        <v>1.9440000000000026</v>
      </c>
      <c r="BM283" s="518" t="e">
        <f>BM275*BM284-BM275</f>
        <v>#REF!</v>
      </c>
      <c r="BN283" s="89" t="e">
        <f>BM283</f>
        <v>#REF!</v>
      </c>
      <c r="BO283" s="518" t="e">
        <f>BO275*BO284-BO275</f>
        <v>#REF!</v>
      </c>
      <c r="BP283" s="518" t="e">
        <f>BP275*BP284-BP275</f>
        <v>#REF!</v>
      </c>
      <c r="BQ283" s="518" t="e">
        <f>BQ275*BQ284-BQ275</f>
        <v>#REF!</v>
      </c>
      <c r="BR283" s="518" t="e">
        <f>BR275*BR284-BR275</f>
        <v>#REF!</v>
      </c>
      <c r="BS283" s="89" t="e">
        <f>BR283</f>
        <v>#REF!</v>
      </c>
      <c r="BT283" s="89" t="e">
        <f>BT275*BT284-BT275</f>
        <v>#REF!</v>
      </c>
      <c r="BU283" s="89" t="e">
        <f>BU275*BU284-BU275</f>
        <v>#REF!</v>
      </c>
      <c r="BV283" s="89" t="e">
        <f>BV275*BV284-BV275</f>
        <v>#REF!</v>
      </c>
      <c r="BW283" s="295"/>
    </row>
    <row r="284" spans="1:75" s="467" customFormat="1" ht="15" hidden="1" customHeight="1" outlineLevel="1">
      <c r="A284" s="531" t="s">
        <v>326</v>
      </c>
      <c r="B284" s="323"/>
      <c r="C284" s="738"/>
      <c r="D284" s="738"/>
      <c r="E284" s="738"/>
      <c r="F284" s="738">
        <f>(F283+F275)/F275</f>
        <v>1</v>
      </c>
      <c r="G284" s="324">
        <f t="shared" ref="G284:BD284" si="563">(G283+G275)/G275</f>
        <v>1</v>
      </c>
      <c r="H284" s="324">
        <f t="shared" si="563"/>
        <v>1</v>
      </c>
      <c r="I284" s="324">
        <f t="shared" si="563"/>
        <v>1</v>
      </c>
      <c r="J284" s="324">
        <f t="shared" si="563"/>
        <v>1</v>
      </c>
      <c r="K284" s="738">
        <f t="shared" si="563"/>
        <v>1</v>
      </c>
      <c r="L284" s="324">
        <f t="shared" si="563"/>
        <v>1</v>
      </c>
      <c r="M284" s="324">
        <f t="shared" si="563"/>
        <v>1.0742554618075331</v>
      </c>
      <c r="N284" s="324">
        <f t="shared" si="563"/>
        <v>1.0704240392796327</v>
      </c>
      <c r="O284" s="324">
        <f t="shared" si="563"/>
        <v>1.0279600884691225</v>
      </c>
      <c r="P284" s="738">
        <f t="shared" si="563"/>
        <v>1.0279600884691225</v>
      </c>
      <c r="Q284" s="324">
        <f t="shared" si="563"/>
        <v>1.0273080344002445</v>
      </c>
      <c r="R284" s="324">
        <f t="shared" si="563"/>
        <v>1.0270931207176537</v>
      </c>
      <c r="S284" s="324">
        <f t="shared" si="563"/>
        <v>1.027015265573648</v>
      </c>
      <c r="T284" s="324">
        <f t="shared" si="563"/>
        <v>1.0268219691142</v>
      </c>
      <c r="U284" s="738">
        <f t="shared" si="563"/>
        <v>1.0268219691142</v>
      </c>
      <c r="V284" s="324">
        <f t="shared" si="563"/>
        <v>1.0266667538984426</v>
      </c>
      <c r="W284" s="324">
        <f t="shared" si="563"/>
        <v>1.0364166917751536</v>
      </c>
      <c r="X284" s="324">
        <f t="shared" si="563"/>
        <v>1.0689021128904426</v>
      </c>
      <c r="Y284" s="324">
        <f t="shared" si="563"/>
        <v>1.0694071709807069</v>
      </c>
      <c r="Z284" s="738">
        <f t="shared" si="563"/>
        <v>1.0694071709807069</v>
      </c>
      <c r="AA284" s="324">
        <f t="shared" si="563"/>
        <v>1.0686635183577888</v>
      </c>
      <c r="AB284" s="324">
        <f t="shared" si="563"/>
        <v>1.0472643223097986</v>
      </c>
      <c r="AC284" s="324">
        <f t="shared" si="563"/>
        <v>1.0625321286910725</v>
      </c>
      <c r="AD284" s="324">
        <f t="shared" si="563"/>
        <v>1.069274479773739</v>
      </c>
      <c r="AE284" s="738">
        <f t="shared" si="563"/>
        <v>1.069274479773739</v>
      </c>
      <c r="AF284" s="324">
        <f t="shared" si="563"/>
        <v>1.0693808868336727</v>
      </c>
      <c r="AG284" s="324">
        <f t="shared" si="563"/>
        <v>1.0582628340510389</v>
      </c>
      <c r="AH284" s="324">
        <f t="shared" si="563"/>
        <v>1.0558933194221072</v>
      </c>
      <c r="AI284" s="324">
        <f t="shared" si="563"/>
        <v>1.0436724152256651</v>
      </c>
      <c r="AJ284" s="738">
        <f t="shared" si="563"/>
        <v>1.0436724152256651</v>
      </c>
      <c r="AK284" s="324">
        <f t="shared" si="563"/>
        <v>1.0415987842062002</v>
      </c>
      <c r="AL284" s="324">
        <f t="shared" si="563"/>
        <v>1.0408211555213414</v>
      </c>
      <c r="AM284" s="324">
        <f t="shared" si="563"/>
        <v>1.0418661427876497</v>
      </c>
      <c r="AN284" s="324">
        <f t="shared" si="563"/>
        <v>1.0331528339463891</v>
      </c>
      <c r="AO284" s="738">
        <f t="shared" si="563"/>
        <v>1.0331528339463891</v>
      </c>
      <c r="AP284" s="324">
        <f t="shared" si="563"/>
        <v>1.0328289151965966</v>
      </c>
      <c r="AQ284" s="324">
        <f t="shared" si="563"/>
        <v>1.0322751686791261</v>
      </c>
      <c r="AR284" s="324">
        <f t="shared" si="563"/>
        <v>1.0319020285459082</v>
      </c>
      <c r="AS284" s="324">
        <f t="shared" si="563"/>
        <v>1.0325086170419815</v>
      </c>
      <c r="AT284" s="738">
        <f t="shared" si="563"/>
        <v>1.0325086170419815</v>
      </c>
      <c r="AU284" s="324">
        <f t="shared" si="563"/>
        <v>1.0325983022319287</v>
      </c>
      <c r="AV284" s="324">
        <f t="shared" si="563"/>
        <v>1.056064198985375</v>
      </c>
      <c r="AW284" s="324">
        <f t="shared" si="563"/>
        <v>1.0478337614985265</v>
      </c>
      <c r="AX284" s="324">
        <f t="shared" si="563"/>
        <v>1.0429397325127627</v>
      </c>
      <c r="AY284" s="738">
        <f t="shared" si="563"/>
        <v>1.0429397325127627</v>
      </c>
      <c r="AZ284" s="324">
        <f t="shared" si="563"/>
        <v>1.0433069215612292</v>
      </c>
      <c r="BA284" s="324">
        <f t="shared" si="563"/>
        <v>1.0227506011051899</v>
      </c>
      <c r="BB284" s="324">
        <f t="shared" si="563"/>
        <v>1.028807227375389</v>
      </c>
      <c r="BC284" s="324">
        <f t="shared" si="563"/>
        <v>1.0230095849391807</v>
      </c>
      <c r="BD284" s="738">
        <f t="shared" si="563"/>
        <v>1.0230095849391807</v>
      </c>
      <c r="BE284" s="324">
        <f t="shared" ref="BE284:BF284" si="564">(BE283+BE275)/BE275</f>
        <v>1.0230584789444213</v>
      </c>
      <c r="BF284" s="324">
        <f t="shared" si="564"/>
        <v>1.0286056547404274</v>
      </c>
      <c r="BG284" s="324">
        <f t="shared" ref="BG284:BK284" si="565">(BG283+BG275)/BG275</f>
        <v>1.0657753545430817</v>
      </c>
      <c r="BH284" s="324">
        <f t="shared" si="565"/>
        <v>1.0634438894052045</v>
      </c>
      <c r="BI284" s="738">
        <f t="shared" si="565"/>
        <v>1.0634438894052045</v>
      </c>
      <c r="BJ284" s="324">
        <f t="shared" si="565"/>
        <v>1.0539733645543685</v>
      </c>
      <c r="BK284" s="324">
        <f t="shared" si="565"/>
        <v>1.0388778799798883</v>
      </c>
      <c r="BL284" s="406">
        <f>(BL283+BL275)/BL275</f>
        <v>1.0291725441940034</v>
      </c>
      <c r="BM284" s="633">
        <v>1.0390638930163401</v>
      </c>
      <c r="BN284" s="738" t="e">
        <f>(BN283+BN273)/BN273</f>
        <v>#REF!</v>
      </c>
      <c r="BO284" s="633">
        <v>1.0390638930163401</v>
      </c>
      <c r="BP284" s="633">
        <v>1.0390638930163401</v>
      </c>
      <c r="BQ284" s="633">
        <v>1.0390638930163401</v>
      </c>
      <c r="BR284" s="633">
        <v>1.0390638930163401</v>
      </c>
      <c r="BS284" s="738" t="e">
        <f>(BS283+BS273)/BS273</f>
        <v>#REF!</v>
      </c>
      <c r="BT284" s="739">
        <v>1.0390638930163401</v>
      </c>
      <c r="BU284" s="739">
        <v>1.0390638930163401</v>
      </c>
      <c r="BV284" s="739">
        <v>1.0390638930163401</v>
      </c>
      <c r="BW284" s="295"/>
    </row>
    <row r="285" spans="1:75" s="467" customFormat="1" ht="15" hidden="1" customHeight="1" outlineLevel="1">
      <c r="A285" s="518"/>
      <c r="B285" s="294"/>
      <c r="C285" s="737"/>
      <c r="D285" s="737"/>
      <c r="E285" s="737"/>
      <c r="F285" s="737"/>
      <c r="G285" s="293"/>
      <c r="H285" s="293"/>
      <c r="I285" s="293"/>
      <c r="J285" s="293"/>
      <c r="K285" s="737"/>
      <c r="L285" s="293"/>
      <c r="M285" s="293"/>
      <c r="N285" s="293"/>
      <c r="O285" s="293"/>
      <c r="P285" s="737"/>
      <c r="Q285" s="293"/>
      <c r="R285" s="293"/>
      <c r="S285" s="293"/>
      <c r="T285" s="293"/>
      <c r="U285" s="737"/>
      <c r="V285" s="293"/>
      <c r="W285" s="293"/>
      <c r="X285" s="293"/>
      <c r="Y285" s="293"/>
      <c r="Z285" s="737"/>
      <c r="AA285" s="293"/>
      <c r="AB285" s="293"/>
      <c r="AC285" s="293"/>
      <c r="AD285" s="293"/>
      <c r="AE285" s="737"/>
      <c r="AF285" s="293"/>
      <c r="AG285" s="293"/>
      <c r="AH285" s="293"/>
      <c r="AI285" s="293"/>
      <c r="AJ285" s="737"/>
      <c r="AK285" s="293"/>
      <c r="AL285" s="293"/>
      <c r="AM285" s="293"/>
      <c r="AN285" s="293"/>
      <c r="AO285" s="737"/>
      <c r="AP285" s="293"/>
      <c r="AQ285" s="293"/>
      <c r="AR285" s="293"/>
      <c r="AS285" s="293"/>
      <c r="AT285" s="737"/>
      <c r="AU285" s="293"/>
      <c r="AV285" s="293"/>
      <c r="AW285" s="293"/>
      <c r="AX285" s="293"/>
      <c r="AY285" s="737"/>
      <c r="AZ285" s="293"/>
      <c r="BA285" s="293"/>
      <c r="BB285" s="293"/>
      <c r="BC285" s="293"/>
      <c r="BD285" s="737"/>
      <c r="BE285" s="293"/>
      <c r="BF285" s="293"/>
      <c r="BG285" s="293"/>
      <c r="BH285" s="293"/>
      <c r="BI285" s="737"/>
      <c r="BJ285" s="293"/>
      <c r="BK285" s="293"/>
      <c r="BL285" s="405"/>
      <c r="BM285" s="293"/>
      <c r="BN285" s="737"/>
      <c r="BO285" s="293"/>
      <c r="BP285" s="293"/>
      <c r="BQ285" s="293"/>
      <c r="BR285" s="293"/>
      <c r="BS285" s="737"/>
      <c r="BT285" s="737"/>
      <c r="BU285" s="737"/>
      <c r="BV285" s="737"/>
      <c r="BW285" s="295"/>
    </row>
    <row r="286" spans="1:75" s="467" customFormat="1" ht="15" hidden="1" customHeight="1" outlineLevel="1">
      <c r="A286" s="519" t="s">
        <v>327</v>
      </c>
      <c r="B286" s="294"/>
      <c r="C286" s="89"/>
      <c r="D286" s="89"/>
      <c r="E286" s="89"/>
      <c r="F286" s="89">
        <f t="shared" ref="F286:BN286" si="566">F275+F283</f>
        <v>63.389297999999997</v>
      </c>
      <c r="G286" s="518">
        <f t="shared" si="566"/>
        <v>64.180119000000005</v>
      </c>
      <c r="H286" s="518">
        <f t="shared" si="566"/>
        <v>64.958307000000005</v>
      </c>
      <c r="I286" s="518">
        <f t="shared" si="566"/>
        <v>65.885621</v>
      </c>
      <c r="J286" s="518">
        <f t="shared" si="566"/>
        <v>70.801023000000001</v>
      </c>
      <c r="K286" s="89">
        <f t="shared" si="566"/>
        <v>70.801023000000001</v>
      </c>
      <c r="L286" s="518">
        <f t="shared" si="566"/>
        <v>71.488359000000003</v>
      </c>
      <c r="M286" s="518">
        <f t="shared" si="566"/>
        <v>77.282836000000003</v>
      </c>
      <c r="N286" s="518">
        <f t="shared" si="566"/>
        <v>77.533653000000015</v>
      </c>
      <c r="O286" s="518">
        <f t="shared" si="566"/>
        <v>74.927612000000011</v>
      </c>
      <c r="P286" s="89">
        <f t="shared" si="566"/>
        <v>74.927612000000011</v>
      </c>
      <c r="Q286" s="518">
        <f t="shared" si="566"/>
        <v>76.668051000000006</v>
      </c>
      <c r="R286" s="518">
        <f t="shared" si="566"/>
        <v>77.260047</v>
      </c>
      <c r="S286" s="518">
        <f t="shared" si="566"/>
        <v>77.476829000000009</v>
      </c>
      <c r="T286" s="518">
        <f t="shared" si="566"/>
        <v>78.020490000000024</v>
      </c>
      <c r="U286" s="89">
        <f t="shared" si="566"/>
        <v>78.020490000000024</v>
      </c>
      <c r="V286" s="518">
        <f t="shared" si="566"/>
        <v>78.462750000000014</v>
      </c>
      <c r="W286" s="518">
        <f t="shared" si="566"/>
        <v>80.057798000000005</v>
      </c>
      <c r="X286" s="518">
        <f t="shared" si="566"/>
        <v>83.709998999999996</v>
      </c>
      <c r="Y286" s="518">
        <f t="shared" si="566"/>
        <v>84.942833000000007</v>
      </c>
      <c r="Z286" s="89">
        <f t="shared" si="566"/>
        <v>84.942833000000007</v>
      </c>
      <c r="AA286" s="518">
        <f t="shared" si="566"/>
        <v>85.803089</v>
      </c>
      <c r="AB286" s="518">
        <f t="shared" si="566"/>
        <v>85.616996999999998</v>
      </c>
      <c r="AC286" s="518">
        <f t="shared" si="566"/>
        <v>87.915466000000009</v>
      </c>
      <c r="AD286" s="518">
        <f t="shared" si="566"/>
        <v>89.52491599999999</v>
      </c>
      <c r="AE286" s="89">
        <f t="shared" si="566"/>
        <v>89.52491599999999</v>
      </c>
      <c r="AF286" s="518">
        <f t="shared" si="566"/>
        <v>89.396509999999992</v>
      </c>
      <c r="AG286" s="518">
        <f t="shared" si="566"/>
        <v>88.674696999999995</v>
      </c>
      <c r="AH286" s="518">
        <f t="shared" si="566"/>
        <v>89.091021000000012</v>
      </c>
      <c r="AI286" s="518">
        <f t="shared" si="566"/>
        <v>85.577838999999997</v>
      </c>
      <c r="AJ286" s="89">
        <f t="shared" si="566"/>
        <v>85.577838999999997</v>
      </c>
      <c r="AK286" s="518">
        <f t="shared" si="566"/>
        <v>83.004829000000001</v>
      </c>
      <c r="AL286" s="518">
        <f t="shared" si="566"/>
        <v>74.681010999999998</v>
      </c>
      <c r="AM286" s="518">
        <f t="shared" si="566"/>
        <v>73.138923000000005</v>
      </c>
      <c r="AN286" s="518">
        <f t="shared" si="566"/>
        <v>73.545468</v>
      </c>
      <c r="AO286" s="89">
        <f t="shared" si="566"/>
        <v>73.545468</v>
      </c>
      <c r="AP286" s="518">
        <f t="shared" si="566"/>
        <v>74.247845999999996</v>
      </c>
      <c r="AQ286" s="518">
        <f t="shared" si="566"/>
        <v>75.481228999999999</v>
      </c>
      <c r="AR286" s="518">
        <f t="shared" si="566"/>
        <v>76.336487000000005</v>
      </c>
      <c r="AS286" s="518">
        <f t="shared" si="566"/>
        <v>77.719350000000006</v>
      </c>
      <c r="AT286" s="89">
        <f t="shared" si="566"/>
        <v>77.719350000000006</v>
      </c>
      <c r="AU286" s="518">
        <f t="shared" si="566"/>
        <v>77.512259</v>
      </c>
      <c r="AV286" s="518">
        <f t="shared" si="566"/>
        <v>78.662036999999998</v>
      </c>
      <c r="AW286" s="518">
        <f t="shared" si="566"/>
        <v>77.06438</v>
      </c>
      <c r="AX286" s="518">
        <f t="shared" si="566"/>
        <v>75.269919999999999</v>
      </c>
      <c r="AY286" s="89">
        <f t="shared" si="566"/>
        <v>75.269919999999999</v>
      </c>
      <c r="AZ286" s="518">
        <f t="shared" si="566"/>
        <v>74.658000000000001</v>
      </c>
      <c r="BA286" s="518">
        <f t="shared" si="566"/>
        <v>72.736999999999995</v>
      </c>
      <c r="BB286" s="518">
        <f t="shared" si="566"/>
        <v>72.427000000000007</v>
      </c>
      <c r="BC286" s="518">
        <f t="shared" si="566"/>
        <v>71.402999999999992</v>
      </c>
      <c r="BD286" s="89">
        <f t="shared" si="566"/>
        <v>71.402999999999992</v>
      </c>
      <c r="BE286" s="518">
        <f t="shared" ref="BE286:BF286" si="567">BE275+BE283</f>
        <v>71.254999999999995</v>
      </c>
      <c r="BF286" s="518">
        <f t="shared" si="567"/>
        <v>71.269000000000005</v>
      </c>
      <c r="BG286" s="518">
        <f t="shared" ref="BG286:BM286" si="568">BG275+BG283</f>
        <v>73.498000000000005</v>
      </c>
      <c r="BH286" s="518">
        <f t="shared" si="568"/>
        <v>73.233000000000004</v>
      </c>
      <c r="BI286" s="89">
        <f t="shared" si="568"/>
        <v>73.233000000000004</v>
      </c>
      <c r="BJ286" s="518">
        <f>BJ275+BJ283</f>
        <v>72.018000000000001</v>
      </c>
      <c r="BK286" s="518">
        <f>BK275+BK283</f>
        <v>70.251000000000005</v>
      </c>
      <c r="BL286" s="520">
        <f>BL275+BL283</f>
        <v>68.582000000000008</v>
      </c>
      <c r="BM286" s="518" t="e">
        <f t="shared" si="568"/>
        <v>#REF!</v>
      </c>
      <c r="BN286" s="89" t="e">
        <f t="shared" si="566"/>
        <v>#REF!</v>
      </c>
      <c r="BO286" s="518" t="e">
        <f t="shared" ref="BO286:BV286" si="569">BO275+BO283</f>
        <v>#REF!</v>
      </c>
      <c r="BP286" s="518" t="e">
        <f t="shared" si="569"/>
        <v>#REF!</v>
      </c>
      <c r="BQ286" s="518" t="e">
        <f t="shared" si="569"/>
        <v>#REF!</v>
      </c>
      <c r="BR286" s="518" t="e">
        <f t="shared" si="569"/>
        <v>#REF!</v>
      </c>
      <c r="BS286" s="89" t="e">
        <f t="shared" si="569"/>
        <v>#REF!</v>
      </c>
      <c r="BT286" s="89" t="e">
        <f t="shared" si="569"/>
        <v>#REF!</v>
      </c>
      <c r="BU286" s="89" t="e">
        <f t="shared" si="569"/>
        <v>#REF!</v>
      </c>
      <c r="BV286" s="89" t="e">
        <f t="shared" si="569"/>
        <v>#REF!</v>
      </c>
      <c r="BW286" s="295"/>
    </row>
    <row r="287" spans="1:75" s="467" customFormat="1" ht="15" hidden="1" customHeight="1" outlineLevel="1">
      <c r="A287" s="518"/>
      <c r="B287" s="294"/>
      <c r="C287" s="89"/>
      <c r="D287" s="89"/>
      <c r="E287" s="89"/>
      <c r="F287" s="89"/>
      <c r="G287" s="518"/>
      <c r="H287" s="518"/>
      <c r="I287" s="518"/>
      <c r="J287" s="518"/>
      <c r="K287" s="89"/>
      <c r="L287" s="518"/>
      <c r="M287" s="518"/>
      <c r="N287" s="518"/>
      <c r="O287" s="518"/>
      <c r="P287" s="89"/>
      <c r="Q287" s="518"/>
      <c r="R287" s="518"/>
      <c r="S287" s="518"/>
      <c r="T287" s="518"/>
      <c r="U287" s="89"/>
      <c r="V287" s="518"/>
      <c r="W287" s="518"/>
      <c r="X287" s="518"/>
      <c r="Y287" s="518"/>
      <c r="Z287" s="89"/>
      <c r="AA287" s="518"/>
      <c r="AB287" s="518"/>
      <c r="AC287" s="518"/>
      <c r="AD287" s="518"/>
      <c r="AE287" s="89"/>
      <c r="AF287" s="518"/>
      <c r="AG287" s="518"/>
      <c r="AH287" s="518"/>
      <c r="AI287" s="518"/>
      <c r="AJ287" s="89"/>
      <c r="AK287" s="518"/>
      <c r="AL287" s="518"/>
      <c r="AM287" s="518"/>
      <c r="AN287" s="518"/>
      <c r="AO287" s="89"/>
      <c r="AP287" s="518"/>
      <c r="AQ287" s="518"/>
      <c r="AR287" s="518"/>
      <c r="AS287" s="518"/>
      <c r="AT287" s="89"/>
      <c r="AU287" s="518"/>
      <c r="AV287" s="518"/>
      <c r="AW287" s="518"/>
      <c r="AX287" s="518"/>
      <c r="AY287" s="89"/>
      <c r="AZ287" s="518"/>
      <c r="BA287" s="518"/>
      <c r="BB287" s="518"/>
      <c r="BC287" s="518"/>
      <c r="BD287" s="89"/>
      <c r="BE287" s="518"/>
      <c r="BF287" s="518"/>
      <c r="BG287" s="518"/>
      <c r="BH287" s="518"/>
      <c r="BI287" s="89"/>
      <c r="BJ287" s="518"/>
      <c r="BK287" s="518"/>
      <c r="BL287" s="520"/>
      <c r="BM287" s="518"/>
      <c r="BN287" s="89"/>
      <c r="BO287" s="518"/>
      <c r="BP287" s="518"/>
      <c r="BQ287" s="518"/>
      <c r="BR287" s="518"/>
      <c r="BS287" s="89"/>
      <c r="BT287" s="89"/>
      <c r="BU287" s="89"/>
      <c r="BV287" s="89"/>
      <c r="BW287" s="295"/>
    </row>
    <row r="288" spans="1:75" s="439" customFormat="1" ht="15" hidden="1" customHeight="1" outlineLevel="2">
      <c r="A288" s="31" t="s">
        <v>328</v>
      </c>
      <c r="B288" s="53"/>
      <c r="C288" s="89"/>
      <c r="D288" s="89"/>
      <c r="E288" s="89"/>
      <c r="F288" s="675">
        <v>9.3039889999999996</v>
      </c>
      <c r="G288" s="609">
        <v>10.113175999999999</v>
      </c>
      <c r="H288" s="609">
        <v>10.113175999999999</v>
      </c>
      <c r="I288" s="609">
        <v>10.113175999999999</v>
      </c>
      <c r="J288" s="518">
        <f>K288</f>
        <v>10.113175999999999</v>
      </c>
      <c r="K288" s="675">
        <v>10.113175999999999</v>
      </c>
      <c r="L288" s="609">
        <v>11.101165999999999</v>
      </c>
      <c r="M288" s="609">
        <v>11.101165999999999</v>
      </c>
      <c r="N288" s="609">
        <v>11.101165999999999</v>
      </c>
      <c r="O288" s="518">
        <f>P288</f>
        <v>11.101165999999999</v>
      </c>
      <c r="P288" s="675">
        <v>11.101165999999999</v>
      </c>
      <c r="Q288" s="609">
        <v>9.0379349999999992</v>
      </c>
      <c r="R288" s="609">
        <v>9.0379349999999992</v>
      </c>
      <c r="S288" s="609">
        <v>9.0379349999999992</v>
      </c>
      <c r="T288" s="518">
        <f>U288</f>
        <v>9.0379349999999992</v>
      </c>
      <c r="U288" s="675">
        <v>9.0379349999999992</v>
      </c>
      <c r="V288" s="609">
        <v>8.2063559999999995</v>
      </c>
      <c r="W288" s="609">
        <v>8.2063559999999995</v>
      </c>
      <c r="X288" s="609">
        <v>8.2063559999999995</v>
      </c>
      <c r="Y288" s="518">
        <f>Z288</f>
        <v>8.2063559999999995</v>
      </c>
      <c r="Z288" s="675">
        <v>8.2063559999999995</v>
      </c>
      <c r="AA288" s="609">
        <v>8.0189409999999999</v>
      </c>
      <c r="AB288" s="609">
        <v>8.0189409999999999</v>
      </c>
      <c r="AC288" s="609">
        <v>8.0189409999999999</v>
      </c>
      <c r="AD288" s="518">
        <f>AE288</f>
        <v>8.0189409999999999</v>
      </c>
      <c r="AE288" s="675">
        <v>8.0189409999999999</v>
      </c>
      <c r="AF288" s="609">
        <v>7.078932</v>
      </c>
      <c r="AG288" s="609">
        <v>7.078932</v>
      </c>
      <c r="AH288" s="609">
        <v>7.078932</v>
      </c>
      <c r="AI288" s="518">
        <f>AJ288</f>
        <v>7.078932</v>
      </c>
      <c r="AJ288" s="675">
        <v>7.078932</v>
      </c>
      <c r="AK288" s="609">
        <v>6.8186819999999999</v>
      </c>
      <c r="AL288" s="609">
        <v>6.8186819999999999</v>
      </c>
      <c r="AM288" s="609">
        <v>6.8186819999999999</v>
      </c>
      <c r="AN288" s="518">
        <f>AO288</f>
        <v>6.8186819999999999</v>
      </c>
      <c r="AO288" s="675">
        <v>6.8186819999999999</v>
      </c>
      <c r="AP288" s="609">
        <v>6.2103849999999996</v>
      </c>
      <c r="AQ288" s="609">
        <v>6.2103849999999996</v>
      </c>
      <c r="AR288" s="609">
        <v>6.2103849999999996</v>
      </c>
      <c r="AS288" s="518">
        <f>AT288</f>
        <v>6.2103849999999996</v>
      </c>
      <c r="AT288" s="675">
        <v>6.2103849999999996</v>
      </c>
      <c r="AU288" s="609">
        <v>4.6228280000000002</v>
      </c>
      <c r="AV288" s="609">
        <v>4.6228280000000002</v>
      </c>
      <c r="AW288" s="609">
        <v>4.6228280000000002</v>
      </c>
      <c r="AX288" s="518">
        <f>AY288</f>
        <v>4.6230000000000002</v>
      </c>
      <c r="AY288" s="675">
        <v>4.6230000000000002</v>
      </c>
      <c r="AZ288" s="609">
        <v>3.9790000000000001</v>
      </c>
      <c r="BA288" s="609">
        <v>3.9790000000000001</v>
      </c>
      <c r="BB288" s="609">
        <v>3.9790000000000001</v>
      </c>
      <c r="BC288" s="518">
        <f>BD288</f>
        <v>3.9790000000000001</v>
      </c>
      <c r="BD288" s="675">
        <v>3.9790000000000001</v>
      </c>
      <c r="BE288" s="609">
        <v>3.5430000000000001</v>
      </c>
      <c r="BF288" s="609">
        <v>3.5430000000000001</v>
      </c>
      <c r="BG288" s="518">
        <f>BD292</f>
        <v>3.5430000000000001</v>
      </c>
      <c r="BH288" s="518">
        <f>BI288</f>
        <v>3.5430000000000001</v>
      </c>
      <c r="BI288" s="89">
        <f>BD292</f>
        <v>3.5430000000000001</v>
      </c>
      <c r="BJ288" s="518">
        <f>BI292</f>
        <v>2.5430000000000001</v>
      </c>
      <c r="BK288" s="518">
        <f>BJ288</f>
        <v>2.5430000000000001</v>
      </c>
      <c r="BL288" s="520">
        <f>BI292</f>
        <v>2.5430000000000001</v>
      </c>
      <c r="BM288" s="518"/>
      <c r="BN288" s="89"/>
      <c r="BO288" s="518"/>
      <c r="BP288" s="518"/>
      <c r="BQ288" s="518"/>
      <c r="BR288" s="518"/>
      <c r="BS288" s="89"/>
      <c r="BT288" s="89"/>
      <c r="BU288" s="89"/>
      <c r="BV288" s="89"/>
      <c r="BW288" s="519"/>
    </row>
    <row r="289" spans="1:75" s="439" customFormat="1" ht="15" hidden="1" customHeight="1" outlineLevel="2">
      <c r="A289" s="41" t="s">
        <v>329</v>
      </c>
      <c r="B289" s="53"/>
      <c r="C289" s="89"/>
      <c r="D289" s="89"/>
      <c r="E289" s="89"/>
      <c r="F289" s="675">
        <v>3.2498550000000002</v>
      </c>
      <c r="G289" s="609">
        <v>2.3253499999999998</v>
      </c>
      <c r="H289" s="609">
        <v>3.5014249999999998</v>
      </c>
      <c r="I289" s="609">
        <v>4.2240019999999996</v>
      </c>
      <c r="J289" s="518">
        <f t="shared" ref="J289:J292" si="570">K289</f>
        <v>4.4203020000000004</v>
      </c>
      <c r="K289" s="675">
        <v>4.4203020000000004</v>
      </c>
      <c r="L289" s="609">
        <v>9.7750000000000004E-2</v>
      </c>
      <c r="M289" s="609">
        <v>0.12905</v>
      </c>
      <c r="N289" s="609">
        <v>0.13092500000000001</v>
      </c>
      <c r="O289" s="518">
        <f t="shared" ref="O289:O292" si="571">P289</f>
        <v>0.2097</v>
      </c>
      <c r="P289" s="675">
        <v>0.2097</v>
      </c>
      <c r="Q289" s="609">
        <v>0.25280000000000002</v>
      </c>
      <c r="R289" s="609">
        <v>0.31645000000000001</v>
      </c>
      <c r="S289" s="609">
        <v>0.38845000000000002</v>
      </c>
      <c r="T289" s="518">
        <f t="shared" ref="T289:T292" si="572">U289</f>
        <v>0.46600000000000003</v>
      </c>
      <c r="U289" s="675">
        <v>0.46600000000000003</v>
      </c>
      <c r="V289" s="609">
        <v>0.83626800000000001</v>
      </c>
      <c r="W289" s="609">
        <v>1.1997679999999999</v>
      </c>
      <c r="X289" s="609">
        <v>1.2541679999999999</v>
      </c>
      <c r="Y289" s="518">
        <f t="shared" ref="Y289:Y292" si="573">Z289</f>
        <v>1.3412500000000001</v>
      </c>
      <c r="Z289" s="675">
        <v>1.3412500000000001</v>
      </c>
      <c r="AA289" s="609">
        <v>0.83860000000000001</v>
      </c>
      <c r="AB289" s="609">
        <v>0.85085</v>
      </c>
      <c r="AC289" s="609">
        <v>0.92084999999999995</v>
      </c>
      <c r="AD289" s="518">
        <f t="shared" ref="AD289:AD292" si="574">AE289</f>
        <v>0.92084999999999995</v>
      </c>
      <c r="AE289" s="675">
        <v>0.92084999999999995</v>
      </c>
      <c r="AF289" s="609">
        <v>0.67125000000000001</v>
      </c>
      <c r="AG289" s="609">
        <v>0.68020000000000003</v>
      </c>
      <c r="AH289" s="609">
        <v>0.68584999999999996</v>
      </c>
      <c r="AI289" s="518">
        <f t="shared" ref="AI289:AI292" si="575">AJ289</f>
        <v>0.68584999999999996</v>
      </c>
      <c r="AJ289" s="675">
        <v>0.68584999999999996</v>
      </c>
      <c r="AK289" s="609">
        <v>0.66215000000000002</v>
      </c>
      <c r="AL289" s="609">
        <v>0.66215000000000002</v>
      </c>
      <c r="AM289" s="609">
        <v>0.66215000000000002</v>
      </c>
      <c r="AN289" s="518">
        <f t="shared" ref="AN289:AN292" si="576">AO289</f>
        <v>0.66215000000000002</v>
      </c>
      <c r="AO289" s="675">
        <v>0.66215000000000002</v>
      </c>
      <c r="AP289" s="609">
        <v>8.6499999999999994E-2</v>
      </c>
      <c r="AQ289" s="609">
        <v>8.6499999999999994E-2</v>
      </c>
      <c r="AR289" s="609">
        <v>0.14649999999999999</v>
      </c>
      <c r="AS289" s="518">
        <f t="shared" ref="AS289:AS292" si="577">AT289</f>
        <v>0.15805</v>
      </c>
      <c r="AT289" s="675">
        <v>0.15805</v>
      </c>
      <c r="AU289" s="518"/>
      <c r="AV289" s="609">
        <v>0.08</v>
      </c>
      <c r="AW289" s="609">
        <v>0.08</v>
      </c>
      <c r="AX289" s="518">
        <f t="shared" ref="AX289:AX292" si="578">AY289</f>
        <v>0.08</v>
      </c>
      <c r="AY289" s="675">
        <v>0.08</v>
      </c>
      <c r="AZ289" s="518"/>
      <c r="BA289" s="609">
        <v>0.01</v>
      </c>
      <c r="BB289" s="609">
        <v>0.01</v>
      </c>
      <c r="BC289" s="518">
        <f t="shared" ref="BC289:BC292" si="579">BD289</f>
        <v>0.01</v>
      </c>
      <c r="BD289" s="675">
        <v>0.01</v>
      </c>
      <c r="BE289" s="518"/>
      <c r="BF289" s="518"/>
      <c r="BG289" s="518"/>
      <c r="BH289" s="518">
        <f t="shared" ref="BH289:BH292" si="580">BI289</f>
        <v>0</v>
      </c>
      <c r="BI289" s="89"/>
      <c r="BJ289" s="518"/>
      <c r="BK289" s="518"/>
      <c r="BL289" s="520"/>
      <c r="BM289" s="518"/>
      <c r="BN289" s="89"/>
      <c r="BO289" s="518"/>
      <c r="BP289" s="518"/>
      <c r="BQ289" s="518"/>
      <c r="BR289" s="518"/>
      <c r="BS289" s="89"/>
      <c r="BT289" s="89"/>
      <c r="BU289" s="89"/>
      <c r="BV289" s="89"/>
      <c r="BW289" s="519"/>
    </row>
    <row r="290" spans="1:75" s="439" customFormat="1" ht="15" hidden="1" customHeight="1" outlineLevel="2">
      <c r="A290" s="41" t="s">
        <v>330</v>
      </c>
      <c r="B290" s="53"/>
      <c r="C290" s="89"/>
      <c r="D290" s="89"/>
      <c r="E290" s="89"/>
      <c r="F290" s="675">
        <v>-1.6066119999999999</v>
      </c>
      <c r="G290" s="609">
        <v>-0.78085599999999999</v>
      </c>
      <c r="H290" s="609">
        <v>-1.5227379999999999</v>
      </c>
      <c r="I290" s="609">
        <v>-2.2128109999999999</v>
      </c>
      <c r="J290" s="518">
        <f t="shared" si="570"/>
        <v>-2.6481210000000002</v>
      </c>
      <c r="K290" s="675">
        <v>-2.6481210000000002</v>
      </c>
      <c r="L290" s="609">
        <v>-0.65747500000000003</v>
      </c>
      <c r="M290" s="609">
        <v>-0.95638500000000004</v>
      </c>
      <c r="N290" s="609">
        <v>-1.421019</v>
      </c>
      <c r="O290" s="518">
        <f t="shared" si="571"/>
        <v>-1.679654</v>
      </c>
      <c r="P290" s="675">
        <v>-1.679654</v>
      </c>
      <c r="Q290" s="609">
        <v>-0.27678599999999998</v>
      </c>
      <c r="R290" s="609">
        <v>-0.61903699999999995</v>
      </c>
      <c r="S290" s="609">
        <v>-0.72841299999999998</v>
      </c>
      <c r="T290" s="518">
        <f t="shared" si="572"/>
        <v>-0.93311299999999997</v>
      </c>
      <c r="U290" s="675">
        <v>-0.93311299999999997</v>
      </c>
      <c r="V290" s="609">
        <v>-0.12670000000000001</v>
      </c>
      <c r="W290" s="609">
        <v>-0.34171000000000001</v>
      </c>
      <c r="X290" s="609">
        <v>-0.89425200000000005</v>
      </c>
      <c r="Y290" s="518">
        <f t="shared" si="573"/>
        <v>-1.290205</v>
      </c>
      <c r="Z290" s="675">
        <v>-1.290205</v>
      </c>
      <c r="AA290" s="609">
        <v>-0.21490300000000001</v>
      </c>
      <c r="AB290" s="609">
        <v>-0.71964300000000003</v>
      </c>
      <c r="AC290" s="609">
        <v>-1.21611</v>
      </c>
      <c r="AD290" s="518">
        <f t="shared" si="574"/>
        <v>-1.519771</v>
      </c>
      <c r="AE290" s="675">
        <v>-1.519771</v>
      </c>
      <c r="AF290" s="609">
        <v>-0.31343700000000002</v>
      </c>
      <c r="AG290" s="609">
        <v>-0.50000500000000003</v>
      </c>
      <c r="AH290" s="609">
        <v>-0.73798600000000003</v>
      </c>
      <c r="AI290" s="518">
        <f t="shared" si="575"/>
        <v>-0.77987099999999998</v>
      </c>
      <c r="AJ290" s="675">
        <v>-0.77987099999999998</v>
      </c>
      <c r="AK290" s="609">
        <v>-5.0782000000000001E-2</v>
      </c>
      <c r="AL290" s="609">
        <v>-0.173956</v>
      </c>
      <c r="AM290" s="609">
        <v>-0.39932000000000001</v>
      </c>
      <c r="AN290" s="518">
        <f t="shared" si="576"/>
        <v>-0.82612399999999997</v>
      </c>
      <c r="AO290" s="675">
        <v>-0.82612399999999997</v>
      </c>
      <c r="AP290" s="609">
        <v>-0.200847</v>
      </c>
      <c r="AQ290" s="609">
        <v>-0.222357</v>
      </c>
      <c r="AR290" s="609">
        <v>-0.28538799999999998</v>
      </c>
      <c r="AS290" s="518">
        <f t="shared" si="577"/>
        <v>-1.54461</v>
      </c>
      <c r="AT290" s="675">
        <v>-1.54461</v>
      </c>
      <c r="AU290" s="609">
        <v>-0.52519400000000005</v>
      </c>
      <c r="AV290" s="609">
        <v>-0.56492299999999995</v>
      </c>
      <c r="AW290" s="609">
        <v>-0.63354900000000003</v>
      </c>
      <c r="AX290" s="518">
        <f t="shared" si="578"/>
        <v>-0.66300000000000003</v>
      </c>
      <c r="AY290" s="675">
        <v>-0.66300000000000003</v>
      </c>
      <c r="AZ290" s="609">
        <v>-2.7E-2</v>
      </c>
      <c r="BA290" s="609">
        <v>-8.7999999999999995E-2</v>
      </c>
      <c r="BB290" s="609">
        <v>-0.28199999999999997</v>
      </c>
      <c r="BC290" s="518">
        <f t="shared" si="579"/>
        <v>-0.30599999999999999</v>
      </c>
      <c r="BD290" s="675">
        <v>-0.30599999999999999</v>
      </c>
      <c r="BE290" s="609">
        <v>-0.68500000000000005</v>
      </c>
      <c r="BF290" s="609">
        <v>-0.71599999999999997</v>
      </c>
      <c r="BG290" s="609">
        <v>-0.78500000000000003</v>
      </c>
      <c r="BH290" s="518">
        <f t="shared" si="580"/>
        <v>-0.84699999999999998</v>
      </c>
      <c r="BI290" s="675">
        <v>-0.84699999999999998</v>
      </c>
      <c r="BJ290" s="609">
        <v>-1.7000000000000001E-2</v>
      </c>
      <c r="BK290" s="609">
        <v>-3.6999999999999998E-2</v>
      </c>
      <c r="BL290" s="610">
        <v>-3.6999999999999998E-2</v>
      </c>
      <c r="BM290" s="518"/>
      <c r="BN290" s="89"/>
      <c r="BO290" s="518"/>
      <c r="BP290" s="518"/>
      <c r="BQ290" s="518"/>
      <c r="BR290" s="518"/>
      <c r="BS290" s="89"/>
      <c r="BT290" s="89"/>
      <c r="BU290" s="89"/>
      <c r="BV290" s="89"/>
      <c r="BW290" s="519"/>
    </row>
    <row r="291" spans="1:75" s="439" customFormat="1" ht="15" hidden="1" customHeight="1" outlineLevel="2">
      <c r="A291" s="251" t="s">
        <v>331</v>
      </c>
      <c r="B291" s="292"/>
      <c r="C291" s="674"/>
      <c r="D291" s="674"/>
      <c r="E291" s="674"/>
      <c r="F291" s="718">
        <v>-0.83405600000000002</v>
      </c>
      <c r="G291" s="611">
        <v>-0.22809699999999999</v>
      </c>
      <c r="H291" s="611">
        <v>-0.461702</v>
      </c>
      <c r="I291" s="611">
        <v>-0.669709</v>
      </c>
      <c r="J291" s="521">
        <f t="shared" si="570"/>
        <v>-0.78419099999999997</v>
      </c>
      <c r="K291" s="718">
        <v>-0.78419099999999997</v>
      </c>
      <c r="L291" s="611">
        <v>-0.14357</v>
      </c>
      <c r="M291" s="611">
        <v>-0.36236000000000002</v>
      </c>
      <c r="N291" s="611">
        <v>-0.50994899999999999</v>
      </c>
      <c r="O291" s="521">
        <f t="shared" si="571"/>
        <v>-0.59327700000000005</v>
      </c>
      <c r="P291" s="718">
        <v>-0.59327700000000005</v>
      </c>
      <c r="Q291" s="611">
        <v>-9.2628000000000002E-2</v>
      </c>
      <c r="R291" s="611">
        <v>-0.17296800000000001</v>
      </c>
      <c r="S291" s="611">
        <v>-0.27274599999999999</v>
      </c>
      <c r="T291" s="521">
        <f t="shared" si="572"/>
        <v>-0.36446600000000001</v>
      </c>
      <c r="U291" s="718">
        <v>-0.36446600000000001</v>
      </c>
      <c r="V291" s="611">
        <v>-5.9958999999999998E-2</v>
      </c>
      <c r="W291" s="611">
        <v>-0.11147799999999999</v>
      </c>
      <c r="X291" s="611">
        <v>-0.15706200000000001</v>
      </c>
      <c r="Y291" s="521">
        <f t="shared" si="573"/>
        <v>-0.23846000000000001</v>
      </c>
      <c r="Z291" s="718">
        <v>-0.23846000000000001</v>
      </c>
      <c r="AA291" s="611">
        <v>-4.4974E-2</v>
      </c>
      <c r="AB291" s="611">
        <v>-0.115914</v>
      </c>
      <c r="AC291" s="611">
        <v>-0.21077000000000001</v>
      </c>
      <c r="AD291" s="521">
        <f t="shared" si="574"/>
        <v>-0.341088</v>
      </c>
      <c r="AE291" s="718">
        <v>-0.341088</v>
      </c>
      <c r="AF291" s="611">
        <v>-4.4396999999999999E-2</v>
      </c>
      <c r="AG291" s="611">
        <v>-6.8238999999999994E-2</v>
      </c>
      <c r="AH291" s="611">
        <v>-0.109361</v>
      </c>
      <c r="AI291" s="521">
        <f t="shared" si="575"/>
        <v>-0.16622899999999999</v>
      </c>
      <c r="AJ291" s="718">
        <v>-0.16622899999999999</v>
      </c>
      <c r="AK291" s="611">
        <v>-4.4899000000000001E-2</v>
      </c>
      <c r="AL291" s="611">
        <v>-0.108803</v>
      </c>
      <c r="AM291" s="611">
        <v>-0.33930100000000002</v>
      </c>
      <c r="AN291" s="521">
        <f t="shared" si="576"/>
        <v>-0.44432300000000002</v>
      </c>
      <c r="AO291" s="718">
        <v>-0.44432300000000002</v>
      </c>
      <c r="AP291" s="611">
        <v>-7.7311000000000005E-2</v>
      </c>
      <c r="AQ291" s="611">
        <v>-0.12703100000000001</v>
      </c>
      <c r="AR291" s="611">
        <v>-0.182616</v>
      </c>
      <c r="AS291" s="521">
        <f t="shared" si="577"/>
        <v>-0.20099700000000001</v>
      </c>
      <c r="AT291" s="718">
        <v>-0.20099700000000001</v>
      </c>
      <c r="AU291" s="611">
        <v>-9.0460000000000002E-3</v>
      </c>
      <c r="AV291" s="611">
        <v>-2.9274999999999999E-2</v>
      </c>
      <c r="AW291" s="611">
        <v>-5.2728999999999998E-2</v>
      </c>
      <c r="AX291" s="521">
        <f t="shared" si="578"/>
        <v>-6.0999999999999999E-2</v>
      </c>
      <c r="AY291" s="718">
        <v>-6.0999999999999999E-2</v>
      </c>
      <c r="AZ291" s="611">
        <v>-1.4E-2</v>
      </c>
      <c r="BA291" s="611">
        <v>-0.02</v>
      </c>
      <c r="BB291" s="611">
        <v>-0.13200000000000001</v>
      </c>
      <c r="BC291" s="521">
        <f t="shared" si="579"/>
        <v>-0.14000000000000001</v>
      </c>
      <c r="BD291" s="718">
        <v>-0.14000000000000001</v>
      </c>
      <c r="BE291" s="611">
        <v>-2E-3</v>
      </c>
      <c r="BF291" s="611">
        <v>-8.3000000000000004E-2</v>
      </c>
      <c r="BG291" s="611">
        <v>-0.13900000000000001</v>
      </c>
      <c r="BH291" s="521">
        <f t="shared" si="580"/>
        <v>-0.153</v>
      </c>
      <c r="BI291" s="718">
        <v>-0.153</v>
      </c>
      <c r="BJ291" s="611">
        <v>-1.7000000000000001E-2</v>
      </c>
      <c r="BK291" s="611">
        <v>-3.3000000000000002E-2</v>
      </c>
      <c r="BL291" s="612">
        <v>-3.3000000000000002E-2</v>
      </c>
      <c r="BM291" s="521"/>
      <c r="BN291" s="674"/>
      <c r="BO291" s="521"/>
      <c r="BP291" s="521"/>
      <c r="BQ291" s="521"/>
      <c r="BR291" s="521"/>
      <c r="BS291" s="674"/>
      <c r="BT291" s="674"/>
      <c r="BU291" s="674"/>
      <c r="BV291" s="674"/>
      <c r="BW291" s="519"/>
    </row>
    <row r="292" spans="1:75" s="439" customFormat="1" ht="15" hidden="1" customHeight="1" outlineLevel="2">
      <c r="A292" s="31" t="s">
        <v>332</v>
      </c>
      <c r="B292" s="53"/>
      <c r="C292" s="89"/>
      <c r="D292" s="89"/>
      <c r="E292" s="89"/>
      <c r="F292" s="675">
        <v>10.113175999999999</v>
      </c>
      <c r="G292" s="609">
        <v>11.429573</v>
      </c>
      <c r="H292" s="609">
        <v>11.630160999999999</v>
      </c>
      <c r="I292" s="609">
        <v>11.454658</v>
      </c>
      <c r="J292" s="518">
        <f t="shared" si="570"/>
        <v>11.101165999999999</v>
      </c>
      <c r="K292" s="675">
        <v>11.101165999999999</v>
      </c>
      <c r="L292" s="609">
        <v>10.397871</v>
      </c>
      <c r="M292" s="609">
        <v>9.9114710000000006</v>
      </c>
      <c r="N292" s="609">
        <v>9.3011230000000005</v>
      </c>
      <c r="O292" s="518">
        <f t="shared" si="571"/>
        <v>9.0379349999999992</v>
      </c>
      <c r="P292" s="675">
        <v>9.0379349999999992</v>
      </c>
      <c r="Q292" s="609">
        <v>8.9213210000000007</v>
      </c>
      <c r="R292" s="609">
        <v>8.5623799999999992</v>
      </c>
      <c r="S292" s="609">
        <v>8.4252260000000003</v>
      </c>
      <c r="T292" s="518">
        <f t="shared" si="572"/>
        <v>8.2063559999999995</v>
      </c>
      <c r="U292" s="675">
        <v>8.2063559999999995</v>
      </c>
      <c r="V292" s="609">
        <v>8.8559649999999994</v>
      </c>
      <c r="W292" s="609">
        <v>8.9529359999999993</v>
      </c>
      <c r="X292" s="609">
        <v>8.4092099999999999</v>
      </c>
      <c r="Y292" s="518">
        <f t="shared" si="573"/>
        <v>8.0189409999999999</v>
      </c>
      <c r="Z292" s="675">
        <v>8.0189409999999999</v>
      </c>
      <c r="AA292" s="609">
        <v>8.597664</v>
      </c>
      <c r="AB292" s="609">
        <v>8.0342339999999997</v>
      </c>
      <c r="AC292" s="609">
        <v>7.5129109999999999</v>
      </c>
      <c r="AD292" s="518">
        <f t="shared" si="574"/>
        <v>7.078932</v>
      </c>
      <c r="AE292" s="675">
        <v>7.078932</v>
      </c>
      <c r="AF292" s="609">
        <v>7.3923480000000001</v>
      </c>
      <c r="AG292" s="609">
        <v>7.1908880000000002</v>
      </c>
      <c r="AH292" s="609">
        <v>6.9174350000000002</v>
      </c>
      <c r="AI292" s="518">
        <f t="shared" si="575"/>
        <v>6.8186819999999999</v>
      </c>
      <c r="AJ292" s="675">
        <v>6.8186819999999999</v>
      </c>
      <c r="AK292" s="609">
        <v>7.3851509999999996</v>
      </c>
      <c r="AL292" s="609">
        <v>7.1980729999999999</v>
      </c>
      <c r="AM292" s="609">
        <v>6.7422110000000002</v>
      </c>
      <c r="AN292" s="518">
        <f t="shared" si="576"/>
        <v>6.2103849999999996</v>
      </c>
      <c r="AO292" s="675">
        <v>6.2103849999999996</v>
      </c>
      <c r="AP292" s="609">
        <v>6.0187270000000002</v>
      </c>
      <c r="AQ292" s="609">
        <v>5.9474970000000003</v>
      </c>
      <c r="AR292" s="609">
        <v>5.8888809999999996</v>
      </c>
      <c r="AS292" s="518">
        <f t="shared" si="577"/>
        <v>4.6228280000000002</v>
      </c>
      <c r="AT292" s="675">
        <v>4.6228280000000002</v>
      </c>
      <c r="AU292" s="609">
        <v>4.0885879999999997</v>
      </c>
      <c r="AV292" s="609">
        <v>4.1086299999999998</v>
      </c>
      <c r="AW292" s="609">
        <v>4.0165499999999996</v>
      </c>
      <c r="AX292" s="518">
        <f t="shared" si="578"/>
        <v>3.9790000000000001</v>
      </c>
      <c r="AY292" s="675">
        <v>3.9790000000000001</v>
      </c>
      <c r="AZ292" s="609">
        <v>3.9380000000000002</v>
      </c>
      <c r="BA292" s="609">
        <v>3.8809999999999998</v>
      </c>
      <c r="BB292" s="609">
        <v>3.5750000000000002</v>
      </c>
      <c r="BC292" s="518">
        <f t="shared" si="579"/>
        <v>3.5430000000000001</v>
      </c>
      <c r="BD292" s="675">
        <v>3.5430000000000001</v>
      </c>
      <c r="BE292" s="609">
        <v>2.8559999999999999</v>
      </c>
      <c r="BF292" s="609">
        <v>2.7440000000000002</v>
      </c>
      <c r="BG292" s="518">
        <f>BG288+SUM(BG289:BG291)</f>
        <v>2.6190000000000002</v>
      </c>
      <c r="BH292" s="518">
        <f t="shared" si="580"/>
        <v>2.5430000000000001</v>
      </c>
      <c r="BI292" s="89">
        <f>BI288+SUM(BI289:BI291)</f>
        <v>2.5430000000000001</v>
      </c>
      <c r="BJ292" s="518">
        <f>BJ288+SUM(BJ289:BJ291)</f>
        <v>2.5090000000000003</v>
      </c>
      <c r="BK292" s="518">
        <f>BK288+SUM(BK289:BK291)</f>
        <v>2.4730000000000003</v>
      </c>
      <c r="BL292" s="520">
        <f>BL288+SUM(BL289:BL291)</f>
        <v>2.4730000000000003</v>
      </c>
      <c r="BM292" s="518"/>
      <c r="BN292" s="89"/>
      <c r="BO292" s="518"/>
      <c r="BP292" s="518"/>
      <c r="BQ292" s="518"/>
      <c r="BR292" s="518"/>
      <c r="BS292" s="89"/>
      <c r="BT292" s="89"/>
      <c r="BU292" s="89"/>
      <c r="BV292" s="89"/>
      <c r="BW292" s="519"/>
    </row>
    <row r="293" spans="1:75" s="439" customFormat="1" ht="15" hidden="1" customHeight="1" outlineLevel="2">
      <c r="A293" s="31"/>
      <c r="B293" s="530"/>
      <c r="C293" s="723"/>
      <c r="D293" s="723"/>
      <c r="E293" s="723"/>
      <c r="F293" s="723"/>
      <c r="G293" s="524"/>
      <c r="H293" s="524"/>
      <c r="I293" s="524"/>
      <c r="J293" s="524"/>
      <c r="K293" s="723"/>
      <c r="L293" s="524"/>
      <c r="M293" s="524"/>
      <c r="N293" s="524"/>
      <c r="O293" s="524"/>
      <c r="P293" s="723"/>
      <c r="Q293" s="524"/>
      <c r="R293" s="524"/>
      <c r="S293" s="524"/>
      <c r="T293" s="524"/>
      <c r="U293" s="723"/>
      <c r="V293" s="524"/>
      <c r="W293" s="524"/>
      <c r="X293" s="524"/>
      <c r="Y293" s="524"/>
      <c r="Z293" s="723"/>
      <c r="AA293" s="524"/>
      <c r="AB293" s="524"/>
      <c r="AC293" s="524"/>
      <c r="AD293" s="524"/>
      <c r="AE293" s="723"/>
      <c r="AF293" s="524"/>
      <c r="AG293" s="524"/>
      <c r="AH293" s="524"/>
      <c r="AI293" s="524"/>
      <c r="AJ293" s="723"/>
      <c r="AK293" s="524"/>
      <c r="AL293" s="524"/>
      <c r="AM293" s="524"/>
      <c r="AN293" s="524"/>
      <c r="AO293" s="723"/>
      <c r="AP293" s="524"/>
      <c r="AQ293" s="524"/>
      <c r="AR293" s="524"/>
      <c r="AS293" s="524"/>
      <c r="AT293" s="723"/>
      <c r="AU293" s="524"/>
      <c r="AV293" s="524"/>
      <c r="AW293" s="524"/>
      <c r="AX293" s="524"/>
      <c r="AY293" s="723"/>
      <c r="AZ293" s="524"/>
      <c r="BA293" s="524"/>
      <c r="BB293" s="524"/>
      <c r="BC293" s="524"/>
      <c r="BD293" s="723"/>
      <c r="BE293" s="524"/>
      <c r="BF293" s="524"/>
      <c r="BG293" s="524"/>
      <c r="BH293" s="524"/>
      <c r="BI293" s="723"/>
      <c r="BJ293" s="524"/>
      <c r="BK293" s="524"/>
      <c r="BL293" s="576"/>
      <c r="BM293" s="524"/>
      <c r="BN293" s="723"/>
      <c r="BO293" s="524"/>
      <c r="BP293" s="524"/>
      <c r="BQ293" s="524"/>
      <c r="BR293" s="524"/>
      <c r="BS293" s="723"/>
      <c r="BT293" s="723"/>
      <c r="BU293" s="723"/>
      <c r="BV293" s="723"/>
      <c r="BW293" s="519"/>
    </row>
    <row r="294" spans="1:75" s="439" customFormat="1" ht="15" hidden="1" customHeight="1" outlineLevel="2">
      <c r="A294" s="31" t="s">
        <v>333</v>
      </c>
      <c r="B294" s="53"/>
      <c r="C294" s="89"/>
      <c r="D294" s="89"/>
      <c r="E294" s="89"/>
      <c r="F294" s="89">
        <f>F288</f>
        <v>9.3039889999999996</v>
      </c>
      <c r="G294" s="518">
        <f>F298</f>
        <v>10.113175999999999</v>
      </c>
      <c r="H294" s="518">
        <f>G298</f>
        <v>11.429573</v>
      </c>
      <c r="I294" s="518">
        <f>H298</f>
        <v>11.630160999999998</v>
      </c>
      <c r="J294" s="518">
        <f>I298</f>
        <v>11.454657999999997</v>
      </c>
      <c r="K294" s="89">
        <f>F298</f>
        <v>10.113175999999999</v>
      </c>
      <c r="L294" s="518">
        <f>K298</f>
        <v>11.101165999999999</v>
      </c>
      <c r="M294" s="518">
        <f>L298</f>
        <v>10.397870999999999</v>
      </c>
      <c r="N294" s="518">
        <f>M298</f>
        <v>9.9114709999999988</v>
      </c>
      <c r="O294" s="518">
        <f>N298</f>
        <v>9.3011229999999987</v>
      </c>
      <c r="P294" s="89">
        <f>K298</f>
        <v>11.101165999999999</v>
      </c>
      <c r="Q294" s="518">
        <f>P298</f>
        <v>9.0379349999999992</v>
      </c>
      <c r="R294" s="518">
        <f>Q298</f>
        <v>8.9213210000000007</v>
      </c>
      <c r="S294" s="518">
        <f>R298</f>
        <v>8.5623800000000028</v>
      </c>
      <c r="T294" s="518">
        <f>S298</f>
        <v>8.4252260000000021</v>
      </c>
      <c r="U294" s="89">
        <f>P298</f>
        <v>9.0379349999999992</v>
      </c>
      <c r="V294" s="518">
        <f>U298</f>
        <v>8.2063559999999978</v>
      </c>
      <c r="W294" s="518">
        <f>V298</f>
        <v>8.8559649999999994</v>
      </c>
      <c r="X294" s="518">
        <f>W298</f>
        <v>8.9529359999999993</v>
      </c>
      <c r="Y294" s="518">
        <f>X298</f>
        <v>8.4092099999999981</v>
      </c>
      <c r="Z294" s="89">
        <f>U298</f>
        <v>8.2063559999999978</v>
      </c>
      <c r="AA294" s="518">
        <f>Z298</f>
        <v>8.0189409999999981</v>
      </c>
      <c r="AB294" s="518">
        <f>AA298</f>
        <v>8.5976639999999982</v>
      </c>
      <c r="AC294" s="518">
        <f>AB298</f>
        <v>8.0342339999999979</v>
      </c>
      <c r="AD294" s="518">
        <f>AC298</f>
        <v>7.5129109999999981</v>
      </c>
      <c r="AE294" s="89">
        <f>Z298</f>
        <v>8.0189409999999981</v>
      </c>
      <c r="AF294" s="518">
        <f>AE298</f>
        <v>7.0789319999999973</v>
      </c>
      <c r="AG294" s="518">
        <f>AF298</f>
        <v>7.3923479999999966</v>
      </c>
      <c r="AH294" s="518">
        <f>AG298</f>
        <v>7.1908879999999966</v>
      </c>
      <c r="AI294" s="518">
        <f>AH298</f>
        <v>6.9174349999999976</v>
      </c>
      <c r="AJ294" s="89">
        <f>AE298</f>
        <v>7.0789319999999973</v>
      </c>
      <c r="AK294" s="518">
        <f>AJ298</f>
        <v>6.8186819999999972</v>
      </c>
      <c r="AL294" s="518">
        <f>AK298</f>
        <v>7.3851509999999978</v>
      </c>
      <c r="AM294" s="518">
        <f>AL298</f>
        <v>7.1980729999999982</v>
      </c>
      <c r="AN294" s="518">
        <f>AM298</f>
        <v>6.7422109999999984</v>
      </c>
      <c r="AO294" s="89">
        <f>AJ298</f>
        <v>6.8186819999999972</v>
      </c>
      <c r="AP294" s="518">
        <f>AO298</f>
        <v>6.2103849999999978</v>
      </c>
      <c r="AQ294" s="518">
        <f>AP298</f>
        <v>6.0187269999999984</v>
      </c>
      <c r="AR294" s="518">
        <f>AQ298</f>
        <v>5.9474969999999985</v>
      </c>
      <c r="AS294" s="518">
        <f>AR298</f>
        <v>5.8888809999999987</v>
      </c>
      <c r="AT294" s="89">
        <f>AO298</f>
        <v>6.2103849999999978</v>
      </c>
      <c r="AU294" s="518">
        <f>AT298</f>
        <v>4.6228279999999975</v>
      </c>
      <c r="AV294" s="518">
        <f>AU298</f>
        <v>4.0885879999999979</v>
      </c>
      <c r="AW294" s="518">
        <f>AV298</f>
        <v>4.1086299999999989</v>
      </c>
      <c r="AX294" s="518">
        <f>AW298</f>
        <v>4.0165499999999987</v>
      </c>
      <c r="AY294" s="89">
        <f>AT298</f>
        <v>4.6228279999999975</v>
      </c>
      <c r="AZ294" s="518">
        <f>AY298</f>
        <v>3.9788279999999974</v>
      </c>
      <c r="BA294" s="518">
        <f>AZ298</f>
        <v>3.9378279999999974</v>
      </c>
      <c r="BB294" s="518">
        <f>BA298</f>
        <v>3.8808279999999975</v>
      </c>
      <c r="BC294" s="518">
        <f>BB298</f>
        <v>3.5748279999999975</v>
      </c>
      <c r="BD294" s="89">
        <f>AY298</f>
        <v>3.9788279999999974</v>
      </c>
      <c r="BE294" s="518">
        <f>BD298</f>
        <v>3.542827999999997</v>
      </c>
      <c r="BF294" s="518">
        <f>BE298</f>
        <v>2.8558279999999971</v>
      </c>
      <c r="BG294" s="518">
        <f>BF298</f>
        <v>2.7438279999999975</v>
      </c>
      <c r="BH294" s="518">
        <f>BG298</f>
        <v>2.6188279999999975</v>
      </c>
      <c r="BI294" s="89">
        <f>BD298</f>
        <v>3.542827999999997</v>
      </c>
      <c r="BJ294" s="518">
        <f>BI298</f>
        <v>2.542827999999997</v>
      </c>
      <c r="BK294" s="518">
        <f>BJ298</f>
        <v>2.5088279999999972</v>
      </c>
      <c r="BL294" s="520">
        <f>BK298</f>
        <v>2.4728279999999971</v>
      </c>
      <c r="BM294" s="518"/>
      <c r="BN294" s="89"/>
      <c r="BO294" s="518"/>
      <c r="BP294" s="518"/>
      <c r="BQ294" s="518"/>
      <c r="BR294" s="518"/>
      <c r="BS294" s="89"/>
      <c r="BT294" s="89"/>
      <c r="BU294" s="89"/>
      <c r="BV294" s="89"/>
      <c r="BW294" s="519"/>
    </row>
    <row r="295" spans="1:75" s="439" customFormat="1" ht="15" hidden="1" customHeight="1" outlineLevel="2">
      <c r="A295" s="41" t="s">
        <v>334</v>
      </c>
      <c r="B295" s="53"/>
      <c r="C295" s="89"/>
      <c r="D295" s="89"/>
      <c r="E295" s="89"/>
      <c r="F295" s="89">
        <f>F289</f>
        <v>3.2498550000000002</v>
      </c>
      <c r="G295" s="518">
        <f>G289</f>
        <v>2.3253499999999998</v>
      </c>
      <c r="H295" s="518">
        <f t="shared" ref="H295:J297" si="581">H289-G289</f>
        <v>1.176075</v>
      </c>
      <c r="I295" s="518">
        <f t="shared" si="581"/>
        <v>0.7225769999999998</v>
      </c>
      <c r="J295" s="518">
        <f t="shared" si="581"/>
        <v>0.19630000000000081</v>
      </c>
      <c r="K295" s="89">
        <f t="shared" ref="K295:L297" si="582">K289</f>
        <v>4.4203020000000004</v>
      </c>
      <c r="L295" s="518">
        <f t="shared" si="582"/>
        <v>9.7750000000000004E-2</v>
      </c>
      <c r="M295" s="518">
        <f t="shared" ref="M295:O297" si="583">M289-L289</f>
        <v>3.1299999999999994E-2</v>
      </c>
      <c r="N295" s="518">
        <f t="shared" si="583"/>
        <v>1.8750000000000155E-3</v>
      </c>
      <c r="O295" s="518">
        <f t="shared" si="583"/>
        <v>7.8774999999999984E-2</v>
      </c>
      <c r="P295" s="89">
        <f t="shared" ref="P295:Q297" si="584">P289</f>
        <v>0.2097</v>
      </c>
      <c r="Q295" s="518">
        <f t="shared" si="584"/>
        <v>0.25280000000000002</v>
      </c>
      <c r="R295" s="518">
        <f t="shared" ref="R295:T297" si="585">R289-Q289</f>
        <v>6.3649999999999984E-2</v>
      </c>
      <c r="S295" s="518">
        <f t="shared" si="585"/>
        <v>7.2000000000000008E-2</v>
      </c>
      <c r="T295" s="518">
        <f t="shared" si="585"/>
        <v>7.7550000000000008E-2</v>
      </c>
      <c r="U295" s="89">
        <f t="shared" ref="U295:V297" si="586">U289</f>
        <v>0.46600000000000003</v>
      </c>
      <c r="V295" s="518">
        <f t="shared" si="586"/>
        <v>0.83626800000000001</v>
      </c>
      <c r="W295" s="518">
        <f t="shared" ref="W295:Y297" si="587">W289-V289</f>
        <v>0.36349999999999993</v>
      </c>
      <c r="X295" s="518">
        <f t="shared" si="587"/>
        <v>5.4400000000000004E-2</v>
      </c>
      <c r="Y295" s="518">
        <f t="shared" si="587"/>
        <v>8.7082000000000104E-2</v>
      </c>
      <c r="Z295" s="89">
        <f t="shared" ref="Z295:AA297" si="588">Z289</f>
        <v>1.3412500000000001</v>
      </c>
      <c r="AA295" s="518">
        <f t="shared" si="588"/>
        <v>0.83860000000000001</v>
      </c>
      <c r="AB295" s="518">
        <f t="shared" ref="AB295:AD297" si="589">AB289-AA289</f>
        <v>1.2249999999999983E-2</v>
      </c>
      <c r="AC295" s="518">
        <f t="shared" si="589"/>
        <v>6.9999999999999951E-2</v>
      </c>
      <c r="AD295" s="518">
        <f t="shared" si="589"/>
        <v>0</v>
      </c>
      <c r="AE295" s="89">
        <f t="shared" ref="AE295:AF297" si="590">AE289</f>
        <v>0.92084999999999995</v>
      </c>
      <c r="AF295" s="518">
        <f t="shared" si="590"/>
        <v>0.67125000000000001</v>
      </c>
      <c r="AG295" s="518">
        <f t="shared" ref="AG295:AI297" si="591">AG289-AF289</f>
        <v>8.9500000000000135E-3</v>
      </c>
      <c r="AH295" s="518">
        <f t="shared" si="591"/>
        <v>5.6499999999999329E-3</v>
      </c>
      <c r="AI295" s="518">
        <f t="shared" si="591"/>
        <v>0</v>
      </c>
      <c r="AJ295" s="89">
        <f t="shared" ref="AJ295:AK297" si="592">AJ289</f>
        <v>0.68584999999999996</v>
      </c>
      <c r="AK295" s="518">
        <f t="shared" si="592"/>
        <v>0.66215000000000002</v>
      </c>
      <c r="AL295" s="518">
        <f t="shared" ref="AL295:AN297" si="593">AL289-AK289</f>
        <v>0</v>
      </c>
      <c r="AM295" s="518">
        <f t="shared" si="593"/>
        <v>0</v>
      </c>
      <c r="AN295" s="518">
        <f t="shared" si="593"/>
        <v>0</v>
      </c>
      <c r="AO295" s="89">
        <f t="shared" ref="AO295:AP297" si="594">AO289</f>
        <v>0.66215000000000002</v>
      </c>
      <c r="AP295" s="518">
        <f t="shared" si="594"/>
        <v>8.6499999999999994E-2</v>
      </c>
      <c r="AQ295" s="518">
        <f t="shared" ref="AQ295:AS297" si="595">AQ289-AP289</f>
        <v>0</v>
      </c>
      <c r="AR295" s="518">
        <f t="shared" si="595"/>
        <v>0.06</v>
      </c>
      <c r="AS295" s="518">
        <f t="shared" si="595"/>
        <v>1.1550000000000005E-2</v>
      </c>
      <c r="AT295" s="89">
        <f t="shared" ref="AT295:AU297" si="596">AT289</f>
        <v>0.15805</v>
      </c>
      <c r="AU295" s="518">
        <f t="shared" si="596"/>
        <v>0</v>
      </c>
      <c r="AV295" s="518">
        <f t="shared" ref="AV295:AX297" si="597">AV289-AU289</f>
        <v>0.08</v>
      </c>
      <c r="AW295" s="518">
        <f t="shared" si="597"/>
        <v>0</v>
      </c>
      <c r="AX295" s="518">
        <f t="shared" si="597"/>
        <v>0</v>
      </c>
      <c r="AY295" s="89">
        <f t="shared" ref="AY295:AZ297" si="598">AY289</f>
        <v>0.08</v>
      </c>
      <c r="AZ295" s="518">
        <f t="shared" si="598"/>
        <v>0</v>
      </c>
      <c r="BA295" s="518">
        <f t="shared" ref="BA295:BC297" si="599">BA289-AZ289</f>
        <v>0.01</v>
      </c>
      <c r="BB295" s="518">
        <f t="shared" si="599"/>
        <v>0</v>
      </c>
      <c r="BC295" s="518">
        <f t="shared" si="599"/>
        <v>0</v>
      </c>
      <c r="BD295" s="89">
        <f t="shared" ref="BD295:BE297" si="600">BD289</f>
        <v>0.01</v>
      </c>
      <c r="BE295" s="518">
        <f t="shared" si="600"/>
        <v>0</v>
      </c>
      <c r="BF295" s="518">
        <f t="shared" ref="BF295:BH297" si="601">BF289-BE289</f>
        <v>0</v>
      </c>
      <c r="BG295" s="518">
        <f t="shared" si="601"/>
        <v>0</v>
      </c>
      <c r="BH295" s="518">
        <f t="shared" si="601"/>
        <v>0</v>
      </c>
      <c r="BI295" s="89">
        <f>BI289</f>
        <v>0</v>
      </c>
      <c r="BJ295" s="518">
        <f t="shared" ref="BJ295" si="602">BJ289</f>
        <v>0</v>
      </c>
      <c r="BK295" s="518">
        <f t="shared" ref="BK295:BL297" si="603">BK289-BJ289</f>
        <v>0</v>
      </c>
      <c r="BL295" s="520">
        <f t="shared" si="603"/>
        <v>0</v>
      </c>
      <c r="BM295" s="518"/>
      <c r="BN295" s="89"/>
      <c r="BO295" s="518"/>
      <c r="BP295" s="518"/>
      <c r="BQ295" s="518"/>
      <c r="BR295" s="518"/>
      <c r="BS295" s="89"/>
      <c r="BT295" s="89"/>
      <c r="BU295" s="89"/>
      <c r="BV295" s="89"/>
      <c r="BW295" s="519"/>
    </row>
    <row r="296" spans="1:75" s="439" customFormat="1" ht="15" hidden="1" customHeight="1" outlineLevel="2">
      <c r="A296" s="41" t="s">
        <v>335</v>
      </c>
      <c r="B296" s="53"/>
      <c r="C296" s="89"/>
      <c r="D296" s="89"/>
      <c r="E296" s="89"/>
      <c r="F296" s="89">
        <f>F290</f>
        <v>-1.6066119999999999</v>
      </c>
      <c r="G296" s="518">
        <f>G290</f>
        <v>-0.78085599999999999</v>
      </c>
      <c r="H296" s="518">
        <f t="shared" si="581"/>
        <v>-0.74188199999999993</v>
      </c>
      <c r="I296" s="518">
        <f t="shared" si="581"/>
        <v>-0.69007299999999994</v>
      </c>
      <c r="J296" s="518">
        <f t="shared" si="581"/>
        <v>-0.43531000000000031</v>
      </c>
      <c r="K296" s="89">
        <f t="shared" si="582"/>
        <v>-2.6481210000000002</v>
      </c>
      <c r="L296" s="518">
        <f t="shared" si="582"/>
        <v>-0.65747500000000003</v>
      </c>
      <c r="M296" s="518">
        <f t="shared" si="583"/>
        <v>-0.29891000000000001</v>
      </c>
      <c r="N296" s="518">
        <f t="shared" si="583"/>
        <v>-0.46463399999999999</v>
      </c>
      <c r="O296" s="518">
        <f t="shared" si="583"/>
        <v>-0.25863499999999995</v>
      </c>
      <c r="P296" s="89">
        <f t="shared" si="584"/>
        <v>-1.679654</v>
      </c>
      <c r="Q296" s="518">
        <f t="shared" si="584"/>
        <v>-0.27678599999999998</v>
      </c>
      <c r="R296" s="518">
        <f t="shared" si="585"/>
        <v>-0.34225099999999997</v>
      </c>
      <c r="S296" s="518">
        <f t="shared" si="585"/>
        <v>-0.10937600000000003</v>
      </c>
      <c r="T296" s="518">
        <f t="shared" si="585"/>
        <v>-0.20469999999999999</v>
      </c>
      <c r="U296" s="89">
        <f t="shared" si="586"/>
        <v>-0.93311299999999997</v>
      </c>
      <c r="V296" s="518">
        <f t="shared" si="586"/>
        <v>-0.12670000000000001</v>
      </c>
      <c r="W296" s="518">
        <f t="shared" si="587"/>
        <v>-0.21501000000000001</v>
      </c>
      <c r="X296" s="518">
        <f t="shared" si="587"/>
        <v>-0.55254200000000009</v>
      </c>
      <c r="Y296" s="518">
        <f t="shared" si="587"/>
        <v>-0.395953</v>
      </c>
      <c r="Z296" s="89">
        <f t="shared" si="588"/>
        <v>-1.290205</v>
      </c>
      <c r="AA296" s="518">
        <f t="shared" si="588"/>
        <v>-0.21490300000000001</v>
      </c>
      <c r="AB296" s="518">
        <f t="shared" si="589"/>
        <v>-0.50473999999999997</v>
      </c>
      <c r="AC296" s="518">
        <f t="shared" si="589"/>
        <v>-0.49646699999999999</v>
      </c>
      <c r="AD296" s="518">
        <f t="shared" si="589"/>
        <v>-0.30366099999999996</v>
      </c>
      <c r="AE296" s="89">
        <f t="shared" si="590"/>
        <v>-1.519771</v>
      </c>
      <c r="AF296" s="518">
        <f t="shared" si="590"/>
        <v>-0.31343700000000002</v>
      </c>
      <c r="AG296" s="518">
        <f t="shared" si="591"/>
        <v>-0.18656800000000001</v>
      </c>
      <c r="AH296" s="518">
        <f t="shared" si="591"/>
        <v>-0.237981</v>
      </c>
      <c r="AI296" s="518">
        <f t="shared" si="591"/>
        <v>-4.188499999999995E-2</v>
      </c>
      <c r="AJ296" s="89">
        <f t="shared" si="592"/>
        <v>-0.77987099999999998</v>
      </c>
      <c r="AK296" s="518">
        <f t="shared" si="592"/>
        <v>-5.0782000000000001E-2</v>
      </c>
      <c r="AL296" s="518">
        <f t="shared" si="593"/>
        <v>-0.12317400000000001</v>
      </c>
      <c r="AM296" s="518">
        <f t="shared" si="593"/>
        <v>-0.22536400000000001</v>
      </c>
      <c r="AN296" s="518">
        <f t="shared" si="593"/>
        <v>-0.42680399999999996</v>
      </c>
      <c r="AO296" s="89">
        <f t="shared" si="594"/>
        <v>-0.82612399999999997</v>
      </c>
      <c r="AP296" s="518">
        <f t="shared" si="594"/>
        <v>-0.200847</v>
      </c>
      <c r="AQ296" s="518">
        <f t="shared" si="595"/>
        <v>-2.1510000000000001E-2</v>
      </c>
      <c r="AR296" s="518">
        <f t="shared" si="595"/>
        <v>-6.3030999999999976E-2</v>
      </c>
      <c r="AS296" s="518">
        <f t="shared" si="595"/>
        <v>-1.2592220000000001</v>
      </c>
      <c r="AT296" s="89">
        <f t="shared" si="596"/>
        <v>-1.54461</v>
      </c>
      <c r="AU296" s="518">
        <f t="shared" si="596"/>
        <v>-0.52519400000000005</v>
      </c>
      <c r="AV296" s="518">
        <f t="shared" si="597"/>
        <v>-3.9728999999999903E-2</v>
      </c>
      <c r="AW296" s="518">
        <f t="shared" si="597"/>
        <v>-6.8626000000000076E-2</v>
      </c>
      <c r="AX296" s="518">
        <f t="shared" si="597"/>
        <v>-2.9451000000000005E-2</v>
      </c>
      <c r="AY296" s="89">
        <f t="shared" si="598"/>
        <v>-0.66300000000000003</v>
      </c>
      <c r="AZ296" s="518">
        <f t="shared" si="598"/>
        <v>-2.7E-2</v>
      </c>
      <c r="BA296" s="518">
        <f t="shared" si="599"/>
        <v>-6.0999999999999999E-2</v>
      </c>
      <c r="BB296" s="518">
        <f t="shared" si="599"/>
        <v>-0.19399999999999998</v>
      </c>
      <c r="BC296" s="518">
        <f t="shared" si="599"/>
        <v>-2.4000000000000021E-2</v>
      </c>
      <c r="BD296" s="89">
        <f t="shared" si="600"/>
        <v>-0.30599999999999999</v>
      </c>
      <c r="BE296" s="518">
        <f t="shared" si="600"/>
        <v>-0.68500000000000005</v>
      </c>
      <c r="BF296" s="518">
        <f t="shared" si="601"/>
        <v>-3.0999999999999917E-2</v>
      </c>
      <c r="BG296" s="518">
        <f t="shared" si="601"/>
        <v>-6.9000000000000061E-2</v>
      </c>
      <c r="BH296" s="518">
        <f t="shared" si="601"/>
        <v>-6.1999999999999944E-2</v>
      </c>
      <c r="BI296" s="89">
        <f>BI290</f>
        <v>-0.84699999999999998</v>
      </c>
      <c r="BJ296" s="518">
        <f t="shared" ref="BJ296" si="604">BJ290</f>
        <v>-1.7000000000000001E-2</v>
      </c>
      <c r="BK296" s="518">
        <f t="shared" si="603"/>
        <v>-1.9999999999999997E-2</v>
      </c>
      <c r="BL296" s="520">
        <f t="shared" si="603"/>
        <v>0</v>
      </c>
      <c r="BM296" s="518"/>
      <c r="BN296" s="89"/>
      <c r="BO296" s="518"/>
      <c r="BP296" s="518"/>
      <c r="BQ296" s="518"/>
      <c r="BR296" s="518"/>
      <c r="BS296" s="89"/>
      <c r="BT296" s="89"/>
      <c r="BU296" s="89"/>
      <c r="BV296" s="89"/>
      <c r="BW296" s="519"/>
    </row>
    <row r="297" spans="1:75" s="439" customFormat="1" ht="15" hidden="1" customHeight="1" outlineLevel="2">
      <c r="A297" s="251" t="s">
        <v>336</v>
      </c>
      <c r="B297" s="292"/>
      <c r="C297" s="674"/>
      <c r="D297" s="674"/>
      <c r="E297" s="674"/>
      <c r="F297" s="674">
        <f>F291</f>
        <v>-0.83405600000000002</v>
      </c>
      <c r="G297" s="521">
        <f>G291</f>
        <v>-0.22809699999999999</v>
      </c>
      <c r="H297" s="521">
        <f t="shared" si="581"/>
        <v>-0.23360500000000001</v>
      </c>
      <c r="I297" s="521">
        <f t="shared" si="581"/>
        <v>-0.208007</v>
      </c>
      <c r="J297" s="521">
        <f t="shared" si="581"/>
        <v>-0.11448199999999997</v>
      </c>
      <c r="K297" s="674">
        <f t="shared" si="582"/>
        <v>-0.78419099999999997</v>
      </c>
      <c r="L297" s="521">
        <f t="shared" si="582"/>
        <v>-0.14357</v>
      </c>
      <c r="M297" s="521">
        <f t="shared" si="583"/>
        <v>-0.21879000000000001</v>
      </c>
      <c r="N297" s="521">
        <f t="shared" si="583"/>
        <v>-0.14758899999999997</v>
      </c>
      <c r="O297" s="521">
        <f t="shared" si="583"/>
        <v>-8.3328000000000069E-2</v>
      </c>
      <c r="P297" s="674">
        <f t="shared" si="584"/>
        <v>-0.59327700000000005</v>
      </c>
      <c r="Q297" s="521">
        <f t="shared" si="584"/>
        <v>-9.2628000000000002E-2</v>
      </c>
      <c r="R297" s="521">
        <f t="shared" si="585"/>
        <v>-8.0340000000000009E-2</v>
      </c>
      <c r="S297" s="521">
        <f t="shared" si="585"/>
        <v>-9.9777999999999978E-2</v>
      </c>
      <c r="T297" s="521">
        <f t="shared" si="585"/>
        <v>-9.1720000000000024E-2</v>
      </c>
      <c r="U297" s="674">
        <f t="shared" si="586"/>
        <v>-0.36446600000000001</v>
      </c>
      <c r="V297" s="521">
        <f t="shared" si="586"/>
        <v>-5.9958999999999998E-2</v>
      </c>
      <c r="W297" s="521">
        <f t="shared" si="587"/>
        <v>-5.1518999999999995E-2</v>
      </c>
      <c r="X297" s="521">
        <f t="shared" si="587"/>
        <v>-4.5584000000000013E-2</v>
      </c>
      <c r="Y297" s="521">
        <f t="shared" si="587"/>
        <v>-8.1397999999999998E-2</v>
      </c>
      <c r="Z297" s="674">
        <f t="shared" si="588"/>
        <v>-0.23846000000000001</v>
      </c>
      <c r="AA297" s="521">
        <f t="shared" si="588"/>
        <v>-4.4974E-2</v>
      </c>
      <c r="AB297" s="521">
        <f t="shared" si="589"/>
        <v>-7.0940000000000003E-2</v>
      </c>
      <c r="AC297" s="521">
        <f t="shared" si="589"/>
        <v>-9.485600000000001E-2</v>
      </c>
      <c r="AD297" s="521">
        <f t="shared" si="589"/>
        <v>-0.13031799999999999</v>
      </c>
      <c r="AE297" s="674">
        <f t="shared" si="590"/>
        <v>-0.341088</v>
      </c>
      <c r="AF297" s="521">
        <f t="shared" si="590"/>
        <v>-4.4396999999999999E-2</v>
      </c>
      <c r="AG297" s="521">
        <f t="shared" si="591"/>
        <v>-2.3841999999999995E-2</v>
      </c>
      <c r="AH297" s="521">
        <f t="shared" si="591"/>
        <v>-4.1122000000000006E-2</v>
      </c>
      <c r="AI297" s="521">
        <f t="shared" si="591"/>
        <v>-5.6867999999999988E-2</v>
      </c>
      <c r="AJ297" s="674">
        <f t="shared" si="592"/>
        <v>-0.16622899999999999</v>
      </c>
      <c r="AK297" s="521">
        <f t="shared" si="592"/>
        <v>-4.4899000000000001E-2</v>
      </c>
      <c r="AL297" s="521">
        <f t="shared" si="593"/>
        <v>-6.3903999999999989E-2</v>
      </c>
      <c r="AM297" s="521">
        <f t="shared" si="593"/>
        <v>-0.23049800000000004</v>
      </c>
      <c r="AN297" s="521">
        <f t="shared" si="593"/>
        <v>-0.105022</v>
      </c>
      <c r="AO297" s="674">
        <f t="shared" si="594"/>
        <v>-0.44432300000000002</v>
      </c>
      <c r="AP297" s="521">
        <f t="shared" si="594"/>
        <v>-7.7311000000000005E-2</v>
      </c>
      <c r="AQ297" s="521">
        <f t="shared" si="595"/>
        <v>-4.972E-2</v>
      </c>
      <c r="AR297" s="521">
        <f t="shared" si="595"/>
        <v>-5.5584999999999996E-2</v>
      </c>
      <c r="AS297" s="521">
        <f t="shared" si="595"/>
        <v>-1.8381000000000008E-2</v>
      </c>
      <c r="AT297" s="674">
        <f t="shared" si="596"/>
        <v>-0.20099700000000001</v>
      </c>
      <c r="AU297" s="521">
        <f t="shared" si="596"/>
        <v>-9.0460000000000002E-3</v>
      </c>
      <c r="AV297" s="521">
        <f t="shared" si="597"/>
        <v>-2.0228999999999997E-2</v>
      </c>
      <c r="AW297" s="521">
        <f t="shared" si="597"/>
        <v>-2.3453999999999999E-2</v>
      </c>
      <c r="AX297" s="521">
        <f t="shared" si="597"/>
        <v>-8.2710000000000006E-3</v>
      </c>
      <c r="AY297" s="674">
        <f t="shared" si="598"/>
        <v>-6.0999999999999999E-2</v>
      </c>
      <c r="AZ297" s="521">
        <f t="shared" si="598"/>
        <v>-1.4E-2</v>
      </c>
      <c r="BA297" s="521">
        <f t="shared" si="599"/>
        <v>-6.0000000000000001E-3</v>
      </c>
      <c r="BB297" s="521">
        <f t="shared" si="599"/>
        <v>-0.112</v>
      </c>
      <c r="BC297" s="521">
        <f t="shared" si="599"/>
        <v>-8.0000000000000071E-3</v>
      </c>
      <c r="BD297" s="674">
        <f t="shared" si="600"/>
        <v>-0.14000000000000001</v>
      </c>
      <c r="BE297" s="521">
        <f t="shared" si="600"/>
        <v>-2E-3</v>
      </c>
      <c r="BF297" s="521">
        <f t="shared" si="601"/>
        <v>-8.1000000000000003E-2</v>
      </c>
      <c r="BG297" s="521">
        <f t="shared" si="601"/>
        <v>-5.6000000000000008E-2</v>
      </c>
      <c r="BH297" s="521">
        <f t="shared" si="601"/>
        <v>-1.3999999999999985E-2</v>
      </c>
      <c r="BI297" s="674">
        <f>BI291</f>
        <v>-0.153</v>
      </c>
      <c r="BJ297" s="521">
        <f t="shared" ref="BJ297" si="605">BJ291</f>
        <v>-1.7000000000000001E-2</v>
      </c>
      <c r="BK297" s="521">
        <f t="shared" si="603"/>
        <v>-1.6E-2</v>
      </c>
      <c r="BL297" s="522">
        <f t="shared" si="603"/>
        <v>0</v>
      </c>
      <c r="BM297" s="521"/>
      <c r="BN297" s="674"/>
      <c r="BO297" s="521"/>
      <c r="BP297" s="521"/>
      <c r="BQ297" s="521"/>
      <c r="BR297" s="521"/>
      <c r="BS297" s="674"/>
      <c r="BT297" s="674"/>
      <c r="BU297" s="674"/>
      <c r="BV297" s="674"/>
      <c r="BW297" s="519"/>
    </row>
    <row r="298" spans="1:75" s="439" customFormat="1" ht="15" hidden="1" customHeight="1" outlineLevel="1" collapsed="1">
      <c r="A298" s="31" t="s">
        <v>337</v>
      </c>
      <c r="B298" s="53"/>
      <c r="C298" s="89"/>
      <c r="D298" s="89"/>
      <c r="E298" s="89"/>
      <c r="F298" s="89">
        <f t="shared" ref="F298:AK298" si="606">SUM(F294:F297)</f>
        <v>10.113175999999999</v>
      </c>
      <c r="G298" s="518">
        <f t="shared" si="606"/>
        <v>11.429573</v>
      </c>
      <c r="H298" s="518">
        <f t="shared" si="606"/>
        <v>11.630160999999998</v>
      </c>
      <c r="I298" s="518">
        <f t="shared" si="606"/>
        <v>11.454657999999997</v>
      </c>
      <c r="J298" s="518">
        <f t="shared" si="606"/>
        <v>11.101165999999997</v>
      </c>
      <c r="K298" s="89">
        <f t="shared" si="606"/>
        <v>11.101165999999999</v>
      </c>
      <c r="L298" s="518">
        <f t="shared" si="606"/>
        <v>10.397870999999999</v>
      </c>
      <c r="M298" s="518">
        <f t="shared" si="606"/>
        <v>9.9114709999999988</v>
      </c>
      <c r="N298" s="518">
        <f t="shared" si="606"/>
        <v>9.3011229999999987</v>
      </c>
      <c r="O298" s="518">
        <f t="shared" si="606"/>
        <v>9.0379349999999992</v>
      </c>
      <c r="P298" s="89">
        <f t="shared" si="606"/>
        <v>9.0379349999999992</v>
      </c>
      <c r="Q298" s="518">
        <f t="shared" si="606"/>
        <v>8.9213210000000007</v>
      </c>
      <c r="R298" s="518">
        <f t="shared" si="606"/>
        <v>8.5623800000000028</v>
      </c>
      <c r="S298" s="518">
        <f t="shared" si="606"/>
        <v>8.4252260000000021</v>
      </c>
      <c r="T298" s="518">
        <f t="shared" si="606"/>
        <v>8.2063560000000013</v>
      </c>
      <c r="U298" s="89">
        <f t="shared" si="606"/>
        <v>8.2063559999999978</v>
      </c>
      <c r="V298" s="518">
        <f t="shared" si="606"/>
        <v>8.8559649999999994</v>
      </c>
      <c r="W298" s="518">
        <f t="shared" si="606"/>
        <v>8.9529359999999993</v>
      </c>
      <c r="X298" s="518">
        <f t="shared" si="606"/>
        <v>8.4092099999999981</v>
      </c>
      <c r="Y298" s="518">
        <f t="shared" si="606"/>
        <v>8.0189409999999981</v>
      </c>
      <c r="Z298" s="89">
        <f t="shared" si="606"/>
        <v>8.0189409999999981</v>
      </c>
      <c r="AA298" s="518">
        <f t="shared" si="606"/>
        <v>8.5976639999999982</v>
      </c>
      <c r="AB298" s="518">
        <f t="shared" si="606"/>
        <v>8.0342339999999979</v>
      </c>
      <c r="AC298" s="518">
        <f t="shared" si="606"/>
        <v>7.5129109999999981</v>
      </c>
      <c r="AD298" s="518">
        <f t="shared" si="606"/>
        <v>7.0789319999999982</v>
      </c>
      <c r="AE298" s="89">
        <f t="shared" si="606"/>
        <v>7.0789319999999973</v>
      </c>
      <c r="AF298" s="518">
        <f t="shared" si="606"/>
        <v>7.3923479999999966</v>
      </c>
      <c r="AG298" s="518">
        <f t="shared" si="606"/>
        <v>7.1908879999999966</v>
      </c>
      <c r="AH298" s="518">
        <f t="shared" si="606"/>
        <v>6.9174349999999976</v>
      </c>
      <c r="AI298" s="518">
        <f t="shared" si="606"/>
        <v>6.8186819999999981</v>
      </c>
      <c r="AJ298" s="89">
        <f t="shared" si="606"/>
        <v>6.8186819999999972</v>
      </c>
      <c r="AK298" s="518">
        <f t="shared" si="606"/>
        <v>7.3851509999999978</v>
      </c>
      <c r="AL298" s="518">
        <f t="shared" ref="AL298:BI298" si="607">SUM(AL294:AL297)</f>
        <v>7.1980729999999982</v>
      </c>
      <c r="AM298" s="518">
        <f t="shared" si="607"/>
        <v>6.7422109999999984</v>
      </c>
      <c r="AN298" s="518">
        <f t="shared" si="607"/>
        <v>6.2103849999999987</v>
      </c>
      <c r="AO298" s="89">
        <f t="shared" si="607"/>
        <v>6.2103849999999978</v>
      </c>
      <c r="AP298" s="518">
        <f t="shared" si="607"/>
        <v>6.0187269999999984</v>
      </c>
      <c r="AQ298" s="518">
        <f t="shared" si="607"/>
        <v>5.9474969999999985</v>
      </c>
      <c r="AR298" s="518">
        <f t="shared" si="607"/>
        <v>5.8888809999999987</v>
      </c>
      <c r="AS298" s="518">
        <f t="shared" si="607"/>
        <v>4.6228279999999984</v>
      </c>
      <c r="AT298" s="89">
        <f t="shared" si="607"/>
        <v>4.6228279999999975</v>
      </c>
      <c r="AU298" s="518">
        <f t="shared" si="607"/>
        <v>4.0885879999999979</v>
      </c>
      <c r="AV298" s="518">
        <f t="shared" si="607"/>
        <v>4.1086299999999989</v>
      </c>
      <c r="AW298" s="518">
        <f t="shared" si="607"/>
        <v>4.0165499999999987</v>
      </c>
      <c r="AX298" s="518">
        <f t="shared" si="607"/>
        <v>3.9788279999999987</v>
      </c>
      <c r="AY298" s="89">
        <f t="shared" si="607"/>
        <v>3.9788279999999974</v>
      </c>
      <c r="AZ298" s="518">
        <f t="shared" si="607"/>
        <v>3.9378279999999974</v>
      </c>
      <c r="BA298" s="518">
        <f t="shared" si="607"/>
        <v>3.8808279999999975</v>
      </c>
      <c r="BB298" s="518">
        <f t="shared" si="607"/>
        <v>3.5748279999999975</v>
      </c>
      <c r="BC298" s="518">
        <f t="shared" si="607"/>
        <v>3.5428279999999974</v>
      </c>
      <c r="BD298" s="89">
        <f t="shared" si="607"/>
        <v>3.542827999999997</v>
      </c>
      <c r="BE298" s="518">
        <f t="shared" si="607"/>
        <v>2.8558279999999971</v>
      </c>
      <c r="BF298" s="518">
        <f t="shared" si="607"/>
        <v>2.7438279999999975</v>
      </c>
      <c r="BG298" s="518">
        <f t="shared" si="607"/>
        <v>2.6188279999999975</v>
      </c>
      <c r="BH298" s="518">
        <f t="shared" si="607"/>
        <v>2.5428279999999979</v>
      </c>
      <c r="BI298" s="89">
        <f t="shared" si="607"/>
        <v>2.542827999999997</v>
      </c>
      <c r="BJ298" s="518">
        <f t="shared" ref="BJ298:BL298" si="608">SUM(BJ294:BJ297)</f>
        <v>2.5088279999999972</v>
      </c>
      <c r="BK298" s="518">
        <f t="shared" si="608"/>
        <v>2.4728279999999971</v>
      </c>
      <c r="BL298" s="520">
        <f t="shared" si="608"/>
        <v>2.4728279999999971</v>
      </c>
      <c r="BM298" s="518"/>
      <c r="BN298" s="89"/>
      <c r="BO298" s="518"/>
      <c r="BP298" s="518"/>
      <c r="BQ298" s="518"/>
      <c r="BR298" s="518"/>
      <c r="BS298" s="89"/>
      <c r="BT298" s="89"/>
      <c r="BU298" s="89"/>
      <c r="BV298" s="89"/>
      <c r="BW298" s="519"/>
    </row>
    <row r="299" spans="1:75" s="467" customFormat="1" ht="15" hidden="1" customHeight="1" outlineLevel="2">
      <c r="A299" s="130"/>
      <c r="B299" s="323"/>
      <c r="C299" s="738"/>
      <c r="D299" s="738"/>
      <c r="E299" s="738"/>
      <c r="F299" s="738"/>
      <c r="G299" s="324"/>
      <c r="H299" s="324"/>
      <c r="I299" s="324"/>
      <c r="J299" s="324"/>
      <c r="K299" s="738"/>
      <c r="L299" s="324"/>
      <c r="M299" s="324"/>
      <c r="N299" s="324"/>
      <c r="O299" s="324"/>
      <c r="P299" s="738"/>
      <c r="Q299" s="324"/>
      <c r="R299" s="324"/>
      <c r="S299" s="324"/>
      <c r="T299" s="324"/>
      <c r="U299" s="738"/>
      <c r="V299" s="324"/>
      <c r="W299" s="324"/>
      <c r="X299" s="324"/>
      <c r="Y299" s="324"/>
      <c r="Z299" s="738"/>
      <c r="AA299" s="324"/>
      <c r="AB299" s="324"/>
      <c r="AC299" s="324"/>
      <c r="AD299" s="324"/>
      <c r="AE299" s="738"/>
      <c r="AF299" s="324"/>
      <c r="AG299" s="324"/>
      <c r="AH299" s="324"/>
      <c r="AI299" s="324"/>
      <c r="AJ299" s="738"/>
      <c r="AK299" s="324"/>
      <c r="AL299" s="324"/>
      <c r="AM299" s="324"/>
      <c r="AN299" s="324"/>
      <c r="AO299" s="738"/>
      <c r="AP299" s="324"/>
      <c r="AQ299" s="324"/>
      <c r="AR299" s="324"/>
      <c r="AS299" s="324"/>
      <c r="AT299" s="738"/>
      <c r="AU299" s="324"/>
      <c r="AV299" s="324"/>
      <c r="AW299" s="324"/>
      <c r="AX299" s="324"/>
      <c r="AY299" s="738"/>
      <c r="AZ299" s="324"/>
      <c r="BA299" s="324"/>
      <c r="BB299" s="324"/>
      <c r="BC299" s="324"/>
      <c r="BD299" s="738"/>
      <c r="BE299" s="324"/>
      <c r="BF299" s="324"/>
      <c r="BG299" s="324"/>
      <c r="BH299" s="324"/>
      <c r="BI299" s="738"/>
      <c r="BJ299" s="324"/>
      <c r="BK299" s="324"/>
      <c r="BL299" s="406"/>
      <c r="BM299" s="324"/>
      <c r="BN299" s="738"/>
      <c r="BO299" s="324"/>
      <c r="BP299" s="324"/>
      <c r="BQ299" s="324"/>
      <c r="BR299" s="324"/>
      <c r="BS299" s="738"/>
      <c r="BT299" s="738"/>
      <c r="BU299" s="738"/>
      <c r="BV299" s="738"/>
      <c r="BW299" s="295"/>
    </row>
    <row r="300" spans="1:75" s="469" customFormat="1" ht="15" hidden="1" customHeight="1" outlineLevel="2">
      <c r="A300" s="332" t="s">
        <v>338</v>
      </c>
      <c r="B300" s="336"/>
      <c r="C300" s="740"/>
      <c r="D300" s="740"/>
      <c r="E300" s="740"/>
      <c r="F300" s="741">
        <v>5.48</v>
      </c>
      <c r="G300" s="634">
        <v>10</v>
      </c>
      <c r="H300" s="634">
        <v>10</v>
      </c>
      <c r="I300" s="634">
        <v>10</v>
      </c>
      <c r="J300" s="337">
        <f>K300</f>
        <v>10</v>
      </c>
      <c r="K300" s="741">
        <v>10</v>
      </c>
      <c r="L300" s="634">
        <v>18.239999999999998</v>
      </c>
      <c r="M300" s="634">
        <v>18.239999999999998</v>
      </c>
      <c r="N300" s="634">
        <v>18.239999999999998</v>
      </c>
      <c r="O300" s="337">
        <f>P300</f>
        <v>18.239999999999998</v>
      </c>
      <c r="P300" s="741">
        <v>18.239999999999998</v>
      </c>
      <c r="Q300" s="634">
        <v>19.64</v>
      </c>
      <c r="R300" s="634">
        <v>19.64</v>
      </c>
      <c r="S300" s="634">
        <v>19.64</v>
      </c>
      <c r="T300" s="337">
        <f>U300</f>
        <v>19.64</v>
      </c>
      <c r="U300" s="741">
        <v>19.64</v>
      </c>
      <c r="V300" s="634">
        <v>20.93</v>
      </c>
      <c r="W300" s="634">
        <v>20.93</v>
      </c>
      <c r="X300" s="634">
        <v>20.93</v>
      </c>
      <c r="Y300" s="337">
        <f>Z300</f>
        <v>20.93</v>
      </c>
      <c r="Z300" s="741">
        <v>20.93</v>
      </c>
      <c r="AA300" s="634">
        <v>21.71</v>
      </c>
      <c r="AB300" s="634">
        <v>21.71</v>
      </c>
      <c r="AC300" s="634">
        <v>21.71</v>
      </c>
      <c r="AD300" s="337">
        <f>AE300</f>
        <v>21.71</v>
      </c>
      <c r="AE300" s="741">
        <v>21.71</v>
      </c>
      <c r="AF300" s="634">
        <v>22.7</v>
      </c>
      <c r="AG300" s="634">
        <v>22.7</v>
      </c>
      <c r="AH300" s="634">
        <v>22.7</v>
      </c>
      <c r="AI300" s="337">
        <f>AJ300</f>
        <v>22.7</v>
      </c>
      <c r="AJ300" s="741">
        <v>22.7</v>
      </c>
      <c r="AK300" s="634">
        <v>24.54</v>
      </c>
      <c r="AL300" s="634">
        <v>24.54</v>
      </c>
      <c r="AM300" s="634">
        <v>24.54</v>
      </c>
      <c r="AN300" s="337">
        <f>AO300</f>
        <v>24.54</v>
      </c>
      <c r="AO300" s="741">
        <v>24.54</v>
      </c>
      <c r="AP300" s="634">
        <v>25.1</v>
      </c>
      <c r="AQ300" s="634">
        <v>25.1</v>
      </c>
      <c r="AR300" s="634">
        <v>25.1</v>
      </c>
      <c r="AS300" s="337">
        <f>AT300</f>
        <v>25.1</v>
      </c>
      <c r="AT300" s="741">
        <v>25.1</v>
      </c>
      <c r="AU300" s="634">
        <v>29.89</v>
      </c>
      <c r="AV300" s="634">
        <v>29.89</v>
      </c>
      <c r="AW300" s="634">
        <v>29.89</v>
      </c>
      <c r="AX300" s="337">
        <f>AY300</f>
        <v>29.89</v>
      </c>
      <c r="AY300" s="741">
        <v>29.89</v>
      </c>
      <c r="AZ300" s="634">
        <v>32.590000000000003</v>
      </c>
      <c r="BA300" s="634">
        <v>32.590000000000003</v>
      </c>
      <c r="BB300" s="634">
        <v>32.590000000000003</v>
      </c>
      <c r="BC300" s="337">
        <f>BD300</f>
        <v>32.590000000000003</v>
      </c>
      <c r="BD300" s="741">
        <v>32.590000000000003</v>
      </c>
      <c r="BE300" s="634">
        <v>32.81</v>
      </c>
      <c r="BF300" s="634">
        <v>32.81</v>
      </c>
      <c r="BG300" s="337">
        <f>BD304</f>
        <v>32.81</v>
      </c>
      <c r="BH300" s="337">
        <f>BI300</f>
        <v>32.81</v>
      </c>
      <c r="BI300" s="741">
        <v>32.81</v>
      </c>
      <c r="BJ300" s="337">
        <f>BI304</f>
        <v>34.94</v>
      </c>
      <c r="BK300" s="337">
        <f>BJ300</f>
        <v>34.94</v>
      </c>
      <c r="BL300" s="407">
        <f>BI304</f>
        <v>34.94</v>
      </c>
      <c r="BM300" s="337"/>
      <c r="BN300" s="740"/>
      <c r="BO300" s="337"/>
      <c r="BP300" s="337"/>
      <c r="BQ300" s="337"/>
      <c r="BR300" s="337"/>
      <c r="BS300" s="740"/>
      <c r="BT300" s="740"/>
      <c r="BU300" s="740"/>
      <c r="BV300" s="740"/>
      <c r="BW300" s="338"/>
    </row>
    <row r="301" spans="1:75" s="469" customFormat="1" ht="15" hidden="1" customHeight="1" outlineLevel="2">
      <c r="A301" s="333" t="s">
        <v>339</v>
      </c>
      <c r="B301" s="336"/>
      <c r="C301" s="740"/>
      <c r="D301" s="740"/>
      <c r="E301" s="740"/>
      <c r="F301" s="741">
        <v>19.760000000000002</v>
      </c>
      <c r="G301" s="634">
        <v>21.45</v>
      </c>
      <c r="H301" s="634">
        <v>24.24</v>
      </c>
      <c r="I301" s="634">
        <v>28.06</v>
      </c>
      <c r="J301" s="337">
        <f>K301</f>
        <v>29.72</v>
      </c>
      <c r="K301" s="741">
        <v>29.72</v>
      </c>
      <c r="L301" s="634">
        <v>83.63</v>
      </c>
      <c r="M301" s="634">
        <v>81.25</v>
      </c>
      <c r="N301" s="634">
        <v>80.67</v>
      </c>
      <c r="O301" s="337">
        <f>P301</f>
        <v>75.58</v>
      </c>
      <c r="P301" s="741">
        <v>75.58</v>
      </c>
      <c r="Q301" s="634">
        <v>53.74</v>
      </c>
      <c r="R301" s="634">
        <v>52.09</v>
      </c>
      <c r="S301" s="634">
        <v>50.3</v>
      </c>
      <c r="T301" s="337">
        <f>U301</f>
        <v>45.4</v>
      </c>
      <c r="U301" s="741">
        <v>45.4</v>
      </c>
      <c r="V301" s="634">
        <v>22.32</v>
      </c>
      <c r="W301" s="634">
        <v>21.94</v>
      </c>
      <c r="X301" s="634">
        <v>22.3</v>
      </c>
      <c r="Y301" s="337">
        <f>Z301</f>
        <v>23.58</v>
      </c>
      <c r="Z301" s="741">
        <v>23.58</v>
      </c>
      <c r="AA301" s="634">
        <v>35</v>
      </c>
      <c r="AB301" s="634">
        <v>34.97</v>
      </c>
      <c r="AC301" s="634">
        <v>34.6</v>
      </c>
      <c r="AD301" s="337">
        <f>AE301</f>
        <v>34.6</v>
      </c>
      <c r="AE301" s="741">
        <v>34.6</v>
      </c>
      <c r="AF301" s="634">
        <v>43.58</v>
      </c>
      <c r="AG301" s="634">
        <v>43.55</v>
      </c>
      <c r="AH301" s="634">
        <v>43.52</v>
      </c>
      <c r="AI301" s="337">
        <f>AJ301</f>
        <v>43.52</v>
      </c>
      <c r="AJ301" s="741">
        <v>43.52</v>
      </c>
      <c r="AK301" s="634">
        <v>36.06</v>
      </c>
      <c r="AL301" s="634">
        <v>36.06</v>
      </c>
      <c r="AM301" s="634">
        <v>36.06</v>
      </c>
      <c r="AN301" s="337">
        <f>AO301</f>
        <v>36.06</v>
      </c>
      <c r="AO301" s="741">
        <v>36.06</v>
      </c>
      <c r="AP301" s="634">
        <v>28.94</v>
      </c>
      <c r="AQ301" s="634">
        <v>28.94</v>
      </c>
      <c r="AR301" s="634">
        <v>31.42</v>
      </c>
      <c r="AS301" s="337">
        <f>AT301</f>
        <v>31.21</v>
      </c>
      <c r="AT301" s="741">
        <v>31.21</v>
      </c>
      <c r="AU301" s="337"/>
      <c r="AV301" s="634">
        <v>39.17</v>
      </c>
      <c r="AW301" s="634">
        <v>39.17</v>
      </c>
      <c r="AX301" s="337">
        <f>AY301</f>
        <v>39.17</v>
      </c>
      <c r="AY301" s="741">
        <v>39.17</v>
      </c>
      <c r="AZ301" s="337"/>
      <c r="BA301" s="634">
        <v>31.42</v>
      </c>
      <c r="BB301" s="634">
        <v>31.42</v>
      </c>
      <c r="BC301" s="337">
        <f>BD301</f>
        <v>31.42</v>
      </c>
      <c r="BD301" s="741">
        <v>31.42</v>
      </c>
      <c r="BE301" s="337"/>
      <c r="BF301" s="337"/>
      <c r="BG301" s="337"/>
      <c r="BH301" s="337"/>
      <c r="BI301" s="740"/>
      <c r="BJ301" s="337"/>
      <c r="BK301" s="337"/>
      <c r="BL301" s="407"/>
      <c r="BM301" s="337"/>
      <c r="BN301" s="740"/>
      <c r="BO301" s="337"/>
      <c r="BP301" s="337"/>
      <c r="BQ301" s="337"/>
      <c r="BR301" s="337"/>
      <c r="BS301" s="740"/>
      <c r="BT301" s="740"/>
      <c r="BU301" s="740"/>
      <c r="BV301" s="740"/>
      <c r="BW301" s="338"/>
    </row>
    <row r="302" spans="1:75" s="469" customFormat="1" ht="15" hidden="1" customHeight="1" outlineLevel="2">
      <c r="A302" s="333" t="s">
        <v>340</v>
      </c>
      <c r="B302" s="336"/>
      <c r="C302" s="740"/>
      <c r="D302" s="740"/>
      <c r="E302" s="740"/>
      <c r="F302" s="741">
        <v>2.29</v>
      </c>
      <c r="G302" s="634">
        <v>2.12</v>
      </c>
      <c r="H302" s="634">
        <v>3.02</v>
      </c>
      <c r="I302" s="634">
        <v>4.38</v>
      </c>
      <c r="J302" s="337">
        <f>K302</f>
        <v>5.12</v>
      </c>
      <c r="K302" s="741">
        <v>5.12</v>
      </c>
      <c r="L302" s="634">
        <v>10.24</v>
      </c>
      <c r="M302" s="634">
        <v>11.34</v>
      </c>
      <c r="N302" s="634">
        <v>12.12</v>
      </c>
      <c r="O302" s="337">
        <f>P302</f>
        <v>11.99</v>
      </c>
      <c r="P302" s="741">
        <v>11.99</v>
      </c>
      <c r="Q302" s="634">
        <v>12.31</v>
      </c>
      <c r="R302" s="634">
        <v>13.79</v>
      </c>
      <c r="S302" s="634">
        <v>13.58</v>
      </c>
      <c r="T302" s="337">
        <f>U302</f>
        <v>13.13</v>
      </c>
      <c r="U302" s="741">
        <v>13.13</v>
      </c>
      <c r="V302" s="634">
        <v>8.17</v>
      </c>
      <c r="W302" s="634">
        <v>9.89</v>
      </c>
      <c r="X302" s="634">
        <v>15.19</v>
      </c>
      <c r="Y302" s="337">
        <f>Z302</f>
        <v>15.95</v>
      </c>
      <c r="Z302" s="741">
        <v>15.95</v>
      </c>
      <c r="AA302" s="634">
        <v>15.29</v>
      </c>
      <c r="AB302" s="634">
        <v>19.36</v>
      </c>
      <c r="AC302" s="634">
        <v>19.850000000000001</v>
      </c>
      <c r="AD302" s="337">
        <f>AE302</f>
        <v>19.739999999999998</v>
      </c>
      <c r="AE302" s="741">
        <v>19.739999999999998</v>
      </c>
      <c r="AF302" s="634">
        <v>18.13</v>
      </c>
      <c r="AG302" s="634">
        <v>18.170000000000002</v>
      </c>
      <c r="AH302" s="634">
        <v>19.91</v>
      </c>
      <c r="AI302" s="337">
        <f>AJ302</f>
        <v>19.97</v>
      </c>
      <c r="AJ302" s="741">
        <v>19.97</v>
      </c>
      <c r="AK302" s="634">
        <v>22.54</v>
      </c>
      <c r="AL302" s="634">
        <v>21.08</v>
      </c>
      <c r="AM302" s="634">
        <v>20.74</v>
      </c>
      <c r="AN302" s="337">
        <f>AO302</f>
        <v>21.18</v>
      </c>
      <c r="AO302" s="741">
        <v>21.18</v>
      </c>
      <c r="AP302" s="634">
        <v>12.87</v>
      </c>
      <c r="AQ302" s="634">
        <v>12.56</v>
      </c>
      <c r="AR302" s="634">
        <v>12.64</v>
      </c>
      <c r="AS302" s="337">
        <f>AT302</f>
        <v>8.5299999999999994</v>
      </c>
      <c r="AT302" s="741">
        <v>8.5299999999999994</v>
      </c>
      <c r="AU302" s="634">
        <v>11.52</v>
      </c>
      <c r="AV302" s="634">
        <v>12.24</v>
      </c>
      <c r="AW302" s="634">
        <v>12.84</v>
      </c>
      <c r="AX302" s="337">
        <f>AY302</f>
        <v>13.04</v>
      </c>
      <c r="AY302" s="741">
        <v>13.04</v>
      </c>
      <c r="AZ302" s="634">
        <v>22.45</v>
      </c>
      <c r="BA302" s="634">
        <v>21.8</v>
      </c>
      <c r="BB302" s="634">
        <v>25.08</v>
      </c>
      <c r="BC302" s="337">
        <f>BD302</f>
        <v>24.66</v>
      </c>
      <c r="BD302" s="741">
        <v>24.66</v>
      </c>
      <c r="BE302" s="634">
        <v>21.31</v>
      </c>
      <c r="BF302" s="634">
        <v>21.73</v>
      </c>
      <c r="BG302" s="634">
        <v>22.9</v>
      </c>
      <c r="BH302" s="337">
        <f>BI302</f>
        <v>23.94</v>
      </c>
      <c r="BI302" s="741">
        <v>23.94</v>
      </c>
      <c r="BJ302" s="634">
        <v>31.75</v>
      </c>
      <c r="BK302" s="634">
        <v>33.44</v>
      </c>
      <c r="BL302" s="635">
        <v>33.44</v>
      </c>
      <c r="BM302" s="337"/>
      <c r="BN302" s="740"/>
      <c r="BO302" s="337"/>
      <c r="BP302" s="337"/>
      <c r="BQ302" s="337"/>
      <c r="BR302" s="337"/>
      <c r="BS302" s="740"/>
      <c r="BT302" s="740"/>
      <c r="BU302" s="740"/>
      <c r="BV302" s="740"/>
      <c r="BW302" s="338"/>
    </row>
    <row r="303" spans="1:75" s="469" customFormat="1" ht="15" hidden="1" customHeight="1" outlineLevel="2">
      <c r="A303" s="334" t="s">
        <v>341</v>
      </c>
      <c r="B303" s="339"/>
      <c r="C303" s="742"/>
      <c r="D303" s="742"/>
      <c r="E303" s="742"/>
      <c r="F303" s="743">
        <v>12.45</v>
      </c>
      <c r="G303" s="636">
        <v>17.91</v>
      </c>
      <c r="H303" s="636">
        <v>19</v>
      </c>
      <c r="I303" s="636">
        <v>19.7</v>
      </c>
      <c r="J303" s="340">
        <f>K303</f>
        <v>21.03</v>
      </c>
      <c r="K303" s="743">
        <v>21.03</v>
      </c>
      <c r="L303" s="636">
        <v>33.880000000000003</v>
      </c>
      <c r="M303" s="636">
        <v>32.979999999999997</v>
      </c>
      <c r="N303" s="636">
        <v>34.06</v>
      </c>
      <c r="O303" s="340">
        <f>P303</f>
        <v>35.049999999999997</v>
      </c>
      <c r="P303" s="743">
        <v>35.049999999999997</v>
      </c>
      <c r="Q303" s="636">
        <v>37.340000000000003</v>
      </c>
      <c r="R303" s="636">
        <v>40.619999999999997</v>
      </c>
      <c r="S303" s="636">
        <v>40.69</v>
      </c>
      <c r="T303" s="340">
        <f>U303</f>
        <v>40.090000000000003</v>
      </c>
      <c r="U303" s="743">
        <v>40.090000000000003</v>
      </c>
      <c r="V303" s="636">
        <v>38.729999999999997</v>
      </c>
      <c r="W303" s="636">
        <v>38.659999999999997</v>
      </c>
      <c r="X303" s="636">
        <v>40.25</v>
      </c>
      <c r="Y303" s="340">
        <f>Z303</f>
        <v>36.590000000000003</v>
      </c>
      <c r="Z303" s="743">
        <v>36.590000000000003</v>
      </c>
      <c r="AA303" s="636">
        <v>51.87</v>
      </c>
      <c r="AB303" s="636">
        <v>48.6</v>
      </c>
      <c r="AC303" s="636">
        <v>47.08</v>
      </c>
      <c r="AD303" s="340">
        <f>AE303</f>
        <v>44.78</v>
      </c>
      <c r="AE303" s="743">
        <v>44.78</v>
      </c>
      <c r="AF303" s="636">
        <v>49.2</v>
      </c>
      <c r="AG303" s="636">
        <v>51.31</v>
      </c>
      <c r="AH303" s="636">
        <v>48.85</v>
      </c>
      <c r="AI303" s="340">
        <f>AJ303</f>
        <v>46.09</v>
      </c>
      <c r="AJ303" s="743">
        <v>46.09</v>
      </c>
      <c r="AK303" s="636">
        <v>47.39</v>
      </c>
      <c r="AL303" s="636">
        <v>47.03</v>
      </c>
      <c r="AM303" s="636">
        <v>40.880000000000003</v>
      </c>
      <c r="AN303" s="340">
        <f>AO303</f>
        <v>40.57</v>
      </c>
      <c r="AO303" s="743">
        <v>40.57</v>
      </c>
      <c r="AP303" s="636">
        <v>46.89</v>
      </c>
      <c r="AQ303" s="636">
        <v>48.8</v>
      </c>
      <c r="AR303" s="636">
        <v>47.34</v>
      </c>
      <c r="AS303" s="340">
        <f>AT303</f>
        <v>47.24</v>
      </c>
      <c r="AT303" s="743">
        <v>47.24</v>
      </c>
      <c r="AU303" s="636">
        <v>52.14</v>
      </c>
      <c r="AV303" s="636">
        <v>49.09</v>
      </c>
      <c r="AW303" s="636">
        <v>47.86</v>
      </c>
      <c r="AX303" s="340">
        <f>AY303</f>
        <v>48.92</v>
      </c>
      <c r="AY303" s="743">
        <v>48.92</v>
      </c>
      <c r="AZ303" s="636">
        <v>11.68</v>
      </c>
      <c r="BA303" s="636">
        <v>36.86</v>
      </c>
      <c r="BB303" s="636">
        <v>45.43</v>
      </c>
      <c r="BC303" s="340">
        <f>BD303</f>
        <v>44.49</v>
      </c>
      <c r="BD303" s="743">
        <v>44.49</v>
      </c>
      <c r="BE303" s="636">
        <v>21.72</v>
      </c>
      <c r="BF303" s="636">
        <v>34.56</v>
      </c>
      <c r="BG303" s="636">
        <v>44.28</v>
      </c>
      <c r="BH303" s="340">
        <f>BI303</f>
        <v>46.39</v>
      </c>
      <c r="BI303" s="743">
        <v>46.39</v>
      </c>
      <c r="BJ303" s="636">
        <v>72.569999999999993</v>
      </c>
      <c r="BK303" s="636">
        <v>64.91</v>
      </c>
      <c r="BL303" s="637">
        <v>64.91</v>
      </c>
      <c r="BM303" s="340"/>
      <c r="BN303" s="742"/>
      <c r="BO303" s="340"/>
      <c r="BP303" s="340"/>
      <c r="BQ303" s="340"/>
      <c r="BR303" s="340"/>
      <c r="BS303" s="742"/>
      <c r="BT303" s="742"/>
      <c r="BU303" s="742"/>
      <c r="BV303" s="742"/>
      <c r="BW303" s="338"/>
    </row>
    <row r="304" spans="1:75" s="469" customFormat="1" ht="15" hidden="1" customHeight="1" outlineLevel="2">
      <c r="A304" s="332" t="s">
        <v>342</v>
      </c>
      <c r="B304" s="336"/>
      <c r="C304" s="740"/>
      <c r="D304" s="740"/>
      <c r="E304" s="740"/>
      <c r="F304" s="741">
        <v>10</v>
      </c>
      <c r="G304" s="634">
        <v>12.71</v>
      </c>
      <c r="H304" s="634">
        <v>14.85</v>
      </c>
      <c r="I304" s="634">
        <v>17.18</v>
      </c>
      <c r="J304" s="337">
        <f>K304</f>
        <v>18.239999999999998</v>
      </c>
      <c r="K304" s="741">
        <v>18.239999999999998</v>
      </c>
      <c r="L304" s="634">
        <v>19.149999999999999</v>
      </c>
      <c r="M304" s="634">
        <v>19.190000000000001</v>
      </c>
      <c r="N304" s="634">
        <v>19.21</v>
      </c>
      <c r="O304" s="337">
        <f>P304</f>
        <v>19.64</v>
      </c>
      <c r="P304" s="741">
        <v>19.64</v>
      </c>
      <c r="Q304" s="634">
        <v>20.65</v>
      </c>
      <c r="R304" s="634">
        <v>20.84</v>
      </c>
      <c r="S304" s="634">
        <v>20.9</v>
      </c>
      <c r="T304" s="337">
        <f>U304</f>
        <v>20.93</v>
      </c>
      <c r="U304" s="741">
        <v>20.93</v>
      </c>
      <c r="V304" s="634">
        <v>21.13</v>
      </c>
      <c r="W304" s="634">
        <v>21.27</v>
      </c>
      <c r="X304" s="634">
        <v>21.39</v>
      </c>
      <c r="Y304" s="337">
        <f>Z304</f>
        <v>21.71</v>
      </c>
      <c r="Z304" s="741">
        <v>21.71</v>
      </c>
      <c r="AA304" s="634">
        <v>23.01</v>
      </c>
      <c r="AB304" s="634">
        <v>22.94</v>
      </c>
      <c r="AC304" s="634">
        <v>22.88</v>
      </c>
      <c r="AD304" s="337">
        <f>AE304</f>
        <v>22.7</v>
      </c>
      <c r="AE304" s="741">
        <v>22.7</v>
      </c>
      <c r="AF304" s="634">
        <v>24.63</v>
      </c>
      <c r="AG304" s="634">
        <v>24.72</v>
      </c>
      <c r="AH304" s="634">
        <v>24.65</v>
      </c>
      <c r="AI304" s="337">
        <f>AJ304</f>
        <v>24.54</v>
      </c>
      <c r="AJ304" s="741">
        <v>24.54</v>
      </c>
      <c r="AK304" s="634">
        <v>25.48</v>
      </c>
      <c r="AL304" s="634">
        <v>25.38</v>
      </c>
      <c r="AM304" s="634">
        <v>25.11</v>
      </c>
      <c r="AN304" s="337">
        <f>AO304</f>
        <v>25.1</v>
      </c>
      <c r="AO304" s="741">
        <v>25.1</v>
      </c>
      <c r="AP304" s="634">
        <v>25.29</v>
      </c>
      <c r="AQ304" s="634">
        <v>25.12</v>
      </c>
      <c r="AR304" s="634">
        <v>25.17</v>
      </c>
      <c r="AS304" s="337">
        <f>AT304</f>
        <v>29.89</v>
      </c>
      <c r="AT304" s="741">
        <v>29.89</v>
      </c>
      <c r="AU304" s="634">
        <v>32.200000000000003</v>
      </c>
      <c r="AV304" s="634">
        <v>32.36</v>
      </c>
      <c r="AW304" s="634">
        <v>32.53</v>
      </c>
      <c r="AX304" s="337">
        <f>AY304</f>
        <v>32.590000000000003</v>
      </c>
      <c r="AY304" s="741">
        <v>32.590000000000003</v>
      </c>
      <c r="AZ304" s="634">
        <v>32.68</v>
      </c>
      <c r="BA304" s="634">
        <v>32.82</v>
      </c>
      <c r="BB304" s="634">
        <v>32.71</v>
      </c>
      <c r="BC304" s="337">
        <f>BD304</f>
        <v>32.81</v>
      </c>
      <c r="BD304" s="741">
        <v>32.81</v>
      </c>
      <c r="BE304" s="634">
        <v>35.57</v>
      </c>
      <c r="BF304" s="634">
        <v>35.64</v>
      </c>
      <c r="BG304" s="634">
        <v>35.17</v>
      </c>
      <c r="BH304" s="337">
        <f>BI304</f>
        <v>34.94</v>
      </c>
      <c r="BI304" s="741">
        <v>34.94</v>
      </c>
      <c r="BJ304" s="634">
        <v>34.71</v>
      </c>
      <c r="BK304" s="634">
        <v>34.57</v>
      </c>
      <c r="BL304" s="635">
        <v>34.57</v>
      </c>
      <c r="BM304" s="337"/>
      <c r="BN304" s="740"/>
      <c r="BO304" s="337"/>
      <c r="BP304" s="337"/>
      <c r="BQ304" s="337"/>
      <c r="BR304" s="337"/>
      <c r="BS304" s="740"/>
      <c r="BT304" s="740"/>
      <c r="BU304" s="740"/>
      <c r="BV304" s="740"/>
      <c r="BW304" s="338"/>
    </row>
    <row r="305" spans="1:75" s="469" customFormat="1" ht="15" hidden="1" customHeight="1" outlineLevel="2">
      <c r="A305" s="332"/>
      <c r="B305" s="336"/>
      <c r="C305" s="740"/>
      <c r="D305" s="740"/>
      <c r="E305" s="740"/>
      <c r="F305" s="740"/>
      <c r="G305" s="337"/>
      <c r="H305" s="337"/>
      <c r="I305" s="337"/>
      <c r="J305" s="337"/>
      <c r="K305" s="740"/>
      <c r="L305" s="337"/>
      <c r="M305" s="337"/>
      <c r="N305" s="337"/>
      <c r="O305" s="337"/>
      <c r="P305" s="740"/>
      <c r="Q305" s="337"/>
      <c r="R305" s="337"/>
      <c r="S305" s="337"/>
      <c r="T305" s="337"/>
      <c r="U305" s="740"/>
      <c r="V305" s="337"/>
      <c r="W305" s="337"/>
      <c r="X305" s="337"/>
      <c r="Y305" s="337"/>
      <c r="Z305" s="740"/>
      <c r="AA305" s="337"/>
      <c r="AB305" s="337"/>
      <c r="AC305" s="337"/>
      <c r="AD305" s="337"/>
      <c r="AE305" s="740"/>
      <c r="AF305" s="337"/>
      <c r="AG305" s="337"/>
      <c r="AH305" s="337"/>
      <c r="AI305" s="337"/>
      <c r="AJ305" s="740"/>
      <c r="AK305" s="337"/>
      <c r="AL305" s="337"/>
      <c r="AM305" s="337"/>
      <c r="AN305" s="337"/>
      <c r="AO305" s="740"/>
      <c r="AP305" s="337"/>
      <c r="AQ305" s="337"/>
      <c r="AR305" s="337"/>
      <c r="AS305" s="337"/>
      <c r="AT305" s="740"/>
      <c r="AU305" s="337"/>
      <c r="AV305" s="337"/>
      <c r="AW305" s="337"/>
      <c r="AX305" s="337"/>
      <c r="AY305" s="740"/>
      <c r="AZ305" s="337"/>
      <c r="BA305" s="337"/>
      <c r="BB305" s="337"/>
      <c r="BC305" s="337"/>
      <c r="BD305" s="740"/>
      <c r="BE305" s="337"/>
      <c r="BF305" s="337"/>
      <c r="BG305" s="337"/>
      <c r="BH305" s="337"/>
      <c r="BI305" s="740"/>
      <c r="BJ305" s="337"/>
      <c r="BK305" s="337"/>
      <c r="BL305" s="407"/>
      <c r="BM305" s="337"/>
      <c r="BN305" s="740"/>
      <c r="BO305" s="337"/>
      <c r="BP305" s="337"/>
      <c r="BQ305" s="337"/>
      <c r="BR305" s="337"/>
      <c r="BS305" s="740"/>
      <c r="BT305" s="740"/>
      <c r="BU305" s="740"/>
      <c r="BV305" s="740"/>
      <c r="BW305" s="338"/>
    </row>
    <row r="306" spans="1:75" s="469" customFormat="1" ht="15" hidden="1" customHeight="1" outlineLevel="2">
      <c r="A306" s="332" t="s">
        <v>343</v>
      </c>
      <c r="B306" s="336"/>
      <c r="C306" s="740"/>
      <c r="D306" s="740"/>
      <c r="E306" s="740"/>
      <c r="F306" s="740">
        <f t="shared" ref="F306:G310" si="609">F300</f>
        <v>5.48</v>
      </c>
      <c r="G306" s="337">
        <f t="shared" si="609"/>
        <v>10</v>
      </c>
      <c r="H306" s="337">
        <f>G310</f>
        <v>12.71</v>
      </c>
      <c r="I306" s="337">
        <f>H310</f>
        <v>14.85</v>
      </c>
      <c r="J306" s="337">
        <f>I310</f>
        <v>17.18</v>
      </c>
      <c r="K306" s="740">
        <f t="shared" ref="K306:L310" si="610">K300</f>
        <v>10</v>
      </c>
      <c r="L306" s="337">
        <f t="shared" si="610"/>
        <v>18.239999999999998</v>
      </c>
      <c r="M306" s="337">
        <f>L310</f>
        <v>19.149999999999999</v>
      </c>
      <c r="N306" s="337">
        <f>M310</f>
        <v>19.190000000000001</v>
      </c>
      <c r="O306" s="337">
        <f>N310</f>
        <v>19.21</v>
      </c>
      <c r="P306" s="740">
        <f t="shared" ref="P306:Q310" si="611">P300</f>
        <v>18.239999999999998</v>
      </c>
      <c r="Q306" s="337">
        <f t="shared" si="611"/>
        <v>19.64</v>
      </c>
      <c r="R306" s="337">
        <f>Q310</f>
        <v>20.65</v>
      </c>
      <c r="S306" s="337">
        <f>R310</f>
        <v>20.84</v>
      </c>
      <c r="T306" s="337">
        <f>S310</f>
        <v>20.9</v>
      </c>
      <c r="U306" s="740">
        <f t="shared" ref="U306:V310" si="612">U300</f>
        <v>19.64</v>
      </c>
      <c r="V306" s="337">
        <f t="shared" si="612"/>
        <v>20.93</v>
      </c>
      <c r="W306" s="337">
        <f>V310</f>
        <v>21.13</v>
      </c>
      <c r="X306" s="337">
        <f>W310</f>
        <v>21.27</v>
      </c>
      <c r="Y306" s="337">
        <f>X310</f>
        <v>21.39</v>
      </c>
      <c r="Z306" s="740">
        <f t="shared" ref="Z306:AA310" si="613">Z300</f>
        <v>20.93</v>
      </c>
      <c r="AA306" s="337">
        <f t="shared" si="613"/>
        <v>21.71</v>
      </c>
      <c r="AB306" s="337">
        <f>AA310</f>
        <v>23.01</v>
      </c>
      <c r="AC306" s="337">
        <f>AB310</f>
        <v>22.94</v>
      </c>
      <c r="AD306" s="337">
        <f>AC310</f>
        <v>22.88</v>
      </c>
      <c r="AE306" s="740">
        <f t="shared" ref="AE306:AF310" si="614">AE300</f>
        <v>21.71</v>
      </c>
      <c r="AF306" s="337">
        <f t="shared" si="614"/>
        <v>22.7</v>
      </c>
      <c r="AG306" s="337">
        <f>AF310</f>
        <v>24.63</v>
      </c>
      <c r="AH306" s="337">
        <f>AG310</f>
        <v>24.72</v>
      </c>
      <c r="AI306" s="337">
        <f>AH310</f>
        <v>24.65</v>
      </c>
      <c r="AJ306" s="740">
        <f t="shared" ref="AJ306:AK310" si="615">AJ300</f>
        <v>22.7</v>
      </c>
      <c r="AK306" s="337">
        <f t="shared" si="615"/>
        <v>24.54</v>
      </c>
      <c r="AL306" s="337">
        <f>AK310</f>
        <v>25.48</v>
      </c>
      <c r="AM306" s="337">
        <f>AL310</f>
        <v>25.38</v>
      </c>
      <c r="AN306" s="337">
        <f>AM310</f>
        <v>25.11</v>
      </c>
      <c r="AO306" s="740">
        <f t="shared" ref="AO306:AP310" si="616">AO300</f>
        <v>24.54</v>
      </c>
      <c r="AP306" s="337">
        <f t="shared" si="616"/>
        <v>25.1</v>
      </c>
      <c r="AQ306" s="337">
        <f>AP310</f>
        <v>25.29</v>
      </c>
      <c r="AR306" s="337">
        <f>AQ310</f>
        <v>25.12</v>
      </c>
      <c r="AS306" s="337">
        <f>AR310</f>
        <v>25.17</v>
      </c>
      <c r="AT306" s="740">
        <f t="shared" ref="AT306:AU310" si="617">AT300</f>
        <v>25.1</v>
      </c>
      <c r="AU306" s="337">
        <f t="shared" si="617"/>
        <v>29.89</v>
      </c>
      <c r="AV306" s="337">
        <f>AU310</f>
        <v>32.200000000000003</v>
      </c>
      <c r="AW306" s="337">
        <f>AV310</f>
        <v>32.36</v>
      </c>
      <c r="AX306" s="337">
        <f>AW310</f>
        <v>32.53</v>
      </c>
      <c r="AY306" s="740">
        <f t="shared" ref="AY306:AZ310" si="618">AY300</f>
        <v>29.89</v>
      </c>
      <c r="AZ306" s="337">
        <f t="shared" si="618"/>
        <v>32.590000000000003</v>
      </c>
      <c r="BA306" s="337">
        <f>AZ310</f>
        <v>32.68</v>
      </c>
      <c r="BB306" s="337">
        <f>BA310</f>
        <v>32.82</v>
      </c>
      <c r="BC306" s="337">
        <f>BB310</f>
        <v>32.71</v>
      </c>
      <c r="BD306" s="740">
        <f t="shared" ref="BD306:BE310" si="619">BD300</f>
        <v>32.590000000000003</v>
      </c>
      <c r="BE306" s="337">
        <f t="shared" si="619"/>
        <v>32.81</v>
      </c>
      <c r="BF306" s="337">
        <f>BE310</f>
        <v>35.57</v>
      </c>
      <c r="BG306" s="337">
        <f>BF310</f>
        <v>35.64</v>
      </c>
      <c r="BH306" s="337">
        <f>BG310</f>
        <v>35.17</v>
      </c>
      <c r="BI306" s="740">
        <f>BI300</f>
        <v>32.81</v>
      </c>
      <c r="BJ306" s="337">
        <f t="shared" ref="BJ306" si="620">BJ300</f>
        <v>34.94</v>
      </c>
      <c r="BK306" s="337">
        <f>BJ310</f>
        <v>34.71</v>
      </c>
      <c r="BL306" s="407">
        <f>BK310</f>
        <v>34.57</v>
      </c>
      <c r="BM306" s="337"/>
      <c r="BN306" s="740"/>
      <c r="BO306" s="337"/>
      <c r="BP306" s="337"/>
      <c r="BQ306" s="337"/>
      <c r="BR306" s="337"/>
      <c r="BS306" s="740"/>
      <c r="BT306" s="740"/>
      <c r="BU306" s="740"/>
      <c r="BV306" s="740"/>
      <c r="BW306" s="338"/>
    </row>
    <row r="307" spans="1:75" s="469" customFormat="1" ht="15" hidden="1" customHeight="1" outlineLevel="2">
      <c r="A307" s="333" t="s">
        <v>344</v>
      </c>
      <c r="B307" s="336"/>
      <c r="C307" s="740"/>
      <c r="D307" s="740"/>
      <c r="E307" s="740"/>
      <c r="F307" s="740">
        <f t="shared" si="609"/>
        <v>19.760000000000002</v>
      </c>
      <c r="G307" s="337">
        <f t="shared" si="609"/>
        <v>21.45</v>
      </c>
      <c r="H307" s="337">
        <f t="shared" ref="H307:J309" si="621">IFERROR((H289*H301-G289*G301)/H295,0)</f>
        <v>29.75642242203941</v>
      </c>
      <c r="I307" s="337">
        <f t="shared" si="621"/>
        <v>46.5707517953104</v>
      </c>
      <c r="J307" s="337">
        <f t="shared" si="621"/>
        <v>65.440037289862303</v>
      </c>
      <c r="K307" s="740">
        <f t="shared" si="610"/>
        <v>29.72</v>
      </c>
      <c r="L307" s="337">
        <f t="shared" si="610"/>
        <v>83.63</v>
      </c>
      <c r="M307" s="337">
        <f t="shared" ref="M307:O309" si="622">IFERROR((M289*M301-L289*L301)/M295,0)</f>
        <v>73.817252396166154</v>
      </c>
      <c r="N307" s="337">
        <f t="shared" si="622"/>
        <v>40.750533333334374</v>
      </c>
      <c r="O307" s="337">
        <f t="shared" si="622"/>
        <v>67.120358616312274</v>
      </c>
      <c r="P307" s="740">
        <f t="shared" si="611"/>
        <v>75.58</v>
      </c>
      <c r="Q307" s="337">
        <f t="shared" si="611"/>
        <v>53.74</v>
      </c>
      <c r="R307" s="337">
        <f t="shared" ref="R307:T309" si="623">IFERROR((R289*R301-Q289*Q301)/R295,0)</f>
        <v>45.536661429693652</v>
      </c>
      <c r="S307" s="337">
        <f t="shared" si="623"/>
        <v>42.432701388888837</v>
      </c>
      <c r="T307" s="337">
        <f t="shared" si="623"/>
        <v>20.855770470664126</v>
      </c>
      <c r="U307" s="740">
        <f t="shared" si="612"/>
        <v>45.4</v>
      </c>
      <c r="V307" s="337">
        <f t="shared" si="612"/>
        <v>22.32</v>
      </c>
      <c r="W307" s="337">
        <f t="shared" ref="W307:Y309" si="624">IFERROR((W289*W301-V289*V301)/W295,0)</f>
        <v>21.065772104539203</v>
      </c>
      <c r="X307" s="337">
        <f t="shared" si="624"/>
        <v>30.239641176470553</v>
      </c>
      <c r="Y307" s="337">
        <f t="shared" si="624"/>
        <v>42.01475161342178</v>
      </c>
      <c r="Z307" s="740">
        <f t="shared" si="613"/>
        <v>23.58</v>
      </c>
      <c r="AA307" s="337">
        <f t="shared" si="613"/>
        <v>35</v>
      </c>
      <c r="AB307" s="337">
        <f t="shared" ref="AB307:AD309" si="625">IFERROR((AB289*AB301-AA289*AA301)/AB295,0)</f>
        <v>32.916285714285785</v>
      </c>
      <c r="AC307" s="337">
        <f t="shared" si="625"/>
        <v>30.102650000000018</v>
      </c>
      <c r="AD307" s="337">
        <f t="shared" si="625"/>
        <v>0</v>
      </c>
      <c r="AE307" s="740">
        <f t="shared" si="614"/>
        <v>34.6</v>
      </c>
      <c r="AF307" s="337">
        <f t="shared" si="614"/>
        <v>43.58</v>
      </c>
      <c r="AG307" s="337">
        <f t="shared" ref="AG307:AI309" si="626">IFERROR((AG289*AG301-AF289*AF301)/AG295,0)</f>
        <v>41.299999999999805</v>
      </c>
      <c r="AH307" s="337">
        <f t="shared" si="626"/>
        <v>39.908318584071814</v>
      </c>
      <c r="AI307" s="337">
        <f t="shared" si="626"/>
        <v>0</v>
      </c>
      <c r="AJ307" s="740">
        <f t="shared" si="615"/>
        <v>43.52</v>
      </c>
      <c r="AK307" s="337">
        <f t="shared" si="615"/>
        <v>36.06</v>
      </c>
      <c r="AL307" s="337">
        <f t="shared" ref="AL307:AN309" si="627">IFERROR((AL289*AL301-AK289*AK301)/AL295,0)</f>
        <v>0</v>
      </c>
      <c r="AM307" s="337">
        <f t="shared" si="627"/>
        <v>0</v>
      </c>
      <c r="AN307" s="337">
        <f t="shared" si="627"/>
        <v>0</v>
      </c>
      <c r="AO307" s="740">
        <f t="shared" si="616"/>
        <v>36.06</v>
      </c>
      <c r="AP307" s="337">
        <f t="shared" si="616"/>
        <v>28.94</v>
      </c>
      <c r="AQ307" s="337">
        <f t="shared" ref="AQ307:AS309" si="628">IFERROR((AQ289*AQ301-AP289*AP301)/AQ295,0)</f>
        <v>0</v>
      </c>
      <c r="AR307" s="337">
        <f t="shared" si="628"/>
        <v>34.995333333333342</v>
      </c>
      <c r="AS307" s="337">
        <f t="shared" si="628"/>
        <v>28.546363636363626</v>
      </c>
      <c r="AT307" s="740">
        <f t="shared" si="617"/>
        <v>31.21</v>
      </c>
      <c r="AU307" s="337">
        <f t="shared" si="617"/>
        <v>0</v>
      </c>
      <c r="AV307" s="337">
        <f t="shared" ref="AV307:AX309" si="629">IFERROR((AV289*AV301-AU289*AU301)/AV295,0)</f>
        <v>39.17</v>
      </c>
      <c r="AW307" s="337">
        <f t="shared" si="629"/>
        <v>0</v>
      </c>
      <c r="AX307" s="337">
        <f t="shared" si="629"/>
        <v>0</v>
      </c>
      <c r="AY307" s="740">
        <f t="shared" si="618"/>
        <v>39.17</v>
      </c>
      <c r="AZ307" s="337">
        <f t="shared" si="618"/>
        <v>0</v>
      </c>
      <c r="BA307" s="337">
        <f t="shared" ref="BA307:BC309" si="630">IFERROR((BA289*BA301-AZ289*AZ301)/BA295,0)</f>
        <v>31.42</v>
      </c>
      <c r="BB307" s="337">
        <f t="shared" si="630"/>
        <v>0</v>
      </c>
      <c r="BC307" s="337">
        <f t="shared" si="630"/>
        <v>0</v>
      </c>
      <c r="BD307" s="740">
        <f t="shared" si="619"/>
        <v>31.42</v>
      </c>
      <c r="BE307" s="337">
        <f t="shared" si="619"/>
        <v>0</v>
      </c>
      <c r="BF307" s="337">
        <f t="shared" ref="BF307:BH309" si="631">IFERROR((BF289*BF301-BE289*BE301)/BF295,0)</f>
        <v>0</v>
      </c>
      <c r="BG307" s="337">
        <f t="shared" si="631"/>
        <v>0</v>
      </c>
      <c r="BH307" s="337">
        <f t="shared" si="631"/>
        <v>0</v>
      </c>
      <c r="BI307" s="740">
        <f>BI301</f>
        <v>0</v>
      </c>
      <c r="BJ307" s="337">
        <f t="shared" ref="BJ307" si="632">BJ301</f>
        <v>0</v>
      </c>
      <c r="BK307" s="337">
        <f t="shared" ref="BK307:BL309" si="633">IFERROR((BK289*BK301-BJ289*BJ301)/BK295,0)</f>
        <v>0</v>
      </c>
      <c r="BL307" s="407">
        <f t="shared" si="633"/>
        <v>0</v>
      </c>
      <c r="BM307" s="337"/>
      <c r="BN307" s="740"/>
      <c r="BO307" s="337"/>
      <c r="BP307" s="337"/>
      <c r="BQ307" s="337"/>
      <c r="BR307" s="337"/>
      <c r="BS307" s="740"/>
      <c r="BT307" s="740"/>
      <c r="BU307" s="740"/>
      <c r="BV307" s="740"/>
      <c r="BW307" s="338"/>
    </row>
    <row r="308" spans="1:75" s="469" customFormat="1" ht="15" hidden="1" customHeight="1" outlineLevel="2">
      <c r="A308" s="333" t="s">
        <v>345</v>
      </c>
      <c r="B308" s="336"/>
      <c r="C308" s="740"/>
      <c r="D308" s="740"/>
      <c r="E308" s="740"/>
      <c r="F308" s="740">
        <f t="shared" si="609"/>
        <v>2.29</v>
      </c>
      <c r="G308" s="337">
        <f t="shared" si="609"/>
        <v>2.12</v>
      </c>
      <c r="H308" s="337">
        <f t="shared" si="621"/>
        <v>3.9672805648337608</v>
      </c>
      <c r="I308" s="337">
        <f t="shared" si="621"/>
        <v>7.3810211673257751</v>
      </c>
      <c r="J308" s="337">
        <f t="shared" si="621"/>
        <v>8.8816414509200321</v>
      </c>
      <c r="K308" s="740">
        <f t="shared" si="610"/>
        <v>5.12</v>
      </c>
      <c r="L308" s="337">
        <f t="shared" si="610"/>
        <v>10.24</v>
      </c>
      <c r="M308" s="337">
        <f t="shared" si="622"/>
        <v>13.759532635241378</v>
      </c>
      <c r="N308" s="337">
        <f t="shared" si="622"/>
        <v>13.725522411188159</v>
      </c>
      <c r="O308" s="337">
        <f t="shared" si="622"/>
        <v>11.275740638351353</v>
      </c>
      <c r="P308" s="740">
        <f t="shared" si="611"/>
        <v>11.99</v>
      </c>
      <c r="Q308" s="337">
        <f t="shared" si="611"/>
        <v>12.31</v>
      </c>
      <c r="R308" s="337">
        <f t="shared" si="623"/>
        <v>14.986908935255119</v>
      </c>
      <c r="S308" s="337">
        <f t="shared" si="623"/>
        <v>12.391459826653017</v>
      </c>
      <c r="T308" s="337">
        <f t="shared" si="623"/>
        <v>11.528701270151444</v>
      </c>
      <c r="U308" s="740">
        <f t="shared" si="612"/>
        <v>13.13</v>
      </c>
      <c r="V308" s="337">
        <f t="shared" si="612"/>
        <v>8.17</v>
      </c>
      <c r="W308" s="337">
        <f t="shared" si="624"/>
        <v>10.903552858006606</v>
      </c>
      <c r="X308" s="337">
        <f t="shared" si="624"/>
        <v>18.467692917461473</v>
      </c>
      <c r="Y308" s="337">
        <f t="shared" si="624"/>
        <v>17.666444931595418</v>
      </c>
      <c r="Z308" s="740">
        <f t="shared" si="613"/>
        <v>15.95</v>
      </c>
      <c r="AA308" s="337">
        <f t="shared" si="613"/>
        <v>15.29</v>
      </c>
      <c r="AB308" s="337">
        <f t="shared" si="625"/>
        <v>21.092882692079094</v>
      </c>
      <c r="AC308" s="337">
        <f t="shared" si="625"/>
        <v>20.560268900047745</v>
      </c>
      <c r="AD308" s="337">
        <f t="shared" si="625"/>
        <v>19.299468947280008</v>
      </c>
      <c r="AE308" s="740">
        <f t="shared" si="614"/>
        <v>19.739999999999998</v>
      </c>
      <c r="AF308" s="337">
        <f t="shared" si="614"/>
        <v>18.13</v>
      </c>
      <c r="AG308" s="337">
        <f t="shared" si="626"/>
        <v>18.23720059174136</v>
      </c>
      <c r="AH308" s="337">
        <f t="shared" si="626"/>
        <v>23.565790588324269</v>
      </c>
      <c r="AI308" s="337">
        <f t="shared" si="626"/>
        <v>21.02716031992361</v>
      </c>
      <c r="AJ308" s="740">
        <f t="shared" si="615"/>
        <v>19.97</v>
      </c>
      <c r="AK308" s="337">
        <f t="shared" si="615"/>
        <v>22.54</v>
      </c>
      <c r="AL308" s="337">
        <f t="shared" si="627"/>
        <v>20.478073294688809</v>
      </c>
      <c r="AM308" s="337">
        <f t="shared" si="627"/>
        <v>20.477557728829808</v>
      </c>
      <c r="AN308" s="337">
        <f t="shared" si="627"/>
        <v>21.591666244927413</v>
      </c>
      <c r="AO308" s="740">
        <f t="shared" si="616"/>
        <v>21.18</v>
      </c>
      <c r="AP308" s="337">
        <f t="shared" si="616"/>
        <v>12.87</v>
      </c>
      <c r="AQ308" s="337">
        <f t="shared" si="628"/>
        <v>9.6654128312412926</v>
      </c>
      <c r="AR308" s="337">
        <f t="shared" si="628"/>
        <v>12.922219225460493</v>
      </c>
      <c r="AS308" s="337">
        <f t="shared" si="628"/>
        <v>7.5985163696314082</v>
      </c>
      <c r="AT308" s="740">
        <f t="shared" si="617"/>
        <v>8.5299999999999994</v>
      </c>
      <c r="AU308" s="337">
        <f t="shared" si="617"/>
        <v>11.52</v>
      </c>
      <c r="AV308" s="337">
        <f t="shared" si="629"/>
        <v>21.757976289360446</v>
      </c>
      <c r="AW308" s="337">
        <f t="shared" si="629"/>
        <v>17.779145513362288</v>
      </c>
      <c r="AX308" s="337">
        <f t="shared" si="629"/>
        <v>17.34239380666185</v>
      </c>
      <c r="AY308" s="740">
        <f t="shared" si="618"/>
        <v>13.04</v>
      </c>
      <c r="AZ308" s="337">
        <f t="shared" si="618"/>
        <v>22.45</v>
      </c>
      <c r="BA308" s="337">
        <f t="shared" si="630"/>
        <v>21.512295081967213</v>
      </c>
      <c r="BB308" s="337">
        <f t="shared" si="630"/>
        <v>26.567835051546385</v>
      </c>
      <c r="BC308" s="337">
        <f t="shared" si="630"/>
        <v>19.725000000000048</v>
      </c>
      <c r="BD308" s="740">
        <f t="shared" si="619"/>
        <v>24.66</v>
      </c>
      <c r="BE308" s="337">
        <f t="shared" si="619"/>
        <v>21.31</v>
      </c>
      <c r="BF308" s="337">
        <f t="shared" si="631"/>
        <v>31.010645161290356</v>
      </c>
      <c r="BG308" s="337">
        <f t="shared" si="631"/>
        <v>35.040869565217342</v>
      </c>
      <c r="BH308" s="337">
        <f t="shared" si="631"/>
        <v>37.107741935483958</v>
      </c>
      <c r="BI308" s="740">
        <f>BI302</f>
        <v>23.94</v>
      </c>
      <c r="BJ308" s="337">
        <f t="shared" ref="BJ308" si="634">BJ302</f>
        <v>31.75</v>
      </c>
      <c r="BK308" s="337">
        <f t="shared" si="633"/>
        <v>34.8765</v>
      </c>
      <c r="BL308" s="407">
        <f t="shared" si="633"/>
        <v>0</v>
      </c>
      <c r="BM308" s="337"/>
      <c r="BN308" s="740"/>
      <c r="BO308" s="337"/>
      <c r="BP308" s="337"/>
      <c r="BQ308" s="337"/>
      <c r="BR308" s="337"/>
      <c r="BS308" s="740"/>
      <c r="BT308" s="740"/>
      <c r="BU308" s="740"/>
      <c r="BV308" s="740"/>
      <c r="BW308" s="338"/>
    </row>
    <row r="309" spans="1:75" s="469" customFormat="1" ht="15" hidden="1" customHeight="1" outlineLevel="2">
      <c r="A309" s="334" t="s">
        <v>346</v>
      </c>
      <c r="B309" s="339"/>
      <c r="C309" s="742"/>
      <c r="D309" s="742"/>
      <c r="E309" s="742"/>
      <c r="F309" s="742">
        <f t="shared" si="609"/>
        <v>12.45</v>
      </c>
      <c r="G309" s="340">
        <f t="shared" si="609"/>
        <v>17.91</v>
      </c>
      <c r="H309" s="340">
        <f t="shared" si="621"/>
        <v>20.064299693927779</v>
      </c>
      <c r="I309" s="340">
        <f t="shared" si="621"/>
        <v>21.253752517944104</v>
      </c>
      <c r="J309" s="340">
        <f t="shared" si="621"/>
        <v>28.810375692248581</v>
      </c>
      <c r="K309" s="742">
        <f t="shared" si="610"/>
        <v>21.03</v>
      </c>
      <c r="L309" s="340">
        <f t="shared" si="610"/>
        <v>33.880000000000003</v>
      </c>
      <c r="M309" s="340">
        <f t="shared" si="622"/>
        <v>32.389419991772925</v>
      </c>
      <c r="N309" s="340">
        <f t="shared" si="622"/>
        <v>36.711612247525231</v>
      </c>
      <c r="O309" s="340">
        <f t="shared" si="622"/>
        <v>41.108581869239622</v>
      </c>
      <c r="P309" s="742">
        <f t="shared" si="611"/>
        <v>35.049999999999997</v>
      </c>
      <c r="Q309" s="340">
        <f t="shared" si="611"/>
        <v>37.340000000000003</v>
      </c>
      <c r="R309" s="340">
        <f t="shared" si="623"/>
        <v>44.401675877520532</v>
      </c>
      <c r="S309" s="340">
        <f t="shared" si="623"/>
        <v>40.811346990318505</v>
      </c>
      <c r="T309" s="340">
        <f t="shared" si="623"/>
        <v>38.305791539467968</v>
      </c>
      <c r="U309" s="742">
        <f t="shared" si="612"/>
        <v>40.090000000000003</v>
      </c>
      <c r="V309" s="340">
        <f t="shared" si="612"/>
        <v>38.729999999999997</v>
      </c>
      <c r="W309" s="340">
        <f t="shared" si="624"/>
        <v>38.57853238610997</v>
      </c>
      <c r="X309" s="340">
        <f t="shared" si="624"/>
        <v>44.138426202176213</v>
      </c>
      <c r="Y309" s="340">
        <f t="shared" si="624"/>
        <v>29.527825007985463</v>
      </c>
      <c r="Z309" s="742">
        <f t="shared" si="613"/>
        <v>36.590000000000003</v>
      </c>
      <c r="AA309" s="340">
        <f t="shared" si="613"/>
        <v>51.87</v>
      </c>
      <c r="AB309" s="340">
        <f t="shared" si="625"/>
        <v>46.526910346771928</v>
      </c>
      <c r="AC309" s="340">
        <f t="shared" si="625"/>
        <v>45.222560512777264</v>
      </c>
      <c r="AD309" s="340">
        <f t="shared" si="625"/>
        <v>41.060091775502997</v>
      </c>
      <c r="AE309" s="742">
        <f t="shared" si="614"/>
        <v>44.78</v>
      </c>
      <c r="AF309" s="340">
        <f t="shared" si="614"/>
        <v>49.2</v>
      </c>
      <c r="AG309" s="340">
        <f t="shared" si="626"/>
        <v>55.239102843721156</v>
      </c>
      <c r="AH309" s="340">
        <f t="shared" si="626"/>
        <v>44.767807013277576</v>
      </c>
      <c r="AI309" s="340">
        <f t="shared" si="626"/>
        <v>40.782333825701627</v>
      </c>
      <c r="AJ309" s="742">
        <f t="shared" si="615"/>
        <v>46.09</v>
      </c>
      <c r="AK309" s="340">
        <f t="shared" si="615"/>
        <v>47.39</v>
      </c>
      <c r="AL309" s="340">
        <f t="shared" si="627"/>
        <v>46.777063720580877</v>
      </c>
      <c r="AM309" s="340">
        <f t="shared" si="627"/>
        <v>37.976988043280201</v>
      </c>
      <c r="AN309" s="340">
        <f t="shared" si="627"/>
        <v>39.568464036106732</v>
      </c>
      <c r="AO309" s="742">
        <f t="shared" si="616"/>
        <v>40.57</v>
      </c>
      <c r="AP309" s="340">
        <f t="shared" si="616"/>
        <v>46.89</v>
      </c>
      <c r="AQ309" s="340">
        <f t="shared" si="628"/>
        <v>51.769911705551081</v>
      </c>
      <c r="AR309" s="340">
        <f t="shared" si="628"/>
        <v>44.003393721327697</v>
      </c>
      <c r="AS309" s="340">
        <f t="shared" si="628"/>
        <v>46.246495838093693</v>
      </c>
      <c r="AT309" s="742">
        <f t="shared" si="617"/>
        <v>47.24</v>
      </c>
      <c r="AU309" s="340">
        <f t="shared" si="617"/>
        <v>52.14</v>
      </c>
      <c r="AV309" s="340">
        <f t="shared" si="629"/>
        <v>47.726101636264779</v>
      </c>
      <c r="AW309" s="340">
        <f t="shared" si="629"/>
        <v>46.324728830903048</v>
      </c>
      <c r="AX309" s="340">
        <f t="shared" si="629"/>
        <v>55.677676218111451</v>
      </c>
      <c r="AY309" s="742">
        <f t="shared" si="618"/>
        <v>48.92</v>
      </c>
      <c r="AZ309" s="340">
        <f t="shared" si="618"/>
        <v>11.68</v>
      </c>
      <c r="BA309" s="340">
        <f t="shared" si="630"/>
        <v>95.61333333333333</v>
      </c>
      <c r="BB309" s="340">
        <f t="shared" si="630"/>
        <v>46.960357142857148</v>
      </c>
      <c r="BC309" s="340">
        <f t="shared" si="630"/>
        <v>28.980000000000093</v>
      </c>
      <c r="BD309" s="742">
        <f t="shared" si="619"/>
        <v>44.49</v>
      </c>
      <c r="BE309" s="340">
        <f t="shared" si="619"/>
        <v>21.72</v>
      </c>
      <c r="BF309" s="340">
        <f t="shared" si="631"/>
        <v>34.877037037037042</v>
      </c>
      <c r="BG309" s="340">
        <f t="shared" si="631"/>
        <v>58.686428571428564</v>
      </c>
      <c r="BH309" s="340">
        <f t="shared" si="631"/>
        <v>67.339285714285737</v>
      </c>
      <c r="BI309" s="742">
        <f>BI303</f>
        <v>46.39</v>
      </c>
      <c r="BJ309" s="340">
        <f t="shared" ref="BJ309" si="635">BJ303</f>
        <v>72.569999999999993</v>
      </c>
      <c r="BK309" s="340">
        <f t="shared" si="633"/>
        <v>56.771250000000009</v>
      </c>
      <c r="BL309" s="408">
        <f t="shared" si="633"/>
        <v>0</v>
      </c>
      <c r="BM309" s="340"/>
      <c r="BN309" s="742"/>
      <c r="BO309" s="340"/>
      <c r="BP309" s="340"/>
      <c r="BQ309" s="340"/>
      <c r="BR309" s="340"/>
      <c r="BS309" s="742"/>
      <c r="BT309" s="742"/>
      <c r="BU309" s="742"/>
      <c r="BV309" s="742"/>
      <c r="BW309" s="338"/>
    </row>
    <row r="310" spans="1:75" s="469" customFormat="1" ht="15" hidden="1" customHeight="1" outlineLevel="1" collapsed="1">
      <c r="A310" s="335" t="s">
        <v>347</v>
      </c>
      <c r="B310" s="339"/>
      <c r="C310" s="742"/>
      <c r="D310" s="742"/>
      <c r="E310" s="742"/>
      <c r="F310" s="742">
        <f t="shared" si="609"/>
        <v>10</v>
      </c>
      <c r="G310" s="340">
        <f t="shared" si="609"/>
        <v>12.71</v>
      </c>
      <c r="H310" s="340">
        <f>H304</f>
        <v>14.85</v>
      </c>
      <c r="I310" s="340">
        <f>I304</f>
        <v>17.18</v>
      </c>
      <c r="J310" s="340">
        <f>J304</f>
        <v>18.239999999999998</v>
      </c>
      <c r="K310" s="742">
        <f t="shared" si="610"/>
        <v>18.239999999999998</v>
      </c>
      <c r="L310" s="340">
        <f t="shared" si="610"/>
        <v>19.149999999999999</v>
      </c>
      <c r="M310" s="340">
        <f>M304</f>
        <v>19.190000000000001</v>
      </c>
      <c r="N310" s="340">
        <f>N304</f>
        <v>19.21</v>
      </c>
      <c r="O310" s="340">
        <f>O304</f>
        <v>19.64</v>
      </c>
      <c r="P310" s="742">
        <f t="shared" si="611"/>
        <v>19.64</v>
      </c>
      <c r="Q310" s="340">
        <f t="shared" si="611"/>
        <v>20.65</v>
      </c>
      <c r="R310" s="340">
        <f>R304</f>
        <v>20.84</v>
      </c>
      <c r="S310" s="340">
        <f>S304</f>
        <v>20.9</v>
      </c>
      <c r="T310" s="340">
        <f>T304</f>
        <v>20.93</v>
      </c>
      <c r="U310" s="742">
        <f t="shared" si="612"/>
        <v>20.93</v>
      </c>
      <c r="V310" s="340">
        <f t="shared" si="612"/>
        <v>21.13</v>
      </c>
      <c r="W310" s="340">
        <f>W304</f>
        <v>21.27</v>
      </c>
      <c r="X310" s="340">
        <f>X304</f>
        <v>21.39</v>
      </c>
      <c r="Y310" s="340">
        <f>Y304</f>
        <v>21.71</v>
      </c>
      <c r="Z310" s="742">
        <f t="shared" si="613"/>
        <v>21.71</v>
      </c>
      <c r="AA310" s="340">
        <f t="shared" si="613"/>
        <v>23.01</v>
      </c>
      <c r="AB310" s="340">
        <f>AB304</f>
        <v>22.94</v>
      </c>
      <c r="AC310" s="340">
        <f>AC304</f>
        <v>22.88</v>
      </c>
      <c r="AD310" s="340">
        <f>AD304</f>
        <v>22.7</v>
      </c>
      <c r="AE310" s="742">
        <f t="shared" si="614"/>
        <v>22.7</v>
      </c>
      <c r="AF310" s="340">
        <f t="shared" si="614"/>
        <v>24.63</v>
      </c>
      <c r="AG310" s="340">
        <f>AG304</f>
        <v>24.72</v>
      </c>
      <c r="AH310" s="340">
        <f>AH304</f>
        <v>24.65</v>
      </c>
      <c r="AI310" s="340">
        <f>AI304</f>
        <v>24.54</v>
      </c>
      <c r="AJ310" s="742">
        <f t="shared" si="615"/>
        <v>24.54</v>
      </c>
      <c r="AK310" s="340">
        <f t="shared" si="615"/>
        <v>25.48</v>
      </c>
      <c r="AL310" s="340">
        <f>AL304</f>
        <v>25.38</v>
      </c>
      <c r="AM310" s="340">
        <f>AM304</f>
        <v>25.11</v>
      </c>
      <c r="AN310" s="340">
        <f>AN304</f>
        <v>25.1</v>
      </c>
      <c r="AO310" s="742">
        <f t="shared" si="616"/>
        <v>25.1</v>
      </c>
      <c r="AP310" s="340">
        <f t="shared" si="616"/>
        <v>25.29</v>
      </c>
      <c r="AQ310" s="340">
        <f>AQ304</f>
        <v>25.12</v>
      </c>
      <c r="AR310" s="340">
        <f>AR304</f>
        <v>25.17</v>
      </c>
      <c r="AS310" s="340">
        <f>AS304</f>
        <v>29.89</v>
      </c>
      <c r="AT310" s="742">
        <f t="shared" si="617"/>
        <v>29.89</v>
      </c>
      <c r="AU310" s="340">
        <f t="shared" si="617"/>
        <v>32.200000000000003</v>
      </c>
      <c r="AV310" s="340">
        <f>AV304</f>
        <v>32.36</v>
      </c>
      <c r="AW310" s="340">
        <f>AW304</f>
        <v>32.53</v>
      </c>
      <c r="AX310" s="340">
        <f>AX304</f>
        <v>32.590000000000003</v>
      </c>
      <c r="AY310" s="742">
        <f t="shared" si="618"/>
        <v>32.590000000000003</v>
      </c>
      <c r="AZ310" s="340">
        <f t="shared" si="618"/>
        <v>32.68</v>
      </c>
      <c r="BA310" s="340">
        <f>BA304</f>
        <v>32.82</v>
      </c>
      <c r="BB310" s="340">
        <f>BB304</f>
        <v>32.71</v>
      </c>
      <c r="BC310" s="340">
        <f>BC304</f>
        <v>32.81</v>
      </c>
      <c r="BD310" s="742">
        <f t="shared" si="619"/>
        <v>32.81</v>
      </c>
      <c r="BE310" s="340">
        <f t="shared" si="619"/>
        <v>35.57</v>
      </c>
      <c r="BF310" s="340">
        <f>BF304</f>
        <v>35.64</v>
      </c>
      <c r="BG310" s="340">
        <f>BG304</f>
        <v>35.17</v>
      </c>
      <c r="BH310" s="340">
        <f>BH304</f>
        <v>34.94</v>
      </c>
      <c r="BI310" s="742">
        <f>BI304</f>
        <v>34.94</v>
      </c>
      <c r="BJ310" s="340">
        <f t="shared" ref="BJ310" si="636">BJ304</f>
        <v>34.71</v>
      </c>
      <c r="BK310" s="340">
        <f>BK304</f>
        <v>34.57</v>
      </c>
      <c r="BL310" s="408">
        <f>BL304</f>
        <v>34.57</v>
      </c>
      <c r="BM310" s="340"/>
      <c r="BN310" s="742"/>
      <c r="BO310" s="340"/>
      <c r="BP310" s="340"/>
      <c r="BQ310" s="340"/>
      <c r="BR310" s="340"/>
      <c r="BS310" s="742"/>
      <c r="BT310" s="742"/>
      <c r="BU310" s="742"/>
      <c r="BV310" s="742"/>
      <c r="BW310" s="338"/>
    </row>
    <row r="311" spans="1:75" s="444" customFormat="1" ht="15" hidden="1" customHeight="1" outlineLevel="1">
      <c r="A311" s="523" t="s">
        <v>348</v>
      </c>
      <c r="B311" s="30"/>
      <c r="C311" s="700"/>
      <c r="D311" s="700"/>
      <c r="E311" s="700"/>
      <c r="F311" s="700">
        <f t="shared" ref="F311:AK311" si="637">IF(F267&gt;F310,(1-F310/F267)*F298,0)</f>
        <v>4.753782253312135</v>
      </c>
      <c r="G311" s="523">
        <f t="shared" si="637"/>
        <v>5.3026277098270764</v>
      </c>
      <c r="H311" s="523">
        <f t="shared" si="637"/>
        <v>6.6630085452976706</v>
      </c>
      <c r="I311" s="523">
        <f t="shared" si="637"/>
        <v>8.5627987135929438</v>
      </c>
      <c r="J311" s="523">
        <f t="shared" si="637"/>
        <v>8.0336721681563379</v>
      </c>
      <c r="K311" s="700">
        <f t="shared" si="637"/>
        <v>8.0336721681563397</v>
      </c>
      <c r="L311" s="523">
        <f t="shared" si="637"/>
        <v>7.7929621872056511</v>
      </c>
      <c r="M311" s="523">
        <f t="shared" si="637"/>
        <v>7.4502762731625243</v>
      </c>
      <c r="N311" s="523">
        <f t="shared" si="637"/>
        <v>6.7317446159045149</v>
      </c>
      <c r="O311" s="523">
        <f t="shared" si="637"/>
        <v>5.7653493915929195</v>
      </c>
      <c r="P311" s="700">
        <f t="shared" si="637"/>
        <v>5.7653493915929195</v>
      </c>
      <c r="Q311" s="523">
        <f t="shared" si="637"/>
        <v>5.0338916129985236</v>
      </c>
      <c r="R311" s="523">
        <f t="shared" si="637"/>
        <v>4.3608259806922538</v>
      </c>
      <c r="S311" s="523">
        <f t="shared" si="637"/>
        <v>9.5650626300852512E-2</v>
      </c>
      <c r="T311" s="523">
        <f t="shared" si="637"/>
        <v>2.126390298053098</v>
      </c>
      <c r="U311" s="700">
        <f t="shared" si="637"/>
        <v>2.1263902980530971</v>
      </c>
      <c r="V311" s="523">
        <f t="shared" si="637"/>
        <v>0</v>
      </c>
      <c r="W311" s="523">
        <f t="shared" si="637"/>
        <v>2.4313966602739727</v>
      </c>
      <c r="X311" s="523">
        <f t="shared" si="637"/>
        <v>4.0199224963396762</v>
      </c>
      <c r="Y311" s="523">
        <f t="shared" si="637"/>
        <v>3.453212987673747</v>
      </c>
      <c r="Z311" s="700">
        <f t="shared" si="637"/>
        <v>3.453212987673747</v>
      </c>
      <c r="AA311" s="523">
        <f t="shared" si="637"/>
        <v>2.5142615202952023</v>
      </c>
      <c r="AB311" s="523">
        <f t="shared" si="637"/>
        <v>1.8681139611910327</v>
      </c>
      <c r="AC311" s="523">
        <f t="shared" si="637"/>
        <v>3.5430402452655883</v>
      </c>
      <c r="AD311" s="523">
        <f t="shared" si="637"/>
        <v>3.2492905224022874</v>
      </c>
      <c r="AE311" s="700">
        <f t="shared" si="637"/>
        <v>3.249290522402287</v>
      </c>
      <c r="AF311" s="523">
        <f t="shared" si="637"/>
        <v>3.0313053355688613</v>
      </c>
      <c r="AG311" s="523">
        <f t="shared" si="637"/>
        <v>2.6539111914241951</v>
      </c>
      <c r="AH311" s="523">
        <f t="shared" si="637"/>
        <v>3.4516875863821128</v>
      </c>
      <c r="AI311" s="523">
        <f t="shared" si="637"/>
        <v>1.9572509633933759</v>
      </c>
      <c r="AJ311" s="700">
        <f t="shared" si="637"/>
        <v>1.9572509633933755</v>
      </c>
      <c r="AK311" s="523">
        <f t="shared" si="637"/>
        <v>1.9308423773913042</v>
      </c>
      <c r="AL311" s="523">
        <f t="shared" ref="AL311:BI311" si="638">IF(AL267&gt;AL310,(1-AL310/AL267)*AL298,0)</f>
        <v>1.8532194967817435</v>
      </c>
      <c r="AM311" s="523">
        <f t="shared" si="638"/>
        <v>1.8236485883207434</v>
      </c>
      <c r="AN311" s="523">
        <f t="shared" si="638"/>
        <v>1.702557831116251</v>
      </c>
      <c r="AO311" s="700">
        <f t="shared" si="638"/>
        <v>1.7025578311162508</v>
      </c>
      <c r="AP311" s="523">
        <f t="shared" si="638"/>
        <v>0</v>
      </c>
      <c r="AQ311" s="523">
        <f t="shared" si="638"/>
        <v>0</v>
      </c>
      <c r="AR311" s="523">
        <f t="shared" si="638"/>
        <v>0</v>
      </c>
      <c r="AS311" s="523">
        <f t="shared" si="638"/>
        <v>0.25568738938053104</v>
      </c>
      <c r="AT311" s="700">
        <f t="shared" si="638"/>
        <v>0.25568738938053098</v>
      </c>
      <c r="AU311" s="523">
        <f t="shared" si="638"/>
        <v>0.67524774591651493</v>
      </c>
      <c r="AV311" s="523">
        <f t="shared" si="638"/>
        <v>0.81521244240772794</v>
      </c>
      <c r="AW311" s="523">
        <f t="shared" si="638"/>
        <v>0.57636117693522859</v>
      </c>
      <c r="AX311" s="523">
        <f t="shared" si="638"/>
        <v>0.42427743749999913</v>
      </c>
      <c r="AY311" s="700">
        <f t="shared" si="638"/>
        <v>0.42427743749999897</v>
      </c>
      <c r="AZ311" s="523">
        <f t="shared" si="638"/>
        <v>0.23563527733026429</v>
      </c>
      <c r="BA311" s="523">
        <f t="shared" si="638"/>
        <v>0</v>
      </c>
      <c r="BB311" s="523">
        <f t="shared" si="638"/>
        <v>0.11220958483861437</v>
      </c>
      <c r="BC311" s="523">
        <f t="shared" si="638"/>
        <v>0</v>
      </c>
      <c r="BD311" s="700">
        <f t="shared" si="638"/>
        <v>0</v>
      </c>
      <c r="BE311" s="523">
        <f t="shared" si="638"/>
        <v>0</v>
      </c>
      <c r="BF311" s="523">
        <f t="shared" si="638"/>
        <v>6.2445221826158158E-2</v>
      </c>
      <c r="BG311" s="523">
        <f t="shared" si="638"/>
        <v>0.40425284347198825</v>
      </c>
      <c r="BH311" s="523">
        <f t="shared" si="638"/>
        <v>0.66605549640895612</v>
      </c>
      <c r="BI311" s="700">
        <f t="shared" si="638"/>
        <v>0.66605549640895589</v>
      </c>
      <c r="BJ311" s="523">
        <f t="shared" ref="BJ311:BL311" si="639">IF(BJ267&gt;BJ310,(1-BJ310/BJ267)*BJ298,0)</f>
        <v>0.29863967817258824</v>
      </c>
      <c r="BK311" s="523">
        <f t="shared" si="639"/>
        <v>0.15927823112313932</v>
      </c>
      <c r="BL311" s="563">
        <f t="shared" si="639"/>
        <v>2.4083687195645676E-2</v>
      </c>
      <c r="BM311" s="523"/>
      <c r="BN311" s="700"/>
      <c r="BO311" s="523"/>
      <c r="BP311" s="523"/>
      <c r="BQ311" s="523"/>
      <c r="BR311" s="523"/>
      <c r="BS311" s="700"/>
      <c r="BT311" s="700"/>
      <c r="BU311" s="700"/>
      <c r="BV311" s="700"/>
      <c r="BW311" s="318"/>
    </row>
    <row r="312" spans="1:75" s="467" customFormat="1" ht="15" hidden="1" customHeight="1" outlineLevel="1">
      <c r="A312" s="518"/>
      <c r="B312" s="294"/>
      <c r="C312" s="89"/>
      <c r="D312" s="89"/>
      <c r="E312" s="89"/>
      <c r="F312" s="89"/>
      <c r="G312" s="518"/>
      <c r="H312" s="518"/>
      <c r="I312" s="518"/>
      <c r="J312" s="518"/>
      <c r="K312" s="89"/>
      <c r="L312" s="518"/>
      <c r="M312" s="518"/>
      <c r="N312" s="518"/>
      <c r="O312" s="518"/>
      <c r="P312" s="89"/>
      <c r="Q312" s="518"/>
      <c r="R312" s="518"/>
      <c r="S312" s="518"/>
      <c r="T312" s="518"/>
      <c r="U312" s="89"/>
      <c r="V312" s="518"/>
      <c r="W312" s="518"/>
      <c r="X312" s="518"/>
      <c r="Y312" s="518"/>
      <c r="Z312" s="89"/>
      <c r="AA312" s="518"/>
      <c r="AB312" s="518"/>
      <c r="AC312" s="518"/>
      <c r="AD312" s="518"/>
      <c r="AE312" s="89"/>
      <c r="AF312" s="518"/>
      <c r="AG312" s="518"/>
      <c r="AH312" s="518"/>
      <c r="AI312" s="518"/>
      <c r="AJ312" s="89"/>
      <c r="AK312" s="518"/>
      <c r="AL312" s="518"/>
      <c r="AM312" s="518"/>
      <c r="AN312" s="518"/>
      <c r="AO312" s="89"/>
      <c r="AP312" s="518"/>
      <c r="AQ312" s="518"/>
      <c r="AR312" s="518"/>
      <c r="AS312" s="518"/>
      <c r="AT312" s="89"/>
      <c r="AU312" s="518"/>
      <c r="AV312" s="518"/>
      <c r="AW312" s="518"/>
      <c r="AX312" s="518"/>
      <c r="AY312" s="89"/>
      <c r="AZ312" s="518"/>
      <c r="BA312" s="518"/>
      <c r="BB312" s="518"/>
      <c r="BC312" s="518"/>
      <c r="BD312" s="89"/>
      <c r="BE312" s="518"/>
      <c r="BF312" s="518"/>
      <c r="BG312" s="518"/>
      <c r="BH312" s="518"/>
      <c r="BI312" s="89"/>
      <c r="BJ312" s="518"/>
      <c r="BK312" s="518"/>
      <c r="BL312" s="520"/>
      <c r="BM312" s="518"/>
      <c r="BN312" s="89"/>
      <c r="BO312" s="518"/>
      <c r="BP312" s="518"/>
      <c r="BQ312" s="518"/>
      <c r="BR312" s="518"/>
      <c r="BS312" s="89"/>
      <c r="BT312" s="89"/>
      <c r="BU312" s="89"/>
      <c r="BV312" s="89"/>
      <c r="BW312" s="295"/>
    </row>
    <row r="313" spans="1:75" s="444" customFormat="1" ht="15" hidden="1" customHeight="1" outlineLevel="1">
      <c r="A313" s="28" t="s">
        <v>349</v>
      </c>
      <c r="B313" s="30"/>
      <c r="C313" s="700"/>
      <c r="D313" s="700"/>
      <c r="E313" s="700"/>
      <c r="F313" s="714">
        <v>4.5334589999999997</v>
      </c>
      <c r="G313" s="629">
        <v>4.1851779999999996</v>
      </c>
      <c r="H313" s="629">
        <v>3.9290319999999999</v>
      </c>
      <c r="I313" s="629">
        <v>3.772662</v>
      </c>
      <c r="J313" s="523">
        <f>K313</f>
        <v>3.866336</v>
      </c>
      <c r="K313" s="714">
        <v>3.866336</v>
      </c>
      <c r="L313" s="629">
        <v>3.8040639999999999</v>
      </c>
      <c r="M313" s="629">
        <v>4.1488810000000003</v>
      </c>
      <c r="N313" s="629">
        <v>4.3247900000000001</v>
      </c>
      <c r="O313" s="523">
        <f>P313</f>
        <v>4.6587699999999996</v>
      </c>
      <c r="P313" s="714">
        <v>4.6587699999999996</v>
      </c>
      <c r="Q313" s="629">
        <v>4.9525750000000004</v>
      </c>
      <c r="R313" s="629">
        <v>5.1427550000000002</v>
      </c>
      <c r="S313" s="629">
        <v>5.5527290000000002</v>
      </c>
      <c r="T313" s="523">
        <f>U313</f>
        <v>5.774527</v>
      </c>
      <c r="U313" s="714">
        <v>5.774527</v>
      </c>
      <c r="V313" s="629">
        <v>6.0313400000000001</v>
      </c>
      <c r="W313" s="629">
        <v>6.3025770000000003</v>
      </c>
      <c r="X313" s="629">
        <v>6.2360429999999996</v>
      </c>
      <c r="Y313" s="523">
        <f>Z313</f>
        <v>6.2929940000000002</v>
      </c>
      <c r="Z313" s="714">
        <v>6.2929940000000002</v>
      </c>
      <c r="AA313" s="629">
        <v>6.4128309999999997</v>
      </c>
      <c r="AB313" s="629">
        <v>6.2154740000000004</v>
      </c>
      <c r="AC313" s="629">
        <v>5.9047960000000002</v>
      </c>
      <c r="AD313" s="523">
        <f>AE313</f>
        <v>5.7740429999999998</v>
      </c>
      <c r="AE313" s="714">
        <v>5.7740429999999998</v>
      </c>
      <c r="AF313" s="629">
        <v>5.6423949999999996</v>
      </c>
      <c r="AG313" s="629">
        <v>5.6230180000000001</v>
      </c>
      <c r="AH313" s="629">
        <v>5.5431790000000003</v>
      </c>
      <c r="AI313" s="523">
        <f>AJ313</f>
        <v>5.6557899999999997</v>
      </c>
      <c r="AJ313" s="714">
        <v>5.6557899999999997</v>
      </c>
      <c r="AK313" s="629">
        <v>5.7534200000000002</v>
      </c>
      <c r="AL313" s="629">
        <v>5.7829139999999999</v>
      </c>
      <c r="AM313" s="629">
        <v>5.6832089999999997</v>
      </c>
      <c r="AN313" s="523">
        <f>AO313</f>
        <v>5.3107119999999997</v>
      </c>
      <c r="AO313" s="714">
        <v>5.3107119999999997</v>
      </c>
      <c r="AP313" s="629">
        <v>5.1674990000000003</v>
      </c>
      <c r="AQ313" s="629">
        <v>5.2017959999999999</v>
      </c>
      <c r="AR313" s="629">
        <v>5.1991069999999997</v>
      </c>
      <c r="AS313" s="523">
        <f>AT313</f>
        <v>4.0222360000000004</v>
      </c>
      <c r="AT313" s="714">
        <v>4.0222360000000004</v>
      </c>
      <c r="AU313" s="629">
        <v>3.608168</v>
      </c>
      <c r="AV313" s="629">
        <v>3.6321140000000001</v>
      </c>
      <c r="AW313" s="629">
        <v>3.6197699999999999</v>
      </c>
      <c r="AX313" s="523">
        <f>AY313</f>
        <v>3.665</v>
      </c>
      <c r="AY313" s="714">
        <v>3.665</v>
      </c>
      <c r="AZ313" s="629">
        <v>3.6930000000000001</v>
      </c>
      <c r="BA313" s="629">
        <v>3.673</v>
      </c>
      <c r="BB313" s="629">
        <v>3.411</v>
      </c>
      <c r="BC313" s="523">
        <f>BD313</f>
        <v>3.4239999999999999</v>
      </c>
      <c r="BD313" s="714">
        <v>3.4239999999999999</v>
      </c>
      <c r="BE313" s="629">
        <v>2.7719999999999998</v>
      </c>
      <c r="BF313" s="629">
        <v>2.681</v>
      </c>
      <c r="BG313" s="629">
        <v>2.5670000000000002</v>
      </c>
      <c r="BH313" s="523">
        <f>BI313</f>
        <v>2.5030000000000001</v>
      </c>
      <c r="BI313" s="714">
        <v>2.5030000000000001</v>
      </c>
      <c r="BJ313" s="629">
        <v>2.4830000000000001</v>
      </c>
      <c r="BK313" s="629">
        <v>2.452</v>
      </c>
      <c r="BL313" s="630">
        <v>2.4569999999999999</v>
      </c>
      <c r="BM313" s="523"/>
      <c r="BN313" s="700"/>
      <c r="BO313" s="523"/>
      <c r="BP313" s="523"/>
      <c r="BQ313" s="523"/>
      <c r="BR313" s="523"/>
      <c r="BS313" s="700"/>
      <c r="BT313" s="700"/>
      <c r="BU313" s="700"/>
      <c r="BV313" s="700"/>
      <c r="BW313" s="318"/>
    </row>
    <row r="314" spans="1:75" s="466" customFormat="1" ht="15" hidden="1" customHeight="1" outlineLevel="1">
      <c r="A314" s="341" t="s">
        <v>350</v>
      </c>
      <c r="B314" s="330"/>
      <c r="C314" s="733"/>
      <c r="D314" s="733"/>
      <c r="E314" s="733"/>
      <c r="F314" s="744">
        <v>5.3</v>
      </c>
      <c r="G314" s="638">
        <v>6.38</v>
      </c>
      <c r="H314" s="638">
        <v>7.56</v>
      </c>
      <c r="I314" s="638">
        <v>8.5299999999999994</v>
      </c>
      <c r="J314" s="327">
        <f>K314</f>
        <v>9.34</v>
      </c>
      <c r="K314" s="744">
        <v>9.34</v>
      </c>
      <c r="L314" s="638">
        <v>10.14</v>
      </c>
      <c r="M314" s="638">
        <v>11.06</v>
      </c>
      <c r="N314" s="638">
        <v>12.33</v>
      </c>
      <c r="O314" s="327">
        <f>P314</f>
        <v>13.48</v>
      </c>
      <c r="P314" s="744">
        <v>13.48</v>
      </c>
      <c r="Q314" s="638">
        <v>14.46</v>
      </c>
      <c r="R314" s="638">
        <v>15.1</v>
      </c>
      <c r="S314" s="638">
        <v>15.73</v>
      </c>
      <c r="T314" s="327">
        <f>U314</f>
        <v>16.34</v>
      </c>
      <c r="U314" s="744">
        <v>16.34</v>
      </c>
      <c r="V314" s="638">
        <v>17.14</v>
      </c>
      <c r="W314" s="638">
        <v>18.03</v>
      </c>
      <c r="X314" s="638">
        <v>18.579999999999998</v>
      </c>
      <c r="Y314" s="327">
        <f>Z314</f>
        <v>19.18</v>
      </c>
      <c r="Z314" s="744">
        <v>19.18</v>
      </c>
      <c r="AA314" s="638">
        <v>19.760000000000002</v>
      </c>
      <c r="AB314" s="638">
        <v>20.07</v>
      </c>
      <c r="AC314" s="638">
        <v>20.32</v>
      </c>
      <c r="AD314" s="327">
        <f>AE314</f>
        <v>20.55</v>
      </c>
      <c r="AE314" s="744">
        <v>20.55</v>
      </c>
      <c r="AF314" s="638">
        <v>20.94</v>
      </c>
      <c r="AG314" s="638">
        <v>21.44</v>
      </c>
      <c r="AH314" s="638">
        <v>21.71</v>
      </c>
      <c r="AI314" s="327">
        <f>AJ314</f>
        <v>22.03</v>
      </c>
      <c r="AJ314" s="744">
        <v>22.03</v>
      </c>
      <c r="AK314" s="638">
        <v>22.29</v>
      </c>
      <c r="AL314" s="638">
        <v>22.55</v>
      </c>
      <c r="AM314" s="638">
        <v>22.78</v>
      </c>
      <c r="AN314" s="327">
        <f>AO314</f>
        <v>22.94</v>
      </c>
      <c r="AO314" s="744">
        <v>22.94</v>
      </c>
      <c r="AP314" s="638">
        <v>23.33</v>
      </c>
      <c r="AQ314" s="638">
        <v>23.4</v>
      </c>
      <c r="AR314" s="638">
        <v>23.63</v>
      </c>
      <c r="AS314" s="327">
        <f>AT314</f>
        <v>28.9</v>
      </c>
      <c r="AT314" s="744">
        <v>28.9</v>
      </c>
      <c r="AU314" s="638">
        <v>31.63</v>
      </c>
      <c r="AV314" s="638">
        <v>31.8</v>
      </c>
      <c r="AW314" s="638">
        <v>32.130000000000003</v>
      </c>
      <c r="AX314" s="327">
        <f>AY314</f>
        <v>32.33</v>
      </c>
      <c r="AY314" s="744">
        <v>32.33</v>
      </c>
      <c r="AZ314" s="638">
        <v>32.49</v>
      </c>
      <c r="BA314" s="638">
        <v>32.69</v>
      </c>
      <c r="BB314" s="638">
        <v>32.6</v>
      </c>
      <c r="BC314" s="327">
        <f>BD314</f>
        <v>32.729999999999997</v>
      </c>
      <c r="BD314" s="744">
        <v>32.729999999999997</v>
      </c>
      <c r="BE314" s="638">
        <v>35.590000000000003</v>
      </c>
      <c r="BF314" s="638">
        <v>35.659999999999997</v>
      </c>
      <c r="BG314" s="638">
        <v>35.159999999999997</v>
      </c>
      <c r="BH314" s="327">
        <f>BI314</f>
        <v>34.92</v>
      </c>
      <c r="BI314" s="744">
        <v>34.92</v>
      </c>
      <c r="BJ314" s="638">
        <v>34.69</v>
      </c>
      <c r="BK314" s="638">
        <v>34.549999999999997</v>
      </c>
      <c r="BL314" s="639">
        <v>34.549999999999997</v>
      </c>
      <c r="BM314" s="327"/>
      <c r="BN314" s="733"/>
      <c r="BO314" s="327"/>
      <c r="BP314" s="327"/>
      <c r="BQ314" s="327"/>
      <c r="BR314" s="327"/>
      <c r="BS314" s="733"/>
      <c r="BT314" s="733"/>
      <c r="BU314" s="733"/>
      <c r="BV314" s="733"/>
      <c r="BW314" s="331"/>
    </row>
    <row r="315" spans="1:75" s="467" customFormat="1" ht="15" hidden="1" customHeight="1" outlineLevel="1">
      <c r="A315" s="518"/>
      <c r="B315" s="294"/>
      <c r="C315" s="89"/>
      <c r="D315" s="89"/>
      <c r="E315" s="89"/>
      <c r="F315" s="89"/>
      <c r="G315" s="518"/>
      <c r="H315" s="518"/>
      <c r="I315" s="518"/>
      <c r="J315" s="518"/>
      <c r="K315" s="89"/>
      <c r="L315" s="518"/>
      <c r="M315" s="518"/>
      <c r="N315" s="518"/>
      <c r="O315" s="518"/>
      <c r="P315" s="89"/>
      <c r="Q315" s="518"/>
      <c r="R315" s="518"/>
      <c r="S315" s="518"/>
      <c r="T315" s="518"/>
      <c r="U315" s="89"/>
      <c r="V315" s="518"/>
      <c r="W315" s="518"/>
      <c r="X315" s="518"/>
      <c r="Y315" s="518"/>
      <c r="Z315" s="89"/>
      <c r="AA315" s="518"/>
      <c r="AB315" s="518"/>
      <c r="AC315" s="518"/>
      <c r="AD315" s="518"/>
      <c r="AE315" s="89"/>
      <c r="AF315" s="518"/>
      <c r="AG315" s="518"/>
      <c r="AH315" s="518"/>
      <c r="AI315" s="518"/>
      <c r="AJ315" s="89"/>
      <c r="AK315" s="518"/>
      <c r="AL315" s="518"/>
      <c r="AM315" s="518"/>
      <c r="AN315" s="518"/>
      <c r="AO315" s="89"/>
      <c r="AP315" s="518"/>
      <c r="AQ315" s="518"/>
      <c r="AR315" s="518"/>
      <c r="AS315" s="518"/>
      <c r="AT315" s="89"/>
      <c r="AU315" s="518"/>
      <c r="AV315" s="518"/>
      <c r="AW315" s="518"/>
      <c r="AX315" s="518"/>
      <c r="AY315" s="89"/>
      <c r="AZ315" s="518"/>
      <c r="BA315" s="518"/>
      <c r="BB315" s="518"/>
      <c r="BC315" s="518"/>
      <c r="BD315" s="89"/>
      <c r="BE315" s="518"/>
      <c r="BF315" s="518"/>
      <c r="BG315" s="518"/>
      <c r="BH315" s="518"/>
      <c r="BI315" s="89"/>
      <c r="BJ315" s="518"/>
      <c r="BK315" s="518"/>
      <c r="BL315" s="520"/>
      <c r="BM315" s="518"/>
      <c r="BN315" s="89"/>
      <c r="BO315" s="518"/>
      <c r="BP315" s="518"/>
      <c r="BQ315" s="518"/>
      <c r="BR315" s="518"/>
      <c r="BS315" s="89"/>
      <c r="BT315" s="89"/>
      <c r="BU315" s="89"/>
      <c r="BV315" s="89"/>
      <c r="BW315" s="295"/>
    </row>
    <row r="316" spans="1:75" s="467" customFormat="1" ht="15" hidden="1" customHeight="1" outlineLevel="1">
      <c r="A316" s="23" t="s">
        <v>351</v>
      </c>
      <c r="B316" s="294"/>
      <c r="C316" s="89"/>
      <c r="D316" s="89"/>
      <c r="E316" s="89"/>
      <c r="F316" s="675">
        <v>0.28362999999999999</v>
      </c>
      <c r="G316" s="609">
        <v>0.311</v>
      </c>
      <c r="H316" s="609">
        <v>0.254</v>
      </c>
      <c r="I316" s="609">
        <v>0.36899999999999999</v>
      </c>
      <c r="J316" s="518">
        <f>K316</f>
        <v>0.44360300000000003</v>
      </c>
      <c r="K316" s="675">
        <v>0.44360300000000003</v>
      </c>
      <c r="L316" s="609">
        <v>0.54660699999999995</v>
      </c>
      <c r="M316" s="609">
        <v>0.79213500000000003</v>
      </c>
      <c r="N316" s="609">
        <v>0.87295</v>
      </c>
      <c r="O316" s="518">
        <f>P316</f>
        <v>1.1318490000000001</v>
      </c>
      <c r="P316" s="675">
        <v>1.1318490000000001</v>
      </c>
      <c r="Q316" s="609">
        <v>1.6423749999999999</v>
      </c>
      <c r="R316" s="609">
        <v>2.25779</v>
      </c>
      <c r="S316" s="609">
        <v>2.8094459999999999</v>
      </c>
      <c r="T316" s="518">
        <f>U316</f>
        <v>4.0932040000000001</v>
      </c>
      <c r="U316" s="675">
        <v>4.0932040000000001</v>
      </c>
      <c r="V316" s="609">
        <v>5.8235099999999997</v>
      </c>
      <c r="W316" s="609">
        <v>6.4447029999999996</v>
      </c>
      <c r="X316" s="609">
        <v>6.9662290000000002</v>
      </c>
      <c r="Y316" s="518">
        <f>Z316</f>
        <v>7.090465</v>
      </c>
      <c r="Z316" s="675">
        <v>7.090465</v>
      </c>
      <c r="AA316" s="609">
        <v>7.5564669999999996</v>
      </c>
      <c r="AB316" s="609">
        <v>7.5252749999999997</v>
      </c>
      <c r="AC316" s="609">
        <v>7.577458</v>
      </c>
      <c r="AD316" s="518">
        <f>AE316</f>
        <v>7.2492049999999999</v>
      </c>
      <c r="AE316" s="675">
        <v>7.2492049999999999</v>
      </c>
      <c r="AF316" s="609">
        <v>7.4536379999999998</v>
      </c>
      <c r="AG316" s="609">
        <v>7.0921890000000003</v>
      </c>
      <c r="AH316" s="609">
        <v>6.7970290000000002</v>
      </c>
      <c r="AI316" s="518">
        <f>AJ316</f>
        <v>6.5638629999999996</v>
      </c>
      <c r="AJ316" s="675">
        <v>6.5638629999999996</v>
      </c>
      <c r="AK316" s="609">
        <v>7.4004640000000004</v>
      </c>
      <c r="AL316" s="609">
        <v>7.0637720000000002</v>
      </c>
      <c r="AM316" s="609">
        <v>6.9937250000000004</v>
      </c>
      <c r="AN316" s="518">
        <f>AO316</f>
        <v>7.6255839999999999</v>
      </c>
      <c r="AO316" s="675">
        <v>7.6255839999999999</v>
      </c>
      <c r="AP316" s="609">
        <v>9.0269820000000003</v>
      </c>
      <c r="AQ316" s="609">
        <v>7.8759410000000001</v>
      </c>
      <c r="AR316" s="609">
        <v>7.247992</v>
      </c>
      <c r="AS316" s="518">
        <f>AT316</f>
        <v>9.7577870000000004</v>
      </c>
      <c r="AT316" s="675">
        <v>9.7577870000000004</v>
      </c>
      <c r="AU316" s="609">
        <v>12.198869</v>
      </c>
      <c r="AV316" s="609">
        <v>10.998035</v>
      </c>
      <c r="AW316" s="609">
        <v>10.639120999999999</v>
      </c>
      <c r="AX316" s="518">
        <f>AY316</f>
        <v>10.016</v>
      </c>
      <c r="AY316" s="675">
        <v>10.016</v>
      </c>
      <c r="AZ316" s="609">
        <v>12.734999999999999</v>
      </c>
      <c r="BA316" s="609">
        <v>11.567</v>
      </c>
      <c r="BB316" s="609">
        <v>10.741</v>
      </c>
      <c r="BC316" s="518">
        <f>BD316</f>
        <v>9.9619999999999997</v>
      </c>
      <c r="BD316" s="675">
        <v>9.9619999999999997</v>
      </c>
      <c r="BE316" s="609">
        <v>14.021000000000001</v>
      </c>
      <c r="BF316" s="609">
        <v>12.577999999999999</v>
      </c>
      <c r="BG316" s="609">
        <v>11.395</v>
      </c>
      <c r="BH316" s="518">
        <f>BI316</f>
        <v>9.9610000000000003</v>
      </c>
      <c r="BI316" s="675">
        <v>9.9610000000000003</v>
      </c>
      <c r="BJ316" s="609">
        <v>10.444000000000001</v>
      </c>
      <c r="BK316" s="609">
        <v>9.0660000000000007</v>
      </c>
      <c r="BL316" s="610">
        <v>7.8090000000000002</v>
      </c>
      <c r="BM316" s="518"/>
      <c r="BN316" s="89"/>
      <c r="BO316" s="518"/>
      <c r="BP316" s="518"/>
      <c r="BQ316" s="518"/>
      <c r="BR316" s="518"/>
      <c r="BS316" s="89"/>
      <c r="BT316" s="89"/>
      <c r="BU316" s="89"/>
      <c r="BV316" s="89"/>
      <c r="BW316" s="295"/>
    </row>
    <row r="317" spans="1:75" s="470" customFormat="1" ht="15" hidden="1" customHeight="1" outlineLevel="1">
      <c r="A317" s="347" t="s">
        <v>352</v>
      </c>
      <c r="B317" s="348"/>
      <c r="C317" s="745"/>
      <c r="D317" s="745"/>
      <c r="E317" s="745"/>
      <c r="F317" s="746">
        <v>23.3</v>
      </c>
      <c r="G317" s="349"/>
      <c r="H317" s="349"/>
      <c r="I317" s="349"/>
      <c r="J317" s="349"/>
      <c r="K317" s="746">
        <v>44.66</v>
      </c>
      <c r="L317" s="640">
        <v>53.86</v>
      </c>
      <c r="M317" s="640">
        <v>61.14</v>
      </c>
      <c r="N317" s="640">
        <v>63.82</v>
      </c>
      <c r="O317" s="349">
        <f>P317</f>
        <v>64.959999999999994</v>
      </c>
      <c r="P317" s="746">
        <v>64.959999999999994</v>
      </c>
      <c r="Q317" s="640">
        <v>60.94</v>
      </c>
      <c r="R317" s="640">
        <v>55.33</v>
      </c>
      <c r="S317" s="640">
        <v>49.91</v>
      </c>
      <c r="T317" s="349">
        <f>U317</f>
        <v>39.450000000000003</v>
      </c>
      <c r="U317" s="746">
        <v>39.450000000000003</v>
      </c>
      <c r="V317" s="640">
        <v>34.520000000000003</v>
      </c>
      <c r="W317" s="640">
        <v>31.69</v>
      </c>
      <c r="X317" s="640">
        <v>31.54</v>
      </c>
      <c r="Y317" s="349">
        <f>Z317</f>
        <v>32.43</v>
      </c>
      <c r="Z317" s="746">
        <v>32.43</v>
      </c>
      <c r="AA317" s="640">
        <v>33.380000000000003</v>
      </c>
      <c r="AB317" s="640">
        <v>33.4</v>
      </c>
      <c r="AC317" s="640">
        <v>33.299999999999997</v>
      </c>
      <c r="AD317" s="349">
        <f>AE317</f>
        <v>34.57</v>
      </c>
      <c r="AE317" s="746">
        <v>34.57</v>
      </c>
      <c r="AF317" s="640">
        <v>36.020000000000003</v>
      </c>
      <c r="AG317" s="640">
        <v>36.909999999999997</v>
      </c>
      <c r="AH317" s="640">
        <v>37.39</v>
      </c>
      <c r="AI317" s="349">
        <f>AJ317</f>
        <v>38.67</v>
      </c>
      <c r="AJ317" s="746">
        <v>38.67</v>
      </c>
      <c r="AK317" s="640">
        <v>38.049999999999997</v>
      </c>
      <c r="AL317" s="640">
        <v>37.89</v>
      </c>
      <c r="AM317" s="640">
        <v>37.51</v>
      </c>
      <c r="AN317" s="349">
        <f>AO317</f>
        <v>36.51</v>
      </c>
      <c r="AO317" s="746">
        <v>36.51</v>
      </c>
      <c r="AP317" s="640">
        <v>36.229999999999997</v>
      </c>
      <c r="AQ317" s="640">
        <v>35.74</v>
      </c>
      <c r="AR317" s="640">
        <v>34.6</v>
      </c>
      <c r="AS317" s="349">
        <f>AT317</f>
        <v>29.22</v>
      </c>
      <c r="AT317" s="746">
        <v>29.22</v>
      </c>
      <c r="AU317" s="640">
        <v>31.06</v>
      </c>
      <c r="AV317" s="640">
        <v>31.44</v>
      </c>
      <c r="AW317" s="640">
        <v>32.04</v>
      </c>
      <c r="AX317" s="349">
        <f>AY317</f>
        <v>32.39</v>
      </c>
      <c r="AY317" s="746">
        <v>32.39</v>
      </c>
      <c r="AZ317" s="640">
        <v>33.590000000000003</v>
      </c>
      <c r="BA317" s="640">
        <v>33.549999999999997</v>
      </c>
      <c r="BB317" s="640">
        <v>33.5</v>
      </c>
      <c r="BC317" s="349">
        <f>BD317</f>
        <v>33.479999999999997</v>
      </c>
      <c r="BD317" s="746">
        <v>33.479999999999997</v>
      </c>
      <c r="BE317" s="640">
        <v>31.93</v>
      </c>
      <c r="BF317" s="640">
        <v>31.99</v>
      </c>
      <c r="BG317" s="640">
        <v>32.39</v>
      </c>
      <c r="BH317" s="349">
        <f>BI317</f>
        <v>32.61</v>
      </c>
      <c r="BI317" s="746">
        <v>32.61</v>
      </c>
      <c r="BJ317" s="640">
        <v>35</v>
      </c>
      <c r="BK317" s="640">
        <v>35.380000000000003</v>
      </c>
      <c r="BL317" s="641">
        <v>35.840000000000003</v>
      </c>
      <c r="BM317" s="349"/>
      <c r="BN317" s="745"/>
      <c r="BO317" s="349"/>
      <c r="BP317" s="349"/>
      <c r="BQ317" s="349"/>
      <c r="BR317" s="349"/>
      <c r="BS317" s="745"/>
      <c r="BT317" s="745"/>
      <c r="BU317" s="745"/>
      <c r="BV317" s="745"/>
      <c r="BW317" s="350"/>
    </row>
    <row r="318" spans="1:75" s="467" customFormat="1" ht="15" hidden="1" customHeight="1" outlineLevel="1">
      <c r="A318" s="518"/>
      <c r="B318" s="294"/>
      <c r="C318" s="89"/>
      <c r="D318" s="89"/>
      <c r="E318" s="89"/>
      <c r="F318" s="89"/>
      <c r="G318" s="518"/>
      <c r="H318" s="518"/>
      <c r="I318" s="518"/>
      <c r="J318" s="518"/>
      <c r="K318" s="89"/>
      <c r="L318" s="518"/>
      <c r="M318" s="518"/>
      <c r="N318" s="518"/>
      <c r="O318" s="518"/>
      <c r="P318" s="89"/>
      <c r="Q318" s="518"/>
      <c r="R318" s="518"/>
      <c r="S318" s="518"/>
      <c r="T318" s="518"/>
      <c r="U318" s="89"/>
      <c r="V318" s="518"/>
      <c r="W318" s="518"/>
      <c r="X318" s="518"/>
      <c r="Y318" s="518"/>
      <c r="Z318" s="89"/>
      <c r="AA318" s="518"/>
      <c r="AB318" s="518"/>
      <c r="AC318" s="518"/>
      <c r="AD318" s="518"/>
      <c r="AE318" s="89"/>
      <c r="AF318" s="518"/>
      <c r="AG318" s="518"/>
      <c r="AH318" s="518"/>
      <c r="AI318" s="518"/>
      <c r="AJ318" s="89"/>
      <c r="AK318" s="518"/>
      <c r="AL318" s="518"/>
      <c r="AM318" s="518"/>
      <c r="AN318" s="518"/>
      <c r="AO318" s="89"/>
      <c r="AP318" s="518"/>
      <c r="AQ318" s="518"/>
      <c r="AR318" s="518"/>
      <c r="AS318" s="518"/>
      <c r="AT318" s="89"/>
      <c r="AU318" s="518"/>
      <c r="AV318" s="518"/>
      <c r="AW318" s="518"/>
      <c r="AX318" s="518"/>
      <c r="AY318" s="89"/>
      <c r="AZ318" s="518"/>
      <c r="BA318" s="518"/>
      <c r="BB318" s="518"/>
      <c r="BC318" s="518"/>
      <c r="BD318" s="89"/>
      <c r="BE318" s="518"/>
      <c r="BF318" s="518"/>
      <c r="BG318" s="518"/>
      <c r="BH318" s="518"/>
      <c r="BI318" s="89"/>
      <c r="BJ318" s="518"/>
      <c r="BK318" s="518"/>
      <c r="BL318" s="520"/>
      <c r="BM318" s="518"/>
      <c r="BN318" s="89"/>
      <c r="BO318" s="518"/>
      <c r="BP318" s="518"/>
      <c r="BQ318" s="518"/>
      <c r="BR318" s="518"/>
      <c r="BS318" s="89"/>
      <c r="BT318" s="89"/>
      <c r="BU318" s="89"/>
      <c r="BV318" s="89"/>
      <c r="BW318" s="295"/>
    </row>
    <row r="319" spans="1:75" s="467" customFormat="1" ht="15" hidden="1" customHeight="1" outlineLevel="2">
      <c r="A319" s="31" t="s">
        <v>353</v>
      </c>
      <c r="B319" s="294"/>
      <c r="C319" s="89"/>
      <c r="D319" s="89"/>
      <c r="E319" s="89"/>
      <c r="F319" s="89"/>
      <c r="G319" s="609">
        <v>0</v>
      </c>
      <c r="H319" s="609">
        <v>1.2E-2</v>
      </c>
      <c r="I319" s="609">
        <v>5.3999999999999999E-2</v>
      </c>
      <c r="J319" s="518">
        <f>4*K319-G319-H319-I319</f>
        <v>1.4000000000000005E-2</v>
      </c>
      <c r="K319" s="675">
        <v>0.02</v>
      </c>
      <c r="L319" s="609">
        <v>8.8999999999999996E-2</v>
      </c>
      <c r="M319" s="609">
        <v>0</v>
      </c>
      <c r="N319" s="609">
        <v>0</v>
      </c>
      <c r="O319" s="518">
        <f>N319</f>
        <v>0</v>
      </c>
      <c r="P319" s="675">
        <v>0</v>
      </c>
      <c r="Q319" s="609">
        <v>8.1000000000000003E-2</v>
      </c>
      <c r="R319" s="609">
        <v>2.1999999999999999E-2</v>
      </c>
      <c r="S319" s="609">
        <v>0</v>
      </c>
      <c r="T319" s="518">
        <f>S319</f>
        <v>0</v>
      </c>
      <c r="U319" s="675">
        <v>0</v>
      </c>
      <c r="V319" s="609">
        <v>0</v>
      </c>
      <c r="W319" s="609">
        <v>0</v>
      </c>
      <c r="X319" s="609">
        <v>0</v>
      </c>
      <c r="Y319" s="518">
        <f>4*Z319-V319-W319-X319</f>
        <v>0</v>
      </c>
      <c r="Z319" s="675">
        <v>0</v>
      </c>
      <c r="AA319" s="518"/>
      <c r="AB319" s="518"/>
      <c r="AC319" s="518"/>
      <c r="AD319" s="518"/>
      <c r="AE319" s="89"/>
      <c r="AF319" s="609">
        <v>8.5999999999999993E-2</v>
      </c>
      <c r="AG319" s="609">
        <v>0</v>
      </c>
      <c r="AH319" s="609">
        <v>0</v>
      </c>
      <c r="AI319" s="518">
        <f>AH319</f>
        <v>0</v>
      </c>
      <c r="AJ319" s="675">
        <v>0</v>
      </c>
      <c r="AK319" s="609">
        <v>0</v>
      </c>
      <c r="AL319" s="518"/>
      <c r="AM319" s="518"/>
      <c r="AN319" s="518"/>
      <c r="AO319" s="89"/>
      <c r="AP319" s="609">
        <v>0.24299999999999999</v>
      </c>
      <c r="AQ319" s="609">
        <v>4.8000000000000001E-2</v>
      </c>
      <c r="AR319" s="609">
        <v>0.22800000000000001</v>
      </c>
      <c r="AS319" s="518">
        <f>AR319</f>
        <v>0.22800000000000001</v>
      </c>
      <c r="AT319" s="675">
        <v>6.2E-2</v>
      </c>
      <c r="AU319" s="609">
        <v>0.21299999999999999</v>
      </c>
      <c r="AV319" s="609">
        <v>0</v>
      </c>
      <c r="AW319" s="609">
        <v>0</v>
      </c>
      <c r="AX319" s="518"/>
      <c r="AY319" s="89"/>
      <c r="AZ319" s="609">
        <v>0.22600000000000001</v>
      </c>
      <c r="BA319" s="518"/>
      <c r="BB319" s="518"/>
      <c r="BC319" s="518"/>
      <c r="BD319" s="89"/>
      <c r="BE319" s="609">
        <v>0.29899999999999999</v>
      </c>
      <c r="BF319" s="518"/>
      <c r="BG319" s="518"/>
      <c r="BH319" s="518"/>
      <c r="BI319" s="89"/>
      <c r="BJ319" s="518"/>
      <c r="BK319" s="518"/>
      <c r="BL319" s="520"/>
      <c r="BM319" s="518"/>
      <c r="BN319" s="89"/>
      <c r="BO319" s="518"/>
      <c r="BP319" s="518"/>
      <c r="BQ319" s="518"/>
      <c r="BR319" s="518"/>
      <c r="BS319" s="89"/>
      <c r="BT319" s="89"/>
      <c r="BU319" s="89"/>
      <c r="BV319" s="89"/>
      <c r="BW319" s="295"/>
    </row>
    <row r="320" spans="1:75" s="467" customFormat="1" ht="15" hidden="1" customHeight="1" outlineLevel="2">
      <c r="A320" s="80" t="s">
        <v>354</v>
      </c>
      <c r="B320" s="342"/>
      <c r="C320" s="674"/>
      <c r="D320" s="674"/>
      <c r="E320" s="674"/>
      <c r="F320" s="674"/>
      <c r="G320" s="611">
        <v>0</v>
      </c>
      <c r="H320" s="611">
        <v>0</v>
      </c>
      <c r="I320" s="611">
        <v>0</v>
      </c>
      <c r="J320" s="521"/>
      <c r="K320" s="674"/>
      <c r="L320" s="521"/>
      <c r="M320" s="521"/>
      <c r="N320" s="521"/>
      <c r="O320" s="521"/>
      <c r="P320" s="674"/>
      <c r="Q320" s="521"/>
      <c r="R320" s="521"/>
      <c r="S320" s="521"/>
      <c r="T320" s="521"/>
      <c r="U320" s="674"/>
      <c r="V320" s="521"/>
      <c r="W320" s="521"/>
      <c r="X320" s="521"/>
      <c r="Y320" s="521"/>
      <c r="Z320" s="674"/>
      <c r="AA320" s="521"/>
      <c r="AB320" s="521"/>
      <c r="AC320" s="521"/>
      <c r="AD320" s="521"/>
      <c r="AE320" s="674"/>
      <c r="AF320" s="521"/>
      <c r="AG320" s="611">
        <v>1.0999999999999999E-2</v>
      </c>
      <c r="AH320" s="611">
        <v>4.9000000000000002E-2</v>
      </c>
      <c r="AI320" s="521">
        <f>AH320</f>
        <v>4.9000000000000002E-2</v>
      </c>
      <c r="AJ320" s="718">
        <v>1.4999999999999999E-2</v>
      </c>
      <c r="AK320" s="611">
        <v>5.2999999999999999E-2</v>
      </c>
      <c r="AL320" s="611">
        <v>7.0000000000000001E-3</v>
      </c>
      <c r="AM320" s="611">
        <v>0.11600000000000001</v>
      </c>
      <c r="AN320" s="521">
        <f>AM320</f>
        <v>0.11600000000000001</v>
      </c>
      <c r="AO320" s="718">
        <v>2E-3</v>
      </c>
      <c r="AP320" s="521"/>
      <c r="AQ320" s="521"/>
      <c r="AR320" s="521"/>
      <c r="AS320" s="521"/>
      <c r="AT320" s="674"/>
      <c r="AU320" s="521"/>
      <c r="AV320" s="611">
        <v>8.0000000000000002E-3</v>
      </c>
      <c r="AW320" s="611">
        <v>0.11799999999999999</v>
      </c>
      <c r="AX320" s="521">
        <f>AW320</f>
        <v>0.11799999999999999</v>
      </c>
      <c r="AY320" s="718">
        <v>2E-3</v>
      </c>
      <c r="AZ320" s="521"/>
      <c r="BA320" s="611">
        <v>0.01</v>
      </c>
      <c r="BB320" s="611">
        <v>0.158</v>
      </c>
      <c r="BC320" s="521">
        <f>BB320</f>
        <v>0.158</v>
      </c>
      <c r="BD320" s="718">
        <v>3.0000000000000001E-3</v>
      </c>
      <c r="BE320" s="521"/>
      <c r="BF320" s="611">
        <v>0.01</v>
      </c>
      <c r="BG320" s="611">
        <v>0.13600000000000001</v>
      </c>
      <c r="BH320" s="521">
        <f>BG320</f>
        <v>0.13600000000000001</v>
      </c>
      <c r="BI320" s="718">
        <v>2E-3</v>
      </c>
      <c r="BJ320" s="611">
        <v>0.14699999999999999</v>
      </c>
      <c r="BK320" s="611">
        <v>5.0000000000000001E-3</v>
      </c>
      <c r="BL320" s="612">
        <v>0.128</v>
      </c>
      <c r="BM320" s="521"/>
      <c r="BN320" s="674"/>
      <c r="BO320" s="521"/>
      <c r="BP320" s="521"/>
      <c r="BQ320" s="521"/>
      <c r="BR320" s="521"/>
      <c r="BS320" s="674"/>
      <c r="BT320" s="674"/>
      <c r="BU320" s="674"/>
      <c r="BV320" s="674"/>
      <c r="BW320" s="295"/>
    </row>
    <row r="321" spans="1:75" s="467" customFormat="1" ht="15" hidden="1" customHeight="1" outlineLevel="1" collapsed="1">
      <c r="A321" s="23" t="s">
        <v>355</v>
      </c>
      <c r="B321" s="294"/>
      <c r="C321" s="89"/>
      <c r="D321" s="89"/>
      <c r="E321" s="89"/>
      <c r="F321" s="89"/>
      <c r="G321" s="518">
        <f t="shared" ref="G321:AL321" si="640">SUM(G319:G320)</f>
        <v>0</v>
      </c>
      <c r="H321" s="518">
        <f t="shared" si="640"/>
        <v>1.2E-2</v>
      </c>
      <c r="I321" s="518">
        <f t="shared" si="640"/>
        <v>5.3999999999999999E-2</v>
      </c>
      <c r="J321" s="519">
        <f t="shared" si="640"/>
        <v>1.4000000000000005E-2</v>
      </c>
      <c r="K321" s="89">
        <f t="shared" si="640"/>
        <v>0.02</v>
      </c>
      <c r="L321" s="518">
        <f t="shared" si="640"/>
        <v>8.8999999999999996E-2</v>
      </c>
      <c r="M321" s="518">
        <f t="shared" si="640"/>
        <v>0</v>
      </c>
      <c r="N321" s="518">
        <f t="shared" si="640"/>
        <v>0</v>
      </c>
      <c r="O321" s="518">
        <f t="shared" si="640"/>
        <v>0</v>
      </c>
      <c r="P321" s="89">
        <f t="shared" si="640"/>
        <v>0</v>
      </c>
      <c r="Q321" s="518">
        <f t="shared" si="640"/>
        <v>8.1000000000000003E-2</v>
      </c>
      <c r="R321" s="518">
        <f t="shared" si="640"/>
        <v>2.1999999999999999E-2</v>
      </c>
      <c r="S321" s="518">
        <f t="shared" si="640"/>
        <v>0</v>
      </c>
      <c r="T321" s="518">
        <f t="shared" si="640"/>
        <v>0</v>
      </c>
      <c r="U321" s="89">
        <f t="shared" si="640"/>
        <v>0</v>
      </c>
      <c r="V321" s="518">
        <f t="shared" si="640"/>
        <v>0</v>
      </c>
      <c r="W321" s="518">
        <f t="shared" si="640"/>
        <v>0</v>
      </c>
      <c r="X321" s="518">
        <f t="shared" si="640"/>
        <v>0</v>
      </c>
      <c r="Y321" s="518">
        <f t="shared" si="640"/>
        <v>0</v>
      </c>
      <c r="Z321" s="89">
        <f t="shared" si="640"/>
        <v>0</v>
      </c>
      <c r="AA321" s="518">
        <f t="shared" si="640"/>
        <v>0</v>
      </c>
      <c r="AB321" s="518">
        <f t="shared" si="640"/>
        <v>0</v>
      </c>
      <c r="AC321" s="518">
        <f t="shared" si="640"/>
        <v>0</v>
      </c>
      <c r="AD321" s="518">
        <f t="shared" si="640"/>
        <v>0</v>
      </c>
      <c r="AE321" s="89">
        <f t="shared" si="640"/>
        <v>0</v>
      </c>
      <c r="AF321" s="518">
        <f t="shared" si="640"/>
        <v>8.5999999999999993E-2</v>
      </c>
      <c r="AG321" s="518">
        <f t="shared" si="640"/>
        <v>1.0999999999999999E-2</v>
      </c>
      <c r="AH321" s="518">
        <f t="shared" si="640"/>
        <v>4.9000000000000002E-2</v>
      </c>
      <c r="AI321" s="518">
        <f t="shared" si="640"/>
        <v>4.9000000000000002E-2</v>
      </c>
      <c r="AJ321" s="89">
        <f t="shared" si="640"/>
        <v>1.4999999999999999E-2</v>
      </c>
      <c r="AK321" s="518">
        <f t="shared" si="640"/>
        <v>5.2999999999999999E-2</v>
      </c>
      <c r="AL321" s="518">
        <f t="shared" si="640"/>
        <v>7.0000000000000001E-3</v>
      </c>
      <c r="AM321" s="518">
        <f t="shared" ref="AM321:BL321" si="641">SUM(AM319:AM320)</f>
        <v>0.11600000000000001</v>
      </c>
      <c r="AN321" s="518">
        <f t="shared" si="641"/>
        <v>0.11600000000000001</v>
      </c>
      <c r="AO321" s="89">
        <f t="shared" si="641"/>
        <v>2E-3</v>
      </c>
      <c r="AP321" s="518">
        <f t="shared" si="641"/>
        <v>0.24299999999999999</v>
      </c>
      <c r="AQ321" s="518">
        <f t="shared" si="641"/>
        <v>4.8000000000000001E-2</v>
      </c>
      <c r="AR321" s="518">
        <f t="shared" si="641"/>
        <v>0.22800000000000001</v>
      </c>
      <c r="AS321" s="518">
        <f t="shared" si="641"/>
        <v>0.22800000000000001</v>
      </c>
      <c r="AT321" s="89">
        <f t="shared" si="641"/>
        <v>6.2E-2</v>
      </c>
      <c r="AU321" s="518">
        <f t="shared" si="641"/>
        <v>0.21299999999999999</v>
      </c>
      <c r="AV321" s="518">
        <f t="shared" si="641"/>
        <v>8.0000000000000002E-3</v>
      </c>
      <c r="AW321" s="518">
        <f t="shared" si="641"/>
        <v>0.11799999999999999</v>
      </c>
      <c r="AX321" s="518">
        <f t="shared" si="641"/>
        <v>0.11799999999999999</v>
      </c>
      <c r="AY321" s="89">
        <f t="shared" si="641"/>
        <v>2E-3</v>
      </c>
      <c r="AZ321" s="518">
        <f t="shared" si="641"/>
        <v>0.22600000000000001</v>
      </c>
      <c r="BA321" s="518">
        <f t="shared" si="641"/>
        <v>0.01</v>
      </c>
      <c r="BB321" s="518">
        <f t="shared" si="641"/>
        <v>0.158</v>
      </c>
      <c r="BC321" s="518">
        <f t="shared" si="641"/>
        <v>0.158</v>
      </c>
      <c r="BD321" s="89">
        <f t="shared" si="641"/>
        <v>3.0000000000000001E-3</v>
      </c>
      <c r="BE321" s="518">
        <f t="shared" ref="BE321" si="642">SUM(BE319:BE320)</f>
        <v>0.29899999999999999</v>
      </c>
      <c r="BF321" s="518">
        <f t="shared" si="641"/>
        <v>0.01</v>
      </c>
      <c r="BG321" s="518">
        <f t="shared" si="641"/>
        <v>0.13600000000000001</v>
      </c>
      <c r="BH321" s="518">
        <f t="shared" si="641"/>
        <v>0.13600000000000001</v>
      </c>
      <c r="BI321" s="89">
        <f t="shared" si="641"/>
        <v>2E-3</v>
      </c>
      <c r="BJ321" s="518">
        <f t="shared" si="641"/>
        <v>0.14699999999999999</v>
      </c>
      <c r="BK321" s="518">
        <f t="shared" si="641"/>
        <v>5.0000000000000001E-3</v>
      </c>
      <c r="BL321" s="520">
        <f t="shared" si="641"/>
        <v>0.128</v>
      </c>
      <c r="BM321" s="518"/>
      <c r="BN321" s="89"/>
      <c r="BO321" s="518"/>
      <c r="BP321" s="518"/>
      <c r="BQ321" s="518"/>
      <c r="BR321" s="518"/>
      <c r="BS321" s="89"/>
      <c r="BT321" s="89"/>
      <c r="BU321" s="89"/>
      <c r="BV321" s="89"/>
      <c r="BW321" s="295"/>
    </row>
    <row r="322" spans="1:75" s="467" customFormat="1" ht="15" hidden="1" customHeight="1" outlineLevel="1">
      <c r="A322" s="23"/>
      <c r="B322" s="294"/>
      <c r="C322" s="89"/>
      <c r="D322" s="89"/>
      <c r="E322" s="89"/>
      <c r="F322" s="89"/>
      <c r="G322" s="518"/>
      <c r="H322" s="518"/>
      <c r="I322" s="518"/>
      <c r="J322" s="518"/>
      <c r="K322" s="89"/>
      <c r="L322" s="518"/>
      <c r="M322" s="518"/>
      <c r="N322" s="518"/>
      <c r="O322" s="518"/>
      <c r="P322" s="89"/>
      <c r="Q322" s="518"/>
      <c r="R322" s="518"/>
      <c r="S322" s="518"/>
      <c r="T322" s="518"/>
      <c r="U322" s="89"/>
      <c r="V322" s="518"/>
      <c r="W322" s="518"/>
      <c r="X322" s="518"/>
      <c r="Y322" s="518"/>
      <c r="Z322" s="89"/>
      <c r="AA322" s="518"/>
      <c r="AB322" s="518"/>
      <c r="AC322" s="518"/>
      <c r="AD322" s="518"/>
      <c r="AE322" s="89"/>
      <c r="AF322" s="518"/>
      <c r="AG322" s="518"/>
      <c r="AH322" s="518"/>
      <c r="AI322" s="518"/>
      <c r="AJ322" s="89"/>
      <c r="AK322" s="518"/>
      <c r="AL322" s="518"/>
      <c r="AM322" s="518"/>
      <c r="AN322" s="518"/>
      <c r="AO322" s="89"/>
      <c r="AP322" s="518"/>
      <c r="AQ322" s="518"/>
      <c r="AR322" s="518"/>
      <c r="AS322" s="518"/>
      <c r="AT322" s="89"/>
      <c r="AU322" s="518"/>
      <c r="AV322" s="518"/>
      <c r="AW322" s="518"/>
      <c r="AX322" s="518"/>
      <c r="AY322" s="89"/>
      <c r="AZ322" s="518"/>
      <c r="BA322" s="518"/>
      <c r="BB322" s="518"/>
      <c r="BC322" s="518"/>
      <c r="BD322" s="89"/>
      <c r="BE322" s="518"/>
      <c r="BF322" s="518"/>
      <c r="BG322" s="518"/>
      <c r="BH322" s="518"/>
      <c r="BI322" s="89"/>
      <c r="BJ322" s="518"/>
      <c r="BK322" s="518"/>
      <c r="BL322" s="520"/>
      <c r="BM322" s="518"/>
      <c r="BN322" s="89"/>
      <c r="BO322" s="518"/>
      <c r="BP322" s="518"/>
      <c r="BQ322" s="518"/>
      <c r="BR322" s="518"/>
      <c r="BS322" s="89"/>
      <c r="BT322" s="89"/>
      <c r="BU322" s="89"/>
      <c r="BV322" s="89"/>
      <c r="BW322" s="295"/>
    </row>
    <row r="323" spans="1:75" s="467" customFormat="1" ht="15" hidden="1" customHeight="1" outlineLevel="2">
      <c r="A323" s="31" t="s">
        <v>356</v>
      </c>
      <c r="B323" s="294"/>
      <c r="C323" s="89"/>
      <c r="D323" s="89"/>
      <c r="E323" s="89"/>
      <c r="F323" s="675">
        <v>0.115971</v>
      </c>
      <c r="G323" s="609">
        <v>0.106</v>
      </c>
      <c r="H323" s="609">
        <v>9.7000000000000003E-2</v>
      </c>
      <c r="I323" s="609">
        <v>8.7999999999999995E-2</v>
      </c>
      <c r="J323" s="519">
        <f>K323</f>
        <v>7.3469999999999994E-2</v>
      </c>
      <c r="K323" s="675">
        <v>7.3469999999999994E-2</v>
      </c>
      <c r="L323" s="609">
        <v>6.3782000000000005E-2</v>
      </c>
      <c r="M323" s="609">
        <v>5.4406999999999997E-2</v>
      </c>
      <c r="N323" s="609">
        <v>4.5032000000000003E-2</v>
      </c>
      <c r="O323" s="518">
        <f>P323</f>
        <v>3.0970000000000001E-2</v>
      </c>
      <c r="P323" s="675">
        <v>3.0970000000000001E-2</v>
      </c>
      <c r="Q323" s="609">
        <v>2.1283E-2</v>
      </c>
      <c r="R323" s="609">
        <v>1.0658000000000001E-2</v>
      </c>
      <c r="S323" s="609">
        <v>3.7490000000000002E-3</v>
      </c>
      <c r="T323" s="518">
        <f>U323</f>
        <v>3.1199999999999999E-4</v>
      </c>
      <c r="U323" s="675">
        <v>3.1199999999999999E-4</v>
      </c>
      <c r="V323" s="518"/>
      <c r="W323" s="518"/>
      <c r="X323" s="518"/>
      <c r="Y323" s="518"/>
      <c r="Z323" s="89"/>
      <c r="AA323" s="518"/>
      <c r="AB323" s="518"/>
      <c r="AC323" s="518"/>
      <c r="AD323" s="518"/>
      <c r="AE323" s="89"/>
      <c r="AF323" s="518"/>
      <c r="AG323" s="518"/>
      <c r="AH323" s="518"/>
      <c r="AI323" s="518"/>
      <c r="AJ323" s="89"/>
      <c r="AK323" s="518"/>
      <c r="AL323" s="518"/>
      <c r="AM323" s="518"/>
      <c r="AN323" s="518"/>
      <c r="AO323" s="89"/>
      <c r="AP323" s="518"/>
      <c r="AQ323" s="518"/>
      <c r="AR323" s="518"/>
      <c r="AS323" s="518"/>
      <c r="AT323" s="89"/>
      <c r="AU323" s="518"/>
      <c r="AV323" s="518"/>
      <c r="AW323" s="518"/>
      <c r="AX323" s="518"/>
      <c r="AY323" s="89"/>
      <c r="AZ323" s="518"/>
      <c r="BA323" s="518"/>
      <c r="BB323" s="518"/>
      <c r="BC323" s="518"/>
      <c r="BD323" s="89"/>
      <c r="BE323" s="518"/>
      <c r="BF323" s="518"/>
      <c r="BG323" s="518"/>
      <c r="BH323" s="518"/>
      <c r="BI323" s="89"/>
      <c r="BJ323" s="518"/>
      <c r="BK323" s="518"/>
      <c r="BL323" s="520"/>
      <c r="BM323" s="518"/>
      <c r="BN323" s="89"/>
      <c r="BO323" s="518"/>
      <c r="BP323" s="518"/>
      <c r="BQ323" s="518"/>
      <c r="BR323" s="518"/>
      <c r="BS323" s="89"/>
      <c r="BT323" s="89"/>
      <c r="BU323" s="89"/>
      <c r="BV323" s="89"/>
      <c r="BW323" s="295"/>
    </row>
    <row r="324" spans="1:75" s="469" customFormat="1" ht="15" hidden="1" customHeight="1" outlineLevel="2">
      <c r="A324" s="335" t="s">
        <v>357</v>
      </c>
      <c r="B324" s="339"/>
      <c r="C324" s="742"/>
      <c r="D324" s="742"/>
      <c r="E324" s="742"/>
      <c r="F324" s="743">
        <v>9.39</v>
      </c>
      <c r="G324" s="340"/>
      <c r="H324" s="340"/>
      <c r="I324" s="340"/>
      <c r="J324" s="340"/>
      <c r="K324" s="743">
        <v>9.41</v>
      </c>
      <c r="L324" s="636">
        <v>9.4499999999999993</v>
      </c>
      <c r="M324" s="636">
        <v>9.51</v>
      </c>
      <c r="N324" s="636">
        <v>9.6</v>
      </c>
      <c r="O324" s="340">
        <f>P324</f>
        <v>9.48</v>
      </c>
      <c r="P324" s="743">
        <v>9.48</v>
      </c>
      <c r="Q324" s="636">
        <v>9.6300000000000008</v>
      </c>
      <c r="R324" s="636">
        <v>9.9</v>
      </c>
      <c r="S324" s="636">
        <v>11.42</v>
      </c>
      <c r="T324" s="340">
        <f>U324</f>
        <v>11.68</v>
      </c>
      <c r="U324" s="743">
        <v>11.68</v>
      </c>
      <c r="V324" s="340"/>
      <c r="W324" s="340"/>
      <c r="X324" s="340"/>
      <c r="Y324" s="340"/>
      <c r="Z324" s="742"/>
      <c r="AA324" s="340"/>
      <c r="AB324" s="340"/>
      <c r="AC324" s="340"/>
      <c r="AD324" s="340"/>
      <c r="AE324" s="742"/>
      <c r="AF324" s="340"/>
      <c r="AG324" s="340"/>
      <c r="AH324" s="340"/>
      <c r="AI324" s="340"/>
      <c r="AJ324" s="742"/>
      <c r="AK324" s="340"/>
      <c r="AL324" s="340"/>
      <c r="AM324" s="340"/>
      <c r="AN324" s="340"/>
      <c r="AO324" s="742"/>
      <c r="AP324" s="340"/>
      <c r="AQ324" s="340"/>
      <c r="AR324" s="340"/>
      <c r="AS324" s="340"/>
      <c r="AT324" s="742"/>
      <c r="AU324" s="340"/>
      <c r="AV324" s="340"/>
      <c r="AW324" s="340"/>
      <c r="AX324" s="340"/>
      <c r="AY324" s="742"/>
      <c r="AZ324" s="340"/>
      <c r="BA324" s="340"/>
      <c r="BB324" s="340"/>
      <c r="BC324" s="340"/>
      <c r="BD324" s="742"/>
      <c r="BE324" s="340"/>
      <c r="BF324" s="340"/>
      <c r="BG324" s="340"/>
      <c r="BH324" s="340"/>
      <c r="BI324" s="742"/>
      <c r="BJ324" s="340"/>
      <c r="BK324" s="340"/>
      <c r="BL324" s="408"/>
      <c r="BM324" s="340"/>
      <c r="BN324" s="742"/>
      <c r="BO324" s="340"/>
      <c r="BP324" s="340"/>
      <c r="BQ324" s="340"/>
      <c r="BR324" s="340"/>
      <c r="BS324" s="742"/>
      <c r="BT324" s="742"/>
      <c r="BU324" s="742"/>
      <c r="BV324" s="742"/>
      <c r="BW324" s="338"/>
    </row>
    <row r="325" spans="1:75" s="467" customFormat="1" ht="15" hidden="1" customHeight="1" outlineLevel="1" collapsed="1">
      <c r="A325" s="23" t="s">
        <v>358</v>
      </c>
      <c r="B325" s="294"/>
      <c r="C325" s="89"/>
      <c r="D325" s="89"/>
      <c r="E325" s="89"/>
      <c r="F325" s="89">
        <f>F323</f>
        <v>0.115971</v>
      </c>
      <c r="G325" s="518">
        <f t="shared" ref="G325:U325" si="643">G323</f>
        <v>0.106</v>
      </c>
      <c r="H325" s="518">
        <f t="shared" si="643"/>
        <v>9.7000000000000003E-2</v>
      </c>
      <c r="I325" s="518">
        <f t="shared" si="643"/>
        <v>8.7999999999999995E-2</v>
      </c>
      <c r="J325" s="518">
        <f t="shared" si="643"/>
        <v>7.3469999999999994E-2</v>
      </c>
      <c r="K325" s="89">
        <f t="shared" si="643"/>
        <v>7.3469999999999994E-2</v>
      </c>
      <c r="L325" s="518">
        <f t="shared" si="643"/>
        <v>6.3782000000000005E-2</v>
      </c>
      <c r="M325" s="518">
        <f t="shared" si="643"/>
        <v>5.4406999999999997E-2</v>
      </c>
      <c r="N325" s="518">
        <f t="shared" si="643"/>
        <v>4.5032000000000003E-2</v>
      </c>
      <c r="O325" s="518">
        <f t="shared" si="643"/>
        <v>3.0970000000000001E-2</v>
      </c>
      <c r="P325" s="89">
        <f t="shared" si="643"/>
        <v>3.0970000000000001E-2</v>
      </c>
      <c r="Q325" s="518">
        <f t="shared" si="643"/>
        <v>2.1283E-2</v>
      </c>
      <c r="R325" s="518">
        <f t="shared" si="643"/>
        <v>1.0658000000000001E-2</v>
      </c>
      <c r="S325" s="518">
        <f t="shared" si="643"/>
        <v>3.7490000000000002E-3</v>
      </c>
      <c r="T325" s="518">
        <f t="shared" si="643"/>
        <v>3.1199999999999999E-4</v>
      </c>
      <c r="U325" s="89">
        <f t="shared" si="643"/>
        <v>3.1199999999999999E-4</v>
      </c>
      <c r="V325" s="518"/>
      <c r="W325" s="518"/>
      <c r="X325" s="518"/>
      <c r="Y325" s="518"/>
      <c r="Z325" s="89"/>
      <c r="AA325" s="518"/>
      <c r="AB325" s="518"/>
      <c r="AC325" s="518"/>
      <c r="AD325" s="518"/>
      <c r="AE325" s="89"/>
      <c r="AF325" s="518"/>
      <c r="AG325" s="518"/>
      <c r="AH325" s="518"/>
      <c r="AI325" s="518"/>
      <c r="AJ325" s="89"/>
      <c r="AK325" s="518"/>
      <c r="AL325" s="518"/>
      <c r="AM325" s="518"/>
      <c r="AN325" s="518"/>
      <c r="AO325" s="89"/>
      <c r="AP325" s="518"/>
      <c r="AQ325" s="518"/>
      <c r="AR325" s="518"/>
      <c r="AS325" s="518"/>
      <c r="AT325" s="89"/>
      <c r="AU325" s="518"/>
      <c r="AV325" s="518"/>
      <c r="AW325" s="518"/>
      <c r="AX325" s="518"/>
      <c r="AY325" s="89"/>
      <c r="AZ325" s="518"/>
      <c r="BA325" s="518"/>
      <c r="BB325" s="518"/>
      <c r="BC325" s="518"/>
      <c r="BD325" s="89"/>
      <c r="BE325" s="518"/>
      <c r="BF325" s="518"/>
      <c r="BG325" s="518"/>
      <c r="BH325" s="518"/>
      <c r="BI325" s="89"/>
      <c r="BJ325" s="518"/>
      <c r="BK325" s="518"/>
      <c r="BL325" s="520"/>
      <c r="BM325" s="518"/>
      <c r="BN325" s="89"/>
      <c r="BO325" s="518"/>
      <c r="BP325" s="518"/>
      <c r="BQ325" s="518"/>
      <c r="BR325" s="518"/>
      <c r="BS325" s="89"/>
      <c r="BT325" s="89"/>
      <c r="BU325" s="89"/>
      <c r="BV325" s="89"/>
      <c r="BW325" s="295"/>
    </row>
    <row r="326" spans="1:75" s="467" customFormat="1" ht="15" hidden="1" customHeight="1" outlineLevel="1">
      <c r="A326" s="521"/>
      <c r="B326" s="342"/>
      <c r="C326" s="674"/>
      <c r="D326" s="674"/>
      <c r="E326" s="674"/>
      <c r="F326" s="674"/>
      <c r="G326" s="521"/>
      <c r="H326" s="521"/>
      <c r="I326" s="521"/>
      <c r="J326" s="521"/>
      <c r="K326" s="674"/>
      <c r="L326" s="521"/>
      <c r="M326" s="521"/>
      <c r="N326" s="521"/>
      <c r="O326" s="521"/>
      <c r="P326" s="674"/>
      <c r="Q326" s="521"/>
      <c r="R326" s="521"/>
      <c r="S326" s="521"/>
      <c r="T326" s="521"/>
      <c r="U326" s="674"/>
      <c r="V326" s="521"/>
      <c r="W326" s="521"/>
      <c r="X326" s="521"/>
      <c r="Y326" s="521"/>
      <c r="Z326" s="674"/>
      <c r="AA326" s="521"/>
      <c r="AB326" s="521"/>
      <c r="AC326" s="521"/>
      <c r="AD326" s="521"/>
      <c r="AE326" s="674"/>
      <c r="AF326" s="521"/>
      <c r="AG326" s="521"/>
      <c r="AH326" s="521"/>
      <c r="AI326" s="521"/>
      <c r="AJ326" s="674"/>
      <c r="AK326" s="521"/>
      <c r="AL326" s="521"/>
      <c r="AM326" s="521"/>
      <c r="AN326" s="521"/>
      <c r="AO326" s="674"/>
      <c r="AP326" s="521"/>
      <c r="AQ326" s="521"/>
      <c r="AR326" s="521"/>
      <c r="AS326" s="521"/>
      <c r="AT326" s="674"/>
      <c r="AU326" s="521"/>
      <c r="AV326" s="521"/>
      <c r="AW326" s="521"/>
      <c r="AX326" s="521"/>
      <c r="AY326" s="674"/>
      <c r="AZ326" s="521"/>
      <c r="BA326" s="521"/>
      <c r="BB326" s="521"/>
      <c r="BC326" s="521"/>
      <c r="BD326" s="674"/>
      <c r="BE326" s="521"/>
      <c r="BF326" s="521"/>
      <c r="BG326" s="521"/>
      <c r="BH326" s="521"/>
      <c r="BI326" s="674"/>
      <c r="BJ326" s="521"/>
      <c r="BK326" s="521"/>
      <c r="BL326" s="522"/>
      <c r="BM326" s="521"/>
      <c r="BN326" s="674"/>
      <c r="BO326" s="521"/>
      <c r="BP326" s="521"/>
      <c r="BQ326" s="521"/>
      <c r="BR326" s="521"/>
      <c r="BS326" s="674"/>
      <c r="BT326" s="674"/>
      <c r="BU326" s="674"/>
      <c r="BV326" s="674"/>
      <c r="BW326" s="295"/>
    </row>
    <row r="327" spans="1:75" s="471" customFormat="1" ht="15" hidden="1" customHeight="1" outlineLevel="1">
      <c r="A327" s="346" t="s">
        <v>359</v>
      </c>
      <c r="B327" s="343"/>
      <c r="C327" s="700"/>
      <c r="D327" s="700"/>
      <c r="E327" s="700"/>
      <c r="F327" s="700">
        <f t="shared" ref="F327:AK327" si="644">SUM(F325,F321,F316,F311)</f>
        <v>5.1533832533121346</v>
      </c>
      <c r="G327" s="523">
        <f t="shared" si="644"/>
        <v>5.7196277098270762</v>
      </c>
      <c r="H327" s="523">
        <f t="shared" si="644"/>
        <v>7.026008545297671</v>
      </c>
      <c r="I327" s="523">
        <f t="shared" si="644"/>
        <v>9.073798713592943</v>
      </c>
      <c r="J327" s="523">
        <f t="shared" si="644"/>
        <v>8.5647451681563371</v>
      </c>
      <c r="K327" s="700">
        <f t="shared" si="644"/>
        <v>8.5707451681563391</v>
      </c>
      <c r="L327" s="523">
        <f t="shared" si="644"/>
        <v>8.4923511872056512</v>
      </c>
      <c r="M327" s="523">
        <f t="shared" si="644"/>
        <v>8.2968182731625237</v>
      </c>
      <c r="N327" s="523">
        <f t="shared" si="644"/>
        <v>7.6497266159045152</v>
      </c>
      <c r="O327" s="523">
        <f t="shared" si="644"/>
        <v>6.9281683915929193</v>
      </c>
      <c r="P327" s="700">
        <f t="shared" si="644"/>
        <v>6.9281683915929193</v>
      </c>
      <c r="Q327" s="523">
        <f t="shared" si="644"/>
        <v>6.778549612998523</v>
      </c>
      <c r="R327" s="523">
        <f t="shared" si="644"/>
        <v>6.6512739806922543</v>
      </c>
      <c r="S327" s="523">
        <f t="shared" si="644"/>
        <v>2.9088456263008524</v>
      </c>
      <c r="T327" s="523">
        <f t="shared" si="644"/>
        <v>6.2199062980530986</v>
      </c>
      <c r="U327" s="700">
        <f t="shared" si="644"/>
        <v>6.2199062980530968</v>
      </c>
      <c r="V327" s="523">
        <f t="shared" si="644"/>
        <v>5.8235099999999997</v>
      </c>
      <c r="W327" s="523">
        <f t="shared" si="644"/>
        <v>8.8760996602739723</v>
      </c>
      <c r="X327" s="523">
        <f t="shared" si="644"/>
        <v>10.986151496339676</v>
      </c>
      <c r="Y327" s="523">
        <f t="shared" si="644"/>
        <v>10.543677987673746</v>
      </c>
      <c r="Z327" s="700">
        <f t="shared" si="644"/>
        <v>10.543677987673746</v>
      </c>
      <c r="AA327" s="523">
        <f t="shared" si="644"/>
        <v>10.070728520295201</v>
      </c>
      <c r="AB327" s="523">
        <f t="shared" si="644"/>
        <v>9.3933889611910324</v>
      </c>
      <c r="AC327" s="523">
        <f t="shared" si="644"/>
        <v>11.120498245265589</v>
      </c>
      <c r="AD327" s="523">
        <f t="shared" si="644"/>
        <v>10.498495522402287</v>
      </c>
      <c r="AE327" s="700">
        <f t="shared" si="644"/>
        <v>10.498495522402287</v>
      </c>
      <c r="AF327" s="523">
        <f t="shared" si="644"/>
        <v>10.570943335568861</v>
      </c>
      <c r="AG327" s="523">
        <f t="shared" si="644"/>
        <v>9.757100191424195</v>
      </c>
      <c r="AH327" s="523">
        <f t="shared" si="644"/>
        <v>10.297716586382114</v>
      </c>
      <c r="AI327" s="523">
        <f t="shared" si="644"/>
        <v>8.5701139633933749</v>
      </c>
      <c r="AJ327" s="700">
        <f t="shared" si="644"/>
        <v>8.5361139633933742</v>
      </c>
      <c r="AK327" s="523">
        <f t="shared" si="644"/>
        <v>9.3843063773913045</v>
      </c>
      <c r="AL327" s="523">
        <f t="shared" ref="AL327:BJ327" si="645">SUM(AL325,AL321,AL316,AL311)</f>
        <v>8.9239914967817437</v>
      </c>
      <c r="AM327" s="523">
        <f t="shared" si="645"/>
        <v>8.9333735883207428</v>
      </c>
      <c r="AN327" s="523">
        <f t="shared" si="645"/>
        <v>9.4441418311162515</v>
      </c>
      <c r="AO327" s="700">
        <f t="shared" si="645"/>
        <v>9.3301418311162507</v>
      </c>
      <c r="AP327" s="523">
        <f t="shared" si="645"/>
        <v>9.2699820000000006</v>
      </c>
      <c r="AQ327" s="523">
        <f t="shared" si="645"/>
        <v>7.9239410000000001</v>
      </c>
      <c r="AR327" s="523">
        <f t="shared" si="645"/>
        <v>7.4759919999999997</v>
      </c>
      <c r="AS327" s="523">
        <f t="shared" si="645"/>
        <v>10.241474389380532</v>
      </c>
      <c r="AT327" s="700">
        <f t="shared" si="645"/>
        <v>10.075474389380531</v>
      </c>
      <c r="AU327" s="523">
        <f t="shared" si="645"/>
        <v>13.087116745916514</v>
      </c>
      <c r="AV327" s="523">
        <f t="shared" si="645"/>
        <v>11.821247442407726</v>
      </c>
      <c r="AW327" s="523">
        <f t="shared" si="645"/>
        <v>11.333482176935227</v>
      </c>
      <c r="AX327" s="523">
        <f t="shared" si="645"/>
        <v>10.558277437499999</v>
      </c>
      <c r="AY327" s="700">
        <f t="shared" si="645"/>
        <v>10.4422774375</v>
      </c>
      <c r="AZ327" s="523">
        <f t="shared" si="645"/>
        <v>13.196635277330264</v>
      </c>
      <c r="BA327" s="523">
        <f t="shared" si="645"/>
        <v>11.577</v>
      </c>
      <c r="BB327" s="523">
        <f t="shared" si="645"/>
        <v>11.011209584838614</v>
      </c>
      <c r="BC327" s="523">
        <f t="shared" si="645"/>
        <v>10.119999999999999</v>
      </c>
      <c r="BD327" s="700">
        <f t="shared" si="645"/>
        <v>9.9649999999999999</v>
      </c>
      <c r="BE327" s="523">
        <f t="shared" si="645"/>
        <v>14.32</v>
      </c>
      <c r="BF327" s="523">
        <f t="shared" si="645"/>
        <v>12.650445221826157</v>
      </c>
      <c r="BG327" s="523">
        <f t="shared" si="645"/>
        <v>11.935252843471988</v>
      </c>
      <c r="BH327" s="523">
        <f t="shared" si="645"/>
        <v>10.763055496408956</v>
      </c>
      <c r="BI327" s="700">
        <f t="shared" si="645"/>
        <v>10.629055496408958</v>
      </c>
      <c r="BJ327" s="318">
        <f t="shared" si="645"/>
        <v>10.889639678172589</v>
      </c>
      <c r="BK327" s="523">
        <f t="shared" ref="BK327:BL327" si="646">SUM(BK325,BK321,BK316,BK311)</f>
        <v>9.2302782311231404</v>
      </c>
      <c r="BL327" s="563">
        <f t="shared" si="646"/>
        <v>7.9610836871956456</v>
      </c>
      <c r="BM327" s="523"/>
      <c r="BN327" s="700"/>
      <c r="BO327" s="523"/>
      <c r="BP327" s="523"/>
      <c r="BQ327" s="523"/>
      <c r="BR327" s="523"/>
      <c r="BS327" s="700"/>
      <c r="BT327" s="700"/>
      <c r="BU327" s="700"/>
      <c r="BV327" s="700"/>
      <c r="BW327" s="344"/>
    </row>
    <row r="328" spans="1:75" s="467" customFormat="1" ht="8.25" hidden="1" customHeight="1" outlineLevel="1">
      <c r="A328" s="518"/>
      <c r="B328" s="294"/>
      <c r="C328" s="89"/>
      <c r="D328" s="89"/>
      <c r="E328" s="89"/>
      <c r="F328" s="89"/>
      <c r="G328" s="518"/>
      <c r="H328" s="518"/>
      <c r="I328" s="518"/>
      <c r="J328" s="518"/>
      <c r="K328" s="89"/>
      <c r="L328" s="518"/>
      <c r="M328" s="518"/>
      <c r="N328" s="518"/>
      <c r="O328" s="518"/>
      <c r="P328" s="89"/>
      <c r="Q328" s="518"/>
      <c r="R328" s="518"/>
      <c r="S328" s="518"/>
      <c r="T328" s="518"/>
      <c r="U328" s="89"/>
      <c r="V328" s="518"/>
      <c r="W328" s="518"/>
      <c r="X328" s="518"/>
      <c r="Y328" s="518"/>
      <c r="Z328" s="89"/>
      <c r="AA328" s="518"/>
      <c r="AB328" s="518"/>
      <c r="AC328" s="518"/>
      <c r="AD328" s="518"/>
      <c r="AE328" s="89"/>
      <c r="AF328" s="518"/>
      <c r="AG328" s="518"/>
      <c r="AH328" s="518"/>
      <c r="AI328" s="518"/>
      <c r="AJ328" s="89"/>
      <c r="AK328" s="518"/>
      <c r="AL328" s="518"/>
      <c r="AM328" s="518"/>
      <c r="AN328" s="518"/>
      <c r="AO328" s="89"/>
      <c r="AP328" s="518"/>
      <c r="AQ328" s="518"/>
      <c r="AR328" s="518"/>
      <c r="AS328" s="518"/>
      <c r="AT328" s="89"/>
      <c r="AU328" s="518"/>
      <c r="AV328" s="518"/>
      <c r="AW328" s="518"/>
      <c r="AX328" s="518"/>
      <c r="AY328" s="89"/>
      <c r="AZ328" s="518"/>
      <c r="BA328" s="518"/>
      <c r="BB328" s="518"/>
      <c r="BC328" s="518"/>
      <c r="BD328" s="89"/>
      <c r="BE328" s="518"/>
      <c r="BF328" s="518"/>
      <c r="BG328" s="518"/>
      <c r="BH328" s="518"/>
      <c r="BI328" s="89"/>
      <c r="BJ328" s="518"/>
      <c r="BK328" s="518"/>
      <c r="BL328" s="520"/>
      <c r="BM328" s="518"/>
      <c r="BN328" s="89"/>
      <c r="BO328" s="518"/>
      <c r="BP328" s="518"/>
      <c r="BQ328" s="518"/>
      <c r="BR328" s="518"/>
      <c r="BS328" s="89"/>
      <c r="BT328" s="89"/>
      <c r="BU328" s="89"/>
      <c r="BV328" s="89"/>
      <c r="BW328" s="295"/>
    </row>
    <row r="329" spans="1:75" s="471" customFormat="1" ht="15" hidden="1" customHeight="1" outlineLevel="1">
      <c r="A329" s="341" t="s">
        <v>360</v>
      </c>
      <c r="B329" s="343"/>
      <c r="C329" s="700"/>
      <c r="D329" s="700"/>
      <c r="E329" s="700"/>
      <c r="F329" s="700">
        <f t="shared" ref="F329:AK329" si="647">F327+F275</f>
        <v>68.542681253312125</v>
      </c>
      <c r="G329" s="523">
        <f t="shared" si="647"/>
        <v>69.899746709827085</v>
      </c>
      <c r="H329" s="523">
        <f t="shared" si="647"/>
        <v>71.984315545297676</v>
      </c>
      <c r="I329" s="523">
        <f t="shared" si="647"/>
        <v>74.959419713592951</v>
      </c>
      <c r="J329" s="523">
        <f t="shared" si="647"/>
        <v>79.365768168156336</v>
      </c>
      <c r="K329" s="700">
        <f t="shared" si="647"/>
        <v>79.371768168156336</v>
      </c>
      <c r="L329" s="523">
        <f t="shared" si="647"/>
        <v>79.980710187205659</v>
      </c>
      <c r="M329" s="523">
        <f t="shared" si="647"/>
        <v>80.237654273162534</v>
      </c>
      <c r="N329" s="523">
        <f t="shared" si="647"/>
        <v>80.082379615904514</v>
      </c>
      <c r="O329" s="523">
        <f t="shared" si="647"/>
        <v>79.817780391592919</v>
      </c>
      <c r="P329" s="700">
        <f t="shared" si="647"/>
        <v>79.817780391592919</v>
      </c>
      <c r="Q329" s="523">
        <f t="shared" si="647"/>
        <v>81.408600612998512</v>
      </c>
      <c r="R329" s="523">
        <f t="shared" si="647"/>
        <v>81.873320980692242</v>
      </c>
      <c r="S329" s="523">
        <f t="shared" si="647"/>
        <v>78.347674626300858</v>
      </c>
      <c r="T329" s="523">
        <f t="shared" si="647"/>
        <v>82.202396298053117</v>
      </c>
      <c r="U329" s="700">
        <f t="shared" si="647"/>
        <v>82.202396298053117</v>
      </c>
      <c r="V329" s="523">
        <f t="shared" si="647"/>
        <v>82.248260000000002</v>
      </c>
      <c r="W329" s="523">
        <f t="shared" si="647"/>
        <v>86.120897660273982</v>
      </c>
      <c r="X329" s="523">
        <f t="shared" si="647"/>
        <v>89.300150496339668</v>
      </c>
      <c r="Y329" s="523">
        <f t="shared" si="647"/>
        <v>89.973510987673748</v>
      </c>
      <c r="Z329" s="700">
        <f t="shared" si="647"/>
        <v>89.973510987673748</v>
      </c>
      <c r="AA329" s="523">
        <f t="shared" si="647"/>
        <v>90.3608175202952</v>
      </c>
      <c r="AB329" s="523">
        <f t="shared" si="647"/>
        <v>91.146385961191029</v>
      </c>
      <c r="AC329" s="523">
        <f t="shared" si="647"/>
        <v>93.861964245265597</v>
      </c>
      <c r="AD329" s="523">
        <f t="shared" si="647"/>
        <v>94.223411522402273</v>
      </c>
      <c r="AE329" s="700">
        <f t="shared" si="647"/>
        <v>94.223411522402273</v>
      </c>
      <c r="AF329" s="523">
        <f t="shared" si="647"/>
        <v>94.167453335568851</v>
      </c>
      <c r="AG329" s="523">
        <f t="shared" si="647"/>
        <v>93.549797191424204</v>
      </c>
      <c r="AH329" s="523">
        <f t="shared" si="647"/>
        <v>94.672737586382112</v>
      </c>
      <c r="AI329" s="523">
        <f t="shared" si="647"/>
        <v>90.566952963393362</v>
      </c>
      <c r="AJ329" s="700">
        <f t="shared" si="647"/>
        <v>90.53295296339337</v>
      </c>
      <c r="AK329" s="523">
        <f t="shared" si="647"/>
        <v>89.074135377391315</v>
      </c>
      <c r="AL329" s="523">
        <f t="shared" ref="AL329:BJ329" si="648">AL327+AL275</f>
        <v>80.676002496781734</v>
      </c>
      <c r="AM329" s="523">
        <f t="shared" si="648"/>
        <v>79.133296588320746</v>
      </c>
      <c r="AN329" s="523">
        <f t="shared" si="648"/>
        <v>80.629609831116255</v>
      </c>
      <c r="AO329" s="700">
        <f t="shared" si="648"/>
        <v>80.515609831116251</v>
      </c>
      <c r="AP329" s="523">
        <f t="shared" si="648"/>
        <v>81.157827999999995</v>
      </c>
      <c r="AQ329" s="523">
        <f t="shared" si="648"/>
        <v>81.045169999999999</v>
      </c>
      <c r="AR329" s="523">
        <f t="shared" si="648"/>
        <v>81.452479000000011</v>
      </c>
      <c r="AS329" s="523">
        <f t="shared" si="648"/>
        <v>85.513824389380531</v>
      </c>
      <c r="AT329" s="700">
        <f t="shared" si="648"/>
        <v>85.347824389380534</v>
      </c>
      <c r="AU329" s="523">
        <f t="shared" si="648"/>
        <v>88.152375745916515</v>
      </c>
      <c r="AV329" s="523">
        <f t="shared" si="648"/>
        <v>86.30728444240772</v>
      </c>
      <c r="AW329" s="523">
        <f t="shared" si="648"/>
        <v>84.879862176935234</v>
      </c>
      <c r="AX329" s="523">
        <f t="shared" si="648"/>
        <v>82.729197437499991</v>
      </c>
      <c r="AY329" s="700">
        <f t="shared" si="648"/>
        <v>82.613197437499991</v>
      </c>
      <c r="AZ329" s="523">
        <f t="shared" si="648"/>
        <v>84.755635277330256</v>
      </c>
      <c r="BA329" s="523">
        <f t="shared" si="648"/>
        <v>82.695999999999998</v>
      </c>
      <c r="BB329" s="523">
        <f t="shared" si="648"/>
        <v>81.410209584838611</v>
      </c>
      <c r="BC329" s="523">
        <f t="shared" si="648"/>
        <v>79.917000000000002</v>
      </c>
      <c r="BD329" s="700">
        <f t="shared" si="648"/>
        <v>79.762</v>
      </c>
      <c r="BE329" s="523">
        <f t="shared" si="648"/>
        <v>83.968999999999994</v>
      </c>
      <c r="BF329" s="523">
        <f t="shared" si="648"/>
        <v>81.937445221826167</v>
      </c>
      <c r="BG329" s="523">
        <f t="shared" si="648"/>
        <v>80.897252843471989</v>
      </c>
      <c r="BH329" s="523">
        <f t="shared" si="648"/>
        <v>79.627055496408957</v>
      </c>
      <c r="BI329" s="700">
        <f t="shared" si="648"/>
        <v>79.493055496408957</v>
      </c>
      <c r="BJ329" s="523">
        <f t="shared" si="648"/>
        <v>79.219639678172584</v>
      </c>
      <c r="BK329" s="523">
        <f t="shared" ref="BK329:BL329" si="649">BK327+BK275</f>
        <v>76.852278231123137</v>
      </c>
      <c r="BL329" s="563">
        <f t="shared" si="649"/>
        <v>74.599083687195645</v>
      </c>
      <c r="BM329" s="523"/>
      <c r="BN329" s="700"/>
      <c r="BO329" s="523"/>
      <c r="BP329" s="523"/>
      <c r="BQ329" s="523"/>
      <c r="BR329" s="523"/>
      <c r="BS329" s="700"/>
      <c r="BT329" s="700"/>
      <c r="BU329" s="700"/>
      <c r="BV329" s="700"/>
      <c r="BW329" s="344"/>
    </row>
    <row r="330" spans="1:75" s="439" customFormat="1" ht="8.25" hidden="1" customHeight="1" outlineLevel="1">
      <c r="A330" s="518"/>
      <c r="B330" s="53"/>
      <c r="C330" s="89"/>
      <c r="D330" s="89"/>
      <c r="E330" s="89"/>
      <c r="F330" s="89"/>
      <c r="G330" s="518"/>
      <c r="H330" s="518"/>
      <c r="I330" s="518"/>
      <c r="J330" s="518"/>
      <c r="K330" s="89"/>
      <c r="L330" s="518"/>
      <c r="M330" s="518"/>
      <c r="N330" s="518"/>
      <c r="O330" s="518"/>
      <c r="P330" s="89"/>
      <c r="Q330" s="518"/>
      <c r="R330" s="518"/>
      <c r="S330" s="518"/>
      <c r="T330" s="518"/>
      <c r="U330" s="89"/>
      <c r="V330" s="518"/>
      <c r="W330" s="518"/>
      <c r="X330" s="518"/>
      <c r="Y330" s="518"/>
      <c r="Z330" s="89"/>
      <c r="AA330" s="518"/>
      <c r="AB330" s="518"/>
      <c r="AC330" s="518"/>
      <c r="AD330" s="518"/>
      <c r="AE330" s="89"/>
      <c r="AF330" s="518"/>
      <c r="AG330" s="518"/>
      <c r="AH330" s="518"/>
      <c r="AI330" s="518"/>
      <c r="AJ330" s="89"/>
      <c r="AK330" s="518"/>
      <c r="AL330" s="518"/>
      <c r="AM330" s="518"/>
      <c r="AN330" s="518"/>
      <c r="AO330" s="89"/>
      <c r="AP330" s="518"/>
      <c r="AQ330" s="518"/>
      <c r="AR330" s="518"/>
      <c r="AS330" s="518"/>
      <c r="AT330" s="89"/>
      <c r="AU330" s="518"/>
      <c r="AV330" s="518"/>
      <c r="AW330" s="518"/>
      <c r="AX330" s="518"/>
      <c r="AY330" s="89"/>
      <c r="AZ330" s="518"/>
      <c r="BA330" s="518"/>
      <c r="BB330" s="518"/>
      <c r="BC330" s="518"/>
      <c r="BD330" s="89"/>
      <c r="BE330" s="518"/>
      <c r="BF330" s="518"/>
      <c r="BG330" s="518"/>
      <c r="BH330" s="518"/>
      <c r="BI330" s="89"/>
      <c r="BJ330" s="518"/>
      <c r="BK330" s="518"/>
      <c r="BL330" s="520"/>
      <c r="BM330" s="518"/>
      <c r="BN330" s="89"/>
      <c r="BO330" s="518"/>
      <c r="BP330" s="518"/>
      <c r="BQ330" s="518"/>
      <c r="BR330" s="518"/>
      <c r="BS330" s="89"/>
      <c r="BT330" s="89"/>
      <c r="BU330" s="89"/>
      <c r="BV330" s="89"/>
      <c r="BW330" s="519"/>
    </row>
    <row r="331" spans="1:75" s="439" customFormat="1" ht="15" hidden="1" customHeight="1" outlineLevel="2">
      <c r="A331" s="31" t="s">
        <v>361</v>
      </c>
      <c r="B331" s="53"/>
      <c r="C331" s="89"/>
      <c r="D331" s="89"/>
      <c r="E331" s="89"/>
      <c r="F331" s="675">
        <v>24.644817</v>
      </c>
      <c r="G331" s="609">
        <v>31.116969000000001</v>
      </c>
      <c r="H331" s="609">
        <v>39.603231999999998</v>
      </c>
      <c r="I331" s="609">
        <v>53.912809000000003</v>
      </c>
      <c r="J331" s="518">
        <f>K331</f>
        <v>59.715000000000003</v>
      </c>
      <c r="K331" s="675">
        <v>59.715000000000003</v>
      </c>
      <c r="L331" s="609">
        <v>61.059922</v>
      </c>
      <c r="M331" s="609">
        <v>61.694161999999999</v>
      </c>
      <c r="N331" s="609">
        <v>62.529142999999998</v>
      </c>
      <c r="O331" s="518">
        <f>P331</f>
        <v>64.890243999999996</v>
      </c>
      <c r="P331" s="675">
        <v>64.890243999999996</v>
      </c>
      <c r="Q331" s="609">
        <v>65.213954999999999</v>
      </c>
      <c r="R331" s="609">
        <v>65.797617000000002</v>
      </c>
      <c r="S331" s="609">
        <v>66.016358999999994</v>
      </c>
      <c r="T331" s="518">
        <f>U331</f>
        <v>67.614689999999996</v>
      </c>
      <c r="U331" s="675">
        <v>67.614689999999996</v>
      </c>
      <c r="V331" s="609">
        <v>68.024373999999995</v>
      </c>
      <c r="W331" s="609">
        <v>68.896510000000006</v>
      </c>
      <c r="X331" s="518"/>
      <c r="Y331" s="518"/>
      <c r="Z331" s="89"/>
      <c r="AA331" s="518"/>
      <c r="AB331" s="518"/>
      <c r="AC331" s="518"/>
      <c r="AD331" s="518"/>
      <c r="AE331" s="89"/>
      <c r="AF331" s="518"/>
      <c r="AG331" s="518"/>
      <c r="AH331" s="518"/>
      <c r="AI331" s="518"/>
      <c r="AJ331" s="89"/>
      <c r="AK331" s="518"/>
      <c r="AL331" s="518"/>
      <c r="AM331" s="518"/>
      <c r="AN331" s="518"/>
      <c r="AO331" s="89"/>
      <c r="AP331" s="518"/>
      <c r="AQ331" s="518"/>
      <c r="AR331" s="518"/>
      <c r="AS331" s="518"/>
      <c r="AT331" s="89"/>
      <c r="AU331" s="518"/>
      <c r="AV331" s="518"/>
      <c r="AW331" s="518"/>
      <c r="AX331" s="518"/>
      <c r="AY331" s="89"/>
      <c r="AZ331" s="518"/>
      <c r="BA331" s="518"/>
      <c r="BB331" s="518"/>
      <c r="BC331" s="518"/>
      <c r="BD331" s="89"/>
      <c r="BE331" s="518"/>
      <c r="BF331" s="518"/>
      <c r="BG331" s="518"/>
      <c r="BH331" s="518"/>
      <c r="BI331" s="89"/>
      <c r="BJ331" s="518"/>
      <c r="BK331" s="518"/>
      <c r="BL331" s="520"/>
      <c r="BM331" s="518"/>
      <c r="BN331" s="89"/>
      <c r="BO331" s="518"/>
      <c r="BP331" s="518"/>
      <c r="BQ331" s="518"/>
      <c r="BR331" s="518"/>
      <c r="BS331" s="89"/>
      <c r="BT331" s="89"/>
      <c r="BU331" s="89"/>
      <c r="BV331" s="89"/>
      <c r="BW331" s="519"/>
    </row>
    <row r="332" spans="1:75" s="439" customFormat="1" ht="15" hidden="1" customHeight="1" outlineLevel="2">
      <c r="A332" s="80" t="s">
        <v>362</v>
      </c>
      <c r="B332" s="292"/>
      <c r="C332" s="674"/>
      <c r="D332" s="674"/>
      <c r="E332" s="674"/>
      <c r="F332" s="718">
        <v>39.069059000000003</v>
      </c>
      <c r="G332" s="611">
        <v>33.324407999999998</v>
      </c>
      <c r="H332" s="611">
        <v>25.615397999999999</v>
      </c>
      <c r="I332" s="611">
        <v>12.188207999999999</v>
      </c>
      <c r="J332" s="521">
        <f>K332</f>
        <v>11.646826000000001</v>
      </c>
      <c r="K332" s="718">
        <v>11.646826000000001</v>
      </c>
      <c r="L332" s="611">
        <v>10.601908</v>
      </c>
      <c r="M332" s="611">
        <v>10.387357</v>
      </c>
      <c r="N332" s="611">
        <v>9.9894949999999998</v>
      </c>
      <c r="O332" s="521">
        <f>P332</f>
        <v>9.5927480000000003</v>
      </c>
      <c r="P332" s="718">
        <v>9.5927480000000003</v>
      </c>
      <c r="Q332" s="611">
        <v>9.5716079999999994</v>
      </c>
      <c r="R332" s="611">
        <v>9.4552160000000001</v>
      </c>
      <c r="S332" s="611">
        <v>9.4604579999999991</v>
      </c>
      <c r="T332" s="521">
        <f>U332</f>
        <v>8.4451459999999994</v>
      </c>
      <c r="U332" s="718">
        <v>8.4451459999999994</v>
      </c>
      <c r="V332" s="611">
        <v>8.4516460000000002</v>
      </c>
      <c r="W332" s="611">
        <v>8.4441459999999999</v>
      </c>
      <c r="X332" s="521"/>
      <c r="Y332" s="521"/>
      <c r="Z332" s="674"/>
      <c r="AA332" s="521"/>
      <c r="AB332" s="521"/>
      <c r="AC332" s="521"/>
      <c r="AD332" s="521"/>
      <c r="AE332" s="674"/>
      <c r="AF332" s="521"/>
      <c r="AG332" s="521"/>
      <c r="AH332" s="521"/>
      <c r="AI332" s="521"/>
      <c r="AJ332" s="674"/>
      <c r="AK332" s="521"/>
      <c r="AL332" s="521"/>
      <c r="AM332" s="521"/>
      <c r="AN332" s="521"/>
      <c r="AO332" s="674"/>
      <c r="AP332" s="521"/>
      <c r="AQ332" s="521"/>
      <c r="AR332" s="521"/>
      <c r="AS332" s="521"/>
      <c r="AT332" s="674"/>
      <c r="AU332" s="521"/>
      <c r="AV332" s="521"/>
      <c r="AW332" s="521"/>
      <c r="AX332" s="521"/>
      <c r="AY332" s="674"/>
      <c r="AZ332" s="521"/>
      <c r="BA332" s="521"/>
      <c r="BB332" s="521"/>
      <c r="BC332" s="521"/>
      <c r="BD332" s="674"/>
      <c r="BE332" s="521"/>
      <c r="BF332" s="521"/>
      <c r="BG332" s="521"/>
      <c r="BH332" s="521"/>
      <c r="BI332" s="674"/>
      <c r="BJ332" s="521"/>
      <c r="BK332" s="521"/>
      <c r="BL332" s="522"/>
      <c r="BM332" s="521"/>
      <c r="BN332" s="674"/>
      <c r="BO332" s="521"/>
      <c r="BP332" s="521"/>
      <c r="BQ332" s="521"/>
      <c r="BR332" s="521"/>
      <c r="BS332" s="674"/>
      <c r="BT332" s="674"/>
      <c r="BU332" s="674"/>
      <c r="BV332" s="674"/>
      <c r="BW332" s="519"/>
    </row>
    <row r="333" spans="1:75" s="439" customFormat="1" ht="15" hidden="1" customHeight="1" outlineLevel="1" collapsed="1">
      <c r="A333" s="518" t="s">
        <v>363</v>
      </c>
      <c r="B333" s="53"/>
      <c r="C333" s="89"/>
      <c r="D333" s="89"/>
      <c r="E333" s="89"/>
      <c r="F333" s="89">
        <f t="shared" ref="F333:W333" si="650">SUM(F331:F332)</f>
        <v>63.713875999999999</v>
      </c>
      <c r="G333" s="518">
        <f t="shared" si="650"/>
        <v>64.441377000000003</v>
      </c>
      <c r="H333" s="518">
        <f t="shared" si="650"/>
        <v>65.21862999999999</v>
      </c>
      <c r="I333" s="518">
        <f t="shared" si="650"/>
        <v>66.101016999999999</v>
      </c>
      <c r="J333" s="518">
        <f t="shared" si="650"/>
        <v>71.361826000000008</v>
      </c>
      <c r="K333" s="89">
        <f t="shared" si="650"/>
        <v>71.361826000000008</v>
      </c>
      <c r="L333" s="518">
        <f t="shared" si="650"/>
        <v>71.661829999999995</v>
      </c>
      <c r="M333" s="518">
        <f t="shared" si="650"/>
        <v>72.081519</v>
      </c>
      <c r="N333" s="518">
        <f t="shared" si="650"/>
        <v>72.518637999999996</v>
      </c>
      <c r="O333" s="518">
        <f t="shared" si="650"/>
        <v>74.482991999999996</v>
      </c>
      <c r="P333" s="89">
        <f t="shared" si="650"/>
        <v>74.482991999999996</v>
      </c>
      <c r="Q333" s="518">
        <f t="shared" si="650"/>
        <v>74.785562999999996</v>
      </c>
      <c r="R333" s="518">
        <f t="shared" si="650"/>
        <v>75.25283300000001</v>
      </c>
      <c r="S333" s="518">
        <f t="shared" si="650"/>
        <v>75.476816999999997</v>
      </c>
      <c r="T333" s="518">
        <f t="shared" si="650"/>
        <v>76.05983599999999</v>
      </c>
      <c r="U333" s="89">
        <f t="shared" si="650"/>
        <v>76.05983599999999</v>
      </c>
      <c r="V333" s="518">
        <f t="shared" si="650"/>
        <v>76.476019999999991</v>
      </c>
      <c r="W333" s="518">
        <f t="shared" si="650"/>
        <v>77.34065600000001</v>
      </c>
      <c r="X333" s="609">
        <v>78.457418000000004</v>
      </c>
      <c r="Y333" s="518">
        <f>Z333</f>
        <v>79.602605999999994</v>
      </c>
      <c r="Z333" s="675">
        <v>79.602605999999994</v>
      </c>
      <c r="AA333" s="609">
        <v>80.582774999999998</v>
      </c>
      <c r="AB333" s="609">
        <v>81.803464000000005</v>
      </c>
      <c r="AC333" s="609">
        <v>82.889825000000002</v>
      </c>
      <c r="AD333" s="518">
        <f>AE333</f>
        <v>83.474973000000006</v>
      </c>
      <c r="AE333" s="675">
        <v>83.474973000000006</v>
      </c>
      <c r="AF333" s="609">
        <v>83.657627000000005</v>
      </c>
      <c r="AG333" s="609">
        <v>83.675059000000005</v>
      </c>
      <c r="AH333" s="609">
        <v>83.083500999999998</v>
      </c>
      <c r="AI333" s="518">
        <f>AJ333</f>
        <v>82.025023000000004</v>
      </c>
      <c r="AJ333" s="675">
        <v>82.025023000000004</v>
      </c>
      <c r="AK333" s="609">
        <v>77.270111</v>
      </c>
      <c r="AL333" s="609">
        <v>71.027518999999998</v>
      </c>
      <c r="AM333" s="609">
        <v>70.201693000000006</v>
      </c>
      <c r="AN333" s="518">
        <f>AO333</f>
        <v>71.839648999999994</v>
      </c>
      <c r="AO333" s="675">
        <v>71.839648999999994</v>
      </c>
      <c r="AP333" s="609">
        <v>71.889796000000004</v>
      </c>
      <c r="AQ333" s="609">
        <v>73.132104999999996</v>
      </c>
      <c r="AR333" s="609">
        <v>73.996089999999995</v>
      </c>
      <c r="AS333" s="518">
        <f>AT333</f>
        <v>74.930521999999996</v>
      </c>
      <c r="AT333" s="675">
        <v>74.930521999999996</v>
      </c>
      <c r="AU333" s="609">
        <v>74.497868999999994</v>
      </c>
      <c r="AV333" s="609">
        <v>73.564964000000003</v>
      </c>
      <c r="AW333" s="609">
        <v>73.016048999999995</v>
      </c>
      <c r="AX333" s="518">
        <f>AY333</f>
        <v>71.104766999999995</v>
      </c>
      <c r="AY333" s="675">
        <v>71.104766999999995</v>
      </c>
      <c r="AZ333" s="609">
        <v>70.859228999999999</v>
      </c>
      <c r="BA333" s="609">
        <v>70.273826999999997</v>
      </c>
      <c r="BB333" s="609">
        <v>69.702309</v>
      </c>
      <c r="BC333" s="518">
        <f>BD333</f>
        <v>69.543177</v>
      </c>
      <c r="BD333" s="675">
        <v>69.543177</v>
      </c>
      <c r="BE333" s="609">
        <v>68.838196999999994</v>
      </c>
      <c r="BF333" s="609">
        <v>68.713576000000003</v>
      </c>
      <c r="BG333" s="609">
        <v>68.472770999999995</v>
      </c>
      <c r="BH333" s="518">
        <f>BI333</f>
        <v>68.281153000000003</v>
      </c>
      <c r="BI333" s="675">
        <v>68.281153000000003</v>
      </c>
      <c r="BJ333" s="609">
        <v>67.458361999999994</v>
      </c>
      <c r="BK333" s="609">
        <v>66.908736000000005</v>
      </c>
      <c r="BL333" s="610">
        <v>65.817689999999999</v>
      </c>
      <c r="BM333" s="518"/>
      <c r="BN333" s="89"/>
      <c r="BO333" s="518"/>
      <c r="BP333" s="518"/>
      <c r="BQ333" s="518"/>
      <c r="BR333" s="518"/>
      <c r="BS333" s="89"/>
      <c r="BT333" s="89"/>
      <c r="BU333" s="89"/>
      <c r="BV333" s="89"/>
      <c r="BW333" s="519"/>
    </row>
    <row r="334" spans="1:75" s="467" customFormat="1" ht="15" hidden="1" customHeight="1" outlineLevel="1">
      <c r="A334" s="518" t="s">
        <v>364</v>
      </c>
      <c r="B334" s="294"/>
      <c r="C334" s="737"/>
      <c r="D334" s="737"/>
      <c r="E334" s="737"/>
      <c r="F334" s="747">
        <v>41320</v>
      </c>
      <c r="G334" s="642">
        <v>41394</v>
      </c>
      <c r="H334" s="642">
        <v>41486</v>
      </c>
      <c r="I334" s="642">
        <v>41575</v>
      </c>
      <c r="J334" s="293">
        <f>K334</f>
        <v>41694</v>
      </c>
      <c r="K334" s="747">
        <v>41694</v>
      </c>
      <c r="L334" s="642">
        <v>41754</v>
      </c>
      <c r="M334" s="642">
        <v>41845</v>
      </c>
      <c r="N334" s="642">
        <v>41929</v>
      </c>
      <c r="O334" s="293">
        <f>P334</f>
        <v>42055</v>
      </c>
      <c r="P334" s="747">
        <v>42055</v>
      </c>
      <c r="Q334" s="642">
        <v>42118</v>
      </c>
      <c r="R334" s="642">
        <v>42209</v>
      </c>
      <c r="S334" s="642">
        <v>42300</v>
      </c>
      <c r="T334" s="293">
        <f>U334</f>
        <v>42419</v>
      </c>
      <c r="U334" s="747">
        <v>42419</v>
      </c>
      <c r="V334" s="642">
        <v>42492</v>
      </c>
      <c r="W334" s="642">
        <v>42586</v>
      </c>
      <c r="X334" s="642">
        <v>42671</v>
      </c>
      <c r="Y334" s="293">
        <f>Z334</f>
        <v>42789</v>
      </c>
      <c r="Z334" s="747">
        <v>42789</v>
      </c>
      <c r="AA334" s="642">
        <v>42859</v>
      </c>
      <c r="AB334" s="642">
        <v>42947</v>
      </c>
      <c r="AC334" s="642">
        <v>43039</v>
      </c>
      <c r="AD334" s="293">
        <f>AE334</f>
        <v>43151</v>
      </c>
      <c r="AE334" s="747">
        <v>43151</v>
      </c>
      <c r="AF334" s="642">
        <v>43221</v>
      </c>
      <c r="AG334" s="642">
        <v>43312</v>
      </c>
      <c r="AH334" s="642">
        <v>43404</v>
      </c>
      <c r="AI334" s="293">
        <f>AJ334</f>
        <v>43516</v>
      </c>
      <c r="AJ334" s="747">
        <v>43516</v>
      </c>
      <c r="AK334" s="642">
        <v>43585</v>
      </c>
      <c r="AL334" s="642">
        <v>43679</v>
      </c>
      <c r="AM334" s="642">
        <v>43769</v>
      </c>
      <c r="AN334" s="293">
        <f>AO334</f>
        <v>43882</v>
      </c>
      <c r="AO334" s="747">
        <v>43882</v>
      </c>
      <c r="AP334" s="642">
        <v>43952</v>
      </c>
      <c r="AQ334" s="642">
        <v>44043</v>
      </c>
      <c r="AR334" s="642">
        <v>44134</v>
      </c>
      <c r="AS334" s="293">
        <f>AT334</f>
        <v>44246</v>
      </c>
      <c r="AT334" s="747">
        <v>44246</v>
      </c>
      <c r="AU334" s="642">
        <v>44316</v>
      </c>
      <c r="AV334" s="642">
        <v>44411</v>
      </c>
      <c r="AW334" s="642">
        <v>44498</v>
      </c>
      <c r="AX334" s="293">
        <f>AY334</f>
        <v>44610</v>
      </c>
      <c r="AY334" s="747">
        <v>44610</v>
      </c>
      <c r="AZ334" s="642">
        <v>44680</v>
      </c>
      <c r="BA334" s="642">
        <v>44771</v>
      </c>
      <c r="BB334" s="642">
        <v>44866</v>
      </c>
      <c r="BC334" s="293">
        <f>BD334</f>
        <v>44974</v>
      </c>
      <c r="BD334" s="747">
        <v>44974</v>
      </c>
      <c r="BE334" s="642">
        <v>45044</v>
      </c>
      <c r="BF334" s="642">
        <v>45135</v>
      </c>
      <c r="BG334" s="642">
        <v>45226</v>
      </c>
      <c r="BH334" s="293">
        <f>BI334</f>
        <v>45342</v>
      </c>
      <c r="BI334" s="747">
        <v>45342</v>
      </c>
      <c r="BJ334" s="642">
        <v>45415</v>
      </c>
      <c r="BK334" s="642">
        <v>45506</v>
      </c>
      <c r="BL334" s="643">
        <v>45597</v>
      </c>
      <c r="BM334" s="293"/>
      <c r="BN334" s="737"/>
      <c r="BO334" s="293"/>
      <c r="BP334" s="293"/>
      <c r="BQ334" s="293"/>
      <c r="BR334" s="293"/>
      <c r="BS334" s="737"/>
      <c r="BT334" s="737"/>
      <c r="BU334" s="737"/>
      <c r="BV334" s="737"/>
      <c r="BW334" s="295"/>
    </row>
    <row r="335" spans="1:75" s="467" customFormat="1" ht="8.25" hidden="1" customHeight="1" outlineLevel="1">
      <c r="A335" s="518"/>
      <c r="B335" s="294"/>
      <c r="C335" s="89"/>
      <c r="D335" s="89"/>
      <c r="E335" s="89"/>
      <c r="F335" s="89"/>
      <c r="G335" s="518"/>
      <c r="H335" s="518"/>
      <c r="I335" s="518"/>
      <c r="J335" s="518"/>
      <c r="K335" s="89"/>
      <c r="L335" s="518"/>
      <c r="M335" s="518"/>
      <c r="N335" s="518"/>
      <c r="O335" s="518"/>
      <c r="P335" s="89"/>
      <c r="Q335" s="518"/>
      <c r="R335" s="518"/>
      <c r="S335" s="518"/>
      <c r="T335" s="518"/>
      <c r="U335" s="89"/>
      <c r="V335" s="518"/>
      <c r="W335" s="518"/>
      <c r="X335" s="518"/>
      <c r="Y335" s="518"/>
      <c r="Z335" s="89"/>
      <c r="AA335" s="518"/>
      <c r="AB335" s="518"/>
      <c r="AC335" s="518"/>
      <c r="AD335" s="518"/>
      <c r="AE335" s="89"/>
      <c r="AF335" s="518"/>
      <c r="AG335" s="518"/>
      <c r="AH335" s="518"/>
      <c r="AI335" s="518"/>
      <c r="AJ335" s="89"/>
      <c r="AK335" s="518"/>
      <c r="AL335" s="518"/>
      <c r="AM335" s="518"/>
      <c r="AN335" s="518"/>
      <c r="AO335" s="89"/>
      <c r="AP335" s="518"/>
      <c r="AQ335" s="518"/>
      <c r="AR335" s="518"/>
      <c r="AS335" s="518"/>
      <c r="AT335" s="89"/>
      <c r="AU335" s="518"/>
      <c r="AV335" s="518"/>
      <c r="AW335" s="518"/>
      <c r="AX335" s="518"/>
      <c r="AY335" s="89"/>
      <c r="AZ335" s="518"/>
      <c r="BA335" s="518"/>
      <c r="BB335" s="518"/>
      <c r="BC335" s="518"/>
      <c r="BD335" s="89"/>
      <c r="BE335" s="518"/>
      <c r="BF335" s="518"/>
      <c r="BG335" s="518"/>
      <c r="BH335" s="518"/>
      <c r="BI335" s="89"/>
      <c r="BJ335" s="518"/>
      <c r="BK335" s="518"/>
      <c r="BL335" s="520"/>
      <c r="BM335" s="518"/>
      <c r="BN335" s="89"/>
      <c r="BO335" s="518"/>
      <c r="BP335" s="518"/>
      <c r="BQ335" s="518"/>
      <c r="BR335" s="518"/>
      <c r="BS335" s="89"/>
      <c r="BT335" s="89"/>
      <c r="BU335" s="89"/>
      <c r="BV335" s="89"/>
      <c r="BW335" s="295"/>
    </row>
    <row r="336" spans="1:75" s="444" customFormat="1" ht="15" hidden="1" customHeight="1" outlineLevel="1">
      <c r="A336" s="318" t="s">
        <v>365</v>
      </c>
      <c r="B336" s="30"/>
      <c r="C336" s="700"/>
      <c r="D336" s="700"/>
      <c r="E336" s="700"/>
      <c r="F336" s="700">
        <f t="shared" ref="F336:AK336" si="651">F333+F327-F323</f>
        <v>68.751288253312126</v>
      </c>
      <c r="G336" s="523">
        <f t="shared" si="651"/>
        <v>70.055004709827088</v>
      </c>
      <c r="H336" s="523">
        <f t="shared" si="651"/>
        <v>72.147638545297667</v>
      </c>
      <c r="I336" s="523">
        <f t="shared" si="651"/>
        <v>75.086815713592955</v>
      </c>
      <c r="J336" s="523">
        <f t="shared" si="651"/>
        <v>79.853101168156343</v>
      </c>
      <c r="K336" s="700">
        <f t="shared" si="651"/>
        <v>79.859101168156343</v>
      </c>
      <c r="L336" s="523">
        <f t="shared" si="651"/>
        <v>80.090399187205648</v>
      </c>
      <c r="M336" s="523">
        <f t="shared" si="651"/>
        <v>80.323930273162532</v>
      </c>
      <c r="N336" s="523">
        <f t="shared" si="651"/>
        <v>80.123332615904502</v>
      </c>
      <c r="O336" s="523">
        <f t="shared" si="651"/>
        <v>81.380190391592919</v>
      </c>
      <c r="P336" s="700">
        <f t="shared" si="651"/>
        <v>81.380190391592919</v>
      </c>
      <c r="Q336" s="523">
        <f t="shared" si="651"/>
        <v>81.542829612998517</v>
      </c>
      <c r="R336" s="523">
        <f t="shared" si="651"/>
        <v>81.893448980692256</v>
      </c>
      <c r="S336" s="523">
        <f t="shared" si="651"/>
        <v>78.381913626300843</v>
      </c>
      <c r="T336" s="523">
        <f t="shared" si="651"/>
        <v>82.2794302980531</v>
      </c>
      <c r="U336" s="700">
        <f t="shared" si="651"/>
        <v>82.2794302980531</v>
      </c>
      <c r="V336" s="523">
        <f t="shared" si="651"/>
        <v>82.29952999999999</v>
      </c>
      <c r="W336" s="523">
        <f t="shared" si="651"/>
        <v>86.216755660273975</v>
      </c>
      <c r="X336" s="523">
        <f t="shared" si="651"/>
        <v>89.443569496339677</v>
      </c>
      <c r="Y336" s="523">
        <f t="shared" si="651"/>
        <v>90.146283987673741</v>
      </c>
      <c r="Z336" s="700">
        <f t="shared" si="651"/>
        <v>90.146283987673741</v>
      </c>
      <c r="AA336" s="523">
        <f t="shared" si="651"/>
        <v>90.653503520295203</v>
      </c>
      <c r="AB336" s="523">
        <f t="shared" si="651"/>
        <v>91.196852961191041</v>
      </c>
      <c r="AC336" s="523">
        <f t="shared" si="651"/>
        <v>94.010323245265596</v>
      </c>
      <c r="AD336" s="523">
        <f t="shared" si="651"/>
        <v>93.9734685224023</v>
      </c>
      <c r="AE336" s="700">
        <f t="shared" si="651"/>
        <v>93.9734685224023</v>
      </c>
      <c r="AF336" s="523">
        <f t="shared" si="651"/>
        <v>94.228570335568861</v>
      </c>
      <c r="AG336" s="523">
        <f t="shared" si="651"/>
        <v>93.432159191424205</v>
      </c>
      <c r="AH336" s="523">
        <f t="shared" si="651"/>
        <v>93.381217586382107</v>
      </c>
      <c r="AI336" s="523">
        <f t="shared" si="651"/>
        <v>90.595136963393372</v>
      </c>
      <c r="AJ336" s="700">
        <f t="shared" si="651"/>
        <v>90.56113696339338</v>
      </c>
      <c r="AK336" s="523">
        <f t="shared" si="651"/>
        <v>86.654417377391297</v>
      </c>
      <c r="AL336" s="523">
        <f t="shared" ref="AL336:BL336" si="652">AL333+AL327-AL323</f>
        <v>79.951510496781736</v>
      </c>
      <c r="AM336" s="523">
        <f t="shared" si="652"/>
        <v>79.135066588320754</v>
      </c>
      <c r="AN336" s="523">
        <f t="shared" si="652"/>
        <v>81.283790831116249</v>
      </c>
      <c r="AO336" s="700">
        <f t="shared" si="652"/>
        <v>81.169790831116245</v>
      </c>
      <c r="AP336" s="523">
        <f t="shared" si="652"/>
        <v>81.159778000000003</v>
      </c>
      <c r="AQ336" s="523">
        <f t="shared" si="652"/>
        <v>81.056045999999995</v>
      </c>
      <c r="AR336" s="523">
        <f t="shared" si="652"/>
        <v>81.472082</v>
      </c>
      <c r="AS336" s="523">
        <f t="shared" si="652"/>
        <v>85.171996389380524</v>
      </c>
      <c r="AT336" s="700">
        <f t="shared" si="652"/>
        <v>85.005996389380527</v>
      </c>
      <c r="AU336" s="523">
        <f t="shared" si="652"/>
        <v>87.584985745916512</v>
      </c>
      <c r="AV336" s="523">
        <f t="shared" si="652"/>
        <v>85.386211442407728</v>
      </c>
      <c r="AW336" s="523">
        <f t="shared" si="652"/>
        <v>84.349531176935216</v>
      </c>
      <c r="AX336" s="523">
        <f t="shared" si="652"/>
        <v>81.663044437499991</v>
      </c>
      <c r="AY336" s="700">
        <f t="shared" si="652"/>
        <v>81.547044437499991</v>
      </c>
      <c r="AZ336" s="523">
        <f t="shared" si="652"/>
        <v>84.055864277330258</v>
      </c>
      <c r="BA336" s="523">
        <f t="shared" si="652"/>
        <v>81.850826999999995</v>
      </c>
      <c r="BB336" s="523">
        <f t="shared" si="652"/>
        <v>80.71351858483861</v>
      </c>
      <c r="BC336" s="523">
        <f t="shared" si="652"/>
        <v>79.663177000000005</v>
      </c>
      <c r="BD336" s="700">
        <f t="shared" si="652"/>
        <v>79.508177000000003</v>
      </c>
      <c r="BE336" s="523">
        <f t="shared" si="652"/>
        <v>83.158197000000001</v>
      </c>
      <c r="BF336" s="523">
        <f t="shared" si="652"/>
        <v>81.364021221826164</v>
      </c>
      <c r="BG336" s="523">
        <f t="shared" si="652"/>
        <v>80.40802384347198</v>
      </c>
      <c r="BH336" s="523">
        <f t="shared" si="652"/>
        <v>79.044208496408956</v>
      </c>
      <c r="BI336" s="700">
        <f t="shared" si="652"/>
        <v>78.910208496408956</v>
      </c>
      <c r="BJ336" s="523">
        <f t="shared" si="652"/>
        <v>78.348001678172579</v>
      </c>
      <c r="BK336" s="523">
        <f t="shared" si="652"/>
        <v>76.139014231123141</v>
      </c>
      <c r="BL336" s="563">
        <f t="shared" si="652"/>
        <v>73.778773687195638</v>
      </c>
      <c r="BM336" s="523"/>
      <c r="BN336" s="700"/>
      <c r="BO336" s="523"/>
      <c r="BP336" s="523"/>
      <c r="BQ336" s="523"/>
      <c r="BR336" s="523"/>
      <c r="BS336" s="700"/>
      <c r="BT336" s="700"/>
      <c r="BU336" s="700"/>
      <c r="BV336" s="700"/>
      <c r="BW336" s="318"/>
    </row>
    <row r="337" spans="1:75" s="444" customFormat="1" ht="15" hidden="1" customHeight="1" outlineLevel="2">
      <c r="A337" s="523"/>
      <c r="B337" s="30"/>
      <c r="C337" s="700"/>
      <c r="D337" s="700"/>
      <c r="E337" s="700"/>
      <c r="F337" s="700"/>
      <c r="G337" s="523"/>
      <c r="H337" s="523"/>
      <c r="I337" s="523"/>
      <c r="J337" s="523"/>
      <c r="K337" s="700"/>
      <c r="L337" s="523"/>
      <c r="M337" s="523"/>
      <c r="N337" s="523"/>
      <c r="O337" s="523"/>
      <c r="P337" s="700"/>
      <c r="Q337" s="523"/>
      <c r="R337" s="523"/>
      <c r="S337" s="523"/>
      <c r="T337" s="523"/>
      <c r="U337" s="700"/>
      <c r="V337" s="523"/>
      <c r="W337" s="523"/>
      <c r="X337" s="523"/>
      <c r="Y337" s="523"/>
      <c r="Z337" s="700"/>
      <c r="AA337" s="523"/>
      <c r="AB337" s="523"/>
      <c r="AC337" s="523"/>
      <c r="AD337" s="523"/>
      <c r="AE337" s="700"/>
      <c r="AF337" s="523"/>
      <c r="AG337" s="523"/>
      <c r="AH337" s="523"/>
      <c r="AI337" s="523"/>
      <c r="AJ337" s="700"/>
      <c r="AK337" s="523"/>
      <c r="AL337" s="523"/>
      <c r="AM337" s="523"/>
      <c r="AN337" s="523"/>
      <c r="AO337" s="700"/>
      <c r="AP337" s="523"/>
      <c r="AQ337" s="523"/>
      <c r="AR337" s="523"/>
      <c r="AS337" s="523"/>
      <c r="AT337" s="700"/>
      <c r="AU337" s="523"/>
      <c r="AV337" s="523"/>
      <c r="AW337" s="523"/>
      <c r="AX337" s="523"/>
      <c r="AY337" s="700"/>
      <c r="AZ337" s="523"/>
      <c r="BA337" s="523"/>
      <c r="BB337" s="523"/>
      <c r="BC337" s="523"/>
      <c r="BD337" s="700"/>
      <c r="BE337" s="523"/>
      <c r="BF337" s="523"/>
      <c r="BG337" s="523"/>
      <c r="BH337" s="523"/>
      <c r="BI337" s="700"/>
      <c r="BJ337" s="523"/>
      <c r="BK337" s="523"/>
      <c r="BL337" s="563"/>
      <c r="BM337" s="523"/>
      <c r="BN337" s="700"/>
      <c r="BO337" s="523"/>
      <c r="BP337" s="523"/>
      <c r="BQ337" s="523"/>
      <c r="BR337" s="523"/>
      <c r="BS337" s="700"/>
      <c r="BT337" s="700"/>
      <c r="BU337" s="700"/>
      <c r="BV337" s="700"/>
      <c r="BW337" s="318"/>
    </row>
    <row r="338" spans="1:75" s="439" customFormat="1" ht="15" hidden="1" customHeight="1" outlineLevel="2">
      <c r="A338" s="354" t="s">
        <v>366</v>
      </c>
      <c r="B338" s="206"/>
      <c r="C338" s="678"/>
      <c r="D338" s="678"/>
      <c r="E338" s="678"/>
      <c r="F338" s="678"/>
      <c r="G338" s="43"/>
      <c r="H338" s="43"/>
      <c r="I338" s="43"/>
      <c r="J338" s="43"/>
      <c r="K338" s="678"/>
      <c r="L338" s="43"/>
      <c r="M338" s="43"/>
      <c r="N338" s="43"/>
      <c r="O338" s="43"/>
      <c r="P338" s="678"/>
      <c r="Q338" s="43"/>
      <c r="R338" s="43"/>
      <c r="S338" s="43"/>
      <c r="T338" s="43"/>
      <c r="U338" s="678"/>
      <c r="V338" s="43"/>
      <c r="W338" s="43"/>
      <c r="X338" s="43"/>
      <c r="Y338" s="43"/>
      <c r="Z338" s="678"/>
      <c r="AA338" s="43"/>
      <c r="AB338" s="43"/>
      <c r="AC338" s="43"/>
      <c r="AD338" s="43"/>
      <c r="AE338" s="678"/>
      <c r="AF338" s="43"/>
      <c r="AG338" s="613">
        <v>88</v>
      </c>
      <c r="AH338" s="613">
        <v>160</v>
      </c>
      <c r="AI338" s="613">
        <v>1312</v>
      </c>
      <c r="AJ338" s="678"/>
      <c r="AK338" s="43"/>
      <c r="AL338" s="613">
        <v>2476</v>
      </c>
      <c r="AM338" s="613">
        <v>822</v>
      </c>
      <c r="AN338" s="43"/>
      <c r="AO338" s="678"/>
      <c r="AP338" s="43"/>
      <c r="AQ338" s="43"/>
      <c r="AR338" s="43"/>
      <c r="AS338" s="43"/>
      <c r="AT338" s="678"/>
      <c r="AU338" s="613">
        <v>560</v>
      </c>
      <c r="AV338" s="613">
        <v>570</v>
      </c>
      <c r="AW338" s="613">
        <v>842</v>
      </c>
      <c r="AX338" s="613">
        <v>547</v>
      </c>
      <c r="AY338" s="678"/>
      <c r="AZ338" s="613">
        <v>907</v>
      </c>
      <c r="BA338" s="613">
        <v>723</v>
      </c>
      <c r="BB338" s="613">
        <v>856</v>
      </c>
      <c r="BC338" s="613">
        <v>685</v>
      </c>
      <c r="BD338" s="678"/>
      <c r="BE338" s="613">
        <v>848</v>
      </c>
      <c r="BF338" s="613">
        <v>811</v>
      </c>
      <c r="BG338" s="613">
        <v>631</v>
      </c>
      <c r="BH338" s="613">
        <v>596</v>
      </c>
      <c r="BI338" s="678"/>
      <c r="BJ338" s="613">
        <v>541</v>
      </c>
      <c r="BK338" s="613">
        <v>614</v>
      </c>
      <c r="BL338" s="614">
        <v>677</v>
      </c>
      <c r="BM338" s="43"/>
      <c r="BN338" s="678"/>
      <c r="BO338" s="43"/>
      <c r="BP338" s="43"/>
      <c r="BQ338" s="43"/>
      <c r="BR338" s="43"/>
      <c r="BS338" s="678"/>
      <c r="BT338" s="678"/>
      <c r="BU338" s="678"/>
      <c r="BV338" s="678"/>
      <c r="BW338" s="519"/>
    </row>
    <row r="339" spans="1:75" s="439" customFormat="1" ht="15" hidden="1" customHeight="1" outlineLevel="2">
      <c r="A339" s="354" t="s">
        <v>367</v>
      </c>
      <c r="B339" s="206"/>
      <c r="C339" s="678"/>
      <c r="D339" s="678"/>
      <c r="E339" s="678"/>
      <c r="F339" s="678"/>
      <c r="G339" s="613">
        <v>3.6880000000000002</v>
      </c>
      <c r="H339" s="613">
        <v>3.4390000000000001</v>
      </c>
      <c r="I339" s="613">
        <v>3.524</v>
      </c>
      <c r="J339" s="613">
        <v>4.9939999999999998</v>
      </c>
      <c r="K339" s="678"/>
      <c r="L339" s="613">
        <v>3.952</v>
      </c>
      <c r="M339" s="613">
        <v>4.8920000000000003</v>
      </c>
      <c r="N339" s="613">
        <v>4.8920000000000003</v>
      </c>
      <c r="O339" s="613">
        <v>4.8920000000000003</v>
      </c>
      <c r="P339" s="678"/>
      <c r="Q339" s="613">
        <v>5.851</v>
      </c>
      <c r="R339" s="613">
        <v>4.8920000000000003</v>
      </c>
      <c r="S339" s="613">
        <v>3.6059999999999999</v>
      </c>
      <c r="T339" s="43"/>
      <c r="U339" s="678"/>
      <c r="V339" s="43"/>
      <c r="W339" s="43"/>
      <c r="X339" s="43"/>
      <c r="Y339" s="43"/>
      <c r="Z339" s="678"/>
      <c r="AA339" s="43"/>
      <c r="AB339" s="43"/>
      <c r="AC339" s="613">
        <v>186</v>
      </c>
      <c r="AD339" s="43"/>
      <c r="AE339" s="678"/>
      <c r="AF339" s="613">
        <v>550</v>
      </c>
      <c r="AG339" s="613">
        <v>344</v>
      </c>
      <c r="AH339" s="43"/>
      <c r="AI339" s="613">
        <v>1832</v>
      </c>
      <c r="AJ339" s="678"/>
      <c r="AK339" s="613">
        <v>331</v>
      </c>
      <c r="AL339" s="613">
        <v>3939</v>
      </c>
      <c r="AM339" s="613">
        <v>1271</v>
      </c>
      <c r="AN339" s="613">
        <v>196</v>
      </c>
      <c r="AO339" s="678"/>
      <c r="AP339" s="43"/>
      <c r="AQ339" s="43"/>
      <c r="AR339" s="43"/>
      <c r="AS339" s="613">
        <v>31</v>
      </c>
      <c r="AT339" s="678"/>
      <c r="AU339" s="613">
        <v>307</v>
      </c>
      <c r="AV339" s="613">
        <v>215</v>
      </c>
      <c r="AW339" s="613">
        <v>242</v>
      </c>
      <c r="AX339" s="613">
        <v>601</v>
      </c>
      <c r="AY339" s="678"/>
      <c r="AZ339" s="613">
        <v>168</v>
      </c>
      <c r="BA339" s="613">
        <v>265</v>
      </c>
      <c r="BB339" s="613">
        <v>274</v>
      </c>
      <c r="BC339" s="613">
        <v>298</v>
      </c>
      <c r="BD339" s="678"/>
      <c r="BE339" s="613">
        <v>167</v>
      </c>
      <c r="BF339" s="613">
        <v>303</v>
      </c>
      <c r="BG339" s="613">
        <v>223</v>
      </c>
      <c r="BH339" s="613">
        <v>208</v>
      </c>
      <c r="BI339" s="678"/>
      <c r="BJ339" s="613">
        <v>59</v>
      </c>
      <c r="BK339" s="613">
        <v>343</v>
      </c>
      <c r="BL339" s="614">
        <v>36</v>
      </c>
      <c r="BM339" s="43"/>
      <c r="BN339" s="678"/>
      <c r="BO339" s="43"/>
      <c r="BP339" s="43"/>
      <c r="BQ339" s="43"/>
      <c r="BR339" s="43"/>
      <c r="BS339" s="678"/>
      <c r="BT339" s="678"/>
      <c r="BU339" s="678"/>
      <c r="BV339" s="678"/>
      <c r="BW339" s="519"/>
    </row>
    <row r="340" spans="1:75" s="439" customFormat="1" ht="15" hidden="1" customHeight="1" outlineLevel="2">
      <c r="A340" s="354" t="s">
        <v>368</v>
      </c>
      <c r="B340" s="206"/>
      <c r="C340" s="678"/>
      <c r="D340" s="678"/>
      <c r="E340" s="678"/>
      <c r="F340" s="678"/>
      <c r="G340" s="43"/>
      <c r="H340" s="43"/>
      <c r="I340" s="43"/>
      <c r="J340" s="613">
        <v>0.20499999999999999</v>
      </c>
      <c r="K340" s="678"/>
      <c r="L340" s="43"/>
      <c r="M340" s="43"/>
      <c r="N340" s="43"/>
      <c r="O340" s="43"/>
      <c r="P340" s="678"/>
      <c r="Q340" s="43"/>
      <c r="R340" s="43"/>
      <c r="S340" s="43"/>
      <c r="T340" s="43"/>
      <c r="U340" s="678"/>
      <c r="V340" s="43"/>
      <c r="W340" s="43"/>
      <c r="X340" s="43"/>
      <c r="Y340" s="43"/>
      <c r="Z340" s="678"/>
      <c r="AA340" s="43"/>
      <c r="AB340" s="43"/>
      <c r="AC340" s="43"/>
      <c r="AD340" s="613">
        <v>116</v>
      </c>
      <c r="AE340" s="678"/>
      <c r="AF340" s="613">
        <v>360</v>
      </c>
      <c r="AG340" s="613">
        <v>338</v>
      </c>
      <c r="AH340" s="43"/>
      <c r="AI340" s="613">
        <v>0</v>
      </c>
      <c r="AJ340" s="678"/>
      <c r="AK340" s="613">
        <v>2516</v>
      </c>
      <c r="AL340" s="613">
        <v>2428</v>
      </c>
      <c r="AM340" s="613">
        <v>212</v>
      </c>
      <c r="AN340" s="43"/>
      <c r="AO340" s="678"/>
      <c r="AP340" s="43"/>
      <c r="AQ340" s="43"/>
      <c r="AR340" s="43"/>
      <c r="AS340" s="613">
        <v>773</v>
      </c>
      <c r="AT340" s="678"/>
      <c r="AU340" s="613">
        <v>534</v>
      </c>
      <c r="AV340" s="613">
        <v>834</v>
      </c>
      <c r="AW340" s="613">
        <v>583</v>
      </c>
      <c r="AX340" s="613">
        <v>1160</v>
      </c>
      <c r="AY340" s="678"/>
      <c r="AZ340" s="613">
        <v>390</v>
      </c>
      <c r="BA340" s="613">
        <v>587</v>
      </c>
      <c r="BB340" s="613">
        <v>470</v>
      </c>
      <c r="BC340" s="613">
        <v>573</v>
      </c>
      <c r="BD340" s="678"/>
      <c r="BE340" s="613">
        <v>686</v>
      </c>
      <c r="BF340" s="613">
        <v>450</v>
      </c>
      <c r="BG340" s="613">
        <v>363</v>
      </c>
      <c r="BH340" s="613">
        <v>342</v>
      </c>
      <c r="BI340" s="678"/>
      <c r="BJ340" s="613">
        <v>927</v>
      </c>
      <c r="BK340" s="613">
        <v>714</v>
      </c>
      <c r="BL340" s="614">
        <v>1068</v>
      </c>
      <c r="BM340" s="43"/>
      <c r="BN340" s="678"/>
      <c r="BO340" s="43"/>
      <c r="BP340" s="43"/>
      <c r="BQ340" s="43"/>
      <c r="BR340" s="43"/>
      <c r="BS340" s="678"/>
      <c r="BT340" s="678"/>
      <c r="BU340" s="678"/>
      <c r="BV340" s="678"/>
      <c r="BW340" s="519"/>
    </row>
    <row r="341" spans="1:75" s="439" customFormat="1" ht="15" hidden="1" customHeight="1" outlineLevel="2">
      <c r="A341" s="355" t="s">
        <v>369</v>
      </c>
      <c r="B341" s="356"/>
      <c r="C341" s="748"/>
      <c r="D341" s="748"/>
      <c r="E341" s="748"/>
      <c r="F341" s="749">
        <f>13.755+3.941</f>
        <v>17.696000000000002</v>
      </c>
      <c r="G341" s="357">
        <f t="shared" ref="G341:J341" si="653">SUM(G338:G340)</f>
        <v>3.6880000000000002</v>
      </c>
      <c r="H341" s="357">
        <f t="shared" si="653"/>
        <v>3.4390000000000001</v>
      </c>
      <c r="I341" s="357">
        <f t="shared" si="653"/>
        <v>3.524</v>
      </c>
      <c r="J341" s="357">
        <f t="shared" si="653"/>
        <v>5.1989999999999998</v>
      </c>
      <c r="K341" s="748">
        <f>SUM(G341,H341,I341,J341)</f>
        <v>15.85</v>
      </c>
      <c r="L341" s="357">
        <f t="shared" ref="L341:O341" si="654">SUM(L338:L340)</f>
        <v>3.952</v>
      </c>
      <c r="M341" s="357">
        <f t="shared" si="654"/>
        <v>4.8920000000000003</v>
      </c>
      <c r="N341" s="357">
        <f t="shared" si="654"/>
        <v>4.8920000000000003</v>
      </c>
      <c r="O341" s="357">
        <f t="shared" si="654"/>
        <v>4.8920000000000003</v>
      </c>
      <c r="P341" s="748">
        <f>SUM(L341,M341,N341,O341)</f>
        <v>18.628</v>
      </c>
      <c r="Q341" s="357">
        <f t="shared" ref="Q341:T341" si="655">SUM(Q338:Q340)</f>
        <v>5.851</v>
      </c>
      <c r="R341" s="357">
        <f t="shared" si="655"/>
        <v>4.8920000000000003</v>
      </c>
      <c r="S341" s="357">
        <f t="shared" si="655"/>
        <v>3.6059999999999999</v>
      </c>
      <c r="T341" s="357">
        <f t="shared" si="655"/>
        <v>0</v>
      </c>
      <c r="U341" s="748">
        <f>SUM(Q341,R341,S341,T341)</f>
        <v>14.349</v>
      </c>
      <c r="V341" s="357">
        <f t="shared" ref="V341:AB341" si="656">SUM(V338:V340)</f>
        <v>0</v>
      </c>
      <c r="W341" s="357">
        <f t="shared" si="656"/>
        <v>0</v>
      </c>
      <c r="X341" s="357">
        <f t="shared" si="656"/>
        <v>0</v>
      </c>
      <c r="Y341" s="357">
        <f t="shared" si="656"/>
        <v>0</v>
      </c>
      <c r="Z341" s="748">
        <f>SUM(V341,W341,X341,Y341)</f>
        <v>0</v>
      </c>
      <c r="AA341" s="357">
        <f t="shared" si="656"/>
        <v>0</v>
      </c>
      <c r="AB341" s="357">
        <f t="shared" si="656"/>
        <v>0</v>
      </c>
      <c r="AC341" s="357">
        <f t="shared" ref="AC341:AD341" si="657">SUM(AC338:AC340)</f>
        <v>186</v>
      </c>
      <c r="AD341" s="357">
        <f t="shared" si="657"/>
        <v>116</v>
      </c>
      <c r="AE341" s="748">
        <f>SUM(AA341,AB341,AC341,AD341)</f>
        <v>302</v>
      </c>
      <c r="AF341" s="357">
        <f t="shared" ref="AF341:AN341" si="658">SUM(AF338:AF340)</f>
        <v>910</v>
      </c>
      <c r="AG341" s="357">
        <f t="shared" si="658"/>
        <v>770</v>
      </c>
      <c r="AH341" s="357">
        <f t="shared" si="658"/>
        <v>160</v>
      </c>
      <c r="AI341" s="357">
        <f t="shared" si="658"/>
        <v>3144</v>
      </c>
      <c r="AJ341" s="748">
        <f>SUM(AF341,AG341,AH341,AI341)</f>
        <v>4984</v>
      </c>
      <c r="AK341" s="357">
        <f t="shared" si="658"/>
        <v>2847</v>
      </c>
      <c r="AL341" s="357">
        <f t="shared" si="658"/>
        <v>8843</v>
      </c>
      <c r="AM341" s="357">
        <f t="shared" si="658"/>
        <v>2305</v>
      </c>
      <c r="AN341" s="357">
        <f t="shared" si="658"/>
        <v>196</v>
      </c>
      <c r="AO341" s="748">
        <f>SUM(AK341,AL341,AM341,AN341)</f>
        <v>14191</v>
      </c>
      <c r="AP341" s="357">
        <f t="shared" ref="AP341" si="659">SUM(AP338:AP340)</f>
        <v>0</v>
      </c>
      <c r="AQ341" s="357">
        <f t="shared" ref="AQ341" si="660">SUM(AQ338:AQ340)</f>
        <v>0</v>
      </c>
      <c r="AR341" s="357">
        <f t="shared" ref="AR341" si="661">SUM(AR338:AR340)</f>
        <v>0</v>
      </c>
      <c r="AS341" s="357">
        <f t="shared" ref="AS341" si="662">SUM(AS338:AS340)</f>
        <v>804</v>
      </c>
      <c r="AT341" s="748">
        <f>SUM(AP341,AQ341,AR341,AS341)</f>
        <v>804</v>
      </c>
      <c r="AU341" s="357">
        <f t="shared" ref="AU341" si="663">SUM(AU338:AU340)</f>
        <v>1401</v>
      </c>
      <c r="AV341" s="357">
        <f t="shared" ref="AV341" si="664">SUM(AV338:AV340)</f>
        <v>1619</v>
      </c>
      <c r="AW341" s="357">
        <f t="shared" ref="AW341" si="665">SUM(AW338:AW340)</f>
        <v>1667</v>
      </c>
      <c r="AX341" s="357">
        <f t="shared" ref="AX341" si="666">SUM(AX338:AX340)</f>
        <v>2308</v>
      </c>
      <c r="AY341" s="748">
        <f>SUM(AU341,AV341,AW341,AX341)</f>
        <v>6995</v>
      </c>
      <c r="AZ341" s="357">
        <f t="shared" ref="AZ341" si="667">SUM(AZ338:AZ340)</f>
        <v>1465</v>
      </c>
      <c r="BA341" s="357">
        <f t="shared" ref="BA341" si="668">SUM(BA338:BA340)</f>
        <v>1575</v>
      </c>
      <c r="BB341" s="357">
        <f t="shared" ref="BB341:BE341" si="669">SUM(BB338:BB340)</f>
        <v>1600</v>
      </c>
      <c r="BC341" s="357">
        <f t="shared" si="669"/>
        <v>1556</v>
      </c>
      <c r="BD341" s="748">
        <f>SUM(AZ341,BA341,BB341,BC341)</f>
        <v>6196</v>
      </c>
      <c r="BE341" s="357">
        <f t="shared" si="669"/>
        <v>1701</v>
      </c>
      <c r="BF341" s="357">
        <f>SUM(BF338:BF340)</f>
        <v>1564</v>
      </c>
      <c r="BG341" s="357">
        <f>SUM(BG338:BG340)</f>
        <v>1217</v>
      </c>
      <c r="BH341" s="357">
        <f t="shared" ref="BH341" si="670">SUM(BH338:BH340)</f>
        <v>1146</v>
      </c>
      <c r="BI341" s="748">
        <f>SUM(BE341,BF341,BG341,BH341)</f>
        <v>5628</v>
      </c>
      <c r="BJ341" s="357">
        <f t="shared" ref="BJ341:BL341" si="671">SUM(BJ338:BJ340)</f>
        <v>1527</v>
      </c>
      <c r="BK341" s="357">
        <f t="shared" si="671"/>
        <v>1671</v>
      </c>
      <c r="BL341" s="358">
        <f t="shared" si="671"/>
        <v>1781</v>
      </c>
      <c r="BM341" s="357"/>
      <c r="BN341" s="748"/>
      <c r="BO341" s="357"/>
      <c r="BP341" s="357"/>
      <c r="BQ341" s="357"/>
      <c r="BR341" s="357"/>
      <c r="BS341" s="748"/>
      <c r="BT341" s="748"/>
      <c r="BU341" s="748"/>
      <c r="BV341" s="748"/>
      <c r="BW341" s="519"/>
    </row>
    <row r="342" spans="1:75" s="439" customFormat="1" ht="15" hidden="1" customHeight="1" outlineLevel="2">
      <c r="A342" s="43"/>
      <c r="B342" s="53"/>
      <c r="C342" s="89"/>
      <c r="D342" s="89"/>
      <c r="E342" s="89"/>
      <c r="F342" s="89"/>
      <c r="G342" s="518"/>
      <c r="H342" s="518"/>
      <c r="I342" s="518"/>
      <c r="J342" s="518"/>
      <c r="K342" s="89"/>
      <c r="L342" s="518"/>
      <c r="M342" s="518"/>
      <c r="N342" s="518"/>
      <c r="O342" s="518"/>
      <c r="P342" s="89"/>
      <c r="Q342" s="518"/>
      <c r="R342" s="518"/>
      <c r="S342" s="518"/>
      <c r="T342" s="518"/>
      <c r="U342" s="89"/>
      <c r="V342" s="518"/>
      <c r="W342" s="518"/>
      <c r="X342" s="518"/>
      <c r="Y342" s="518"/>
      <c r="Z342" s="89"/>
      <c r="AA342" s="518"/>
      <c r="AB342" s="518"/>
      <c r="AC342" s="518"/>
      <c r="AD342" s="518"/>
      <c r="AE342" s="89"/>
      <c r="AF342" s="518"/>
      <c r="AG342" s="518"/>
      <c r="AH342" s="518"/>
      <c r="AI342" s="518"/>
      <c r="AJ342" s="89"/>
      <c r="AK342" s="518"/>
      <c r="AL342" s="518"/>
      <c r="AM342" s="518"/>
      <c r="AN342" s="518"/>
      <c r="AO342" s="89"/>
      <c r="AP342" s="518"/>
      <c r="AQ342" s="518"/>
      <c r="AR342" s="518"/>
      <c r="AS342" s="518"/>
      <c r="AT342" s="89"/>
      <c r="AU342" s="518"/>
      <c r="AV342" s="518"/>
      <c r="AW342" s="518"/>
      <c r="AX342" s="518"/>
      <c r="AY342" s="89"/>
      <c r="AZ342" s="518"/>
      <c r="BA342" s="518"/>
      <c r="BB342" s="518"/>
      <c r="BC342" s="518"/>
      <c r="BD342" s="89"/>
      <c r="BE342" s="518"/>
      <c r="BF342" s="518"/>
      <c r="BG342" s="518"/>
      <c r="BH342" s="518"/>
      <c r="BI342" s="89"/>
      <c r="BJ342" s="518"/>
      <c r="BK342" s="518"/>
      <c r="BL342" s="520"/>
      <c r="BM342" s="518"/>
      <c r="BN342" s="89"/>
      <c r="BO342" s="518"/>
      <c r="BP342" s="518"/>
      <c r="BQ342" s="518"/>
      <c r="BR342" s="518"/>
      <c r="BS342" s="89"/>
      <c r="BT342" s="89"/>
      <c r="BU342" s="89"/>
      <c r="BV342" s="89"/>
      <c r="BW342" s="519"/>
    </row>
    <row r="343" spans="1:75" s="469" customFormat="1" ht="15" hidden="1" customHeight="1" outlineLevel="2">
      <c r="A343" s="362" t="s">
        <v>370</v>
      </c>
      <c r="B343" s="336"/>
      <c r="C343" s="740"/>
      <c r="D343" s="740"/>
      <c r="E343" s="740"/>
      <c r="F343" s="740"/>
      <c r="G343" s="337"/>
      <c r="H343" s="337"/>
      <c r="I343" s="337"/>
      <c r="J343" s="337"/>
      <c r="K343" s="740"/>
      <c r="L343" s="337"/>
      <c r="M343" s="337"/>
      <c r="N343" s="337"/>
      <c r="O343" s="337"/>
      <c r="P343" s="740"/>
      <c r="Q343" s="337"/>
      <c r="R343" s="337"/>
      <c r="S343" s="337"/>
      <c r="T343" s="337"/>
      <c r="U343" s="740"/>
      <c r="V343" s="337"/>
      <c r="W343" s="337"/>
      <c r="X343" s="337"/>
      <c r="Y343" s="337"/>
      <c r="Z343" s="740"/>
      <c r="AA343" s="337"/>
      <c r="AB343" s="337"/>
      <c r="AC343" s="634">
        <v>0</v>
      </c>
      <c r="AD343" s="634">
        <v>0</v>
      </c>
      <c r="AE343" s="740"/>
      <c r="AF343" s="634">
        <v>0</v>
      </c>
      <c r="AG343" s="634">
        <v>41.67</v>
      </c>
      <c r="AH343" s="634">
        <v>38.67</v>
      </c>
      <c r="AI343" s="634">
        <v>42.25</v>
      </c>
      <c r="AJ343" s="740"/>
      <c r="AK343" s="634">
        <v>0</v>
      </c>
      <c r="AL343" s="634">
        <v>36.090000000000003</v>
      </c>
      <c r="AM343" s="634">
        <v>34.479999999999997</v>
      </c>
      <c r="AN343" s="634">
        <v>0</v>
      </c>
      <c r="AO343" s="740"/>
      <c r="AP343" s="634">
        <v>0</v>
      </c>
      <c r="AQ343" s="634">
        <v>0</v>
      </c>
      <c r="AR343" s="634">
        <v>0</v>
      </c>
      <c r="AS343" s="634">
        <v>0</v>
      </c>
      <c r="AT343" s="740"/>
      <c r="AU343" s="634">
        <v>31.69</v>
      </c>
      <c r="AV343" s="634">
        <v>40.020000000000003</v>
      </c>
      <c r="AW343" s="634">
        <v>38.61</v>
      </c>
      <c r="AX343" s="634">
        <v>38.97</v>
      </c>
      <c r="AY343" s="740"/>
      <c r="AZ343" s="634">
        <v>34.6</v>
      </c>
      <c r="BA343" s="634">
        <v>34.270000000000003</v>
      </c>
      <c r="BB343" s="634">
        <v>28.78</v>
      </c>
      <c r="BC343" s="634">
        <v>35.99</v>
      </c>
      <c r="BD343" s="740"/>
      <c r="BE343" s="634">
        <v>28.84</v>
      </c>
      <c r="BF343" s="634">
        <v>30.08</v>
      </c>
      <c r="BG343" s="634">
        <v>39.340000000000003</v>
      </c>
      <c r="BH343" s="634">
        <v>42.34</v>
      </c>
      <c r="BI343" s="740"/>
      <c r="BJ343" s="634">
        <v>45.04</v>
      </c>
      <c r="BK343" s="634">
        <v>40.090000000000003</v>
      </c>
      <c r="BL343" s="635">
        <v>36.549999999999997</v>
      </c>
      <c r="BM343" s="337"/>
      <c r="BN343" s="740"/>
      <c r="BO343" s="337"/>
      <c r="BP343" s="337"/>
      <c r="BQ343" s="337"/>
      <c r="BR343" s="337"/>
      <c r="BS343" s="740"/>
      <c r="BT343" s="740"/>
      <c r="BU343" s="740"/>
      <c r="BV343" s="740"/>
      <c r="BW343" s="338"/>
    </row>
    <row r="344" spans="1:75" s="469" customFormat="1" ht="15" hidden="1" customHeight="1" outlineLevel="2">
      <c r="A344" s="362" t="s">
        <v>371</v>
      </c>
      <c r="B344" s="336"/>
      <c r="C344" s="740"/>
      <c r="D344" s="740"/>
      <c r="E344" s="740"/>
      <c r="F344" s="740"/>
      <c r="G344" s="634">
        <v>21.89</v>
      </c>
      <c r="H344" s="634">
        <v>30.97</v>
      </c>
      <c r="I344" s="634">
        <v>49.64</v>
      </c>
      <c r="J344" s="634">
        <v>62.38</v>
      </c>
      <c r="K344" s="740"/>
      <c r="L344" s="634">
        <v>91.37</v>
      </c>
      <c r="M344" s="634">
        <v>57.38</v>
      </c>
      <c r="N344" s="634">
        <v>80.3</v>
      </c>
      <c r="O344" s="634">
        <v>57.88</v>
      </c>
      <c r="P344" s="740"/>
      <c r="Q344" s="634">
        <v>47.79</v>
      </c>
      <c r="R344" s="634">
        <v>46.43</v>
      </c>
      <c r="S344" s="634">
        <v>24.01</v>
      </c>
      <c r="T344" s="337"/>
      <c r="U344" s="740"/>
      <c r="V344" s="337"/>
      <c r="W344" s="337"/>
      <c r="X344" s="337"/>
      <c r="Y344" s="337"/>
      <c r="Z344" s="740"/>
      <c r="AA344" s="337"/>
      <c r="AB344" s="337"/>
      <c r="AC344" s="634">
        <v>41.72</v>
      </c>
      <c r="AD344" s="634">
        <v>0</v>
      </c>
      <c r="AE344" s="740"/>
      <c r="AF344" s="634">
        <v>39.99</v>
      </c>
      <c r="AG344" s="634">
        <v>43.58</v>
      </c>
      <c r="AH344" s="634">
        <v>0</v>
      </c>
      <c r="AI344" s="634">
        <v>32.75</v>
      </c>
      <c r="AJ344" s="740"/>
      <c r="AK344" s="634">
        <v>38.51</v>
      </c>
      <c r="AL344" s="634">
        <v>32.94</v>
      </c>
      <c r="AM344" s="634">
        <v>33.1</v>
      </c>
      <c r="AN344" s="634">
        <v>30.78</v>
      </c>
      <c r="AO344" s="740"/>
      <c r="AP344" s="634">
        <v>0</v>
      </c>
      <c r="AQ344" s="634">
        <v>0</v>
      </c>
      <c r="AR344" s="634">
        <v>0</v>
      </c>
      <c r="AS344" s="634">
        <v>33.46</v>
      </c>
      <c r="AT344" s="740"/>
      <c r="AU344" s="634">
        <v>35.19</v>
      </c>
      <c r="AV344" s="634">
        <v>38.97</v>
      </c>
      <c r="AW344" s="634">
        <v>38.299999999999997</v>
      </c>
      <c r="AX344" s="634">
        <v>38.06</v>
      </c>
      <c r="AY344" s="740"/>
      <c r="AZ344" s="634">
        <v>33.450000000000003</v>
      </c>
      <c r="BA344" s="634">
        <v>29.85</v>
      </c>
      <c r="BB344" s="634">
        <v>33.96</v>
      </c>
      <c r="BC344" s="634">
        <v>31.52</v>
      </c>
      <c r="BD344" s="740"/>
      <c r="BE344" s="634">
        <v>30.72</v>
      </c>
      <c r="BF344" s="634">
        <v>32.15</v>
      </c>
      <c r="BG344" s="634">
        <v>42.64</v>
      </c>
      <c r="BH344" s="634">
        <v>44.6</v>
      </c>
      <c r="BI344" s="740"/>
      <c r="BJ344" s="634">
        <v>44.79</v>
      </c>
      <c r="BK344" s="634">
        <v>37.229999999999997</v>
      </c>
      <c r="BL344" s="635">
        <v>36.64</v>
      </c>
      <c r="BM344" s="337"/>
      <c r="BN344" s="740"/>
      <c r="BO344" s="337"/>
      <c r="BP344" s="337"/>
      <c r="BQ344" s="337"/>
      <c r="BR344" s="337"/>
      <c r="BS344" s="740"/>
      <c r="BT344" s="740"/>
      <c r="BU344" s="740"/>
      <c r="BV344" s="740"/>
      <c r="BW344" s="338"/>
    </row>
    <row r="345" spans="1:75" s="469" customFormat="1" ht="15" hidden="1" customHeight="1" outlineLevel="2">
      <c r="A345" s="362" t="s">
        <v>372</v>
      </c>
      <c r="B345" s="336"/>
      <c r="C345" s="740"/>
      <c r="D345" s="740"/>
      <c r="E345" s="740"/>
      <c r="F345" s="740"/>
      <c r="G345" s="337"/>
      <c r="H345" s="337"/>
      <c r="I345" s="337"/>
      <c r="J345" s="634">
        <v>68.3</v>
      </c>
      <c r="K345" s="740"/>
      <c r="L345" s="337"/>
      <c r="M345" s="337"/>
      <c r="N345" s="337"/>
      <c r="O345" s="337"/>
      <c r="P345" s="740"/>
      <c r="Q345" s="337"/>
      <c r="R345" s="337"/>
      <c r="S345" s="337"/>
      <c r="T345" s="337"/>
      <c r="U345" s="740"/>
      <c r="V345" s="337"/>
      <c r="W345" s="337"/>
      <c r="X345" s="337"/>
      <c r="Y345" s="337"/>
      <c r="Z345" s="740"/>
      <c r="AA345" s="337"/>
      <c r="AB345" s="337"/>
      <c r="AC345" s="634">
        <v>0</v>
      </c>
      <c r="AD345" s="634">
        <v>41.77</v>
      </c>
      <c r="AE345" s="740"/>
      <c r="AF345" s="634">
        <v>41.62</v>
      </c>
      <c r="AG345" s="634">
        <v>40.83</v>
      </c>
      <c r="AH345" s="634">
        <v>0</v>
      </c>
      <c r="AI345" s="634">
        <v>0</v>
      </c>
      <c r="AJ345" s="740"/>
      <c r="AK345" s="634">
        <v>35.520000000000003</v>
      </c>
      <c r="AL345" s="634">
        <v>31.45</v>
      </c>
      <c r="AM345" s="634">
        <v>32.92</v>
      </c>
      <c r="AN345" s="634">
        <v>0</v>
      </c>
      <c r="AO345" s="740"/>
      <c r="AP345" s="634">
        <v>0</v>
      </c>
      <c r="AQ345" s="634">
        <v>0</v>
      </c>
      <c r="AR345" s="634">
        <v>0</v>
      </c>
      <c r="AS345" s="634">
        <v>30.23</v>
      </c>
      <c r="AT345" s="740"/>
      <c r="AU345" s="634">
        <v>39.29</v>
      </c>
      <c r="AV345" s="634">
        <v>40.090000000000003</v>
      </c>
      <c r="AW345" s="634">
        <v>37.54</v>
      </c>
      <c r="AX345" s="634">
        <v>35.26</v>
      </c>
      <c r="AY345" s="740"/>
      <c r="AZ345" s="634">
        <v>33.369999999999997</v>
      </c>
      <c r="BA345" s="634">
        <v>29.52</v>
      </c>
      <c r="BB345" s="634">
        <v>34.15</v>
      </c>
      <c r="BC345" s="634">
        <v>27.86</v>
      </c>
      <c r="BD345" s="740"/>
      <c r="BE345" s="634">
        <v>29.76</v>
      </c>
      <c r="BF345" s="634">
        <v>35.29</v>
      </c>
      <c r="BG345" s="634">
        <v>43.16</v>
      </c>
      <c r="BH345" s="634">
        <v>45.35</v>
      </c>
      <c r="BI345" s="740"/>
      <c r="BJ345" s="634">
        <v>38.31</v>
      </c>
      <c r="BK345" s="634">
        <v>36.44</v>
      </c>
      <c r="BL345" s="635">
        <v>34.08</v>
      </c>
      <c r="BM345" s="337"/>
      <c r="BN345" s="740"/>
      <c r="BO345" s="337"/>
      <c r="BP345" s="337"/>
      <c r="BQ345" s="337"/>
      <c r="BR345" s="337"/>
      <c r="BS345" s="740"/>
      <c r="BT345" s="740"/>
      <c r="BU345" s="740"/>
      <c r="BV345" s="740"/>
      <c r="BW345" s="338"/>
    </row>
    <row r="346" spans="1:75" s="469" customFormat="1" ht="15" hidden="1" customHeight="1" outlineLevel="2">
      <c r="A346" s="363" t="s">
        <v>373</v>
      </c>
      <c r="B346" s="364"/>
      <c r="C346" s="750"/>
      <c r="D346" s="750"/>
      <c r="E346" s="750"/>
      <c r="F346" s="750">
        <f t="shared" ref="F346:K346" si="672">IFERROR(F351/F341*1000,"N/A")</f>
        <v>19.322927215189875</v>
      </c>
      <c r="G346" s="365">
        <f t="shared" si="672"/>
        <v>21.89</v>
      </c>
      <c r="H346" s="365">
        <f t="shared" si="672"/>
        <v>30.970000000000002</v>
      </c>
      <c r="I346" s="365">
        <f t="shared" si="672"/>
        <v>49.64</v>
      </c>
      <c r="J346" s="365">
        <f t="shared" si="672"/>
        <v>62.613429505674169</v>
      </c>
      <c r="K346" s="750">
        <f t="shared" si="672"/>
        <v>43.387680126182971</v>
      </c>
      <c r="L346" s="365">
        <f t="shared" ref="L346:P346" si="673">IFERROR(L351/L341*1000,"N/A")</f>
        <v>91.37</v>
      </c>
      <c r="M346" s="365">
        <f t="shared" si="673"/>
        <v>57.379999999999995</v>
      </c>
      <c r="N346" s="365">
        <f t="shared" si="673"/>
        <v>80.3</v>
      </c>
      <c r="O346" s="365">
        <f t="shared" si="673"/>
        <v>57.88000000000001</v>
      </c>
      <c r="P346" s="750">
        <f t="shared" si="673"/>
        <v>70.741558943525874</v>
      </c>
      <c r="Q346" s="365">
        <f t="shared" ref="Q346:U346" si="674">IFERROR(Q351/Q341*1000,"N/A")</f>
        <v>47.789999999999992</v>
      </c>
      <c r="R346" s="365">
        <f t="shared" si="674"/>
        <v>46.43</v>
      </c>
      <c r="S346" s="365">
        <f t="shared" si="674"/>
        <v>24.01</v>
      </c>
      <c r="T346" s="365" t="str">
        <f t="shared" si="674"/>
        <v>N/A</v>
      </c>
      <c r="U346" s="750">
        <f t="shared" si="674"/>
        <v>41.350262039166488</v>
      </c>
      <c r="V346" s="365" t="str">
        <f t="shared" ref="V346:AB346" si="675">IFERROR(V351/V341*1000,"N/A")</f>
        <v>N/A</v>
      </c>
      <c r="W346" s="365" t="str">
        <f t="shared" si="675"/>
        <v>N/A</v>
      </c>
      <c r="X346" s="365" t="str">
        <f t="shared" si="675"/>
        <v>N/A</v>
      </c>
      <c r="Y346" s="365" t="str">
        <f t="shared" si="675"/>
        <v>N/A</v>
      </c>
      <c r="Z346" s="750" t="str">
        <f t="shared" si="675"/>
        <v>N/A</v>
      </c>
      <c r="AA346" s="365" t="str">
        <f t="shared" si="675"/>
        <v>N/A</v>
      </c>
      <c r="AB346" s="365" t="str">
        <f t="shared" si="675"/>
        <v>N/A</v>
      </c>
      <c r="AC346" s="365">
        <f t="shared" ref="AC346:AD346" si="676">AC351/AC341*1000</f>
        <v>41.72</v>
      </c>
      <c r="AD346" s="365">
        <f t="shared" si="676"/>
        <v>41.77000000000001</v>
      </c>
      <c r="AE346" s="750">
        <f>AE351/AE341*1000</f>
        <v>41.739205298013253</v>
      </c>
      <c r="AF346" s="365">
        <f t="shared" ref="AF346:AO346" si="677">AF351/AF341*1000</f>
        <v>40.63483516483516</v>
      </c>
      <c r="AG346" s="365">
        <f t="shared" si="677"/>
        <v>42.154571428571423</v>
      </c>
      <c r="AH346" s="365">
        <f t="shared" si="677"/>
        <v>38.67</v>
      </c>
      <c r="AI346" s="365">
        <f>AI351/AI341*1000</f>
        <v>36.714376590330794</v>
      </c>
      <c r="AJ346" s="750">
        <f t="shared" ref="AJ346" si="678">AJ351/AJ341*1000</f>
        <v>38.333451043338684</v>
      </c>
      <c r="AK346" s="365">
        <f t="shared" si="677"/>
        <v>35.867625570776262</v>
      </c>
      <c r="AL346" s="365">
        <f t="shared" si="677"/>
        <v>33.412880244260997</v>
      </c>
      <c r="AM346" s="365">
        <f t="shared" si="677"/>
        <v>33.575574837310192</v>
      </c>
      <c r="AN346" s="365">
        <f t="shared" si="677"/>
        <v>30.78</v>
      </c>
      <c r="AO346" s="750">
        <f t="shared" si="677"/>
        <v>33.895413290113453</v>
      </c>
      <c r="AP346" s="365" t="str">
        <f>IFERROR(AP351/AP341*1000,"N/A")</f>
        <v>N/A</v>
      </c>
      <c r="AQ346" s="365" t="str">
        <f>IFERROR(AQ351/AQ341*1000,"N/A")</f>
        <v>N/A</v>
      </c>
      <c r="AR346" s="365" t="str">
        <f>IFERROR(AR351/AR341*1000,"N/A")</f>
        <v>N/A</v>
      </c>
      <c r="AS346" s="365">
        <f t="shared" ref="AS346:BF346" si="679">AS351/AS341*1000</f>
        <v>30.354539800995024</v>
      </c>
      <c r="AT346" s="750">
        <f>AT351/AT341*1000</f>
        <v>30.354539800995024</v>
      </c>
      <c r="AU346" s="365">
        <f t="shared" si="679"/>
        <v>35.353740185581735</v>
      </c>
      <c r="AV346" s="365">
        <f t="shared" si="679"/>
        <v>39.916621371216799</v>
      </c>
      <c r="AW346" s="365">
        <f t="shared" si="679"/>
        <v>38.190785842831431</v>
      </c>
      <c r="AX346" s="365">
        <f t="shared" si="679"/>
        <v>36.868392547660314</v>
      </c>
      <c r="AY346" s="750">
        <f t="shared" si="679"/>
        <v>37.585688348820582</v>
      </c>
      <c r="AZ346" s="365">
        <f t="shared" si="679"/>
        <v>34.14068259385666</v>
      </c>
      <c r="BA346" s="365">
        <f t="shared" si="679"/>
        <v>31.756</v>
      </c>
      <c r="BB346" s="365">
        <f t="shared" si="679"/>
        <v>31.244512499999999</v>
      </c>
      <c r="BC346" s="365">
        <f t="shared" si="679"/>
        <v>32.140032133676087</v>
      </c>
      <c r="BD346" s="750">
        <f t="shared" si="679"/>
        <v>32.284201097482253</v>
      </c>
      <c r="BE346" s="365">
        <f t="shared" si="679"/>
        <v>29.3956025867137</v>
      </c>
      <c r="BF346" s="365">
        <f t="shared" si="679"/>
        <v>31.980070332480814</v>
      </c>
      <c r="BG346" s="365">
        <f>BG351/BG341*1000</f>
        <v>41.08409202958093</v>
      </c>
      <c r="BH346" s="365">
        <f>BH351/BH341*1000</f>
        <v>43.648464223385695</v>
      </c>
      <c r="BI346" s="750">
        <f t="shared" ref="BI346:BL346" si="680">BI351/BI341*1000</f>
        <v>35.543573205401557</v>
      </c>
      <c r="BJ346" s="365">
        <f t="shared" si="680"/>
        <v>40.944741322855279</v>
      </c>
      <c r="BK346" s="365">
        <f t="shared" si="680"/>
        <v>37.943333333333335</v>
      </c>
      <c r="BL346" s="506">
        <f t="shared" si="680"/>
        <v>35.070651319483432</v>
      </c>
      <c r="BM346" s="365"/>
      <c r="BN346" s="750"/>
      <c r="BO346" s="365"/>
      <c r="BP346" s="365"/>
      <c r="BQ346" s="365"/>
      <c r="BR346" s="365"/>
      <c r="BS346" s="750"/>
      <c r="BT346" s="750"/>
      <c r="BU346" s="750"/>
      <c r="BV346" s="750"/>
      <c r="BW346" s="338"/>
    </row>
    <row r="347" spans="1:75" s="439" customFormat="1" ht="15" hidden="1" customHeight="1" outlineLevel="2">
      <c r="A347" s="518"/>
      <c r="B347" s="53"/>
      <c r="C347" s="89"/>
      <c r="D347" s="89"/>
      <c r="E347" s="89"/>
      <c r="F347" s="89"/>
      <c r="G347" s="518"/>
      <c r="H347" s="518"/>
      <c r="I347" s="518"/>
      <c r="J347" s="518"/>
      <c r="K347" s="89"/>
      <c r="L347" s="518"/>
      <c r="M347" s="518"/>
      <c r="N347" s="518"/>
      <c r="O347" s="518"/>
      <c r="P347" s="89"/>
      <c r="Q347" s="518"/>
      <c r="R347" s="518"/>
      <c r="S347" s="518"/>
      <c r="T347" s="518"/>
      <c r="U347" s="89"/>
      <c r="V347" s="518"/>
      <c r="W347" s="518"/>
      <c r="X347" s="518"/>
      <c r="Y347" s="518"/>
      <c r="Z347" s="89"/>
      <c r="AA347" s="518"/>
      <c r="AB347" s="518"/>
      <c r="AC347" s="518"/>
      <c r="AD347" s="518"/>
      <c r="AE347" s="89"/>
      <c r="AF347" s="518"/>
      <c r="AG347" s="518"/>
      <c r="AH347" s="518"/>
      <c r="AI347" s="518"/>
      <c r="AJ347" s="89"/>
      <c r="AK347" s="518"/>
      <c r="AL347" s="518"/>
      <c r="AM347" s="518"/>
      <c r="AN347" s="518"/>
      <c r="AO347" s="89"/>
      <c r="AP347" s="518"/>
      <c r="AQ347" s="518"/>
      <c r="AR347" s="518"/>
      <c r="AS347" s="518"/>
      <c r="AT347" s="89"/>
      <c r="AU347" s="518"/>
      <c r="AV347" s="518"/>
      <c r="AW347" s="518"/>
      <c r="AX347" s="518"/>
      <c r="AY347" s="89"/>
      <c r="AZ347" s="518"/>
      <c r="BA347" s="518"/>
      <c r="BB347" s="518"/>
      <c r="BC347" s="518"/>
      <c r="BD347" s="89"/>
      <c r="BE347" s="518"/>
      <c r="BF347" s="518"/>
      <c r="BG347" s="518"/>
      <c r="BH347" s="518"/>
      <c r="BI347" s="89"/>
      <c r="BJ347" s="518"/>
      <c r="BK347" s="518"/>
      <c r="BL347" s="520"/>
      <c r="BM347" s="518"/>
      <c r="BN347" s="89"/>
      <c r="BO347" s="518"/>
      <c r="BP347" s="518"/>
      <c r="BQ347" s="518"/>
      <c r="BR347" s="518"/>
      <c r="BS347" s="89"/>
      <c r="BT347" s="89"/>
      <c r="BU347" s="89"/>
      <c r="BV347" s="89"/>
      <c r="BW347" s="519"/>
    </row>
    <row r="348" spans="1:75" s="439" customFormat="1" ht="15" hidden="1" customHeight="1" outlineLevel="2">
      <c r="A348" s="2" t="s">
        <v>374</v>
      </c>
      <c r="B348" s="53"/>
      <c r="C348" s="89"/>
      <c r="D348" s="89"/>
      <c r="E348" s="89"/>
      <c r="F348" s="89"/>
      <c r="G348" s="518">
        <f t="shared" ref="G348:J348" si="681">G338*G343/1000</f>
        <v>0</v>
      </c>
      <c r="H348" s="518">
        <f t="shared" si="681"/>
        <v>0</v>
      </c>
      <c r="I348" s="518">
        <f t="shared" si="681"/>
        <v>0</v>
      </c>
      <c r="J348" s="518">
        <f t="shared" si="681"/>
        <v>0</v>
      </c>
      <c r="K348" s="89"/>
      <c r="L348" s="518">
        <f t="shared" ref="L348:O348" si="682">L338*L343/1000</f>
        <v>0</v>
      </c>
      <c r="M348" s="518">
        <f t="shared" si="682"/>
        <v>0</v>
      </c>
      <c r="N348" s="518">
        <f t="shared" si="682"/>
        <v>0</v>
      </c>
      <c r="O348" s="518">
        <f t="shared" si="682"/>
        <v>0</v>
      </c>
      <c r="P348" s="89"/>
      <c r="Q348" s="518">
        <f t="shared" ref="Q348:T348" si="683">Q338*Q343/1000</f>
        <v>0</v>
      </c>
      <c r="R348" s="518">
        <f t="shared" si="683"/>
        <v>0</v>
      </c>
      <c r="S348" s="518">
        <f t="shared" si="683"/>
        <v>0</v>
      </c>
      <c r="T348" s="518">
        <f t="shared" si="683"/>
        <v>0</v>
      </c>
      <c r="U348" s="89"/>
      <c r="V348" s="518">
        <f t="shared" ref="V348:Y348" si="684">V338*V343/1000</f>
        <v>0</v>
      </c>
      <c r="W348" s="518">
        <f t="shared" si="684"/>
        <v>0</v>
      </c>
      <c r="X348" s="518">
        <f t="shared" si="684"/>
        <v>0</v>
      </c>
      <c r="Y348" s="518">
        <f t="shared" si="684"/>
        <v>0</v>
      </c>
      <c r="Z348" s="89"/>
      <c r="AA348" s="518">
        <f t="shared" ref="AA348:AB348" si="685">AA338*AA343/1000</f>
        <v>0</v>
      </c>
      <c r="AB348" s="518">
        <f t="shared" si="685"/>
        <v>0</v>
      </c>
      <c r="AC348" s="518">
        <f t="shared" ref="AC348:AD348" si="686">AC338*AC343/1000</f>
        <v>0</v>
      </c>
      <c r="AD348" s="518">
        <f t="shared" si="686"/>
        <v>0</v>
      </c>
      <c r="AE348" s="89"/>
      <c r="AF348" s="518">
        <f t="shared" ref="AF348:AI348" si="687">AF338*AF343/1000</f>
        <v>0</v>
      </c>
      <c r="AG348" s="518">
        <f t="shared" si="687"/>
        <v>3.66696</v>
      </c>
      <c r="AH348" s="518">
        <f t="shared" si="687"/>
        <v>6.1872000000000007</v>
      </c>
      <c r="AI348" s="518">
        <f t="shared" si="687"/>
        <v>55.432000000000002</v>
      </c>
      <c r="AJ348" s="89"/>
      <c r="AK348" s="518">
        <f t="shared" ref="AK348:AN348" si="688">AK338*AK343/1000</f>
        <v>0</v>
      </c>
      <c r="AL348" s="518">
        <f t="shared" si="688"/>
        <v>89.358840000000015</v>
      </c>
      <c r="AM348" s="518">
        <f t="shared" si="688"/>
        <v>28.342559999999999</v>
      </c>
      <c r="AN348" s="518">
        <f t="shared" si="688"/>
        <v>0</v>
      </c>
      <c r="AO348" s="89"/>
      <c r="AP348" s="518">
        <f t="shared" ref="AP348:AS348" si="689">AP338*AP343/1000</f>
        <v>0</v>
      </c>
      <c r="AQ348" s="518">
        <f t="shared" si="689"/>
        <v>0</v>
      </c>
      <c r="AR348" s="518">
        <f t="shared" si="689"/>
        <v>0</v>
      </c>
      <c r="AS348" s="518">
        <f t="shared" si="689"/>
        <v>0</v>
      </c>
      <c r="AT348" s="89"/>
      <c r="AU348" s="518">
        <f t="shared" ref="AU348:AX348" si="690">AU338*AU343/1000</f>
        <v>17.746400000000001</v>
      </c>
      <c r="AV348" s="518">
        <f t="shared" si="690"/>
        <v>22.811400000000003</v>
      </c>
      <c r="AW348" s="518">
        <f t="shared" si="690"/>
        <v>32.509619999999998</v>
      </c>
      <c r="AX348" s="518">
        <f t="shared" si="690"/>
        <v>21.316590000000001</v>
      </c>
      <c r="AY348" s="89"/>
      <c r="AZ348" s="518">
        <f t="shared" ref="AZ348:BC348" si="691">AZ338*AZ343/1000</f>
        <v>31.382200000000001</v>
      </c>
      <c r="BA348" s="518">
        <f t="shared" si="691"/>
        <v>24.777210000000004</v>
      </c>
      <c r="BB348" s="518">
        <f t="shared" si="691"/>
        <v>24.635680000000001</v>
      </c>
      <c r="BC348" s="518">
        <f t="shared" si="691"/>
        <v>24.65315</v>
      </c>
      <c r="BD348" s="89"/>
      <c r="BE348" s="518">
        <f t="shared" ref="BE348:BF348" si="692">BE338*BE343/1000</f>
        <v>24.456319999999998</v>
      </c>
      <c r="BF348" s="518">
        <f t="shared" si="692"/>
        <v>24.394879999999997</v>
      </c>
      <c r="BG348" s="518">
        <f>BG338*BG343/1000</f>
        <v>24.823540000000001</v>
      </c>
      <c r="BH348" s="518">
        <f t="shared" ref="BH348" si="693">BH338*BH343/1000</f>
        <v>25.234640000000002</v>
      </c>
      <c r="BI348" s="89"/>
      <c r="BJ348" s="518">
        <f t="shared" ref="BJ348:BK348" si="694">BJ338*BJ343/1000</f>
        <v>24.36664</v>
      </c>
      <c r="BK348" s="518">
        <f t="shared" si="694"/>
        <v>24.615260000000003</v>
      </c>
      <c r="BL348" s="520">
        <f>BL338*BL343/1000</f>
        <v>24.744349999999997</v>
      </c>
      <c r="BM348" s="518"/>
      <c r="BN348" s="89"/>
      <c r="BO348" s="518"/>
      <c r="BP348" s="518"/>
      <c r="BQ348" s="518"/>
      <c r="BR348" s="518"/>
      <c r="BS348" s="89"/>
      <c r="BT348" s="89"/>
      <c r="BU348" s="89"/>
      <c r="BV348" s="89"/>
      <c r="BW348" s="519"/>
    </row>
    <row r="349" spans="1:75" s="439" customFormat="1" ht="15" hidden="1" customHeight="1" outlineLevel="2">
      <c r="A349" s="2" t="s">
        <v>375</v>
      </c>
      <c r="B349" s="53"/>
      <c r="C349" s="89"/>
      <c r="D349" s="89"/>
      <c r="E349" s="89"/>
      <c r="F349" s="89"/>
      <c r="G349" s="518">
        <f t="shared" ref="G349:J349" si="695">G339*G344/1000</f>
        <v>8.0730320000000008E-2</v>
      </c>
      <c r="H349" s="518">
        <f t="shared" si="695"/>
        <v>0.10650583000000001</v>
      </c>
      <c r="I349" s="518">
        <f t="shared" si="695"/>
        <v>0.17493136000000001</v>
      </c>
      <c r="J349" s="518">
        <f t="shared" si="695"/>
        <v>0.31152572000000001</v>
      </c>
      <c r="K349" s="89"/>
      <c r="L349" s="518">
        <f t="shared" ref="L349:O349" si="696">L339*L344/1000</f>
        <v>0.36109424000000001</v>
      </c>
      <c r="M349" s="518">
        <f t="shared" si="696"/>
        <v>0.28070296</v>
      </c>
      <c r="N349" s="518">
        <f t="shared" si="696"/>
        <v>0.3928276</v>
      </c>
      <c r="O349" s="518">
        <f t="shared" si="696"/>
        <v>0.28314896000000006</v>
      </c>
      <c r="P349" s="89"/>
      <c r="Q349" s="518">
        <f t="shared" ref="Q349:T349" si="697">Q339*Q344/1000</f>
        <v>0.27961928999999996</v>
      </c>
      <c r="R349" s="518">
        <f t="shared" si="697"/>
        <v>0.22713556000000001</v>
      </c>
      <c r="S349" s="518">
        <f t="shared" si="697"/>
        <v>8.658006E-2</v>
      </c>
      <c r="T349" s="518">
        <f t="shared" si="697"/>
        <v>0</v>
      </c>
      <c r="U349" s="89"/>
      <c r="V349" s="518">
        <f t="shared" ref="V349:Y349" si="698">V339*V344/1000</f>
        <v>0</v>
      </c>
      <c r="W349" s="518">
        <f t="shared" si="698"/>
        <v>0</v>
      </c>
      <c r="X349" s="518">
        <f t="shared" si="698"/>
        <v>0</v>
      </c>
      <c r="Y349" s="518">
        <f t="shared" si="698"/>
        <v>0</v>
      </c>
      <c r="Z349" s="89"/>
      <c r="AA349" s="518">
        <f t="shared" ref="AA349:AB349" si="699">AA339*AA344/1000</f>
        <v>0</v>
      </c>
      <c r="AB349" s="518">
        <f t="shared" si="699"/>
        <v>0</v>
      </c>
      <c r="AC349" s="518">
        <f t="shared" ref="AC349:AD349" si="700">AC339*AC344/1000</f>
        <v>7.7599200000000002</v>
      </c>
      <c r="AD349" s="518">
        <f t="shared" si="700"/>
        <v>0</v>
      </c>
      <c r="AE349" s="89"/>
      <c r="AF349" s="518">
        <f t="shared" ref="AF349:AI349" si="701">AF339*AF344/1000</f>
        <v>21.994499999999999</v>
      </c>
      <c r="AG349" s="518">
        <f t="shared" si="701"/>
        <v>14.991519999999998</v>
      </c>
      <c r="AH349" s="518">
        <f t="shared" si="701"/>
        <v>0</v>
      </c>
      <c r="AI349" s="518">
        <f t="shared" si="701"/>
        <v>59.997999999999998</v>
      </c>
      <c r="AJ349" s="89"/>
      <c r="AK349" s="518">
        <f t="shared" ref="AK349:AN349" si="702">AK339*AK344/1000</f>
        <v>12.74681</v>
      </c>
      <c r="AL349" s="518">
        <f t="shared" si="702"/>
        <v>129.75065999999998</v>
      </c>
      <c r="AM349" s="518">
        <f t="shared" si="702"/>
        <v>42.070099999999996</v>
      </c>
      <c r="AN349" s="518">
        <f t="shared" si="702"/>
        <v>6.0328800000000005</v>
      </c>
      <c r="AO349" s="89"/>
      <c r="AP349" s="518">
        <f t="shared" ref="AP349:AS349" si="703">AP339*AP344/1000</f>
        <v>0</v>
      </c>
      <c r="AQ349" s="518">
        <f t="shared" si="703"/>
        <v>0</v>
      </c>
      <c r="AR349" s="518">
        <f t="shared" si="703"/>
        <v>0</v>
      </c>
      <c r="AS349" s="518">
        <f t="shared" si="703"/>
        <v>1.0372600000000001</v>
      </c>
      <c r="AT349" s="89"/>
      <c r="AU349" s="518">
        <f t="shared" ref="AU349:AX349" si="704">AU339*AU344/1000</f>
        <v>10.803330000000001</v>
      </c>
      <c r="AV349" s="518">
        <f t="shared" si="704"/>
        <v>8.3785499999999988</v>
      </c>
      <c r="AW349" s="518">
        <f t="shared" si="704"/>
        <v>9.2685999999999993</v>
      </c>
      <c r="AX349" s="518">
        <f t="shared" si="704"/>
        <v>22.87406</v>
      </c>
      <c r="AY349" s="89"/>
      <c r="AZ349" s="518">
        <f t="shared" ref="AZ349:BC349" si="705">AZ339*AZ344/1000</f>
        <v>5.6196000000000002</v>
      </c>
      <c r="BA349" s="518">
        <f t="shared" si="705"/>
        <v>7.9102499999999996</v>
      </c>
      <c r="BB349" s="518">
        <f t="shared" si="705"/>
        <v>9.3050400000000018</v>
      </c>
      <c r="BC349" s="518">
        <f t="shared" si="705"/>
        <v>9.3929599999999986</v>
      </c>
      <c r="BD349" s="89"/>
      <c r="BE349" s="518">
        <f t="shared" ref="BE349:BH350" si="706">BE339*BE344/1000</f>
        <v>5.1302399999999997</v>
      </c>
      <c r="BF349" s="518">
        <f t="shared" si="706"/>
        <v>9.7414499999999986</v>
      </c>
      <c r="BG349" s="518">
        <f t="shared" si="706"/>
        <v>9.5087199999999985</v>
      </c>
      <c r="BH349" s="518">
        <f t="shared" si="706"/>
        <v>9.2768000000000015</v>
      </c>
      <c r="BI349" s="89"/>
      <c r="BJ349" s="518">
        <f t="shared" ref="BJ349:BL349" si="707">BJ339*BJ344/1000</f>
        <v>2.6426100000000003</v>
      </c>
      <c r="BK349" s="518">
        <f t="shared" si="707"/>
        <v>12.76989</v>
      </c>
      <c r="BL349" s="520">
        <f t="shared" si="707"/>
        <v>1.31904</v>
      </c>
      <c r="BM349" s="518"/>
      <c r="BN349" s="89"/>
      <c r="BO349" s="518"/>
      <c r="BP349" s="518"/>
      <c r="BQ349" s="518"/>
      <c r="BR349" s="518"/>
      <c r="BS349" s="89"/>
      <c r="BT349" s="89"/>
      <c r="BU349" s="89"/>
      <c r="BV349" s="89"/>
      <c r="BW349" s="519"/>
    </row>
    <row r="350" spans="1:75" s="439" customFormat="1" ht="15" hidden="1" customHeight="1" outlineLevel="2">
      <c r="A350" s="2" t="s">
        <v>376</v>
      </c>
      <c r="B350" s="53"/>
      <c r="C350" s="89"/>
      <c r="D350" s="89"/>
      <c r="E350" s="89"/>
      <c r="F350" s="89"/>
      <c r="G350" s="518">
        <f t="shared" ref="G350:J350" si="708">G340*G345/1000</f>
        <v>0</v>
      </c>
      <c r="H350" s="518">
        <f t="shared" si="708"/>
        <v>0</v>
      </c>
      <c r="I350" s="518">
        <f t="shared" si="708"/>
        <v>0</v>
      </c>
      <c r="J350" s="518">
        <f t="shared" si="708"/>
        <v>1.4001499999999998E-2</v>
      </c>
      <c r="K350" s="89"/>
      <c r="L350" s="518">
        <f t="shared" ref="L350:O350" si="709">L340*L345/1000</f>
        <v>0</v>
      </c>
      <c r="M350" s="518">
        <f t="shared" si="709"/>
        <v>0</v>
      </c>
      <c r="N350" s="518">
        <f t="shared" si="709"/>
        <v>0</v>
      </c>
      <c r="O350" s="518">
        <f t="shared" si="709"/>
        <v>0</v>
      </c>
      <c r="P350" s="89"/>
      <c r="Q350" s="518">
        <f t="shared" ref="Q350:T350" si="710">Q340*Q345/1000</f>
        <v>0</v>
      </c>
      <c r="R350" s="518">
        <f t="shared" si="710"/>
        <v>0</v>
      </c>
      <c r="S350" s="518">
        <f t="shared" si="710"/>
        <v>0</v>
      </c>
      <c r="T350" s="518">
        <f t="shared" si="710"/>
        <v>0</v>
      </c>
      <c r="U350" s="89"/>
      <c r="V350" s="518">
        <f t="shared" ref="V350:Y350" si="711">V340*V345/1000</f>
        <v>0</v>
      </c>
      <c r="W350" s="518">
        <f t="shared" si="711"/>
        <v>0</v>
      </c>
      <c r="X350" s="518">
        <f t="shared" si="711"/>
        <v>0</v>
      </c>
      <c r="Y350" s="518">
        <f t="shared" si="711"/>
        <v>0</v>
      </c>
      <c r="Z350" s="89"/>
      <c r="AA350" s="518">
        <f t="shared" ref="AA350:AB350" si="712">AA340*AA345/1000</f>
        <v>0</v>
      </c>
      <c r="AB350" s="518">
        <f t="shared" si="712"/>
        <v>0</v>
      </c>
      <c r="AC350" s="518">
        <f t="shared" ref="AC350:AD350" si="713">AC340*AC345/1000</f>
        <v>0</v>
      </c>
      <c r="AD350" s="518">
        <f t="shared" si="713"/>
        <v>4.845320000000001</v>
      </c>
      <c r="AE350" s="89"/>
      <c r="AF350" s="518">
        <f t="shared" ref="AF350:AI350" si="714">AF340*AF345/1000</f>
        <v>14.983199999999998</v>
      </c>
      <c r="AG350" s="518">
        <f t="shared" si="714"/>
        <v>13.80054</v>
      </c>
      <c r="AH350" s="518">
        <f t="shared" si="714"/>
        <v>0</v>
      </c>
      <c r="AI350" s="518">
        <f t="shared" si="714"/>
        <v>0</v>
      </c>
      <c r="AJ350" s="89"/>
      <c r="AK350" s="518">
        <f t="shared" ref="AK350:AN350" si="715">AK340*AK345/1000</f>
        <v>89.368320000000011</v>
      </c>
      <c r="AL350" s="518">
        <f t="shared" si="715"/>
        <v>76.360599999999991</v>
      </c>
      <c r="AM350" s="518">
        <f t="shared" si="715"/>
        <v>6.9790400000000004</v>
      </c>
      <c r="AN350" s="518">
        <f t="shared" si="715"/>
        <v>0</v>
      </c>
      <c r="AO350" s="89"/>
      <c r="AP350" s="518">
        <f t="shared" ref="AP350:AS350" si="716">AP340*AP345/1000</f>
        <v>0</v>
      </c>
      <c r="AQ350" s="518">
        <f t="shared" si="716"/>
        <v>0</v>
      </c>
      <c r="AR350" s="518">
        <f t="shared" si="716"/>
        <v>0</v>
      </c>
      <c r="AS350" s="518">
        <f t="shared" si="716"/>
        <v>23.367789999999999</v>
      </c>
      <c r="AT350" s="89"/>
      <c r="AU350" s="518">
        <f t="shared" ref="AU350:AX350" si="717">AU340*AU345/1000</f>
        <v>20.98086</v>
      </c>
      <c r="AV350" s="518">
        <f t="shared" si="717"/>
        <v>33.435060000000007</v>
      </c>
      <c r="AW350" s="518">
        <f t="shared" si="717"/>
        <v>21.885819999999999</v>
      </c>
      <c r="AX350" s="518">
        <f t="shared" si="717"/>
        <v>40.901600000000002</v>
      </c>
      <c r="AY350" s="89"/>
      <c r="AZ350" s="518">
        <f t="shared" ref="AZ350:BC350" si="718">AZ340*AZ345/1000</f>
        <v>13.014299999999999</v>
      </c>
      <c r="BA350" s="518">
        <f t="shared" si="718"/>
        <v>17.328239999999997</v>
      </c>
      <c r="BB350" s="518">
        <f t="shared" si="718"/>
        <v>16.0505</v>
      </c>
      <c r="BC350" s="518">
        <f t="shared" si="718"/>
        <v>15.963779999999998</v>
      </c>
      <c r="BD350" s="89"/>
      <c r="BE350" s="518">
        <f t="shared" si="706"/>
        <v>20.41536</v>
      </c>
      <c r="BF350" s="518">
        <f t="shared" si="706"/>
        <v>15.8805</v>
      </c>
      <c r="BG350" s="521">
        <f t="shared" si="706"/>
        <v>15.667079999999999</v>
      </c>
      <c r="BH350" s="518">
        <f t="shared" si="706"/>
        <v>15.5097</v>
      </c>
      <c r="BI350" s="89"/>
      <c r="BJ350" s="518">
        <f t="shared" ref="BJ350:BL350" si="719">BJ340*BJ345/1000</f>
        <v>35.513370000000002</v>
      </c>
      <c r="BK350" s="518">
        <f t="shared" si="719"/>
        <v>26.018159999999998</v>
      </c>
      <c r="BL350" s="522">
        <f t="shared" si="719"/>
        <v>36.397439999999996</v>
      </c>
      <c r="BM350" s="518"/>
      <c r="BN350" s="89"/>
      <c r="BO350" s="518"/>
      <c r="BP350" s="518"/>
      <c r="BQ350" s="518"/>
      <c r="BR350" s="518"/>
      <c r="BS350" s="89"/>
      <c r="BT350" s="89"/>
      <c r="BU350" s="89"/>
      <c r="BV350" s="89"/>
      <c r="BW350" s="519"/>
    </row>
    <row r="351" spans="1:75" s="439" customFormat="1" ht="15" hidden="1" customHeight="1" outlineLevel="2">
      <c r="A351" s="361" t="s">
        <v>377</v>
      </c>
      <c r="B351" s="359"/>
      <c r="C351" s="751"/>
      <c r="D351" s="751"/>
      <c r="E351" s="751"/>
      <c r="F351" s="752">
        <f>18.67*3.941/1000+13.755*19.51/1000</f>
        <v>0.34193852000000008</v>
      </c>
      <c r="G351" s="577">
        <f t="shared" ref="G351:I351" si="720">SUM(G348:G350)</f>
        <v>8.0730320000000008E-2</v>
      </c>
      <c r="H351" s="577">
        <f t="shared" si="720"/>
        <v>0.10650583000000001</v>
      </c>
      <c r="I351" s="577">
        <f t="shared" si="720"/>
        <v>0.17493136000000001</v>
      </c>
      <c r="J351" s="577">
        <f>SUM(J348:J350)</f>
        <v>0.32552722000000001</v>
      </c>
      <c r="K351" s="751">
        <f>SUM(G351,H351,I351,J351)</f>
        <v>0.68769473000000003</v>
      </c>
      <c r="L351" s="577">
        <f t="shared" ref="L351:N351" si="721">SUM(L348:L350)</f>
        <v>0.36109424000000001</v>
      </c>
      <c r="M351" s="577">
        <f t="shared" si="721"/>
        <v>0.28070296</v>
      </c>
      <c r="N351" s="577">
        <f t="shared" si="721"/>
        <v>0.3928276</v>
      </c>
      <c r="O351" s="577">
        <f>SUM(O348:O350)</f>
        <v>0.28314896000000006</v>
      </c>
      <c r="P351" s="751">
        <f>SUM(L351,M351,N351,O351)</f>
        <v>1.3177737600000001</v>
      </c>
      <c r="Q351" s="577">
        <f t="shared" ref="Q351:S351" si="722">SUM(Q348:Q350)</f>
        <v>0.27961928999999996</v>
      </c>
      <c r="R351" s="577">
        <f t="shared" si="722"/>
        <v>0.22713556000000001</v>
      </c>
      <c r="S351" s="577">
        <f t="shared" si="722"/>
        <v>8.658006E-2</v>
      </c>
      <c r="T351" s="577">
        <f>SUM(T348:T350)</f>
        <v>0</v>
      </c>
      <c r="U351" s="751">
        <f>SUM(Q351,R351,S351,T351)</f>
        <v>0.59333490999999994</v>
      </c>
      <c r="V351" s="577">
        <f t="shared" ref="V351:X351" si="723">SUM(V348:V350)</f>
        <v>0</v>
      </c>
      <c r="W351" s="577">
        <f t="shared" si="723"/>
        <v>0</v>
      </c>
      <c r="X351" s="577">
        <f t="shared" si="723"/>
        <v>0</v>
      </c>
      <c r="Y351" s="577">
        <f>SUM(Y348:Y350)</f>
        <v>0</v>
      </c>
      <c r="Z351" s="751">
        <f>SUM(V351,W351,X351,Y351)</f>
        <v>0</v>
      </c>
      <c r="AA351" s="577">
        <f t="shared" ref="AA351:AB351" si="724">SUM(AA348:AA350)</f>
        <v>0</v>
      </c>
      <c r="AB351" s="577">
        <f t="shared" si="724"/>
        <v>0</v>
      </c>
      <c r="AC351" s="577">
        <f t="shared" ref="AC351" si="725">SUM(AC348:AC350)</f>
        <v>7.7599200000000002</v>
      </c>
      <c r="AD351" s="577">
        <f>SUM(AD348:AD350)</f>
        <v>4.845320000000001</v>
      </c>
      <c r="AE351" s="751">
        <f>SUM(AA351,AB351,AC351,AD351)</f>
        <v>12.605240000000002</v>
      </c>
      <c r="AF351" s="577">
        <f t="shared" ref="AF351" si="726">SUM(AF348:AF350)</f>
        <v>36.977699999999999</v>
      </c>
      <c r="AG351" s="577">
        <f t="shared" ref="AG351" si="727">SUM(AG348:AG350)</f>
        <v>32.459019999999995</v>
      </c>
      <c r="AH351" s="577">
        <f t="shared" ref="AH351" si="728">SUM(AH348:AH350)</f>
        <v>6.1872000000000007</v>
      </c>
      <c r="AI351" s="577">
        <f>SUM(AI348:AI350)</f>
        <v>115.43</v>
      </c>
      <c r="AJ351" s="751">
        <f>SUM(AF351,AG351,AH351,AI351)</f>
        <v>191.05392000000001</v>
      </c>
      <c r="AK351" s="577">
        <f t="shared" ref="AK351" si="729">SUM(AK348:AK350)</f>
        <v>102.11513000000001</v>
      </c>
      <c r="AL351" s="577">
        <f t="shared" ref="AL351" si="730">SUM(AL348:AL350)</f>
        <v>295.4701</v>
      </c>
      <c r="AM351" s="577">
        <f t="shared" ref="AM351" si="731">SUM(AM348:AM350)</f>
        <v>77.391699999999986</v>
      </c>
      <c r="AN351" s="577">
        <f t="shared" ref="AN351" si="732">SUM(AN348:AN350)</f>
        <v>6.0328800000000005</v>
      </c>
      <c r="AO351" s="751">
        <f>SUM(AK351,AL351,AM351,AN351)</f>
        <v>481.00981000000002</v>
      </c>
      <c r="AP351" s="577">
        <f t="shared" ref="AP351" si="733">SUM(AP348:AP350)</f>
        <v>0</v>
      </c>
      <c r="AQ351" s="577">
        <f t="shared" ref="AQ351" si="734">SUM(AQ348:AQ350)</f>
        <v>0</v>
      </c>
      <c r="AR351" s="577">
        <f t="shared" ref="AR351" si="735">SUM(AR348:AR350)</f>
        <v>0</v>
      </c>
      <c r="AS351" s="577">
        <f t="shared" ref="AS351" si="736">SUM(AS348:AS350)</f>
        <v>24.405049999999999</v>
      </c>
      <c r="AT351" s="751">
        <f>SUM(AP351,AQ351,AR351,AS351)</f>
        <v>24.405049999999999</v>
      </c>
      <c r="AU351" s="577">
        <f t="shared" ref="AU351" si="737">SUM(AU348:AU350)</f>
        <v>49.530590000000004</v>
      </c>
      <c r="AV351" s="577">
        <f>SUM(AV348:AV350)</f>
        <v>64.625010000000003</v>
      </c>
      <c r="AW351" s="577">
        <f t="shared" ref="AW351" si="738">SUM(AW348:AW350)</f>
        <v>63.66404</v>
      </c>
      <c r="AX351" s="577">
        <f t="shared" ref="AX351" si="739">SUM(AX348:AX350)</f>
        <v>85.092250000000007</v>
      </c>
      <c r="AY351" s="751">
        <f>SUM(AU351,AV351,AW351,AX351)</f>
        <v>262.91188999999997</v>
      </c>
      <c r="AZ351" s="577">
        <f>SUM(AZ348:AZ350)</f>
        <v>50.016100000000002</v>
      </c>
      <c r="BA351" s="577">
        <f>SUM(BA348:BA350)</f>
        <v>50.015699999999995</v>
      </c>
      <c r="BB351" s="577">
        <f>SUM(BB348:BB350)</f>
        <v>49.991219999999998</v>
      </c>
      <c r="BC351" s="577">
        <f>SUM(BC348:BC350)</f>
        <v>50.009889999999999</v>
      </c>
      <c r="BD351" s="751">
        <f>SUM(AZ351,BA351,BB351,BC351)</f>
        <v>200.03291000000002</v>
      </c>
      <c r="BE351" s="577">
        <f>SUM(BE348:BE350)</f>
        <v>50.001919999999998</v>
      </c>
      <c r="BF351" s="577">
        <f>SUM(BF348:BF350)</f>
        <v>50.016829999999992</v>
      </c>
      <c r="BG351" s="518">
        <f t="shared" ref="BG351" si="740">SUM(BG348:BG350)</f>
        <v>49.999339999999997</v>
      </c>
      <c r="BH351" s="577">
        <f>SUM(BH348:BH350)</f>
        <v>50.02114000000001</v>
      </c>
      <c r="BI351" s="751">
        <f>SUM(BE351,BF351,BG351,BH351)</f>
        <v>200.03922999999998</v>
      </c>
      <c r="BJ351" s="577">
        <f>SUM(BJ348:BJ350)</f>
        <v>62.522620000000003</v>
      </c>
      <c r="BK351" s="577">
        <f>SUM(BK348:BK350)</f>
        <v>63.403310000000005</v>
      </c>
      <c r="BL351" s="520">
        <f t="shared" ref="BL351" si="741">SUM(BL348:BL350)</f>
        <v>62.460829999999994</v>
      </c>
      <c r="BM351" s="577"/>
      <c r="BN351" s="751"/>
      <c r="BO351" s="577"/>
      <c r="BP351" s="577"/>
      <c r="BQ351" s="577"/>
      <c r="BR351" s="577"/>
      <c r="BS351" s="751"/>
      <c r="BT351" s="751"/>
      <c r="BU351" s="751"/>
      <c r="BV351" s="751"/>
      <c r="BW351" s="519"/>
    </row>
    <row r="352" spans="1:75" s="439" customFormat="1" ht="15" hidden="1" customHeight="1" outlineLevel="2">
      <c r="A352" s="43"/>
      <c r="B352" s="53"/>
      <c r="C352" s="89"/>
      <c r="D352" s="89"/>
      <c r="E352" s="89"/>
      <c r="F352" s="89"/>
      <c r="G352" s="518"/>
      <c r="H352" s="518"/>
      <c r="I352" s="518"/>
      <c r="J352" s="518"/>
      <c r="K352" s="89"/>
      <c r="L352" s="518"/>
      <c r="M352" s="518"/>
      <c r="N352" s="518"/>
      <c r="O352" s="518"/>
      <c r="P352" s="89"/>
      <c r="Q352" s="518"/>
      <c r="R352" s="518"/>
      <c r="S352" s="518"/>
      <c r="T352" s="518"/>
      <c r="U352" s="89"/>
      <c r="V352" s="518"/>
      <c r="W352" s="518"/>
      <c r="X352" s="518"/>
      <c r="Y352" s="518"/>
      <c r="Z352" s="89"/>
      <c r="AA352" s="518"/>
      <c r="AB352" s="518"/>
      <c r="AC352" s="518"/>
      <c r="AD352" s="518"/>
      <c r="AE352" s="89"/>
      <c r="AF352" s="518"/>
      <c r="AG352" s="518"/>
      <c r="AH352" s="518"/>
      <c r="AI352" s="518"/>
      <c r="AJ352" s="89"/>
      <c r="AK352" s="518"/>
      <c r="AL352" s="518"/>
      <c r="AM352" s="518"/>
      <c r="AN352" s="518"/>
      <c r="AO352" s="89"/>
      <c r="AP352" s="518"/>
      <c r="AQ352" s="518"/>
      <c r="AR352" s="518"/>
      <c r="AS352" s="518"/>
      <c r="AT352" s="89"/>
      <c r="AU352" s="518"/>
      <c r="AV352" s="518"/>
      <c r="AW352" s="518"/>
      <c r="AX352" s="518"/>
      <c r="AY352" s="89"/>
      <c r="AZ352" s="518"/>
      <c r="BA352" s="518"/>
      <c r="BB352" s="518"/>
      <c r="BC352" s="518"/>
      <c r="BD352" s="89"/>
      <c r="BE352" s="518"/>
      <c r="BF352" s="518"/>
      <c r="BG352" s="518"/>
      <c r="BH352" s="518"/>
      <c r="BI352" s="89"/>
      <c r="BJ352" s="518"/>
      <c r="BK352" s="518"/>
      <c r="BL352" s="520"/>
      <c r="BM352" s="518"/>
      <c r="BN352" s="89"/>
      <c r="BO352" s="518"/>
      <c r="BP352" s="518"/>
      <c r="BQ352" s="518"/>
      <c r="BR352" s="518"/>
      <c r="BS352" s="89"/>
      <c r="BT352" s="89"/>
      <c r="BU352" s="89"/>
      <c r="BV352" s="89"/>
      <c r="BW352" s="519"/>
    </row>
    <row r="353" spans="1:75" s="439" customFormat="1" ht="15" hidden="1" customHeight="1" outlineLevel="2">
      <c r="A353" s="354" t="s">
        <v>378</v>
      </c>
      <c r="B353" s="53"/>
      <c r="C353" s="89"/>
      <c r="D353" s="89"/>
      <c r="E353" s="89"/>
      <c r="F353" s="89"/>
      <c r="G353" s="518"/>
      <c r="H353" s="518"/>
      <c r="I353" s="518"/>
      <c r="J353" s="518"/>
      <c r="K353" s="89"/>
      <c r="L353" s="518"/>
      <c r="M353" s="518"/>
      <c r="N353" s="518"/>
      <c r="O353" s="518"/>
      <c r="P353" s="89"/>
      <c r="Q353" s="518"/>
      <c r="R353" s="518"/>
      <c r="S353" s="518"/>
      <c r="T353" s="518"/>
      <c r="U353" s="89"/>
      <c r="V353" s="518"/>
      <c r="W353" s="518"/>
      <c r="X353" s="518"/>
      <c r="Y353" s="518"/>
      <c r="Z353" s="89"/>
      <c r="AA353" s="518"/>
      <c r="AB353" s="518"/>
      <c r="AC353" s="609">
        <v>200</v>
      </c>
      <c r="AD353" s="518"/>
      <c r="AE353" s="89"/>
      <c r="AF353" s="518"/>
      <c r="AG353" s="518"/>
      <c r="AH353" s="518"/>
      <c r="AI353" s="518"/>
      <c r="AJ353" s="89"/>
      <c r="AK353" s="518"/>
      <c r="AL353" s="518"/>
      <c r="AM353" s="518"/>
      <c r="AN353" s="518"/>
      <c r="AO353" s="89"/>
      <c r="AP353" s="609">
        <v>250</v>
      </c>
      <c r="AQ353" s="518"/>
      <c r="AR353" s="518"/>
      <c r="AS353" s="518"/>
      <c r="AT353" s="89"/>
      <c r="AU353" s="518"/>
      <c r="AV353" s="518"/>
      <c r="AW353" s="518"/>
      <c r="AX353" s="518"/>
      <c r="AY353" s="89"/>
      <c r="AZ353" s="518"/>
      <c r="BA353" s="518"/>
      <c r="BB353" s="518"/>
      <c r="BC353" s="518"/>
      <c r="BD353" s="89"/>
      <c r="BE353" s="518"/>
      <c r="BF353" s="518"/>
      <c r="BG353" s="518"/>
      <c r="BH353" s="518"/>
      <c r="BI353" s="89"/>
      <c r="BJ353" s="518"/>
      <c r="BK353" s="518"/>
      <c r="BL353" s="520"/>
      <c r="BM353" s="518"/>
      <c r="BN353" s="89"/>
      <c r="BO353" s="518"/>
      <c r="BP353" s="518"/>
      <c r="BQ353" s="518"/>
      <c r="BR353" s="518"/>
      <c r="BS353" s="89"/>
      <c r="BT353" s="89"/>
      <c r="BU353" s="89"/>
      <c r="BV353" s="89"/>
      <c r="BW353" s="519"/>
    </row>
    <row r="354" spans="1:75" s="439" customFormat="1" ht="15" hidden="1" customHeight="1" outlineLevel="2">
      <c r="A354" s="354" t="s">
        <v>379</v>
      </c>
      <c r="B354" s="53"/>
      <c r="C354" s="89"/>
      <c r="D354" s="89"/>
      <c r="E354" s="89"/>
      <c r="F354" s="89"/>
      <c r="G354" s="518"/>
      <c r="H354" s="518"/>
      <c r="I354" s="518"/>
      <c r="J354" s="518"/>
      <c r="K354" s="89"/>
      <c r="L354" s="518"/>
      <c r="M354" s="518"/>
      <c r="N354" s="518"/>
      <c r="O354" s="518"/>
      <c r="P354" s="89"/>
      <c r="Q354" s="518"/>
      <c r="R354" s="518"/>
      <c r="S354" s="518"/>
      <c r="T354" s="518"/>
      <c r="U354" s="89"/>
      <c r="V354" s="518"/>
      <c r="W354" s="518"/>
      <c r="X354" s="518"/>
      <c r="Y354" s="518"/>
      <c r="Z354" s="89"/>
      <c r="AA354" s="518"/>
      <c r="AB354" s="518"/>
      <c r="AC354" s="518"/>
      <c r="AD354" s="518"/>
      <c r="AE354" s="89"/>
      <c r="AF354" s="518"/>
      <c r="AG354" s="518"/>
      <c r="AH354" s="518"/>
      <c r="AI354" s="609">
        <v>250</v>
      </c>
      <c r="AJ354" s="89"/>
      <c r="AK354" s="609">
        <v>250</v>
      </c>
      <c r="AL354" s="518"/>
      <c r="AM354" s="518"/>
      <c r="AN354" s="518"/>
      <c r="AO354" s="89"/>
      <c r="AP354" s="518"/>
      <c r="AQ354" s="518"/>
      <c r="AR354" s="518"/>
      <c r="AS354" s="518"/>
      <c r="AT354" s="89"/>
      <c r="AU354" s="518"/>
      <c r="AV354" s="518"/>
      <c r="AW354" s="609">
        <v>250</v>
      </c>
      <c r="AX354" s="518"/>
      <c r="AY354" s="89"/>
      <c r="AZ354" s="518"/>
      <c r="BA354" s="518"/>
      <c r="BB354" s="518"/>
      <c r="BC354" s="609">
        <v>250</v>
      </c>
      <c r="BD354" s="89"/>
      <c r="BE354" s="518"/>
      <c r="BF354" s="518"/>
      <c r="BG354" s="518"/>
      <c r="BH354" s="518"/>
      <c r="BI354" s="89"/>
      <c r="BJ354" s="609">
        <v>500</v>
      </c>
      <c r="BK354" s="518"/>
      <c r="BL354" s="520"/>
      <c r="BM354" s="518"/>
      <c r="BN354" s="89"/>
      <c r="BO354" s="518"/>
      <c r="BP354" s="518"/>
      <c r="BQ354" s="518"/>
      <c r="BR354" s="518"/>
      <c r="BS354" s="89"/>
      <c r="BT354" s="89"/>
      <c r="BU354" s="89"/>
      <c r="BV354" s="89"/>
      <c r="BW354" s="519"/>
    </row>
    <row r="355" spans="1:75" s="439" customFormat="1" ht="15" hidden="1" customHeight="1" outlineLevel="2">
      <c r="A355" s="354" t="s">
        <v>380</v>
      </c>
      <c r="B355" s="53"/>
      <c r="C355" s="89"/>
      <c r="D355" s="89"/>
      <c r="E355" s="89"/>
      <c r="F355" s="89"/>
      <c r="G355" s="518"/>
      <c r="H355" s="518"/>
      <c r="I355" s="518"/>
      <c r="J355" s="518"/>
      <c r="K355" s="89"/>
      <c r="L355" s="518"/>
      <c r="M355" s="518"/>
      <c r="N355" s="518"/>
      <c r="O355" s="518"/>
      <c r="P355" s="89"/>
      <c r="Q355" s="518"/>
      <c r="R355" s="518"/>
      <c r="S355" s="518"/>
      <c r="T355" s="518"/>
      <c r="U355" s="89"/>
      <c r="V355" s="518"/>
      <c r="W355" s="518"/>
      <c r="X355" s="518"/>
      <c r="Y355" s="518"/>
      <c r="Z355" s="89"/>
      <c r="AA355" s="518"/>
      <c r="AB355" s="518"/>
      <c r="AC355" s="518"/>
      <c r="AD355" s="518"/>
      <c r="AE355" s="89"/>
      <c r="AF355" s="518"/>
      <c r="AG355" s="518"/>
      <c r="AH355" s="518"/>
      <c r="AI355" s="518"/>
      <c r="AJ355" s="89"/>
      <c r="AK355" s="518"/>
      <c r="AL355" s="518"/>
      <c r="AM355" s="518"/>
      <c r="AN355" s="518"/>
      <c r="AO355" s="89"/>
      <c r="AP355" s="518"/>
      <c r="AQ355" s="518"/>
      <c r="AR355" s="518"/>
      <c r="AS355" s="518"/>
      <c r="AT355" s="89"/>
      <c r="AU355" s="518"/>
      <c r="AV355" s="518"/>
      <c r="AW355" s="518"/>
      <c r="AX355" s="518"/>
      <c r="AY355" s="89"/>
      <c r="AZ355" s="518"/>
      <c r="BA355" s="518"/>
      <c r="BB355" s="518"/>
      <c r="BC355" s="518"/>
      <c r="BD355" s="89"/>
      <c r="BE355" s="518"/>
      <c r="BF355" s="518"/>
      <c r="BG355" s="518"/>
      <c r="BH355" s="518"/>
      <c r="BI355" s="89"/>
      <c r="BJ355" s="518"/>
      <c r="BK355" s="518"/>
      <c r="BL355" s="520"/>
      <c r="BM355" s="518"/>
      <c r="BN355" s="89"/>
      <c r="BO355" s="518"/>
      <c r="BP355" s="518"/>
      <c r="BQ355" s="518"/>
      <c r="BR355" s="518"/>
      <c r="BS355" s="89"/>
      <c r="BT355" s="89"/>
      <c r="BU355" s="89"/>
      <c r="BV355" s="89"/>
      <c r="BW355" s="519"/>
    </row>
    <row r="356" spans="1:75" s="439" customFormat="1" ht="15" hidden="1" customHeight="1" outlineLevel="2">
      <c r="A356" s="360" t="s">
        <v>381</v>
      </c>
      <c r="B356" s="359"/>
      <c r="C356" s="751"/>
      <c r="D356" s="751"/>
      <c r="E356" s="751"/>
      <c r="F356" s="751"/>
      <c r="G356" s="577">
        <f t="shared" ref="G356" si="742">SUM(G353:G355)</f>
        <v>0</v>
      </c>
      <c r="H356" s="577">
        <f t="shared" ref="H356" si="743">SUM(H353:H355)</f>
        <v>0</v>
      </c>
      <c r="I356" s="577">
        <f t="shared" ref="I356" si="744">SUM(I353:I355)</f>
        <v>0</v>
      </c>
      <c r="J356" s="577">
        <f t="shared" ref="J356" si="745">SUM(J353:J355)</f>
        <v>0</v>
      </c>
      <c r="K356" s="751">
        <f>SUM(G356,H356,I356,J356)</f>
        <v>0</v>
      </c>
      <c r="L356" s="577">
        <f t="shared" ref="L356" si="746">SUM(L353:L355)</f>
        <v>0</v>
      </c>
      <c r="M356" s="577">
        <f t="shared" ref="M356" si="747">SUM(M353:M355)</f>
        <v>0</v>
      </c>
      <c r="N356" s="577">
        <f t="shared" ref="N356" si="748">SUM(N353:N355)</f>
        <v>0</v>
      </c>
      <c r="O356" s="577">
        <f t="shared" ref="O356" si="749">SUM(O353:O355)</f>
        <v>0</v>
      </c>
      <c r="P356" s="751">
        <f>SUM(L356,M356,N356,O356)</f>
        <v>0</v>
      </c>
      <c r="Q356" s="577">
        <f t="shared" ref="Q356" si="750">SUM(Q353:Q355)</f>
        <v>0</v>
      </c>
      <c r="R356" s="577">
        <f t="shared" ref="R356" si="751">SUM(R353:R355)</f>
        <v>0</v>
      </c>
      <c r="S356" s="577">
        <f t="shared" ref="S356" si="752">SUM(S353:S355)</f>
        <v>0</v>
      </c>
      <c r="T356" s="577">
        <f t="shared" ref="T356" si="753">SUM(T353:T355)</f>
        <v>0</v>
      </c>
      <c r="U356" s="751">
        <f>SUM(Q356,R356,S356,T356)</f>
        <v>0</v>
      </c>
      <c r="V356" s="577">
        <f t="shared" ref="V356:AB356" si="754">SUM(V353:V355)</f>
        <v>0</v>
      </c>
      <c r="W356" s="577">
        <f t="shared" si="754"/>
        <v>0</v>
      </c>
      <c r="X356" s="577">
        <f t="shared" si="754"/>
        <v>0</v>
      </c>
      <c r="Y356" s="577">
        <f t="shared" si="754"/>
        <v>0</v>
      </c>
      <c r="Z356" s="751">
        <f>SUM(V356,W356,X356,Y356)</f>
        <v>0</v>
      </c>
      <c r="AA356" s="577">
        <f t="shared" si="754"/>
        <v>0</v>
      </c>
      <c r="AB356" s="577">
        <f t="shared" si="754"/>
        <v>0</v>
      </c>
      <c r="AC356" s="577">
        <f>SUM(AC353:AC355)</f>
        <v>200</v>
      </c>
      <c r="AD356" s="577">
        <f>SUM(AD353:AD355)</f>
        <v>0</v>
      </c>
      <c r="AE356" s="751">
        <f>SUM(AA356,AB356,AC356,AD356)</f>
        <v>200</v>
      </c>
      <c r="AF356" s="577">
        <f>SUM(AF353:AF355)</f>
        <v>0</v>
      </c>
      <c r="AG356" s="577">
        <f>SUM(AG353:AG355)</f>
        <v>0</v>
      </c>
      <c r="AH356" s="577">
        <f>SUM(AH353:AH355)</f>
        <v>0</v>
      </c>
      <c r="AI356" s="577">
        <f>SUM(AI353:AI355)</f>
        <v>250</v>
      </c>
      <c r="AJ356" s="751">
        <f>SUM(AF356,AG356,AH356,AI356)</f>
        <v>250</v>
      </c>
      <c r="AK356" s="577">
        <f>SUM(AK353:AK355)</f>
        <v>250</v>
      </c>
      <c r="AL356" s="577">
        <f>SUM(AL353:AL355)</f>
        <v>0</v>
      </c>
      <c r="AM356" s="577">
        <f>SUM(AM353:AM355)</f>
        <v>0</v>
      </c>
      <c r="AN356" s="577">
        <f>SUM(AN353:AN355)</f>
        <v>0</v>
      </c>
      <c r="AO356" s="751">
        <f>SUM(AK356,AL356,AM356,AN356)</f>
        <v>250</v>
      </c>
      <c r="AP356" s="577">
        <f>SUM(AP353:AP355)</f>
        <v>250</v>
      </c>
      <c r="AQ356" s="577">
        <f>SUM(AQ353:AQ355)</f>
        <v>0</v>
      </c>
      <c r="AR356" s="577">
        <f>SUM(AR353:AR355)</f>
        <v>0</v>
      </c>
      <c r="AS356" s="577">
        <f>SUM(AS353:AS355)</f>
        <v>0</v>
      </c>
      <c r="AT356" s="751">
        <f>SUM(AP356,AQ356,AR356,AS356)</f>
        <v>250</v>
      </c>
      <c r="AU356" s="577">
        <f>SUM(AU353:AU355)</f>
        <v>0</v>
      </c>
      <c r="AV356" s="577">
        <f>SUM(AV353:AV355)</f>
        <v>0</v>
      </c>
      <c r="AW356" s="577">
        <f>SUM(AW353:AW355)</f>
        <v>250</v>
      </c>
      <c r="AX356" s="577">
        <f>SUM(AX353:AX355)</f>
        <v>0</v>
      </c>
      <c r="AY356" s="751">
        <f>SUM(AU356,AV356,AW356,AX356)</f>
        <v>250</v>
      </c>
      <c r="AZ356" s="577">
        <f>SUM(AZ353:AZ355)</f>
        <v>0</v>
      </c>
      <c r="BA356" s="577">
        <f>SUM(BA353:BA355)</f>
        <v>0</v>
      </c>
      <c r="BB356" s="577">
        <f>SUM(BB353:BB355)</f>
        <v>0</v>
      </c>
      <c r="BC356" s="577">
        <f>SUM(BC353:BC355)</f>
        <v>250</v>
      </c>
      <c r="BD356" s="751">
        <f>SUM(AZ356,BA356,BB356,BC356)</f>
        <v>250</v>
      </c>
      <c r="BE356" s="577">
        <f t="shared" ref="BE356:BF356" si="755">SUM(BE353:BE355)</f>
        <v>0</v>
      </c>
      <c r="BF356" s="577">
        <f t="shared" si="755"/>
        <v>0</v>
      </c>
      <c r="BG356" s="577">
        <f>SUM(BG353:BG355)</f>
        <v>0</v>
      </c>
      <c r="BH356" s="577">
        <f>SUM(BH353:BH355)</f>
        <v>0</v>
      </c>
      <c r="BI356" s="751">
        <f>SUM(BE356,BF356,BG356,BH356)</f>
        <v>0</v>
      </c>
      <c r="BJ356" s="577">
        <f t="shared" ref="BJ356:BL356" si="756">SUM(BJ353:BJ355)</f>
        <v>500</v>
      </c>
      <c r="BK356" s="577">
        <f t="shared" si="756"/>
        <v>0</v>
      </c>
      <c r="BL356" s="578">
        <f t="shared" si="756"/>
        <v>0</v>
      </c>
      <c r="BM356" s="577"/>
      <c r="BN356" s="751"/>
      <c r="BO356" s="577"/>
      <c r="BP356" s="577"/>
      <c r="BQ356" s="577"/>
      <c r="BR356" s="577"/>
      <c r="BS356" s="751"/>
      <c r="BT356" s="751"/>
      <c r="BU356" s="751"/>
      <c r="BV356" s="751"/>
      <c r="BW356" s="519"/>
    </row>
    <row r="357" spans="1:75" s="439" customFormat="1" ht="15" hidden="1" customHeight="1" outlineLevel="2">
      <c r="A357" s="43"/>
      <c r="B357" s="53"/>
      <c r="C357" s="89"/>
      <c r="D357" s="89"/>
      <c r="E357" s="89"/>
      <c r="F357" s="89"/>
      <c r="G357" s="518"/>
      <c r="H357" s="518"/>
      <c r="I357" s="518"/>
      <c r="J357" s="518"/>
      <c r="K357" s="89"/>
      <c r="L357" s="518"/>
      <c r="M357" s="518"/>
      <c r="N357" s="518"/>
      <c r="O357" s="518"/>
      <c r="P357" s="89"/>
      <c r="Q357" s="518"/>
      <c r="R357" s="518"/>
      <c r="S357" s="518"/>
      <c r="T357" s="518"/>
      <c r="U357" s="89"/>
      <c r="V357" s="518"/>
      <c r="W357" s="518"/>
      <c r="X357" s="518"/>
      <c r="Y357" s="518"/>
      <c r="Z357" s="89"/>
      <c r="AA357" s="518"/>
      <c r="AB357" s="518"/>
      <c r="AC357" s="518"/>
      <c r="AD357" s="518"/>
      <c r="AE357" s="89"/>
      <c r="AF357" s="518"/>
      <c r="AG357" s="518"/>
      <c r="AH357" s="518"/>
      <c r="AI357" s="518"/>
      <c r="AJ357" s="89"/>
      <c r="AK357" s="518"/>
      <c r="AL357" s="518"/>
      <c r="AM357" s="518"/>
      <c r="AN357" s="518"/>
      <c r="AO357" s="89"/>
      <c r="AP357" s="518"/>
      <c r="AQ357" s="518"/>
      <c r="AR357" s="518"/>
      <c r="AS357" s="518"/>
      <c r="AT357" s="89"/>
      <c r="AU357" s="518"/>
      <c r="AV357" s="518"/>
      <c r="AW357" s="518"/>
      <c r="AX357" s="518"/>
      <c r="AY357" s="89"/>
      <c r="AZ357" s="518"/>
      <c r="BA357" s="518"/>
      <c r="BB357" s="518"/>
      <c r="BC357" s="518"/>
      <c r="BD357" s="89"/>
      <c r="BE357" s="518"/>
      <c r="BF357" s="518"/>
      <c r="BG357" s="518"/>
      <c r="BH357" s="518"/>
      <c r="BI357" s="89"/>
      <c r="BJ357" s="518"/>
      <c r="BK357" s="518"/>
      <c r="BL357" s="520"/>
      <c r="BM357" s="518"/>
      <c r="BN357" s="89"/>
      <c r="BO357" s="518"/>
      <c r="BP357" s="518"/>
      <c r="BQ357" s="518"/>
      <c r="BR357" s="518"/>
      <c r="BS357" s="89"/>
      <c r="BT357" s="89"/>
      <c r="BU357" s="89"/>
      <c r="BV357" s="89"/>
      <c r="BW357" s="519"/>
    </row>
    <row r="358" spans="1:75" s="439" customFormat="1" ht="15" hidden="1" customHeight="1" outlineLevel="2">
      <c r="A358" s="354" t="s">
        <v>382</v>
      </c>
      <c r="B358" s="53"/>
      <c r="C358" s="89"/>
      <c r="D358" s="89"/>
      <c r="E358" s="89"/>
      <c r="F358" s="89"/>
      <c r="G358" s="518"/>
      <c r="H358" s="518"/>
      <c r="I358" s="518"/>
      <c r="J358" s="518"/>
      <c r="K358" s="89"/>
      <c r="L358" s="518"/>
      <c r="M358" s="518"/>
      <c r="N358" s="518"/>
      <c r="O358" s="518"/>
      <c r="P358" s="89"/>
      <c r="Q358" s="518"/>
      <c r="R358" s="518"/>
      <c r="S358" s="518"/>
      <c r="T358" s="518"/>
      <c r="U358" s="89"/>
      <c r="V358" s="518"/>
      <c r="W358" s="518"/>
      <c r="X358" s="518"/>
      <c r="Y358" s="518"/>
      <c r="Z358" s="89"/>
      <c r="AA358" s="518"/>
      <c r="AB358" s="518"/>
      <c r="AC358" s="609">
        <v>200</v>
      </c>
      <c r="AD358" s="609">
        <v>192.25299999999999</v>
      </c>
      <c r="AE358" s="89"/>
      <c r="AF358" s="609">
        <v>187.38200000000001</v>
      </c>
      <c r="AG358" s="609">
        <v>150.38900000000001</v>
      </c>
      <c r="AH358" s="609">
        <v>115.389</v>
      </c>
      <c r="AI358" s="609">
        <v>59.957999999999998</v>
      </c>
      <c r="AJ358" s="89"/>
      <c r="AK358" s="609">
        <v>250</v>
      </c>
      <c r="AL358" s="609">
        <v>308.51400000000001</v>
      </c>
      <c r="AM358" s="609">
        <v>74.049000000000007</v>
      </c>
      <c r="AN358" s="609">
        <v>25.007000000000001</v>
      </c>
      <c r="AO358" s="89"/>
      <c r="AP358" s="518">
        <f>AN361+AP353</f>
        <v>268.98899999999998</v>
      </c>
      <c r="AQ358" s="518">
        <f>AP361</f>
        <v>268.98899999999998</v>
      </c>
      <c r="AR358" s="518">
        <f>AQ361</f>
        <v>268.98899999999998</v>
      </c>
      <c r="AS358" s="609">
        <v>268.98899999999998</v>
      </c>
      <c r="AT358" s="89"/>
      <c r="AU358" s="609">
        <v>226.84899999999999</v>
      </c>
      <c r="AV358" s="609">
        <v>172.262</v>
      </c>
      <c r="AW358" s="609">
        <v>97.938000000000002</v>
      </c>
      <c r="AX358" s="609">
        <v>295.42200000000003</v>
      </c>
      <c r="AY358" s="89"/>
      <c r="AZ358" s="609">
        <v>200.27600000000001</v>
      </c>
      <c r="BA358" s="609">
        <v>156.89099999999999</v>
      </c>
      <c r="BB358" s="609">
        <v>107.01900000000001</v>
      </c>
      <c r="BC358" s="609">
        <v>57.006999999999998</v>
      </c>
      <c r="BD358" s="89"/>
      <c r="BE358" s="609">
        <v>257.19299999999998</v>
      </c>
      <c r="BF358" s="609">
        <v>207.27099999999999</v>
      </c>
      <c r="BG358" s="609">
        <v>156.851</v>
      </c>
      <c r="BH358" s="609">
        <v>106.423</v>
      </c>
      <c r="BI358" s="89"/>
      <c r="BJ358" s="609">
        <v>57.280999999999999</v>
      </c>
      <c r="BK358" s="609">
        <v>494.52800000000002</v>
      </c>
      <c r="BL358" s="610">
        <v>430.976</v>
      </c>
      <c r="BM358" s="518"/>
      <c r="BN358" s="89"/>
      <c r="BO358" s="518"/>
      <c r="BP358" s="518"/>
      <c r="BQ358" s="518"/>
      <c r="BR358" s="518"/>
      <c r="BS358" s="89"/>
      <c r="BT358" s="89"/>
      <c r="BU358" s="89"/>
      <c r="BV358" s="89"/>
      <c r="BW358" s="519"/>
    </row>
    <row r="359" spans="1:75" s="439" customFormat="1" ht="15" hidden="1" customHeight="1" outlineLevel="2">
      <c r="A359" s="354" t="s">
        <v>383</v>
      </c>
      <c r="B359" s="53"/>
      <c r="C359" s="89"/>
      <c r="D359" s="89"/>
      <c r="E359" s="89"/>
      <c r="F359" s="89"/>
      <c r="G359" s="518"/>
      <c r="H359" s="518"/>
      <c r="I359" s="518"/>
      <c r="J359" s="518"/>
      <c r="K359" s="89"/>
      <c r="L359" s="518"/>
      <c r="M359" s="518"/>
      <c r="N359" s="518"/>
      <c r="O359" s="518"/>
      <c r="P359" s="89"/>
      <c r="Q359" s="518"/>
      <c r="R359" s="518"/>
      <c r="S359" s="518"/>
      <c r="T359" s="518"/>
      <c r="U359" s="89"/>
      <c r="V359" s="518"/>
      <c r="W359" s="518"/>
      <c r="X359" s="518"/>
      <c r="Y359" s="518"/>
      <c r="Z359" s="89"/>
      <c r="AA359" s="518"/>
      <c r="AB359" s="518"/>
      <c r="AC359" s="609">
        <v>192.25299999999999</v>
      </c>
      <c r="AD359" s="609">
        <v>192.25299999999999</v>
      </c>
      <c r="AE359" s="89"/>
      <c r="AF359" s="609">
        <v>165.38900000000001</v>
      </c>
      <c r="AG359" s="609">
        <v>135.38900000000001</v>
      </c>
      <c r="AH359" s="609">
        <v>115.389</v>
      </c>
      <c r="AI359" s="609">
        <v>250</v>
      </c>
      <c r="AJ359" s="89"/>
      <c r="AK359" s="609">
        <v>487.23399999999998</v>
      </c>
      <c r="AL359" s="609">
        <v>178.74600000000001</v>
      </c>
      <c r="AM359" s="609">
        <v>31.983000000000001</v>
      </c>
      <c r="AN359" s="609">
        <v>18.989000000000001</v>
      </c>
      <c r="AO359" s="89"/>
      <c r="AP359" s="518">
        <f t="shared" ref="AP359:AR361" si="757">AP358</f>
        <v>268.98899999999998</v>
      </c>
      <c r="AQ359" s="518">
        <f t="shared" si="757"/>
        <v>268.98899999999998</v>
      </c>
      <c r="AR359" s="518">
        <f t="shared" si="757"/>
        <v>268.98899999999998</v>
      </c>
      <c r="AS359" s="609">
        <v>267.96800000000002</v>
      </c>
      <c r="AT359" s="89"/>
      <c r="AU359" s="609">
        <v>216.04</v>
      </c>
      <c r="AV359" s="609">
        <v>163.87899999999999</v>
      </c>
      <c r="AW359" s="609">
        <v>338.66</v>
      </c>
      <c r="AX359" s="609">
        <v>272.55700000000002</v>
      </c>
      <c r="AY359" s="89"/>
      <c r="AZ359" s="609">
        <v>194.65799999999999</v>
      </c>
      <c r="BA359" s="609">
        <v>148.98400000000001</v>
      </c>
      <c r="BB359" s="609">
        <v>97.707999999999998</v>
      </c>
      <c r="BC359" s="609">
        <v>297.62599999999998</v>
      </c>
      <c r="BD359" s="89"/>
      <c r="BE359" s="609">
        <v>252.06200000000001</v>
      </c>
      <c r="BF359" s="609">
        <v>197.529</v>
      </c>
      <c r="BG359" s="609">
        <v>147.34800000000001</v>
      </c>
      <c r="BH359" s="609">
        <v>97.159000000000006</v>
      </c>
      <c r="BI359" s="89"/>
      <c r="BJ359" s="609">
        <v>554.65899999999999</v>
      </c>
      <c r="BK359" s="609">
        <v>481.74799999999999</v>
      </c>
      <c r="BL359" s="610">
        <v>429.65899999999999</v>
      </c>
      <c r="BM359" s="518"/>
      <c r="BN359" s="89"/>
      <c r="BO359" s="518"/>
      <c r="BP359" s="518"/>
      <c r="BQ359" s="518"/>
      <c r="BR359" s="518"/>
      <c r="BS359" s="89"/>
      <c r="BT359" s="89"/>
      <c r="BU359" s="89"/>
      <c r="BV359" s="89"/>
      <c r="BW359" s="519"/>
    </row>
    <row r="360" spans="1:75" s="439" customFormat="1" ht="15" hidden="1" customHeight="1" outlineLevel="2">
      <c r="A360" s="354" t="s">
        <v>384</v>
      </c>
      <c r="B360" s="53"/>
      <c r="C360" s="89"/>
      <c r="D360" s="89"/>
      <c r="E360" s="89"/>
      <c r="F360" s="89"/>
      <c r="G360" s="518"/>
      <c r="H360" s="518"/>
      <c r="I360" s="518"/>
      <c r="J360" s="518"/>
      <c r="K360" s="89"/>
      <c r="L360" s="518"/>
      <c r="M360" s="518"/>
      <c r="N360" s="518"/>
      <c r="O360" s="518"/>
      <c r="P360" s="89"/>
      <c r="Q360" s="518"/>
      <c r="R360" s="518"/>
      <c r="S360" s="518"/>
      <c r="T360" s="518"/>
      <c r="U360" s="89"/>
      <c r="V360" s="518"/>
      <c r="W360" s="518"/>
      <c r="X360" s="518"/>
      <c r="Y360" s="518"/>
      <c r="Z360" s="89"/>
      <c r="AA360" s="518"/>
      <c r="AB360" s="518"/>
      <c r="AC360" s="609">
        <v>192.25299999999999</v>
      </c>
      <c r="AD360" s="609">
        <v>187.38200000000001</v>
      </c>
      <c r="AE360" s="89"/>
      <c r="AF360" s="609">
        <v>150.38900000000001</v>
      </c>
      <c r="AG360" s="609">
        <v>121.593</v>
      </c>
      <c r="AH360" s="609">
        <v>115.389</v>
      </c>
      <c r="AI360" s="609">
        <v>250</v>
      </c>
      <c r="AJ360" s="89"/>
      <c r="AK360" s="609">
        <v>397.87400000000002</v>
      </c>
      <c r="AL360" s="609">
        <v>102.387</v>
      </c>
      <c r="AM360" s="609">
        <v>25.007000000000001</v>
      </c>
      <c r="AN360" s="609">
        <v>18.989000000000001</v>
      </c>
      <c r="AO360" s="89"/>
      <c r="AP360" s="518">
        <f t="shared" si="757"/>
        <v>268.98899999999998</v>
      </c>
      <c r="AQ360" s="518">
        <f t="shared" si="757"/>
        <v>268.98899999999998</v>
      </c>
      <c r="AR360" s="518">
        <f t="shared" si="757"/>
        <v>268.98899999999998</v>
      </c>
      <c r="AS360" s="609">
        <v>244.59299999999999</v>
      </c>
      <c r="AT360" s="89"/>
      <c r="AU360" s="609">
        <v>195.06399999999999</v>
      </c>
      <c r="AV360" s="609">
        <v>130.43600000000001</v>
      </c>
      <c r="AW360" s="609">
        <v>316.76100000000002</v>
      </c>
      <c r="AX360" s="609">
        <v>231.66399999999999</v>
      </c>
      <c r="AY360" s="89"/>
      <c r="AZ360" s="609">
        <v>181.65799999999999</v>
      </c>
      <c r="BA360" s="609">
        <v>131.65799999999999</v>
      </c>
      <c r="BB360" s="609">
        <v>81.658000000000001</v>
      </c>
      <c r="BC360" s="609">
        <v>281.65800000000002</v>
      </c>
      <c r="BD360" s="89"/>
      <c r="BE360" s="609">
        <v>231.65799999999999</v>
      </c>
      <c r="BF360" s="609">
        <v>181.65799999999999</v>
      </c>
      <c r="BG360" s="609">
        <v>131.65899999999999</v>
      </c>
      <c r="BH360" s="609">
        <v>81.659000000000006</v>
      </c>
      <c r="BI360" s="89"/>
      <c r="BJ360" s="609">
        <v>519.15899999999999</v>
      </c>
      <c r="BK360" s="609">
        <v>455.72699999999998</v>
      </c>
      <c r="BL360" s="610">
        <v>393.26</v>
      </c>
      <c r="BM360" s="518"/>
      <c r="BN360" s="89"/>
      <c r="BO360" s="518"/>
      <c r="BP360" s="518"/>
      <c r="BQ360" s="518"/>
      <c r="BR360" s="518"/>
      <c r="BS360" s="89"/>
      <c r="BT360" s="89"/>
      <c r="BU360" s="89"/>
      <c r="BV360" s="89"/>
      <c r="BW360" s="519"/>
    </row>
    <row r="361" spans="1:75" s="439" customFormat="1" ht="15" hidden="1" customHeight="1" outlineLevel="2">
      <c r="A361" s="355" t="s">
        <v>385</v>
      </c>
      <c r="B361" s="359"/>
      <c r="C361" s="751"/>
      <c r="D361" s="751"/>
      <c r="E361" s="751"/>
      <c r="F361" s="751"/>
      <c r="G361" s="577">
        <f t="shared" ref="G361" si="758">G360</f>
        <v>0</v>
      </c>
      <c r="H361" s="577">
        <f t="shared" ref="H361" si="759">H360</f>
        <v>0</v>
      </c>
      <c r="I361" s="577">
        <f t="shared" ref="I361" si="760">I360</f>
        <v>0</v>
      </c>
      <c r="J361" s="577">
        <f t="shared" ref="J361" si="761">J360</f>
        <v>0</v>
      </c>
      <c r="K361" s="751">
        <f>J361</f>
        <v>0</v>
      </c>
      <c r="L361" s="577">
        <f t="shared" ref="L361" si="762">L360</f>
        <v>0</v>
      </c>
      <c r="M361" s="577">
        <f t="shared" ref="M361" si="763">M360</f>
        <v>0</v>
      </c>
      <c r="N361" s="577">
        <f t="shared" ref="N361" si="764">N360</f>
        <v>0</v>
      </c>
      <c r="O361" s="577">
        <f t="shared" ref="O361" si="765">O360</f>
        <v>0</v>
      </c>
      <c r="P361" s="751">
        <f>O361</f>
        <v>0</v>
      </c>
      <c r="Q361" s="577">
        <f t="shared" ref="Q361" si="766">Q360</f>
        <v>0</v>
      </c>
      <c r="R361" s="577">
        <f t="shared" ref="R361" si="767">R360</f>
        <v>0</v>
      </c>
      <c r="S361" s="577">
        <f t="shared" ref="S361" si="768">S360</f>
        <v>0</v>
      </c>
      <c r="T361" s="577">
        <f t="shared" ref="T361" si="769">T360</f>
        <v>0</v>
      </c>
      <c r="U361" s="751">
        <f>T361</f>
        <v>0</v>
      </c>
      <c r="V361" s="577">
        <f t="shared" ref="V361:AA361" si="770">V360</f>
        <v>0</v>
      </c>
      <c r="W361" s="577">
        <f t="shared" si="770"/>
        <v>0</v>
      </c>
      <c r="X361" s="577">
        <f t="shared" si="770"/>
        <v>0</v>
      </c>
      <c r="Y361" s="577">
        <f t="shared" si="770"/>
        <v>0</v>
      </c>
      <c r="Z361" s="751">
        <f>Y361</f>
        <v>0</v>
      </c>
      <c r="AA361" s="577">
        <f t="shared" si="770"/>
        <v>0</v>
      </c>
      <c r="AB361" s="577">
        <f>AB360</f>
        <v>0</v>
      </c>
      <c r="AC361" s="577">
        <f>AC360</f>
        <v>192.25299999999999</v>
      </c>
      <c r="AD361" s="577">
        <f>AD360</f>
        <v>187.38200000000001</v>
      </c>
      <c r="AE361" s="751">
        <f>AD361</f>
        <v>187.38200000000001</v>
      </c>
      <c r="AF361" s="577">
        <f>AF360</f>
        <v>150.38900000000001</v>
      </c>
      <c r="AG361" s="577">
        <f>AG360</f>
        <v>121.593</v>
      </c>
      <c r="AH361" s="577">
        <f>AH360</f>
        <v>115.389</v>
      </c>
      <c r="AI361" s="577">
        <f>AI360</f>
        <v>250</v>
      </c>
      <c r="AJ361" s="751">
        <f>AI361</f>
        <v>250</v>
      </c>
      <c r="AK361" s="577">
        <f>AK360</f>
        <v>397.87400000000002</v>
      </c>
      <c r="AL361" s="577">
        <f>AL360</f>
        <v>102.387</v>
      </c>
      <c r="AM361" s="577">
        <f>AM360</f>
        <v>25.007000000000001</v>
      </c>
      <c r="AN361" s="577">
        <f>AN360</f>
        <v>18.989000000000001</v>
      </c>
      <c r="AO361" s="751">
        <f>AN361</f>
        <v>18.989000000000001</v>
      </c>
      <c r="AP361" s="577">
        <f t="shared" si="757"/>
        <v>268.98899999999998</v>
      </c>
      <c r="AQ361" s="577">
        <f t="shared" si="757"/>
        <v>268.98899999999998</v>
      </c>
      <c r="AR361" s="577">
        <f t="shared" si="757"/>
        <v>268.98899999999998</v>
      </c>
      <c r="AS361" s="577">
        <f>AS360</f>
        <v>244.59299999999999</v>
      </c>
      <c r="AT361" s="751">
        <f>AS361</f>
        <v>244.59299999999999</v>
      </c>
      <c r="AU361" s="577">
        <f t="shared" ref="AU361" si="771">AU360</f>
        <v>195.06399999999999</v>
      </c>
      <c r="AV361" s="577">
        <f t="shared" ref="AV361" si="772">AV360</f>
        <v>130.43600000000001</v>
      </c>
      <c r="AW361" s="577">
        <f t="shared" ref="AW361" si="773">AW360</f>
        <v>316.76100000000002</v>
      </c>
      <c r="AX361" s="577">
        <f t="shared" ref="AX361" si="774">AX360</f>
        <v>231.66399999999999</v>
      </c>
      <c r="AY361" s="751">
        <f>AX361</f>
        <v>231.66399999999999</v>
      </c>
      <c r="AZ361" s="577">
        <f t="shared" ref="AZ361:BH361" si="775">AZ360</f>
        <v>181.65799999999999</v>
      </c>
      <c r="BA361" s="577">
        <f t="shared" si="775"/>
        <v>131.65799999999999</v>
      </c>
      <c r="BB361" s="577">
        <f t="shared" si="775"/>
        <v>81.658000000000001</v>
      </c>
      <c r="BC361" s="577">
        <f t="shared" si="775"/>
        <v>281.65800000000002</v>
      </c>
      <c r="BD361" s="751">
        <f>BC361</f>
        <v>281.65800000000002</v>
      </c>
      <c r="BE361" s="577">
        <f t="shared" si="775"/>
        <v>231.65799999999999</v>
      </c>
      <c r="BF361" s="577">
        <f t="shared" si="775"/>
        <v>181.65799999999999</v>
      </c>
      <c r="BG361" s="577">
        <f>BG360</f>
        <v>131.65899999999999</v>
      </c>
      <c r="BH361" s="577">
        <f t="shared" si="775"/>
        <v>81.659000000000006</v>
      </c>
      <c r="BI361" s="751">
        <f>BH361</f>
        <v>81.659000000000006</v>
      </c>
      <c r="BJ361" s="577">
        <f>BJ360</f>
        <v>519.15899999999999</v>
      </c>
      <c r="BK361" s="577">
        <f>BK360</f>
        <v>455.72699999999998</v>
      </c>
      <c r="BL361" s="578">
        <f>BL360</f>
        <v>393.26</v>
      </c>
      <c r="BM361" s="577"/>
      <c r="BN361" s="751"/>
      <c r="BO361" s="577"/>
      <c r="BP361" s="577"/>
      <c r="BQ361" s="577"/>
      <c r="BR361" s="577"/>
      <c r="BS361" s="751"/>
      <c r="BT361" s="751"/>
      <c r="BU361" s="751"/>
      <c r="BV361" s="751"/>
      <c r="BW361" s="519"/>
    </row>
    <row r="362" spans="1:75" s="467" customFormat="1" ht="15" customHeight="1" collapsed="1">
      <c r="A362" s="518"/>
      <c r="B362" s="294"/>
      <c r="C362" s="89"/>
      <c r="D362" s="89"/>
      <c r="E362" s="89"/>
      <c r="F362" s="89"/>
      <c r="G362" s="518"/>
      <c r="H362" s="518"/>
      <c r="I362" s="518"/>
      <c r="J362" s="518"/>
      <c r="K362" s="89"/>
      <c r="L362" s="518"/>
      <c r="M362" s="518"/>
      <c r="N362" s="518"/>
      <c r="O362" s="518"/>
      <c r="P362" s="89"/>
      <c r="Q362" s="518"/>
      <c r="R362" s="518"/>
      <c r="S362" s="518"/>
      <c r="T362" s="518"/>
      <c r="U362" s="89"/>
      <c r="V362" s="518"/>
      <c r="W362" s="518"/>
      <c r="X362" s="518"/>
      <c r="Y362" s="518"/>
      <c r="Z362" s="89"/>
      <c r="AA362" s="518"/>
      <c r="AB362" s="518"/>
      <c r="AC362" s="518"/>
      <c r="AD362" s="518"/>
      <c r="AE362" s="89"/>
      <c r="AF362" s="518"/>
      <c r="AG362" s="518"/>
      <c r="AH362" s="518"/>
      <c r="AI362" s="518"/>
      <c r="AJ362" s="89"/>
      <c r="AK362" s="518"/>
      <c r="AL362" s="518"/>
      <c r="AM362" s="518"/>
      <c r="AN362" s="518"/>
      <c r="AO362" s="89"/>
      <c r="AP362" s="518"/>
      <c r="AQ362" s="518"/>
      <c r="AR362" s="518"/>
      <c r="AS362" s="518"/>
      <c r="AT362" s="89"/>
      <c r="AU362" s="518"/>
      <c r="AV362" s="518"/>
      <c r="AW362" s="518"/>
      <c r="AX362" s="518"/>
      <c r="AY362" s="89"/>
      <c r="AZ362" s="518"/>
      <c r="BA362" s="518"/>
      <c r="BB362" s="518"/>
      <c r="BC362" s="518"/>
      <c r="BD362" s="89"/>
      <c r="BE362" s="518"/>
      <c r="BF362" s="518"/>
      <c r="BG362" s="518"/>
      <c r="BH362" s="518"/>
      <c r="BI362" s="89"/>
      <c r="BJ362" s="518"/>
      <c r="BK362" s="518"/>
      <c r="BL362" s="520"/>
      <c r="BM362" s="518"/>
      <c r="BN362" s="89"/>
      <c r="BO362" s="518"/>
      <c r="BP362" s="518"/>
      <c r="BQ362" s="518"/>
      <c r="BR362" s="518"/>
      <c r="BS362" s="89"/>
      <c r="BT362" s="89"/>
      <c r="BU362" s="89"/>
      <c r="BV362" s="89"/>
      <c r="BW362" s="295"/>
    </row>
    <row r="363" spans="1:75" s="444" customFormat="1">
      <c r="A363" s="517" t="s">
        <v>386</v>
      </c>
      <c r="B363" s="517"/>
      <c r="C363" s="517"/>
      <c r="D363" s="517"/>
      <c r="E363" s="517"/>
      <c r="F363" s="517"/>
      <c r="G363" s="517"/>
      <c r="H363" s="517"/>
      <c r="I363" s="517"/>
      <c r="J363" s="517"/>
      <c r="K363" s="517"/>
      <c r="L363" s="517"/>
      <c r="M363" s="517"/>
      <c r="N363" s="517"/>
      <c r="O363" s="517"/>
      <c r="P363" s="517"/>
      <c r="Q363" s="517"/>
      <c r="R363" s="517"/>
      <c r="S363" s="517"/>
      <c r="T363" s="517"/>
      <c r="U363" s="517"/>
      <c r="V363" s="517"/>
      <c r="W363" s="517"/>
      <c r="X363" s="517"/>
      <c r="Y363" s="517"/>
      <c r="Z363" s="517"/>
      <c r="AA363" s="517"/>
      <c r="AB363" s="517"/>
      <c r="AC363" s="517"/>
      <c r="AD363" s="517"/>
      <c r="AE363" s="517"/>
      <c r="AF363" s="517"/>
      <c r="AG363" s="517"/>
      <c r="AH363" s="517"/>
      <c r="AI363" s="517"/>
      <c r="AJ363" s="517"/>
      <c r="AK363" s="517"/>
      <c r="AL363" s="517"/>
      <c r="AM363" s="517"/>
      <c r="AN363" s="517"/>
      <c r="AO363" s="517"/>
      <c r="AP363" s="517"/>
      <c r="AQ363" s="517"/>
      <c r="AR363" s="517"/>
      <c r="AS363" s="517"/>
      <c r="AT363" s="517"/>
      <c r="AU363" s="517"/>
      <c r="AV363" s="517"/>
      <c r="AW363" s="517"/>
      <c r="AX363" s="517"/>
      <c r="AY363" s="517"/>
      <c r="AZ363" s="517"/>
      <c r="BA363" s="517"/>
      <c r="BB363" s="517"/>
      <c r="BC363" s="517"/>
      <c r="BD363" s="517"/>
      <c r="BE363" s="517"/>
      <c r="BF363" s="517"/>
      <c r="BG363" s="517"/>
      <c r="BH363" s="517"/>
      <c r="BI363" s="517"/>
      <c r="BJ363" s="517"/>
      <c r="BK363" s="517"/>
      <c r="BL363" s="562"/>
      <c r="BM363" s="517"/>
      <c r="BN363" s="517"/>
      <c r="BO363" s="517"/>
      <c r="BP363" s="517"/>
      <c r="BQ363" s="517"/>
      <c r="BR363" s="517"/>
      <c r="BS363" s="517"/>
      <c r="BT363" s="517"/>
      <c r="BU363" s="517"/>
      <c r="BV363" s="517"/>
      <c r="BW363" s="318"/>
    </row>
    <row r="364" spans="1:75" s="439" customFormat="1" hidden="1" outlineLevel="1">
      <c r="A364" s="518" t="s">
        <v>387</v>
      </c>
      <c r="B364" s="53"/>
      <c r="C364" s="89">
        <f t="shared" ref="C364:AH364" si="776">C521</f>
        <v>-0.48099999999999976</v>
      </c>
      <c r="D364" s="89">
        <f t="shared" si="776"/>
        <v>-5.3720000000000008</v>
      </c>
      <c r="E364" s="89">
        <f t="shared" si="776"/>
        <v>-0.98499999999999932</v>
      </c>
      <c r="F364" s="89">
        <f t="shared" si="776"/>
        <v>4.9649999999999999</v>
      </c>
      <c r="G364" s="518">
        <f t="shared" si="776"/>
        <v>3.44</v>
      </c>
      <c r="H364" s="518">
        <f t="shared" si="776"/>
        <v>8.266</v>
      </c>
      <c r="I364" s="518">
        <f t="shared" si="776"/>
        <v>8.4800000000000022</v>
      </c>
      <c r="J364" s="518">
        <f t="shared" si="776"/>
        <v>10.987999999999998</v>
      </c>
      <c r="K364" s="89">
        <f t="shared" si="776"/>
        <v>31.173999999999999</v>
      </c>
      <c r="L364" s="518">
        <f t="shared" si="776"/>
        <v>11.629</v>
      </c>
      <c r="M364" s="518">
        <f t="shared" si="776"/>
        <v>17.922000000000004</v>
      </c>
      <c r="N364" s="518">
        <f t="shared" si="776"/>
        <v>20.152000000000001</v>
      </c>
      <c r="O364" s="518">
        <f t="shared" si="776"/>
        <v>24.193000000000012</v>
      </c>
      <c r="P364" s="89">
        <f t="shared" si="776"/>
        <v>73.896000000000015</v>
      </c>
      <c r="Q364" s="518">
        <f t="shared" si="776"/>
        <v>21.835999999999999</v>
      </c>
      <c r="R364" s="518">
        <f t="shared" si="776"/>
        <v>21.573</v>
      </c>
      <c r="S364" s="518">
        <f t="shared" si="776"/>
        <v>19.471999999999998</v>
      </c>
      <c r="T364" s="518">
        <f t="shared" si="776"/>
        <v>26.610000000000003</v>
      </c>
      <c r="U364" s="89">
        <f t="shared" si="776"/>
        <v>89.491</v>
      </c>
      <c r="V364" s="518">
        <f t="shared" si="776"/>
        <v>17.417999999999999</v>
      </c>
      <c r="W364" s="518">
        <f t="shared" si="776"/>
        <v>32.477000000000004</v>
      </c>
      <c r="X364" s="518">
        <f t="shared" si="776"/>
        <v>38.933</v>
      </c>
      <c r="Y364" s="518">
        <f t="shared" si="776"/>
        <v>48.345999999999989</v>
      </c>
      <c r="Z364" s="89">
        <f t="shared" si="776"/>
        <v>137.17399999999998</v>
      </c>
      <c r="AA364" s="518">
        <f t="shared" si="776"/>
        <v>36.613</v>
      </c>
      <c r="AB364" s="518">
        <f t="shared" si="776"/>
        <v>48.836000000000006</v>
      </c>
      <c r="AC364" s="518">
        <f t="shared" si="776"/>
        <v>48.421000000000006</v>
      </c>
      <c r="AD364" s="518">
        <f t="shared" si="776"/>
        <v>18.251000000000001</v>
      </c>
      <c r="AE364" s="89">
        <f t="shared" si="776"/>
        <v>152.12100000000004</v>
      </c>
      <c r="AF364" s="518">
        <f t="shared" si="776"/>
        <v>42.706000000000003</v>
      </c>
      <c r="AG364" s="518">
        <f t="shared" si="776"/>
        <v>55.484999999999999</v>
      </c>
      <c r="AH364" s="518">
        <f t="shared" si="776"/>
        <v>58.687000000000005</v>
      </c>
      <c r="AI364" s="518">
        <f t="shared" ref="AI364:AQ364" si="777">AI521</f>
        <v>59.569999999999993</v>
      </c>
      <c r="AJ364" s="89">
        <f t="shared" si="777"/>
        <v>216.44799999999998</v>
      </c>
      <c r="AK364" s="518">
        <f t="shared" si="777"/>
        <v>56.156999999999996</v>
      </c>
      <c r="AL364" s="518">
        <f t="shared" si="777"/>
        <v>70.001999999999995</v>
      </c>
      <c r="AM364" s="518">
        <f t="shared" si="777"/>
        <v>68.48899999999999</v>
      </c>
      <c r="AN364" s="518">
        <f t="shared" si="777"/>
        <v>75.212999999999994</v>
      </c>
      <c r="AO364" s="89">
        <f t="shared" si="777"/>
        <v>269.86099999999999</v>
      </c>
      <c r="AP364" s="518">
        <f t="shared" si="777"/>
        <v>47.178999999999995</v>
      </c>
      <c r="AQ364" s="518">
        <f t="shared" si="777"/>
        <v>30.097000000000001</v>
      </c>
      <c r="AR364" s="518">
        <f t="shared" ref="AR364:AW364" si="778">AR521</f>
        <v>65.443000000000012</v>
      </c>
      <c r="AS364" s="518">
        <f t="shared" si="778"/>
        <v>78.551999999999992</v>
      </c>
      <c r="AT364" s="89">
        <f t="shared" si="778"/>
        <v>221.27100000000002</v>
      </c>
      <c r="AU364" s="518">
        <f t="shared" si="778"/>
        <v>58.207999999999998</v>
      </c>
      <c r="AV364" s="518">
        <f t="shared" si="778"/>
        <v>77.975000000000009</v>
      </c>
      <c r="AW364" s="518">
        <f t="shared" si="778"/>
        <v>80.76400000000001</v>
      </c>
      <c r="AX364" s="518">
        <f t="shared" ref="AX364:BA364" si="779">AX521</f>
        <v>74.88</v>
      </c>
      <c r="AY364" s="89">
        <f t="shared" si="779"/>
        <v>291.82699999999994</v>
      </c>
      <c r="AZ364" s="518">
        <f t="shared" si="779"/>
        <v>60.863000000000007</v>
      </c>
      <c r="BA364" s="518">
        <f t="shared" si="779"/>
        <v>64.661999999999992</v>
      </c>
      <c r="BB364" s="518">
        <f t="shared" ref="BB364:BN364" si="780">BB521</f>
        <v>71.876000000000005</v>
      </c>
      <c r="BC364" s="518">
        <f t="shared" si="780"/>
        <v>71.41</v>
      </c>
      <c r="BD364" s="89">
        <f t="shared" si="780"/>
        <v>268.81100000000004</v>
      </c>
      <c r="BE364" s="518">
        <f t="shared" ref="BE364:BM364" si="781">BE521</f>
        <v>60.573999999999998</v>
      </c>
      <c r="BF364" s="518">
        <f t="shared" si="781"/>
        <v>67.628</v>
      </c>
      <c r="BG364" s="518">
        <f t="shared" si="781"/>
        <v>170.56100000000001</v>
      </c>
      <c r="BH364" s="518">
        <f t="shared" si="781"/>
        <v>109.869</v>
      </c>
      <c r="BI364" s="89">
        <f t="shared" si="781"/>
        <v>408.63200000000001</v>
      </c>
      <c r="BJ364" s="518">
        <f>BJ521</f>
        <v>86.635999999999996</v>
      </c>
      <c r="BK364" s="518">
        <f>BK521</f>
        <v>107.82900000000002</v>
      </c>
      <c r="BL364" s="520">
        <f>BL521</f>
        <v>99.268999999999991</v>
      </c>
      <c r="BM364" s="518">
        <f t="shared" si="781"/>
        <v>102.69710256932332</v>
      </c>
      <c r="BN364" s="89">
        <f t="shared" si="780"/>
        <v>396.43110256932334</v>
      </c>
      <c r="BO364" s="518">
        <f t="shared" ref="BO364:BV364" si="782">BO521</f>
        <v>96.395965387656048</v>
      </c>
      <c r="BP364" s="518">
        <f t="shared" si="782"/>
        <v>119.54374013341501</v>
      </c>
      <c r="BQ364" s="518">
        <f t="shared" si="782"/>
        <v>113.2306327943372</v>
      </c>
      <c r="BR364" s="518">
        <f t="shared" si="782"/>
        <v>107.97891672460617</v>
      </c>
      <c r="BS364" s="89">
        <f t="shared" si="782"/>
        <v>437.1492550400144</v>
      </c>
      <c r="BT364" s="89">
        <f t="shared" si="782"/>
        <v>435.3939117674671</v>
      </c>
      <c r="BU364" s="89">
        <f t="shared" si="782"/>
        <v>444.37829941783144</v>
      </c>
      <c r="BV364" s="89">
        <f t="shared" si="782"/>
        <v>381.52539363089454</v>
      </c>
      <c r="BW364" s="519"/>
    </row>
    <row r="365" spans="1:75" s="439" customFormat="1" hidden="1" outlineLevel="1">
      <c r="A365" s="80" t="s">
        <v>388</v>
      </c>
      <c r="B365" s="292"/>
      <c r="C365" s="674">
        <f t="shared" ref="C365:AH365" si="783">SUM(C522:C526)</f>
        <v>-0.15199999999999991</v>
      </c>
      <c r="D365" s="674">
        <f t="shared" si="783"/>
        <v>-2.4389999999999992</v>
      </c>
      <c r="E365" s="674">
        <f t="shared" si="783"/>
        <v>1.2349999999999999</v>
      </c>
      <c r="F365" s="674">
        <f t="shared" si="783"/>
        <v>-5.0640000000000001</v>
      </c>
      <c r="G365" s="521">
        <f t="shared" si="783"/>
        <v>-3.6139999999999994</v>
      </c>
      <c r="H365" s="521">
        <f t="shared" si="783"/>
        <v>-2.9780000000000002</v>
      </c>
      <c r="I365" s="521">
        <f t="shared" si="783"/>
        <v>-1.4860000000000007</v>
      </c>
      <c r="J365" s="521">
        <f t="shared" si="783"/>
        <v>-1.6639999999999993</v>
      </c>
      <c r="K365" s="674">
        <f t="shared" si="783"/>
        <v>-9.7419999999999991</v>
      </c>
      <c r="L365" s="521">
        <f t="shared" si="783"/>
        <v>-2.3059999999999996</v>
      </c>
      <c r="M365" s="521">
        <f t="shared" si="783"/>
        <v>-7.2560000000000011</v>
      </c>
      <c r="N365" s="521">
        <f t="shared" si="783"/>
        <v>-1.1020000000000008</v>
      </c>
      <c r="O365" s="521">
        <f t="shared" si="783"/>
        <v>-5.3</v>
      </c>
      <c r="P365" s="674">
        <f t="shared" si="783"/>
        <v>-15.964</v>
      </c>
      <c r="Q365" s="521">
        <f t="shared" si="783"/>
        <v>3.7989999999999995</v>
      </c>
      <c r="R365" s="521">
        <f t="shared" si="783"/>
        <v>-3.5430000000000001</v>
      </c>
      <c r="S365" s="521">
        <f t="shared" si="783"/>
        <v>-9.6100000000000012</v>
      </c>
      <c r="T365" s="521">
        <f t="shared" si="783"/>
        <v>-22.774999999999999</v>
      </c>
      <c r="U365" s="674">
        <f t="shared" si="783"/>
        <v>-32.128999999999998</v>
      </c>
      <c r="V365" s="521">
        <f t="shared" si="783"/>
        <v>6.4609999999999994</v>
      </c>
      <c r="W365" s="521">
        <f t="shared" si="783"/>
        <v>-9.8459999999999983</v>
      </c>
      <c r="X365" s="521">
        <f t="shared" si="783"/>
        <v>-3.6560000000000028</v>
      </c>
      <c r="Y365" s="521">
        <f t="shared" si="783"/>
        <v>-3.2329999999999961</v>
      </c>
      <c r="Z365" s="674">
        <f t="shared" si="783"/>
        <v>-10.273999999999997</v>
      </c>
      <c r="AA365" s="521">
        <f t="shared" si="783"/>
        <v>4.621999999999999</v>
      </c>
      <c r="AB365" s="521">
        <f t="shared" si="783"/>
        <v>-13.747999999999998</v>
      </c>
      <c r="AC365" s="521">
        <f t="shared" si="783"/>
        <v>3.217000000000001</v>
      </c>
      <c r="AD365" s="521">
        <f t="shared" si="783"/>
        <v>21.434999999999995</v>
      </c>
      <c r="AE365" s="674">
        <f t="shared" si="783"/>
        <v>15.525999999999996</v>
      </c>
      <c r="AF365" s="521">
        <f t="shared" si="783"/>
        <v>-4.4099999999999993</v>
      </c>
      <c r="AG365" s="521">
        <f t="shared" si="783"/>
        <v>-32.844000000000008</v>
      </c>
      <c r="AH365" s="521">
        <f t="shared" si="783"/>
        <v>-3.5089999999999999</v>
      </c>
      <c r="AI365" s="521">
        <f t="shared" ref="AI365:BA365" si="784">SUM(AI522:AI526)</f>
        <v>-15.498000000000005</v>
      </c>
      <c r="AJ365" s="674">
        <f t="shared" si="784"/>
        <v>-56.26100000000001</v>
      </c>
      <c r="AK365" s="521">
        <f t="shared" si="784"/>
        <v>-15.128</v>
      </c>
      <c r="AL365" s="521">
        <f t="shared" si="784"/>
        <v>-13.185</v>
      </c>
      <c r="AM365" s="521">
        <f t="shared" si="784"/>
        <v>-17.067</v>
      </c>
      <c r="AN365" s="521">
        <f t="shared" si="784"/>
        <v>-19.699000000000005</v>
      </c>
      <c r="AO365" s="674">
        <f t="shared" si="784"/>
        <v>-65.078999999999994</v>
      </c>
      <c r="AP365" s="521">
        <f t="shared" si="784"/>
        <v>-6.3930000000000007</v>
      </c>
      <c r="AQ365" s="521">
        <f t="shared" si="784"/>
        <v>-13.634</v>
      </c>
      <c r="AR365" s="521">
        <f t="shared" si="784"/>
        <v>5.6929999999999978</v>
      </c>
      <c r="AS365" s="521">
        <f t="shared" si="784"/>
        <v>-30.236000000000004</v>
      </c>
      <c r="AT365" s="674">
        <f t="shared" si="784"/>
        <v>-44.57</v>
      </c>
      <c r="AU365" s="521">
        <f t="shared" si="784"/>
        <v>0.72299999999999986</v>
      </c>
      <c r="AV365" s="521">
        <f t="shared" si="784"/>
        <v>-27.798999999999999</v>
      </c>
      <c r="AW365" s="521">
        <f t="shared" si="784"/>
        <v>-22.135999999999996</v>
      </c>
      <c r="AX365" s="521">
        <f t="shared" si="784"/>
        <v>-29.96</v>
      </c>
      <c r="AY365" s="674">
        <f t="shared" si="784"/>
        <v>-79.171999999999997</v>
      </c>
      <c r="AZ365" s="521">
        <f t="shared" si="784"/>
        <v>-0.96000000000000085</v>
      </c>
      <c r="BA365" s="521">
        <f t="shared" si="784"/>
        <v>-46.333000000000006</v>
      </c>
      <c r="BB365" s="521">
        <f t="shared" ref="BB365:BD365" si="785">SUM(BB522:BB526)</f>
        <v>-2.2720000000000091</v>
      </c>
      <c r="BC365" s="521">
        <f t="shared" si="785"/>
        <v>-26.936999999999987</v>
      </c>
      <c r="BD365" s="674">
        <f t="shared" si="785"/>
        <v>-76.501999999999981</v>
      </c>
      <c r="BE365" s="521">
        <f t="shared" ref="BE365:BV365" si="786">SUM(BE522:BE526)</f>
        <v>13.67</v>
      </c>
      <c r="BF365" s="521">
        <f t="shared" si="786"/>
        <v>-19.620999999999995</v>
      </c>
      <c r="BG365" s="521">
        <f t="shared" si="786"/>
        <v>-65.701999999999998</v>
      </c>
      <c r="BH365" s="521">
        <f t="shared" si="786"/>
        <v>-30.699000000000002</v>
      </c>
      <c r="BI365" s="674">
        <f t="shared" si="786"/>
        <v>-102.352</v>
      </c>
      <c r="BJ365" s="521">
        <f>SUM(BJ522:BJ526)</f>
        <v>-13.781000000000001</v>
      </c>
      <c r="BK365" s="521">
        <f>SUM(BK522:BK526)</f>
        <v>-68.14</v>
      </c>
      <c r="BL365" s="522">
        <f>SUM(BL522:BL526)</f>
        <v>3.0290000000000017</v>
      </c>
      <c r="BM365" s="521">
        <f t="shared" si="786"/>
        <v>174.47835636140434</v>
      </c>
      <c r="BN365" s="674">
        <f t="shared" si="786"/>
        <v>95.586356361404341</v>
      </c>
      <c r="BO365" s="521">
        <f t="shared" si="786"/>
        <v>-156.96000589792743</v>
      </c>
      <c r="BP365" s="521">
        <f t="shared" si="786"/>
        <v>-35.106858752982419</v>
      </c>
      <c r="BQ365" s="521">
        <f t="shared" si="786"/>
        <v>193.43997179778205</v>
      </c>
      <c r="BR365" s="521">
        <f t="shared" si="786"/>
        <v>194.55631022095196</v>
      </c>
      <c r="BS365" s="674">
        <f t="shared" si="786"/>
        <v>195.92941736782416</v>
      </c>
      <c r="BT365" s="674">
        <f t="shared" si="786"/>
        <v>12.300361667062948</v>
      </c>
      <c r="BU365" s="674">
        <f t="shared" si="786"/>
        <v>27.39130406994542</v>
      </c>
      <c r="BV365" s="674">
        <f t="shared" si="786"/>
        <v>35.868288250305923</v>
      </c>
      <c r="BW365" s="519"/>
    </row>
    <row r="366" spans="1:75" s="439" customFormat="1" collapsed="1">
      <c r="A366" s="28" t="s">
        <v>389</v>
      </c>
      <c r="B366" s="30"/>
      <c r="C366" s="700">
        <f t="shared" ref="C366:AH366" si="787">C364+C365</f>
        <v>-0.63299999999999967</v>
      </c>
      <c r="D366" s="700">
        <f t="shared" si="787"/>
        <v>-7.8109999999999999</v>
      </c>
      <c r="E366" s="700">
        <f t="shared" si="787"/>
        <v>0.25000000000000056</v>
      </c>
      <c r="F366" s="700">
        <f t="shared" si="787"/>
        <v>-9.9000000000000199E-2</v>
      </c>
      <c r="G366" s="523">
        <f t="shared" si="787"/>
        <v>-0.17399999999999949</v>
      </c>
      <c r="H366" s="523">
        <f t="shared" si="787"/>
        <v>5.2880000000000003</v>
      </c>
      <c r="I366" s="523">
        <f t="shared" si="787"/>
        <v>6.9940000000000015</v>
      </c>
      <c r="J366" s="523">
        <f t="shared" si="787"/>
        <v>9.3239999999999981</v>
      </c>
      <c r="K366" s="700">
        <f t="shared" si="787"/>
        <v>21.432000000000002</v>
      </c>
      <c r="L366" s="523">
        <f t="shared" si="787"/>
        <v>9.3230000000000004</v>
      </c>
      <c r="M366" s="523">
        <f t="shared" si="787"/>
        <v>10.666000000000004</v>
      </c>
      <c r="N366" s="523">
        <f t="shared" si="787"/>
        <v>19.05</v>
      </c>
      <c r="O366" s="523">
        <f t="shared" si="787"/>
        <v>18.893000000000011</v>
      </c>
      <c r="P366" s="700">
        <f t="shared" si="787"/>
        <v>57.932000000000016</v>
      </c>
      <c r="Q366" s="523">
        <f t="shared" si="787"/>
        <v>25.634999999999998</v>
      </c>
      <c r="R366" s="523">
        <f t="shared" si="787"/>
        <v>18.03</v>
      </c>
      <c r="S366" s="523">
        <f t="shared" si="787"/>
        <v>9.8619999999999965</v>
      </c>
      <c r="T366" s="523">
        <f t="shared" si="787"/>
        <v>3.8350000000000044</v>
      </c>
      <c r="U366" s="700">
        <f t="shared" si="787"/>
        <v>57.362000000000002</v>
      </c>
      <c r="V366" s="523">
        <f t="shared" si="787"/>
        <v>23.878999999999998</v>
      </c>
      <c r="W366" s="523">
        <f t="shared" si="787"/>
        <v>22.631000000000007</v>
      </c>
      <c r="X366" s="523">
        <f t="shared" si="787"/>
        <v>35.276999999999994</v>
      </c>
      <c r="Y366" s="523">
        <f t="shared" si="787"/>
        <v>45.112999999999992</v>
      </c>
      <c r="Z366" s="700">
        <f t="shared" si="787"/>
        <v>126.89999999999998</v>
      </c>
      <c r="AA366" s="523">
        <f t="shared" si="787"/>
        <v>41.234999999999999</v>
      </c>
      <c r="AB366" s="523">
        <f t="shared" si="787"/>
        <v>35.088000000000008</v>
      </c>
      <c r="AC366" s="523">
        <f t="shared" si="787"/>
        <v>51.638000000000005</v>
      </c>
      <c r="AD366" s="523">
        <f t="shared" si="787"/>
        <v>39.685999999999993</v>
      </c>
      <c r="AE366" s="700">
        <f t="shared" si="787"/>
        <v>167.64700000000005</v>
      </c>
      <c r="AF366" s="523">
        <f t="shared" si="787"/>
        <v>38.296000000000006</v>
      </c>
      <c r="AG366" s="523">
        <f t="shared" si="787"/>
        <v>22.640999999999991</v>
      </c>
      <c r="AH366" s="523">
        <f t="shared" si="787"/>
        <v>55.178000000000004</v>
      </c>
      <c r="AI366" s="523">
        <f t="shared" ref="AI366:BA366" si="788">AI364+AI365</f>
        <v>44.071999999999989</v>
      </c>
      <c r="AJ366" s="700">
        <f t="shared" si="788"/>
        <v>160.18699999999995</v>
      </c>
      <c r="AK366" s="523">
        <f t="shared" si="788"/>
        <v>41.028999999999996</v>
      </c>
      <c r="AL366" s="523">
        <f t="shared" si="788"/>
        <v>56.816999999999993</v>
      </c>
      <c r="AM366" s="523">
        <f t="shared" si="788"/>
        <v>51.42199999999999</v>
      </c>
      <c r="AN366" s="523">
        <f t="shared" si="788"/>
        <v>55.513999999999989</v>
      </c>
      <c r="AO366" s="700">
        <f t="shared" si="788"/>
        <v>204.78199999999998</v>
      </c>
      <c r="AP366" s="523">
        <f t="shared" si="788"/>
        <v>40.785999999999994</v>
      </c>
      <c r="AQ366" s="523">
        <f t="shared" si="788"/>
        <v>16.463000000000001</v>
      </c>
      <c r="AR366" s="523">
        <f t="shared" si="788"/>
        <v>71.13600000000001</v>
      </c>
      <c r="AS366" s="523">
        <f t="shared" si="788"/>
        <v>48.315999999999988</v>
      </c>
      <c r="AT366" s="700">
        <f t="shared" si="788"/>
        <v>176.70100000000002</v>
      </c>
      <c r="AU366" s="523">
        <f t="shared" si="788"/>
        <v>58.930999999999997</v>
      </c>
      <c r="AV366" s="523">
        <f t="shared" si="788"/>
        <v>50.176000000000009</v>
      </c>
      <c r="AW366" s="523">
        <f t="shared" si="788"/>
        <v>58.628000000000014</v>
      </c>
      <c r="AX366" s="523">
        <f t="shared" si="788"/>
        <v>44.919999999999995</v>
      </c>
      <c r="AY366" s="700">
        <f t="shared" si="788"/>
        <v>212.65499999999994</v>
      </c>
      <c r="AZ366" s="523">
        <f t="shared" si="788"/>
        <v>59.903000000000006</v>
      </c>
      <c r="BA366" s="523">
        <f t="shared" si="788"/>
        <v>18.328999999999986</v>
      </c>
      <c r="BB366" s="523">
        <f t="shared" ref="BB366:BD366" si="789">BB364+BB365</f>
        <v>69.603999999999999</v>
      </c>
      <c r="BC366" s="523">
        <f t="shared" si="789"/>
        <v>44.473000000000013</v>
      </c>
      <c r="BD366" s="700">
        <f t="shared" si="789"/>
        <v>192.30900000000005</v>
      </c>
      <c r="BE366" s="523">
        <f t="shared" ref="BE366:BV366" si="790">BE364+BE365</f>
        <v>74.244</v>
      </c>
      <c r="BF366" s="523">
        <f t="shared" si="790"/>
        <v>48.007000000000005</v>
      </c>
      <c r="BG366" s="523">
        <f t="shared" si="790"/>
        <v>104.85900000000001</v>
      </c>
      <c r="BH366" s="523">
        <f t="shared" si="790"/>
        <v>79.17</v>
      </c>
      <c r="BI366" s="700">
        <f t="shared" si="790"/>
        <v>306.27999999999997</v>
      </c>
      <c r="BJ366" s="523">
        <f>BJ364+BJ365</f>
        <v>72.85499999999999</v>
      </c>
      <c r="BK366" s="523">
        <f>BK364+BK365</f>
        <v>39.689000000000021</v>
      </c>
      <c r="BL366" s="563">
        <f>BL364+BL365</f>
        <v>102.29799999999999</v>
      </c>
      <c r="BM366" s="523">
        <f t="shared" si="790"/>
        <v>277.17545893072764</v>
      </c>
      <c r="BN366" s="700">
        <f t="shared" si="790"/>
        <v>492.01745893072768</v>
      </c>
      <c r="BO366" s="523">
        <f t="shared" si="790"/>
        <v>-60.564040510271383</v>
      </c>
      <c r="BP366" s="523">
        <f t="shared" si="790"/>
        <v>84.436881380432595</v>
      </c>
      <c r="BQ366" s="523">
        <f t="shared" si="790"/>
        <v>306.67060459211928</v>
      </c>
      <c r="BR366" s="523">
        <f t="shared" si="790"/>
        <v>302.53522694555812</v>
      </c>
      <c r="BS366" s="700">
        <f t="shared" si="790"/>
        <v>633.07867240783855</v>
      </c>
      <c r="BT366" s="700">
        <f t="shared" si="790"/>
        <v>447.69427343453003</v>
      </c>
      <c r="BU366" s="700">
        <f t="shared" si="790"/>
        <v>471.76960348777686</v>
      </c>
      <c r="BV366" s="700">
        <f t="shared" si="790"/>
        <v>417.39368188120045</v>
      </c>
      <c r="BW366" s="519"/>
    </row>
    <row r="367" spans="1:75" s="463" customFormat="1" hidden="1" outlineLevel="1">
      <c r="A367" s="36" t="s">
        <v>390</v>
      </c>
      <c r="B367" s="74"/>
      <c r="C367" s="753">
        <f t="shared" ref="C367:AH367" si="791">C364/C263</f>
        <v>-3.8966299416720654E-2</v>
      </c>
      <c r="D367" s="753">
        <f t="shared" si="791"/>
        <v>-0.39001016407724709</v>
      </c>
      <c r="E367" s="754">
        <f t="shared" si="791"/>
        <v>-6.4416977306912523E-2</v>
      </c>
      <c r="F367" s="754">
        <f t="shared" si="791"/>
        <v>9.1691443978651491E-2</v>
      </c>
      <c r="G367" s="11">
        <f t="shared" si="791"/>
        <v>5.3975177694444008E-2</v>
      </c>
      <c r="H367" s="11">
        <f t="shared" si="791"/>
        <v>0.1280042120911794</v>
      </c>
      <c r="I367" s="11">
        <f t="shared" si="791"/>
        <v>0.12940637875782088</v>
      </c>
      <c r="J367" s="11">
        <f t="shared" si="791"/>
        <v>0.15960027306926952</v>
      </c>
      <c r="K367" s="754">
        <f t="shared" si="791"/>
        <v>0.47474301378207562</v>
      </c>
      <c r="L367" s="11">
        <f t="shared" si="791"/>
        <v>0.1633952031023872</v>
      </c>
      <c r="M367" s="11">
        <f t="shared" si="791"/>
        <v>0.23258409468438546</v>
      </c>
      <c r="N367" s="11">
        <f t="shared" si="791"/>
        <v>0.2607120678948458</v>
      </c>
      <c r="O367" s="11">
        <f t="shared" si="791"/>
        <v>0.31333618266827284</v>
      </c>
      <c r="P367" s="754">
        <f t="shared" si="791"/>
        <v>0.96329127124830549</v>
      </c>
      <c r="Q367" s="11">
        <f t="shared" si="791"/>
        <v>0.28031168564423159</v>
      </c>
      <c r="R367" s="11">
        <f t="shared" si="791"/>
        <v>0.2739463358264867</v>
      </c>
      <c r="S367" s="11">
        <f t="shared" si="791"/>
        <v>0.25059199011633893</v>
      </c>
      <c r="T367" s="11">
        <f t="shared" si="791"/>
        <v>0.34042934268096109</v>
      </c>
      <c r="U367" s="754">
        <f t="shared" si="791"/>
        <v>1.1461743384820307</v>
      </c>
      <c r="V367" s="11">
        <f t="shared" si="791"/>
        <v>0.22364890024524595</v>
      </c>
      <c r="W367" s="11">
        <f t="shared" si="791"/>
        <v>0.40964934409687187</v>
      </c>
      <c r="X367" s="11">
        <f t="shared" si="791"/>
        <v>0.46954183098761409</v>
      </c>
      <c r="Y367" s="11">
        <f t="shared" si="791"/>
        <v>0.5730643402399126</v>
      </c>
      <c r="Z367" s="754">
        <f t="shared" si="791"/>
        <v>1.6893141710077462</v>
      </c>
      <c r="AA367" s="11">
        <f t="shared" si="791"/>
        <v>0.43018446716014569</v>
      </c>
      <c r="AB367" s="11">
        <f t="shared" si="791"/>
        <v>0.57548904077303797</v>
      </c>
      <c r="AC367" s="11">
        <f t="shared" si="791"/>
        <v>0.55380691500920709</v>
      </c>
      <c r="AD367" s="11">
        <f t="shared" si="791"/>
        <v>0.20492005748675113</v>
      </c>
      <c r="AE367" s="754">
        <f t="shared" si="791"/>
        <v>1.7451072616725942</v>
      </c>
      <c r="AF367" s="11">
        <f t="shared" si="791"/>
        <v>0.50970937518648929</v>
      </c>
      <c r="AG367" s="11">
        <f t="shared" si="791"/>
        <v>0.62588126473474637</v>
      </c>
      <c r="AH367" s="11">
        <f t="shared" si="791"/>
        <v>0.66145575041702365</v>
      </c>
      <c r="AI367" s="11">
        <f t="shared" ref="AI367:BN367" si="792">AI364/AI263</f>
        <v>0.69037050772422248</v>
      </c>
      <c r="AJ367" s="754">
        <f t="shared" si="792"/>
        <v>2.4399779052858217</v>
      </c>
      <c r="AK367" s="11">
        <f t="shared" si="792"/>
        <v>0.65999506387579765</v>
      </c>
      <c r="AL367" s="11">
        <f t="shared" si="792"/>
        <v>0.89140455876735003</v>
      </c>
      <c r="AM367" s="11">
        <f t="shared" si="792"/>
        <v>0.92914315172563477</v>
      </c>
      <c r="AN367" s="11">
        <f t="shared" si="792"/>
        <v>1.0304985819392494</v>
      </c>
      <c r="AO367" s="754">
        <f t="shared" si="792"/>
        <v>3.4611319883543459</v>
      </c>
      <c r="AP367" s="11">
        <f t="shared" si="792"/>
        <v>0.65940347738581084</v>
      </c>
      <c r="AQ367" s="11">
        <f t="shared" si="792"/>
        <v>0.41562979023103591</v>
      </c>
      <c r="AR367" s="11">
        <f t="shared" si="792"/>
        <v>0.89021138830698932</v>
      </c>
      <c r="AS367" s="11">
        <f t="shared" si="792"/>
        <v>1.0205402034532485</v>
      </c>
      <c r="AT367" s="754">
        <f t="shared" si="792"/>
        <v>3.0309019930141776</v>
      </c>
      <c r="AU367" s="11">
        <f t="shared" si="792"/>
        <v>0.7735796398431789</v>
      </c>
      <c r="AV367" s="11">
        <f t="shared" si="792"/>
        <v>0.98723776002430907</v>
      </c>
      <c r="AW367" s="11">
        <f t="shared" si="792"/>
        <v>1.0431660251608073</v>
      </c>
      <c r="AX367" s="11">
        <f t="shared" si="792"/>
        <v>0.98456359954768968</v>
      </c>
      <c r="AY367" s="754">
        <f t="shared" si="792"/>
        <v>3.7120560700111929</v>
      </c>
      <c r="AZ367" s="11">
        <f t="shared" si="792"/>
        <v>0.84957913985399025</v>
      </c>
      <c r="BA367" s="11">
        <f t="shared" si="792"/>
        <v>0.88778746481773874</v>
      </c>
      <c r="BB367" s="11">
        <f t="shared" si="792"/>
        <v>0.98923724847917649</v>
      </c>
      <c r="BC367" s="11">
        <f t="shared" si="792"/>
        <v>0.99724887231695225</v>
      </c>
      <c r="BD367" s="754">
        <f t="shared" si="792"/>
        <v>3.6621754175635544</v>
      </c>
      <c r="BE367" s="11">
        <f t="shared" si="792"/>
        <v>0.86756133541484648</v>
      </c>
      <c r="BF367" s="11">
        <f t="shared" si="792"/>
        <v>0.94932479856256491</v>
      </c>
      <c r="BG367" s="11">
        <f t="shared" si="792"/>
        <v>2.3184759263790338</v>
      </c>
      <c r="BH367" s="11">
        <f t="shared" ref="BH367:BM367" si="793">BH364/BH263</f>
        <v>1.5017837860003553</v>
      </c>
      <c r="BI367" s="754">
        <f t="shared" si="793"/>
        <v>5.5523669764661117</v>
      </c>
      <c r="BJ367" s="11">
        <f>BJ364/BJ263</f>
        <v>1.1991639791271609</v>
      </c>
      <c r="BK367" s="11">
        <f>BK364/BK263</f>
        <v>1.5307052410425306</v>
      </c>
      <c r="BL367" s="507">
        <f>BL364/BL263</f>
        <v>1.435290545522895</v>
      </c>
      <c r="BM367" s="11" t="e">
        <f t="shared" si="793"/>
        <v>#REF!</v>
      </c>
      <c r="BN367" s="754" t="e">
        <f t="shared" si="792"/>
        <v>#REF!</v>
      </c>
      <c r="BO367" s="11" t="e">
        <f t="shared" ref="BO367:BV367" si="794">BO364/BO263</f>
        <v>#REF!</v>
      </c>
      <c r="BP367" s="11" t="e">
        <f t="shared" si="794"/>
        <v>#REF!</v>
      </c>
      <c r="BQ367" s="11" t="e">
        <f t="shared" si="794"/>
        <v>#REF!</v>
      </c>
      <c r="BR367" s="11" t="e">
        <f t="shared" si="794"/>
        <v>#REF!</v>
      </c>
      <c r="BS367" s="754" t="e">
        <f t="shared" si="794"/>
        <v>#REF!</v>
      </c>
      <c r="BT367" s="754" t="e">
        <f t="shared" si="794"/>
        <v>#REF!</v>
      </c>
      <c r="BU367" s="754" t="e">
        <f t="shared" si="794"/>
        <v>#REF!</v>
      </c>
      <c r="BV367" s="754" t="e">
        <f t="shared" si="794"/>
        <v>#REF!</v>
      </c>
      <c r="BW367" s="143"/>
    </row>
    <row r="368" spans="1:75" s="463" customFormat="1" collapsed="1">
      <c r="A368" s="36" t="s">
        <v>391</v>
      </c>
      <c r="B368" s="74"/>
      <c r="C368" s="753">
        <f t="shared" ref="C368:AH368" si="795">C366/C262</f>
        <v>-5.1279974076474374E-2</v>
      </c>
      <c r="D368" s="753">
        <f t="shared" si="795"/>
        <v>-0.56708290983011478</v>
      </c>
      <c r="E368" s="754">
        <f t="shared" si="795"/>
        <v>1.6349486626119975E-2</v>
      </c>
      <c r="F368" s="754">
        <f t="shared" si="795"/>
        <v>-1.8282886110546862E-3</v>
      </c>
      <c r="G368" s="11">
        <f t="shared" si="795"/>
        <v>-2.7301398019864043E-3</v>
      </c>
      <c r="H368" s="11">
        <f t="shared" si="795"/>
        <v>8.1888007928642231E-2</v>
      </c>
      <c r="I368" s="11">
        <f t="shared" si="795"/>
        <v>0.10672974210285367</v>
      </c>
      <c r="J368" s="11">
        <f t="shared" si="795"/>
        <v>0.13543073772277658</v>
      </c>
      <c r="K368" s="754">
        <f t="shared" si="795"/>
        <v>0.32638391837356279</v>
      </c>
      <c r="L368" s="11">
        <f t="shared" si="795"/>
        <v>0.13099436568265163</v>
      </c>
      <c r="M368" s="11">
        <f t="shared" si="795"/>
        <v>0.13841881229235886</v>
      </c>
      <c r="N368" s="11">
        <f t="shared" si="795"/>
        <v>0.24645518526185053</v>
      </c>
      <c r="O368" s="11">
        <f t="shared" si="795"/>
        <v>0.25297591151935528</v>
      </c>
      <c r="P368" s="754">
        <f t="shared" si="795"/>
        <v>0.75518823652101386</v>
      </c>
      <c r="Q368" s="11">
        <f t="shared" si="795"/>
        <v>0.34790456544161552</v>
      </c>
      <c r="R368" s="11">
        <f t="shared" si="795"/>
        <v>0.24158861599067413</v>
      </c>
      <c r="S368" s="11">
        <f t="shared" si="795"/>
        <v>0.13146003012570143</v>
      </c>
      <c r="T368" s="11">
        <f t="shared" si="795"/>
        <v>5.088096375311793E-2</v>
      </c>
      <c r="U368" s="754">
        <f t="shared" si="795"/>
        <v>0.76807305544769222</v>
      </c>
      <c r="V368" s="11">
        <f t="shared" si="795"/>
        <v>0.3146776659111275</v>
      </c>
      <c r="W368" s="11">
        <f t="shared" si="795"/>
        <v>0.28545660948536838</v>
      </c>
      <c r="X368" s="11">
        <f t="shared" si="795"/>
        <v>0.42544954593147355</v>
      </c>
      <c r="Y368" s="11">
        <f t="shared" si="795"/>
        <v>0.53474230714522775</v>
      </c>
      <c r="Z368" s="754">
        <f t="shared" si="795"/>
        <v>1.6440805327390973</v>
      </c>
      <c r="AA368" s="11">
        <f t="shared" si="795"/>
        <v>0.5164510351564946</v>
      </c>
      <c r="AB368" s="11">
        <f t="shared" si="795"/>
        <v>0.41348102757482924</v>
      </c>
      <c r="AC368" s="11">
        <f t="shared" si="795"/>
        <v>0.59060080290050665</v>
      </c>
      <c r="AD368" s="11">
        <f t="shared" si="795"/>
        <v>0.44558968831402135</v>
      </c>
      <c r="AE368" s="754">
        <f t="shared" si="795"/>
        <v>1.9232189973614782</v>
      </c>
      <c r="AF368" s="11">
        <f t="shared" si="795"/>
        <v>0.45707465536790604</v>
      </c>
      <c r="AG368" s="11">
        <f t="shared" si="795"/>
        <v>0.25539475020022329</v>
      </c>
      <c r="AH368" s="11">
        <f t="shared" si="795"/>
        <v>0.62190613588206123</v>
      </c>
      <c r="AI368" s="11">
        <f t="shared" ref="AI368:BN368" si="796">AI366/AI262</f>
        <v>0.51076060124931899</v>
      </c>
      <c r="AJ368" s="754">
        <f t="shared" si="796"/>
        <v>1.8057581530622593</v>
      </c>
      <c r="AK368" s="11">
        <f t="shared" si="796"/>
        <v>0.48220057118008619</v>
      </c>
      <c r="AL368" s="11">
        <f t="shared" si="796"/>
        <v>0.72350694002292104</v>
      </c>
      <c r="AM368" s="11">
        <f t="shared" si="796"/>
        <v>0.69760690253961344</v>
      </c>
      <c r="AN368" s="11">
        <f t="shared" si="796"/>
        <v>0.76060120295395062</v>
      </c>
      <c r="AO368" s="754">
        <f t="shared" si="796"/>
        <v>2.6264541035539763</v>
      </c>
      <c r="AP368" s="11">
        <f t="shared" si="796"/>
        <v>0.57005087493710505</v>
      </c>
      <c r="AQ368" s="11">
        <f t="shared" si="796"/>
        <v>0.22734868048554821</v>
      </c>
      <c r="AR368" s="11">
        <f t="shared" si="796"/>
        <v>0.96765241994722118</v>
      </c>
      <c r="AS368" s="11">
        <f t="shared" si="796"/>
        <v>0.62771693235114501</v>
      </c>
      <c r="AT368" s="754">
        <f t="shared" si="796"/>
        <v>2.4203958632970348</v>
      </c>
      <c r="AU368" s="11">
        <f t="shared" si="796"/>
        <v>0.78318825171107709</v>
      </c>
      <c r="AV368" s="11">
        <f t="shared" si="796"/>
        <v>0.63527594545661736</v>
      </c>
      <c r="AW368" s="11">
        <f t="shared" si="796"/>
        <v>0.75725246054093176</v>
      </c>
      <c r="AX368" s="11">
        <f t="shared" si="796"/>
        <v>0.5906329713098587</v>
      </c>
      <c r="AY368" s="754">
        <f t="shared" si="796"/>
        <v>2.7049837183270573</v>
      </c>
      <c r="AZ368" s="11">
        <f t="shared" si="796"/>
        <v>0.83617861779198499</v>
      </c>
      <c r="BA368" s="11">
        <f t="shared" si="796"/>
        <v>0.251650991968147</v>
      </c>
      <c r="BB368" s="11">
        <f t="shared" si="796"/>
        <v>0.95796746400946897</v>
      </c>
      <c r="BC368" s="11">
        <f t="shared" si="796"/>
        <v>0.62107056572681463</v>
      </c>
      <c r="BD368" s="754">
        <f t="shared" si="796"/>
        <v>2.6199422359063793</v>
      </c>
      <c r="BE368" s="11">
        <f t="shared" si="796"/>
        <v>1.0633477034130132</v>
      </c>
      <c r="BF368" s="11">
        <f t="shared" si="796"/>
        <v>0.67389595440635619</v>
      </c>
      <c r="BG368" s="11">
        <f t="shared" si="796"/>
        <v>1.4253731343283582</v>
      </c>
      <c r="BH368" s="11">
        <f t="shared" ref="BH368:BM368" si="797">BH366/BH262</f>
        <v>1.0821635068822701</v>
      </c>
      <c r="BI368" s="754">
        <f t="shared" si="797"/>
        <v>4.1616392195227991</v>
      </c>
      <c r="BJ368" s="11">
        <f>BJ366/BJ262</f>
        <v>1.0084155743491079</v>
      </c>
      <c r="BK368" s="11">
        <f>BK366/BK262</f>
        <v>0.56341207200045451</v>
      </c>
      <c r="BL368" s="507">
        <f>BL366/BL262</f>
        <v>1.4790856382748001</v>
      </c>
      <c r="BM368" s="11" t="e">
        <f t="shared" si="797"/>
        <v>#REF!</v>
      </c>
      <c r="BN368" s="754" t="e">
        <f t="shared" si="796"/>
        <v>#REF!</v>
      </c>
      <c r="BO368" s="11" t="e">
        <f t="shared" ref="BO368:BV368" si="798">BO366/BO262</f>
        <v>#REF!</v>
      </c>
      <c r="BP368" s="11" t="e">
        <f t="shared" si="798"/>
        <v>#REF!</v>
      </c>
      <c r="BQ368" s="11" t="e">
        <f t="shared" si="798"/>
        <v>#REF!</v>
      </c>
      <c r="BR368" s="11" t="e">
        <f t="shared" si="798"/>
        <v>#REF!</v>
      </c>
      <c r="BS368" s="754" t="e">
        <f t="shared" si="798"/>
        <v>#REF!</v>
      </c>
      <c r="BT368" s="754" t="e">
        <f t="shared" si="798"/>
        <v>#REF!</v>
      </c>
      <c r="BU368" s="754" t="e">
        <f t="shared" si="798"/>
        <v>#REF!</v>
      </c>
      <c r="BV368" s="754" t="e">
        <f t="shared" si="798"/>
        <v>#REF!</v>
      </c>
      <c r="BW368" s="143"/>
    </row>
    <row r="369" spans="1:75" s="464" customFormat="1">
      <c r="A369" s="32" t="s">
        <v>392</v>
      </c>
      <c r="B369" s="72"/>
      <c r="C369" s="726"/>
      <c r="D369" s="726"/>
      <c r="E369" s="726"/>
      <c r="F369" s="726"/>
      <c r="G369" s="33"/>
      <c r="H369" s="33"/>
      <c r="I369" s="33"/>
      <c r="J369" s="33"/>
      <c r="K369" s="726"/>
      <c r="L369" s="33"/>
      <c r="M369" s="33"/>
      <c r="N369" s="33"/>
      <c r="O369" s="33"/>
      <c r="P369" s="726"/>
      <c r="Q369" s="33"/>
      <c r="R369" s="33"/>
      <c r="S369" s="33"/>
      <c r="T369" s="33"/>
      <c r="U369" s="726"/>
      <c r="V369" s="33"/>
      <c r="W369" s="540"/>
      <c r="X369" s="540"/>
      <c r="Y369" s="540"/>
      <c r="Z369" s="731"/>
      <c r="AA369" s="33"/>
      <c r="AB369" s="540"/>
      <c r="AC369" s="540"/>
      <c r="AD369" s="540"/>
      <c r="AE369" s="731"/>
      <c r="AF369" s="33"/>
      <c r="AG369" s="540"/>
      <c r="AH369" s="540"/>
      <c r="AI369" s="540"/>
      <c r="AJ369" s="731"/>
      <c r="AK369" s="33"/>
      <c r="AL369" s="540"/>
      <c r="AM369" s="540"/>
      <c r="AN369" s="540"/>
      <c r="AO369" s="731"/>
      <c r="AP369" s="33"/>
      <c r="AQ369" s="540"/>
      <c r="AR369" s="540"/>
      <c r="AS369" s="540"/>
      <c r="AT369" s="731"/>
      <c r="AU369" s="33"/>
      <c r="AV369" s="540"/>
      <c r="AW369" s="540"/>
      <c r="AX369" s="540"/>
      <c r="AY369" s="731"/>
      <c r="AZ369" s="33"/>
      <c r="BA369" s="540"/>
      <c r="BB369" s="540"/>
      <c r="BC369" s="540"/>
      <c r="BD369" s="731"/>
      <c r="BE369" s="33"/>
      <c r="BF369" s="540"/>
      <c r="BG369" s="540"/>
      <c r="BH369" s="540"/>
      <c r="BI369" s="731"/>
      <c r="BJ369" s="33"/>
      <c r="BK369" s="540"/>
      <c r="BL369" s="434"/>
      <c r="BM369" s="429" t="str">
        <f t="shared" ref="BM369:BS369" ca="1" si="799">IFERROR(VLOOKUP($A369,tb_ConsensusEstimate,MATCH(BM$5,OFFSET(tb_ConsensusEstimate,0,0,1,COLUMNS(tb_ConsensusEstimate)),0),FALSE),"-")</f>
        <v>N/A</v>
      </c>
      <c r="BN369" s="755" t="str">
        <f t="shared" ca="1" si="799"/>
        <v>N/A</v>
      </c>
      <c r="BO369" s="429" t="str">
        <f t="shared" ca="1" si="799"/>
        <v>N/A</v>
      </c>
      <c r="BP369" s="429" t="str">
        <f t="shared" ca="1" si="799"/>
        <v>N/A</v>
      </c>
      <c r="BQ369" s="429" t="str">
        <f t="shared" ca="1" si="799"/>
        <v>N/A</v>
      </c>
      <c r="BR369" s="429" t="str">
        <f t="shared" ca="1" si="799"/>
        <v>N/A</v>
      </c>
      <c r="BS369" s="755" t="str">
        <f t="shared" ca="1" si="799"/>
        <v>N/A</v>
      </c>
      <c r="BT369" s="755" t="str">
        <f ca="1">IFERROR(VLOOKUP($A369,tb_ConsensusEstimate,MATCH(BT5,OFFSET(tb_ConsensusEstimate,0,0,1,COLUMNS(tb_ConsensusEstimate)),0),FALSE),"-")</f>
        <v>N/A</v>
      </c>
      <c r="BU369" s="755" t="str">
        <f ca="1">IFERROR(VLOOKUP($A369,tb_ConsensusEstimate,MATCH(BU5,OFFSET(tb_ConsensusEstimate,0,0,1,COLUMNS(tb_ConsensusEstimate)),0),FALSE),"-")</f>
        <v>N/A</v>
      </c>
      <c r="BV369" s="755" t="str">
        <f ca="1">IFERROR(VLOOKUP($A369,tb_ConsensusEstimate,MATCH(BV5,OFFSET(tb_ConsensusEstimate,0,0,1,COLUMNS(tb_ConsensusEstimate)),0),FALSE),"-")</f>
        <v>N/A</v>
      </c>
      <c r="BW369" s="33"/>
    </row>
    <row r="370" spans="1:75" s="444" customFormat="1">
      <c r="A370" s="6" t="s">
        <v>393</v>
      </c>
      <c r="B370" s="30"/>
      <c r="C370" s="700">
        <f t="shared" ref="C370:AQ370" si="800">C531+C534+C532</f>
        <v>-1.62</v>
      </c>
      <c r="D370" s="700">
        <f t="shared" si="800"/>
        <v>-4.8000000000000007</v>
      </c>
      <c r="E370" s="700">
        <f t="shared" si="800"/>
        <v>-7.3040000000000003</v>
      </c>
      <c r="F370" s="700">
        <f t="shared" si="800"/>
        <v>-10.454000000000001</v>
      </c>
      <c r="G370" s="523">
        <f t="shared" si="800"/>
        <v>-1.9119999999999999</v>
      </c>
      <c r="H370" s="523">
        <f t="shared" si="800"/>
        <v>-5.1930000000000005</v>
      </c>
      <c r="I370" s="523">
        <f t="shared" si="800"/>
        <v>-5.7070000000000007</v>
      </c>
      <c r="J370" s="523">
        <f t="shared" si="800"/>
        <v>-8.2869999999999973</v>
      </c>
      <c r="K370" s="700">
        <f t="shared" si="800"/>
        <v>-21.098999999999997</v>
      </c>
      <c r="L370" s="523">
        <f t="shared" si="800"/>
        <v>-5.838000000000001</v>
      </c>
      <c r="M370" s="523">
        <f t="shared" si="800"/>
        <v>-5.7009999999999987</v>
      </c>
      <c r="N370" s="523">
        <f t="shared" si="800"/>
        <v>-10.507000000000001</v>
      </c>
      <c r="O370" s="523">
        <f t="shared" si="800"/>
        <v>-20.081</v>
      </c>
      <c r="P370" s="700">
        <f t="shared" si="800"/>
        <v>-42.126999999999995</v>
      </c>
      <c r="Q370" s="523">
        <f t="shared" si="800"/>
        <v>-14.391</v>
      </c>
      <c r="R370" s="523">
        <f t="shared" si="800"/>
        <v>-9.9939999999999998</v>
      </c>
      <c r="S370" s="523">
        <f t="shared" si="800"/>
        <v>-10.277999999999999</v>
      </c>
      <c r="T370" s="523">
        <f t="shared" si="800"/>
        <v>-8.8449999999999989</v>
      </c>
      <c r="U370" s="700">
        <f t="shared" si="800"/>
        <v>-43.507999999999996</v>
      </c>
      <c r="V370" s="523">
        <f t="shared" si="800"/>
        <v>-10.77</v>
      </c>
      <c r="W370" s="523">
        <f t="shared" si="800"/>
        <v>-8.8230000000000004</v>
      </c>
      <c r="X370" s="523">
        <f t="shared" si="800"/>
        <v>-8.9799999999999969</v>
      </c>
      <c r="Y370" s="523">
        <f t="shared" si="800"/>
        <v>-8.7910000000000021</v>
      </c>
      <c r="Z370" s="700">
        <f t="shared" si="800"/>
        <v>-37.363999999999997</v>
      </c>
      <c r="AA370" s="523">
        <f t="shared" si="800"/>
        <v>-6.66</v>
      </c>
      <c r="AB370" s="523">
        <f t="shared" si="800"/>
        <v>-5.448999999999999</v>
      </c>
      <c r="AC370" s="523">
        <f t="shared" si="800"/>
        <v>-8.0190000000000019</v>
      </c>
      <c r="AD370" s="523">
        <f t="shared" si="800"/>
        <v>-10.117000000000001</v>
      </c>
      <c r="AE370" s="700">
        <f t="shared" si="800"/>
        <v>-30.245000000000001</v>
      </c>
      <c r="AF370" s="523">
        <f t="shared" si="800"/>
        <v>-15.625</v>
      </c>
      <c r="AG370" s="523">
        <f t="shared" si="800"/>
        <v>-9.532</v>
      </c>
      <c r="AH370" s="523">
        <f t="shared" si="800"/>
        <v>-8.7800000000000011</v>
      </c>
      <c r="AI370" s="523">
        <f t="shared" si="800"/>
        <v>-11.035</v>
      </c>
      <c r="AJ370" s="700">
        <f t="shared" si="800"/>
        <v>-44.972000000000001</v>
      </c>
      <c r="AK370" s="523">
        <f t="shared" si="800"/>
        <v>-8.9909999999999997</v>
      </c>
      <c r="AL370" s="523">
        <f t="shared" si="800"/>
        <v>-10.222999999999999</v>
      </c>
      <c r="AM370" s="523">
        <f t="shared" si="800"/>
        <v>-10.736000000000001</v>
      </c>
      <c r="AN370" s="523">
        <f t="shared" si="800"/>
        <v>-7.5719999999999992</v>
      </c>
      <c r="AO370" s="700">
        <f t="shared" si="800"/>
        <v>-37.521999999999998</v>
      </c>
      <c r="AP370" s="523">
        <f t="shared" si="800"/>
        <v>-7.0529999999999999</v>
      </c>
      <c r="AQ370" s="523">
        <f t="shared" si="800"/>
        <v>-9.9510000000000005</v>
      </c>
      <c r="AR370" s="523">
        <f t="shared" ref="AR370:AW370" si="801">AR531+AR534+AR532</f>
        <v>-7.0679999999999978</v>
      </c>
      <c r="AS370" s="523">
        <f t="shared" si="801"/>
        <v>-14.059000000000003</v>
      </c>
      <c r="AT370" s="700">
        <f t="shared" si="801"/>
        <v>-38.131</v>
      </c>
      <c r="AU370" s="523">
        <f t="shared" si="801"/>
        <v>-6.0049999999999999</v>
      </c>
      <c r="AV370" s="523">
        <f t="shared" si="801"/>
        <v>-7.2809999999999997</v>
      </c>
      <c r="AW370" s="523">
        <f t="shared" si="801"/>
        <v>-8.3140000000000018</v>
      </c>
      <c r="AX370" s="523">
        <f t="shared" ref="AX370:BD370" si="802">AX531+AX534+AX532</f>
        <v>-6.6819999999999986</v>
      </c>
      <c r="AY370" s="700">
        <f t="shared" si="802"/>
        <v>-28.282</v>
      </c>
      <c r="AZ370" s="523">
        <f t="shared" si="802"/>
        <v>-6.6360000000000001</v>
      </c>
      <c r="BA370" s="523">
        <f t="shared" si="802"/>
        <v>-7.8619999999999992</v>
      </c>
      <c r="BB370" s="523">
        <f t="shared" si="802"/>
        <v>-5.6059999999999999</v>
      </c>
      <c r="BC370" s="523">
        <f t="shared" si="802"/>
        <v>-11.875</v>
      </c>
      <c r="BD370" s="700">
        <f t="shared" si="802"/>
        <v>-31.978999999999999</v>
      </c>
      <c r="BE370" s="523">
        <f t="shared" ref="BE370:BJ370" si="803">BE531+BE534+BE532</f>
        <v>-7.5179999999999998</v>
      </c>
      <c r="BF370" s="523">
        <f t="shared" si="803"/>
        <v>-7.6350000000000007</v>
      </c>
      <c r="BG370" s="523">
        <f t="shared" si="803"/>
        <v>-5.697000000000001</v>
      </c>
      <c r="BH370" s="523">
        <f t="shared" si="803"/>
        <v>-5.9969999999999999</v>
      </c>
      <c r="BI370" s="700">
        <f t="shared" si="803"/>
        <v>-26.847000000000001</v>
      </c>
      <c r="BJ370" s="523">
        <f t="shared" si="803"/>
        <v>-6.9870000000000001</v>
      </c>
      <c r="BK370" s="523">
        <f>BK531+BK534+BK532</f>
        <v>-9.5870000000000015</v>
      </c>
      <c r="BL370" s="563">
        <f>BL531+BL534+BL532</f>
        <v>-9.7629999999999981</v>
      </c>
      <c r="BM370" s="629">
        <v>-11</v>
      </c>
      <c r="BN370" s="700">
        <f>BN531+BN534+BN532</f>
        <v>-37.337000000000003</v>
      </c>
      <c r="BO370" s="629">
        <v>-10</v>
      </c>
      <c r="BP370" s="629">
        <v>-10</v>
      </c>
      <c r="BQ370" s="629">
        <v>-10</v>
      </c>
      <c r="BR370" s="629">
        <v>-10</v>
      </c>
      <c r="BS370" s="700">
        <f>BS531+BS534+BS532</f>
        <v>-40</v>
      </c>
      <c r="BT370" s="714">
        <v>-40</v>
      </c>
      <c r="BU370" s="714">
        <v>-40</v>
      </c>
      <c r="BV370" s="714">
        <v>-40</v>
      </c>
      <c r="BW370" s="318"/>
    </row>
    <row r="371" spans="1:75" s="458" customFormat="1">
      <c r="A371" s="529" t="str">
        <f>CONCATENATE("Consensus Estimates - ",IFERROR(LEFT(A370,FIND("(",A370)-1),A370))</f>
        <v>Consensus Estimates - Capex</v>
      </c>
      <c r="B371" s="530"/>
      <c r="C371" s="723"/>
      <c r="D371" s="723"/>
      <c r="E371" s="723"/>
      <c r="F371" s="723"/>
      <c r="G371" s="524"/>
      <c r="H371" s="524"/>
      <c r="I371" s="524"/>
      <c r="J371" s="524"/>
      <c r="K371" s="723"/>
      <c r="L371" s="524"/>
      <c r="M371" s="524"/>
      <c r="N371" s="524"/>
      <c r="O371" s="524"/>
      <c r="P371" s="723"/>
      <c r="Q371" s="524"/>
      <c r="R371" s="524"/>
      <c r="S371" s="524"/>
      <c r="T371" s="524"/>
      <c r="U371" s="723"/>
      <c r="V371" s="524"/>
      <c r="W371" s="573"/>
      <c r="X371" s="573"/>
      <c r="Y371" s="573"/>
      <c r="Z371" s="724"/>
      <c r="AA371" s="524"/>
      <c r="AB371" s="573"/>
      <c r="AC371" s="573"/>
      <c r="AD371" s="573"/>
      <c r="AE371" s="724"/>
      <c r="AF371" s="524"/>
      <c r="AG371" s="573"/>
      <c r="AH371" s="573"/>
      <c r="AI371" s="573"/>
      <c r="AJ371" s="724"/>
      <c r="AK371" s="524"/>
      <c r="AL371" s="573"/>
      <c r="AM371" s="573"/>
      <c r="AN371" s="573"/>
      <c r="AO371" s="724"/>
      <c r="AP371" s="524"/>
      <c r="AQ371" s="573"/>
      <c r="AR371" s="573"/>
      <c r="AS371" s="573"/>
      <c r="AT371" s="724"/>
      <c r="AU371" s="524"/>
      <c r="AV371" s="573"/>
      <c r="AW371" s="573"/>
      <c r="AX371" s="573"/>
      <c r="AY371" s="724"/>
      <c r="AZ371" s="524"/>
      <c r="BA371" s="573"/>
      <c r="BB371" s="573"/>
      <c r="BC371" s="573"/>
      <c r="BD371" s="724"/>
      <c r="BE371" s="524"/>
      <c r="BF371" s="573"/>
      <c r="BG371" s="573"/>
      <c r="BH371" s="573"/>
      <c r="BI371" s="724"/>
      <c r="BJ371" s="524"/>
      <c r="BK371" s="573"/>
      <c r="BL371" s="574"/>
      <c r="BM371" s="575" t="str">
        <f t="shared" ref="BM371:BS371" ca="1" si="804">IFERROR(VLOOKUP($A371,tb_ConsensusEstimate,MATCH(BM$5,OFFSET(tb_ConsensusEstimate,0,0,1,COLUMNS(tb_ConsensusEstimate)),0),FALSE),"-")</f>
        <v>N/A</v>
      </c>
      <c r="BN371" s="756" t="str">
        <f t="shared" ca="1" si="804"/>
        <v>N/A</v>
      </c>
      <c r="BO371" s="575" t="str">
        <f t="shared" ca="1" si="804"/>
        <v>N/A</v>
      </c>
      <c r="BP371" s="575" t="str">
        <f t="shared" ca="1" si="804"/>
        <v>N/A</v>
      </c>
      <c r="BQ371" s="575" t="str">
        <f t="shared" ca="1" si="804"/>
        <v>N/A</v>
      </c>
      <c r="BR371" s="575" t="str">
        <f t="shared" ca="1" si="804"/>
        <v>N/A</v>
      </c>
      <c r="BS371" s="756" t="str">
        <f t="shared" ca="1" si="804"/>
        <v>N/A</v>
      </c>
      <c r="BT371" s="756" t="str">
        <f ca="1">IFERROR(VLOOKUP($A371,tb_ConsensusEstimate,MATCH(BT5,OFFSET(tb_ConsensusEstimate,0,0,1,COLUMNS(tb_ConsensusEstimate)),0),FALSE),"-")</f>
        <v>N/A</v>
      </c>
      <c r="BU371" s="756" t="str">
        <f ca="1">IFERROR(VLOOKUP($A371,tb_ConsensusEstimate,MATCH(BU5,OFFSET(tb_ConsensusEstimate,0,0,1,COLUMNS(tb_ConsensusEstimate)),0),FALSE),"-")</f>
        <v>N/A</v>
      </c>
      <c r="BV371" s="756" t="str">
        <f ca="1">IFERROR(VLOOKUP($A371,tb_ConsensusEstimate,MATCH(BV5,OFFSET(tb_ConsensusEstimate,0,0,1,COLUMNS(tb_ConsensusEstimate)),0),FALSE),"-")</f>
        <v>N/A</v>
      </c>
      <c r="BW371" s="524"/>
    </row>
    <row r="372" spans="1:75" s="439" customFormat="1">
      <c r="A372" s="518" t="s">
        <v>394</v>
      </c>
      <c r="B372" s="53"/>
      <c r="C372" s="89">
        <f t="shared" ref="C372:AQ372" si="805">C530</f>
        <v>0</v>
      </c>
      <c r="D372" s="89">
        <f t="shared" si="805"/>
        <v>0</v>
      </c>
      <c r="E372" s="89">
        <f t="shared" si="805"/>
        <v>0</v>
      </c>
      <c r="F372" s="89">
        <f t="shared" si="805"/>
        <v>-24.125</v>
      </c>
      <c r="G372" s="518">
        <f t="shared" si="805"/>
        <v>0</v>
      </c>
      <c r="H372" s="518">
        <f t="shared" si="805"/>
        <v>0</v>
      </c>
      <c r="I372" s="518">
        <f t="shared" si="805"/>
        <v>-2.0569999999999999</v>
      </c>
      <c r="J372" s="518">
        <f t="shared" si="805"/>
        <v>0</v>
      </c>
      <c r="K372" s="89">
        <f t="shared" si="805"/>
        <v>-2.0569999999999999</v>
      </c>
      <c r="L372" s="518">
        <f t="shared" si="805"/>
        <v>0</v>
      </c>
      <c r="M372" s="518">
        <f t="shared" si="805"/>
        <v>0</v>
      </c>
      <c r="N372" s="518">
        <f t="shared" si="805"/>
        <v>0</v>
      </c>
      <c r="O372" s="518">
        <f t="shared" si="805"/>
        <v>-14.34</v>
      </c>
      <c r="P372" s="89">
        <f t="shared" si="805"/>
        <v>-14.34</v>
      </c>
      <c r="Q372" s="518">
        <f t="shared" si="805"/>
        <v>-71.546000000000006</v>
      </c>
      <c r="R372" s="518">
        <f t="shared" si="805"/>
        <v>-1.8759999999999906</v>
      </c>
      <c r="S372" s="518">
        <f t="shared" si="805"/>
        <v>0</v>
      </c>
      <c r="T372" s="518">
        <f t="shared" si="805"/>
        <v>0</v>
      </c>
      <c r="U372" s="89">
        <f t="shared" si="805"/>
        <v>-73.421999999999997</v>
      </c>
      <c r="V372" s="518">
        <f t="shared" si="805"/>
        <v>0</v>
      </c>
      <c r="W372" s="518">
        <f t="shared" si="805"/>
        <v>0</v>
      </c>
      <c r="X372" s="518">
        <f t="shared" si="805"/>
        <v>0</v>
      </c>
      <c r="Y372" s="518">
        <f t="shared" si="805"/>
        <v>0</v>
      </c>
      <c r="Z372" s="89">
        <f t="shared" si="805"/>
        <v>0</v>
      </c>
      <c r="AA372" s="518">
        <f t="shared" si="805"/>
        <v>-30.832999999999998</v>
      </c>
      <c r="AB372" s="518">
        <f t="shared" si="805"/>
        <v>-19.710999999999999</v>
      </c>
      <c r="AC372" s="518">
        <f t="shared" si="805"/>
        <v>0</v>
      </c>
      <c r="AD372" s="518">
        <f t="shared" si="805"/>
        <v>0</v>
      </c>
      <c r="AE372" s="89">
        <f t="shared" si="805"/>
        <v>-50.543999999999997</v>
      </c>
      <c r="AF372" s="518">
        <f t="shared" si="805"/>
        <v>0</v>
      </c>
      <c r="AG372" s="518">
        <f t="shared" si="805"/>
        <v>0</v>
      </c>
      <c r="AH372" s="518">
        <f t="shared" si="805"/>
        <v>0</v>
      </c>
      <c r="AI372" s="518">
        <f t="shared" si="805"/>
        <v>0</v>
      </c>
      <c r="AJ372" s="89">
        <f t="shared" si="805"/>
        <v>0</v>
      </c>
      <c r="AK372" s="518">
        <f t="shared" si="805"/>
        <v>0</v>
      </c>
      <c r="AL372" s="518">
        <f t="shared" si="805"/>
        <v>0</v>
      </c>
      <c r="AM372" s="518">
        <f t="shared" si="805"/>
        <v>0</v>
      </c>
      <c r="AN372" s="518">
        <f t="shared" si="805"/>
        <v>0</v>
      </c>
      <c r="AO372" s="89">
        <f t="shared" si="805"/>
        <v>0</v>
      </c>
      <c r="AP372" s="518">
        <f t="shared" si="805"/>
        <v>0</v>
      </c>
      <c r="AQ372" s="518">
        <f t="shared" si="805"/>
        <v>0</v>
      </c>
      <c r="AR372" s="518">
        <f t="shared" ref="AR372:AW372" si="806">AR530</f>
        <v>0</v>
      </c>
      <c r="AS372" s="518">
        <f t="shared" si="806"/>
        <v>0</v>
      </c>
      <c r="AT372" s="89">
        <f t="shared" si="806"/>
        <v>0</v>
      </c>
      <c r="AU372" s="518">
        <f t="shared" si="806"/>
        <v>0</v>
      </c>
      <c r="AV372" s="518">
        <f t="shared" si="806"/>
        <v>0</v>
      </c>
      <c r="AW372" s="518">
        <f t="shared" si="806"/>
        <v>0</v>
      </c>
      <c r="AX372" s="518">
        <f t="shared" ref="AX372:BD372" si="807">AX530</f>
        <v>0</v>
      </c>
      <c r="AY372" s="89">
        <f t="shared" si="807"/>
        <v>0</v>
      </c>
      <c r="AZ372" s="518">
        <f t="shared" si="807"/>
        <v>0</v>
      </c>
      <c r="BA372" s="518">
        <f t="shared" si="807"/>
        <v>0</v>
      </c>
      <c r="BB372" s="518">
        <f t="shared" si="807"/>
        <v>0</v>
      </c>
      <c r="BC372" s="518">
        <f t="shared" si="807"/>
        <v>0</v>
      </c>
      <c r="BD372" s="89">
        <f t="shared" si="807"/>
        <v>0</v>
      </c>
      <c r="BE372" s="518">
        <f t="shared" ref="BE372:BJ372" si="808">BE530</f>
        <v>0</v>
      </c>
      <c r="BF372" s="518">
        <f t="shared" si="808"/>
        <v>0</v>
      </c>
      <c r="BG372" s="518">
        <f t="shared" si="808"/>
        <v>0</v>
      </c>
      <c r="BH372" s="518">
        <f t="shared" si="808"/>
        <v>0</v>
      </c>
      <c r="BI372" s="89">
        <f t="shared" si="808"/>
        <v>0</v>
      </c>
      <c r="BJ372" s="518">
        <f t="shared" si="808"/>
        <v>0</v>
      </c>
      <c r="BK372" s="518">
        <f>BK530</f>
        <v>0</v>
      </c>
      <c r="BL372" s="520">
        <f>BL530</f>
        <v>0</v>
      </c>
      <c r="BM372" s="609">
        <v>0</v>
      </c>
      <c r="BN372" s="89">
        <f>BN530</f>
        <v>0</v>
      </c>
      <c r="BO372" s="609">
        <v>0</v>
      </c>
      <c r="BP372" s="609">
        <v>0</v>
      </c>
      <c r="BQ372" s="609">
        <v>0</v>
      </c>
      <c r="BR372" s="609">
        <v>0</v>
      </c>
      <c r="BS372" s="89">
        <f>BS530</f>
        <v>0</v>
      </c>
      <c r="BT372" s="675">
        <v>0</v>
      </c>
      <c r="BU372" s="675">
        <v>0</v>
      </c>
      <c r="BV372" s="675">
        <v>0</v>
      </c>
      <c r="BW372" s="519"/>
    </row>
    <row r="373" spans="1:75" s="439" customFormat="1">
      <c r="A373" s="518" t="s">
        <v>395</v>
      </c>
      <c r="B373" s="53"/>
      <c r="C373" s="89">
        <f t="shared" ref="C373:AQ373" si="809">C536+C539</f>
        <v>0</v>
      </c>
      <c r="D373" s="89">
        <f t="shared" si="809"/>
        <v>0</v>
      </c>
      <c r="E373" s="89">
        <f t="shared" si="809"/>
        <v>0</v>
      </c>
      <c r="F373" s="89">
        <f t="shared" si="809"/>
        <v>0</v>
      </c>
      <c r="G373" s="518">
        <f t="shared" si="809"/>
        <v>0</v>
      </c>
      <c r="H373" s="518">
        <f t="shared" si="809"/>
        <v>0</v>
      </c>
      <c r="I373" s="518">
        <f t="shared" si="809"/>
        <v>0</v>
      </c>
      <c r="J373" s="518">
        <f t="shared" si="809"/>
        <v>0</v>
      </c>
      <c r="K373" s="89">
        <f t="shared" si="809"/>
        <v>0</v>
      </c>
      <c r="L373" s="518">
        <f t="shared" si="809"/>
        <v>0</v>
      </c>
      <c r="M373" s="518">
        <f t="shared" si="809"/>
        <v>1.4E-2</v>
      </c>
      <c r="N373" s="518">
        <f t="shared" si="809"/>
        <v>0</v>
      </c>
      <c r="O373" s="518">
        <f t="shared" si="809"/>
        <v>0</v>
      </c>
      <c r="P373" s="89">
        <f t="shared" si="809"/>
        <v>1.4E-2</v>
      </c>
      <c r="Q373" s="518">
        <f t="shared" si="809"/>
        <v>9.7000000000000003E-2</v>
      </c>
      <c r="R373" s="518">
        <f t="shared" si="809"/>
        <v>1.1999999999999997E-2</v>
      </c>
      <c r="S373" s="518">
        <f t="shared" si="809"/>
        <v>0</v>
      </c>
      <c r="T373" s="518">
        <f t="shared" si="809"/>
        <v>2.5000000000000008E-2</v>
      </c>
      <c r="U373" s="89">
        <f t="shared" si="809"/>
        <v>0.13400000000000001</v>
      </c>
      <c r="V373" s="518">
        <f t="shared" si="809"/>
        <v>0</v>
      </c>
      <c r="W373" s="518">
        <f t="shared" si="809"/>
        <v>3.4000000000000002E-2</v>
      </c>
      <c r="X373" s="518">
        <f t="shared" si="809"/>
        <v>4.2999999999999997E-2</v>
      </c>
      <c r="Y373" s="518">
        <f t="shared" si="809"/>
        <v>1.0999999999999996E-2</v>
      </c>
      <c r="Z373" s="89">
        <f t="shared" si="809"/>
        <v>8.7999999999999995E-2</v>
      </c>
      <c r="AA373" s="518">
        <f t="shared" si="809"/>
        <v>0</v>
      </c>
      <c r="AB373" s="518">
        <f t="shared" si="809"/>
        <v>0</v>
      </c>
      <c r="AC373" s="518">
        <f t="shared" si="809"/>
        <v>0</v>
      </c>
      <c r="AD373" s="518">
        <f t="shared" si="809"/>
        <v>252.66300000000001</v>
      </c>
      <c r="AE373" s="89">
        <f t="shared" si="809"/>
        <v>252.66300000000001</v>
      </c>
      <c r="AF373" s="518">
        <f t="shared" si="809"/>
        <v>0</v>
      </c>
      <c r="AG373" s="518">
        <f t="shared" si="809"/>
        <v>0</v>
      </c>
      <c r="AH373" s="518">
        <f t="shared" si="809"/>
        <v>0</v>
      </c>
      <c r="AI373" s="518">
        <f t="shared" si="809"/>
        <v>0</v>
      </c>
      <c r="AJ373" s="89">
        <f t="shared" si="809"/>
        <v>0</v>
      </c>
      <c r="AK373" s="518">
        <f t="shared" si="809"/>
        <v>0</v>
      </c>
      <c r="AL373" s="518">
        <f t="shared" si="809"/>
        <v>0</v>
      </c>
      <c r="AM373" s="518">
        <f t="shared" si="809"/>
        <v>0</v>
      </c>
      <c r="AN373" s="518">
        <f t="shared" si="809"/>
        <v>0</v>
      </c>
      <c r="AO373" s="89">
        <f t="shared" si="809"/>
        <v>0</v>
      </c>
      <c r="AP373" s="518">
        <f t="shared" si="809"/>
        <v>0</v>
      </c>
      <c r="AQ373" s="518">
        <f t="shared" si="809"/>
        <v>0</v>
      </c>
      <c r="AR373" s="518">
        <f t="shared" ref="AR373:AW373" si="810">AR536+AR539</f>
        <v>0</v>
      </c>
      <c r="AS373" s="518">
        <f t="shared" si="810"/>
        <v>0</v>
      </c>
      <c r="AT373" s="89">
        <f t="shared" si="810"/>
        <v>0</v>
      </c>
      <c r="AU373" s="518">
        <f t="shared" si="810"/>
        <v>0</v>
      </c>
      <c r="AV373" s="518">
        <f t="shared" si="810"/>
        <v>0</v>
      </c>
      <c r="AW373" s="518">
        <f t="shared" si="810"/>
        <v>0</v>
      </c>
      <c r="AX373" s="518">
        <f t="shared" ref="AX373:BD373" si="811">AX536+AX539</f>
        <v>0</v>
      </c>
      <c r="AY373" s="89">
        <f t="shared" si="811"/>
        <v>0</v>
      </c>
      <c r="AZ373" s="518">
        <f t="shared" si="811"/>
        <v>0</v>
      </c>
      <c r="BA373" s="518">
        <f t="shared" si="811"/>
        <v>0</v>
      </c>
      <c r="BB373" s="518">
        <f t="shared" si="811"/>
        <v>0</v>
      </c>
      <c r="BC373" s="518">
        <f t="shared" si="811"/>
        <v>0</v>
      </c>
      <c r="BD373" s="89">
        <f t="shared" si="811"/>
        <v>0</v>
      </c>
      <c r="BE373" s="518">
        <f t="shared" ref="BE373:BJ373" si="812">BE536+BE539</f>
        <v>0</v>
      </c>
      <c r="BF373" s="518">
        <f t="shared" si="812"/>
        <v>0</v>
      </c>
      <c r="BG373" s="518">
        <f t="shared" si="812"/>
        <v>0</v>
      </c>
      <c r="BH373" s="518">
        <f t="shared" si="812"/>
        <v>0</v>
      </c>
      <c r="BI373" s="89">
        <f t="shared" si="812"/>
        <v>0</v>
      </c>
      <c r="BJ373" s="518">
        <f t="shared" si="812"/>
        <v>0</v>
      </c>
      <c r="BK373" s="518">
        <f>BK536+BK539</f>
        <v>0</v>
      </c>
      <c r="BL373" s="520">
        <f>BL536+BL539</f>
        <v>0</v>
      </c>
      <c r="BM373" s="609">
        <v>0</v>
      </c>
      <c r="BN373" s="89">
        <f>BN536+BN539</f>
        <v>0</v>
      </c>
      <c r="BO373" s="609">
        <v>0</v>
      </c>
      <c r="BP373" s="609">
        <v>0</v>
      </c>
      <c r="BQ373" s="609">
        <v>0</v>
      </c>
      <c r="BR373" s="609">
        <v>0</v>
      </c>
      <c r="BS373" s="89">
        <f>BS536+BS539</f>
        <v>0</v>
      </c>
      <c r="BT373" s="675">
        <v>0</v>
      </c>
      <c r="BU373" s="675">
        <v>0</v>
      </c>
      <c r="BV373" s="675">
        <v>0</v>
      </c>
      <c r="BW373" s="519"/>
    </row>
    <row r="374" spans="1:75" s="439" customFormat="1">
      <c r="A374" s="518" t="s">
        <v>396</v>
      </c>
      <c r="B374" s="53"/>
      <c r="C374" s="89">
        <f t="shared" ref="C374:AQ374" si="813">C559</f>
        <v>0</v>
      </c>
      <c r="D374" s="89">
        <f t="shared" si="813"/>
        <v>0</v>
      </c>
      <c r="E374" s="89">
        <f t="shared" si="813"/>
        <v>0</v>
      </c>
      <c r="F374" s="89">
        <f t="shared" si="813"/>
        <v>0</v>
      </c>
      <c r="G374" s="518">
        <f t="shared" si="813"/>
        <v>0</v>
      </c>
      <c r="H374" s="518">
        <f t="shared" si="813"/>
        <v>0</v>
      </c>
      <c r="I374" s="518">
        <f t="shared" si="813"/>
        <v>0</v>
      </c>
      <c r="J374" s="518">
        <f t="shared" si="813"/>
        <v>0</v>
      </c>
      <c r="K374" s="89">
        <f t="shared" si="813"/>
        <v>0</v>
      </c>
      <c r="L374" s="518">
        <f t="shared" si="813"/>
        <v>0</v>
      </c>
      <c r="M374" s="518">
        <f t="shared" si="813"/>
        <v>0</v>
      </c>
      <c r="N374" s="518">
        <f t="shared" si="813"/>
        <v>0</v>
      </c>
      <c r="O374" s="518">
        <f t="shared" si="813"/>
        <v>0</v>
      </c>
      <c r="P374" s="89">
        <f t="shared" si="813"/>
        <v>0</v>
      </c>
      <c r="Q374" s="518">
        <f t="shared" si="813"/>
        <v>0</v>
      </c>
      <c r="R374" s="518">
        <f t="shared" si="813"/>
        <v>0</v>
      </c>
      <c r="S374" s="518">
        <f t="shared" si="813"/>
        <v>0</v>
      </c>
      <c r="T374" s="518">
        <f t="shared" si="813"/>
        <v>0</v>
      </c>
      <c r="U374" s="89">
        <f t="shared" si="813"/>
        <v>0</v>
      </c>
      <c r="V374" s="518">
        <f t="shared" si="813"/>
        <v>0</v>
      </c>
      <c r="W374" s="518">
        <f t="shared" si="813"/>
        <v>0</v>
      </c>
      <c r="X374" s="518">
        <f t="shared" si="813"/>
        <v>0</v>
      </c>
      <c r="Y374" s="518">
        <f t="shared" si="813"/>
        <v>0</v>
      </c>
      <c r="Z374" s="89">
        <f t="shared" si="813"/>
        <v>0</v>
      </c>
      <c r="AA374" s="518">
        <f t="shared" si="813"/>
        <v>0</v>
      </c>
      <c r="AB374" s="518">
        <f t="shared" si="813"/>
        <v>0</v>
      </c>
      <c r="AC374" s="518">
        <f t="shared" si="813"/>
        <v>0</v>
      </c>
      <c r="AD374" s="518">
        <f t="shared" si="813"/>
        <v>0</v>
      </c>
      <c r="AE374" s="89">
        <f t="shared" si="813"/>
        <v>0</v>
      </c>
      <c r="AF374" s="518">
        <f t="shared" si="813"/>
        <v>0</v>
      </c>
      <c r="AG374" s="518">
        <f t="shared" si="813"/>
        <v>0</v>
      </c>
      <c r="AH374" s="518">
        <f t="shared" si="813"/>
        <v>0</v>
      </c>
      <c r="AI374" s="518">
        <f t="shared" si="813"/>
        <v>0</v>
      </c>
      <c r="AJ374" s="89">
        <f t="shared" si="813"/>
        <v>0</v>
      </c>
      <c r="AK374" s="518">
        <f t="shared" si="813"/>
        <v>0</v>
      </c>
      <c r="AL374" s="518">
        <f t="shared" si="813"/>
        <v>0</v>
      </c>
      <c r="AM374" s="518">
        <f t="shared" si="813"/>
        <v>0</v>
      </c>
      <c r="AN374" s="518">
        <f t="shared" si="813"/>
        <v>0</v>
      </c>
      <c r="AO374" s="89">
        <f t="shared" si="813"/>
        <v>0</v>
      </c>
      <c r="AP374" s="518">
        <f t="shared" si="813"/>
        <v>0</v>
      </c>
      <c r="AQ374" s="518">
        <f t="shared" si="813"/>
        <v>0</v>
      </c>
      <c r="AR374" s="518">
        <f t="shared" ref="AR374:AW374" si="814">AR559</f>
        <v>0</v>
      </c>
      <c r="AS374" s="518">
        <f t="shared" si="814"/>
        <v>0</v>
      </c>
      <c r="AT374" s="89">
        <f t="shared" si="814"/>
        <v>0</v>
      </c>
      <c r="AU374" s="518">
        <f t="shared" si="814"/>
        <v>0</v>
      </c>
      <c r="AV374" s="518">
        <f t="shared" si="814"/>
        <v>0</v>
      </c>
      <c r="AW374" s="518">
        <f t="shared" si="814"/>
        <v>0</v>
      </c>
      <c r="AX374" s="518">
        <f t="shared" ref="AX374:BD374" si="815">AX559</f>
        <v>0</v>
      </c>
      <c r="AY374" s="89">
        <f t="shared" si="815"/>
        <v>0</v>
      </c>
      <c r="AZ374" s="518">
        <f t="shared" si="815"/>
        <v>0</v>
      </c>
      <c r="BA374" s="518">
        <f t="shared" si="815"/>
        <v>0</v>
      </c>
      <c r="BB374" s="518">
        <f t="shared" si="815"/>
        <v>0</v>
      </c>
      <c r="BC374" s="518">
        <f t="shared" si="815"/>
        <v>0</v>
      </c>
      <c r="BD374" s="89">
        <f t="shared" si="815"/>
        <v>0</v>
      </c>
      <c r="BE374" s="518">
        <f t="shared" ref="BE374:BJ374" si="816">BE559</f>
        <v>0</v>
      </c>
      <c r="BF374" s="518">
        <f t="shared" si="816"/>
        <v>0</v>
      </c>
      <c r="BG374" s="518">
        <f t="shared" si="816"/>
        <v>0</v>
      </c>
      <c r="BH374" s="518">
        <f t="shared" si="816"/>
        <v>0</v>
      </c>
      <c r="BI374" s="89">
        <f t="shared" si="816"/>
        <v>0</v>
      </c>
      <c r="BJ374" s="518">
        <f t="shared" si="816"/>
        <v>0</v>
      </c>
      <c r="BK374" s="518">
        <f>BK559</f>
        <v>0</v>
      </c>
      <c r="BL374" s="520">
        <f>BL559</f>
        <v>0</v>
      </c>
      <c r="BM374" s="518" t="e">
        <f>BM375*-BM261</f>
        <v>#REF!</v>
      </c>
      <c r="BN374" s="89" t="e">
        <f>BN559</f>
        <v>#REF!</v>
      </c>
      <c r="BO374" s="518" t="e">
        <f>BO375*-BO261</f>
        <v>#REF!</v>
      </c>
      <c r="BP374" s="518" t="e">
        <f>BP375*-BP261</f>
        <v>#REF!</v>
      </c>
      <c r="BQ374" s="518" t="e">
        <f>BQ375*-BQ261</f>
        <v>#REF!</v>
      </c>
      <c r="BR374" s="518" t="e">
        <f>BR375*-BR261</f>
        <v>#REF!</v>
      </c>
      <c r="BS374" s="89" t="e">
        <f>BS559</f>
        <v>#REF!</v>
      </c>
      <c r="BT374" s="89" t="e">
        <f>BT375*-BT261</f>
        <v>#REF!</v>
      </c>
      <c r="BU374" s="89" t="e">
        <f>BU375*-BU261</f>
        <v>#REF!</v>
      </c>
      <c r="BV374" s="89" t="e">
        <f>BV375*-BV261</f>
        <v>#REF!</v>
      </c>
      <c r="BW374" s="519"/>
    </row>
    <row r="375" spans="1:75" s="472" customFormat="1">
      <c r="A375" s="7" t="s">
        <v>397</v>
      </c>
      <c r="B375" s="75"/>
      <c r="C375" s="757">
        <v>0</v>
      </c>
      <c r="D375" s="757">
        <v>0</v>
      </c>
      <c r="E375" s="757">
        <v>0</v>
      </c>
      <c r="F375" s="757">
        <v>0</v>
      </c>
      <c r="G375" s="644">
        <v>0</v>
      </c>
      <c r="H375" s="644">
        <v>0</v>
      </c>
      <c r="I375" s="644">
        <v>0</v>
      </c>
      <c r="J375" s="644">
        <v>0</v>
      </c>
      <c r="K375" s="758">
        <f>SUM(G375,H375,I375,J375)</f>
        <v>0</v>
      </c>
      <c r="L375" s="644">
        <v>0</v>
      </c>
      <c r="M375" s="644">
        <v>0</v>
      </c>
      <c r="N375" s="644">
        <v>0</v>
      </c>
      <c r="O375" s="644">
        <v>0</v>
      </c>
      <c r="P375" s="758">
        <f>SUM(L375,M375,N375,O375)</f>
        <v>0</v>
      </c>
      <c r="Q375" s="644">
        <v>0</v>
      </c>
      <c r="R375" s="644">
        <v>0</v>
      </c>
      <c r="S375" s="644">
        <v>0</v>
      </c>
      <c r="T375" s="644">
        <v>0</v>
      </c>
      <c r="U375" s="758">
        <f>SUM(Q375,R375,S375,T375)</f>
        <v>0</v>
      </c>
      <c r="V375" s="644">
        <v>0</v>
      </c>
      <c r="W375" s="644">
        <v>0</v>
      </c>
      <c r="X375" s="644">
        <v>0</v>
      </c>
      <c r="Y375" s="644">
        <v>0</v>
      </c>
      <c r="Z375" s="758">
        <f>SUM(V375,W375,X375,Y375)</f>
        <v>0</v>
      </c>
      <c r="AA375" s="644">
        <v>0</v>
      </c>
      <c r="AB375" s="644">
        <v>0</v>
      </c>
      <c r="AC375" s="644">
        <v>0</v>
      </c>
      <c r="AD375" s="644">
        <v>0</v>
      </c>
      <c r="AE375" s="758">
        <f>SUM(AA375,AB375,AC375,AD375)</f>
        <v>0</v>
      </c>
      <c r="AF375" s="644">
        <v>0</v>
      </c>
      <c r="AG375" s="644">
        <v>0</v>
      </c>
      <c r="AH375" s="644">
        <v>0</v>
      </c>
      <c r="AI375" s="644">
        <v>0</v>
      </c>
      <c r="AJ375" s="758">
        <f>SUM(AF375,AG375,AH375,AI375)</f>
        <v>0</v>
      </c>
      <c r="AK375" s="644">
        <v>0</v>
      </c>
      <c r="AL375" s="644">
        <v>0</v>
      </c>
      <c r="AM375" s="644">
        <v>0</v>
      </c>
      <c r="AN375" s="644">
        <v>0</v>
      </c>
      <c r="AO375" s="758">
        <f>SUM(AK375,AL375,AM375,AN375)</f>
        <v>0</v>
      </c>
      <c r="AP375" s="644">
        <v>0</v>
      </c>
      <c r="AQ375" s="644">
        <v>0</v>
      </c>
      <c r="AR375" s="644">
        <v>0</v>
      </c>
      <c r="AS375" s="644">
        <v>0</v>
      </c>
      <c r="AT375" s="758">
        <f>SUM(AP375,AQ375,AR375,AS375)</f>
        <v>0</v>
      </c>
      <c r="AU375" s="644">
        <v>0</v>
      </c>
      <c r="AV375" s="644">
        <v>0</v>
      </c>
      <c r="AW375" s="644">
        <v>0</v>
      </c>
      <c r="AX375" s="644">
        <v>0</v>
      </c>
      <c r="AY375" s="758">
        <f>SUM(AU375,AV375,AW375,AX375)</f>
        <v>0</v>
      </c>
      <c r="AZ375" s="644">
        <v>0</v>
      </c>
      <c r="BA375" s="644">
        <v>0</v>
      </c>
      <c r="BB375" s="644">
        <v>0</v>
      </c>
      <c r="BC375" s="644">
        <v>0</v>
      </c>
      <c r="BD375" s="758">
        <f>SUM(AZ375,BA375,BB375,BC375)</f>
        <v>0</v>
      </c>
      <c r="BE375" s="644">
        <v>0</v>
      </c>
      <c r="BF375" s="644">
        <v>0</v>
      </c>
      <c r="BG375" s="644">
        <v>0</v>
      </c>
      <c r="BH375" s="644">
        <v>0</v>
      </c>
      <c r="BI375" s="758">
        <f>SUM(BE375,BF375,BG375,BH375)</f>
        <v>0</v>
      </c>
      <c r="BJ375" s="644">
        <v>0</v>
      </c>
      <c r="BK375" s="644">
        <v>0</v>
      </c>
      <c r="BL375" s="645">
        <v>0</v>
      </c>
      <c r="BM375" s="644">
        <v>0</v>
      </c>
      <c r="BN375" s="758">
        <f>SUM(BJ375,BK375,BL375,BM375)</f>
        <v>0</v>
      </c>
      <c r="BO375" s="644">
        <v>0</v>
      </c>
      <c r="BP375" s="644">
        <v>0</v>
      </c>
      <c r="BQ375" s="644">
        <v>0</v>
      </c>
      <c r="BR375" s="644">
        <v>0</v>
      </c>
      <c r="BS375" s="758">
        <f>SUM(BO375,BP375,BQ375,BR375)</f>
        <v>0</v>
      </c>
      <c r="BT375" s="757">
        <v>0</v>
      </c>
      <c r="BU375" s="757">
        <v>0</v>
      </c>
      <c r="BV375" s="757">
        <v>0</v>
      </c>
      <c r="BW375" s="83"/>
    </row>
    <row r="376" spans="1:75" s="472" customFormat="1">
      <c r="A376" s="7"/>
      <c r="B376" s="75"/>
      <c r="C376" s="758"/>
      <c r="D376" s="758"/>
      <c r="E376" s="758"/>
      <c r="F376" s="758"/>
      <c r="G376" s="177"/>
      <c r="H376" s="177"/>
      <c r="I376" s="177"/>
      <c r="J376" s="177"/>
      <c r="K376" s="758"/>
      <c r="L376" s="177"/>
      <c r="M376" s="177"/>
      <c r="N376" s="177"/>
      <c r="O376" s="177"/>
      <c r="P376" s="758"/>
      <c r="Q376" s="177"/>
      <c r="R376" s="177"/>
      <c r="S376" s="177"/>
      <c r="T376" s="177"/>
      <c r="U376" s="758"/>
      <c r="V376" s="177"/>
      <c r="W376" s="177"/>
      <c r="X376" s="177"/>
      <c r="Y376" s="177"/>
      <c r="Z376" s="758"/>
      <c r="AA376" s="177"/>
      <c r="AB376" s="177"/>
      <c r="AC376" s="177"/>
      <c r="AD376" s="177"/>
      <c r="AE376" s="758"/>
      <c r="AF376" s="177"/>
      <c r="AG376" s="177"/>
      <c r="AH376" s="177"/>
      <c r="AI376" s="177"/>
      <c r="AJ376" s="758"/>
      <c r="AK376" s="177"/>
      <c r="AL376" s="177"/>
      <c r="AM376" s="177"/>
      <c r="AN376" s="177"/>
      <c r="AO376" s="758"/>
      <c r="AP376" s="177"/>
      <c r="AQ376" s="177"/>
      <c r="AR376" s="177"/>
      <c r="AS376" s="177"/>
      <c r="AT376" s="758"/>
      <c r="AU376" s="177"/>
      <c r="AV376" s="177"/>
      <c r="AW376" s="177"/>
      <c r="AX376" s="177"/>
      <c r="AY376" s="758"/>
      <c r="AZ376" s="177"/>
      <c r="BA376" s="177"/>
      <c r="BB376" s="177"/>
      <c r="BC376" s="177"/>
      <c r="BD376" s="758"/>
      <c r="BE376" s="177"/>
      <c r="BF376" s="177"/>
      <c r="BG376" s="177"/>
      <c r="BH376" s="177"/>
      <c r="BI376" s="758"/>
      <c r="BJ376" s="177"/>
      <c r="BK376" s="177"/>
      <c r="BL376" s="409"/>
      <c r="BM376" s="177"/>
      <c r="BN376" s="758"/>
      <c r="BO376" s="177"/>
      <c r="BP376" s="177"/>
      <c r="BQ376" s="177"/>
      <c r="BR376" s="177"/>
      <c r="BS376" s="758"/>
      <c r="BT376" s="758"/>
      <c r="BU376" s="758"/>
      <c r="BV376" s="758"/>
      <c r="BW376" s="83"/>
    </row>
    <row r="377" spans="1:75" s="472" customFormat="1">
      <c r="A377" s="7" t="s">
        <v>398</v>
      </c>
      <c r="B377" s="75"/>
      <c r="C377" s="89">
        <f t="shared" ref="C377:AQ377" si="817">C557</f>
        <v>0</v>
      </c>
      <c r="D377" s="89">
        <f t="shared" si="817"/>
        <v>0</v>
      </c>
      <c r="E377" s="89">
        <f t="shared" si="817"/>
        <v>0</v>
      </c>
      <c r="F377" s="89">
        <f t="shared" si="817"/>
        <v>-1.3080000000000001</v>
      </c>
      <c r="G377" s="518">
        <f t="shared" si="817"/>
        <v>0</v>
      </c>
      <c r="H377" s="518">
        <f t="shared" si="817"/>
        <v>0</v>
      </c>
      <c r="I377" s="518">
        <f t="shared" si="817"/>
        <v>0</v>
      </c>
      <c r="J377" s="518">
        <f t="shared" si="817"/>
        <v>0</v>
      </c>
      <c r="K377" s="89">
        <f t="shared" si="817"/>
        <v>0</v>
      </c>
      <c r="L377" s="518">
        <f t="shared" si="817"/>
        <v>0</v>
      </c>
      <c r="M377" s="518">
        <f t="shared" si="817"/>
        <v>0</v>
      </c>
      <c r="N377" s="518">
        <f t="shared" si="817"/>
        <v>0</v>
      </c>
      <c r="O377" s="518">
        <f t="shared" si="817"/>
        <v>0</v>
      </c>
      <c r="P377" s="89">
        <f t="shared" si="817"/>
        <v>0</v>
      </c>
      <c r="Q377" s="518">
        <f t="shared" si="817"/>
        <v>0</v>
      </c>
      <c r="R377" s="518">
        <f t="shared" si="817"/>
        <v>0</v>
      </c>
      <c r="S377" s="518">
        <f t="shared" si="817"/>
        <v>0</v>
      </c>
      <c r="T377" s="518">
        <f t="shared" si="817"/>
        <v>-0.82499999999999996</v>
      </c>
      <c r="U377" s="89">
        <f t="shared" si="817"/>
        <v>-0.82499999999999996</v>
      </c>
      <c r="V377" s="518">
        <f t="shared" si="817"/>
        <v>0</v>
      </c>
      <c r="W377" s="518">
        <f t="shared" si="817"/>
        <v>0</v>
      </c>
      <c r="X377" s="518">
        <f t="shared" si="817"/>
        <v>0</v>
      </c>
      <c r="Y377" s="518">
        <f t="shared" si="817"/>
        <v>0</v>
      </c>
      <c r="Z377" s="89">
        <f t="shared" si="817"/>
        <v>0</v>
      </c>
      <c r="AA377" s="518">
        <f t="shared" si="817"/>
        <v>0</v>
      </c>
      <c r="AB377" s="518">
        <f t="shared" si="817"/>
        <v>0</v>
      </c>
      <c r="AC377" s="518">
        <f t="shared" si="817"/>
        <v>0</v>
      </c>
      <c r="AD377" s="518">
        <f t="shared" si="817"/>
        <v>0</v>
      </c>
      <c r="AE377" s="89">
        <f t="shared" si="817"/>
        <v>0</v>
      </c>
      <c r="AF377" s="518">
        <f t="shared" si="817"/>
        <v>0</v>
      </c>
      <c r="AG377" s="518">
        <f t="shared" si="817"/>
        <v>0</v>
      </c>
      <c r="AH377" s="518">
        <f t="shared" si="817"/>
        <v>0</v>
      </c>
      <c r="AI377" s="518">
        <f t="shared" si="817"/>
        <v>0</v>
      </c>
      <c r="AJ377" s="89">
        <f t="shared" si="817"/>
        <v>0</v>
      </c>
      <c r="AK377" s="518">
        <f t="shared" si="817"/>
        <v>0</v>
      </c>
      <c r="AL377" s="518">
        <f t="shared" si="817"/>
        <v>0</v>
      </c>
      <c r="AM377" s="518">
        <f t="shared" si="817"/>
        <v>0</v>
      </c>
      <c r="AN377" s="518">
        <f t="shared" si="817"/>
        <v>0</v>
      </c>
      <c r="AO377" s="89">
        <f t="shared" si="817"/>
        <v>0</v>
      </c>
      <c r="AP377" s="518">
        <f t="shared" si="817"/>
        <v>0</v>
      </c>
      <c r="AQ377" s="518">
        <f t="shared" si="817"/>
        <v>0</v>
      </c>
      <c r="AR377" s="518">
        <f t="shared" ref="AR377:AW377" si="818">AR557</f>
        <v>0</v>
      </c>
      <c r="AS377" s="518">
        <f t="shared" si="818"/>
        <v>0</v>
      </c>
      <c r="AT377" s="89">
        <f t="shared" si="818"/>
        <v>0</v>
      </c>
      <c r="AU377" s="518">
        <f t="shared" si="818"/>
        <v>0</v>
      </c>
      <c r="AV377" s="518">
        <f t="shared" si="818"/>
        <v>0</v>
      </c>
      <c r="AW377" s="518">
        <f t="shared" si="818"/>
        <v>0</v>
      </c>
      <c r="AX377" s="518">
        <f t="shared" ref="AX377:BD377" si="819">AX557</f>
        <v>0</v>
      </c>
      <c r="AY377" s="89">
        <f t="shared" si="819"/>
        <v>0</v>
      </c>
      <c r="AZ377" s="518">
        <f t="shared" si="819"/>
        <v>0</v>
      </c>
      <c r="BA377" s="518">
        <f t="shared" si="819"/>
        <v>0</v>
      </c>
      <c r="BB377" s="518">
        <f t="shared" si="819"/>
        <v>0</v>
      </c>
      <c r="BC377" s="518">
        <f t="shared" si="819"/>
        <v>0</v>
      </c>
      <c r="BD377" s="89">
        <f t="shared" si="819"/>
        <v>0</v>
      </c>
      <c r="BE377" s="518">
        <f t="shared" ref="BE377:BJ377" si="820">BE557</f>
        <v>0</v>
      </c>
      <c r="BF377" s="518">
        <f t="shared" si="820"/>
        <v>0</v>
      </c>
      <c r="BG377" s="518">
        <f t="shared" si="820"/>
        <v>0</v>
      </c>
      <c r="BH377" s="518">
        <f t="shared" si="820"/>
        <v>0</v>
      </c>
      <c r="BI377" s="89">
        <f t="shared" si="820"/>
        <v>0</v>
      </c>
      <c r="BJ377" s="518">
        <f t="shared" si="820"/>
        <v>0</v>
      </c>
      <c r="BK377" s="518">
        <f>BK557</f>
        <v>0</v>
      </c>
      <c r="BL377" s="520">
        <f>BL557</f>
        <v>0</v>
      </c>
      <c r="BM377" s="609">
        <v>0</v>
      </c>
      <c r="BN377" s="89">
        <f>BN557</f>
        <v>0</v>
      </c>
      <c r="BO377" s="609">
        <v>0</v>
      </c>
      <c r="BP377" s="609">
        <v>0</v>
      </c>
      <c r="BQ377" s="609">
        <v>0</v>
      </c>
      <c r="BR377" s="609">
        <v>0</v>
      </c>
      <c r="BS377" s="89">
        <f>BS557</f>
        <v>0</v>
      </c>
      <c r="BT377" s="675">
        <v>0</v>
      </c>
      <c r="BU377" s="675">
        <v>0</v>
      </c>
      <c r="BV377" s="675">
        <v>0</v>
      </c>
      <c r="BW377" s="83"/>
    </row>
    <row r="378" spans="1:75" s="472" customFormat="1">
      <c r="A378" s="7" t="s">
        <v>399</v>
      </c>
      <c r="B378" s="75"/>
      <c r="C378" s="89">
        <f t="shared" ref="C378:AQ378" si="821">C548+C549+C550+C551+C552+C553+C555+C556</f>
        <v>7.1999999999999995E-2</v>
      </c>
      <c r="D378" s="89">
        <f t="shared" si="821"/>
        <v>0.439</v>
      </c>
      <c r="E378" s="89">
        <f t="shared" si="821"/>
        <v>1.5819999999999999</v>
      </c>
      <c r="F378" s="89">
        <f t="shared" si="821"/>
        <v>115.48099999999999</v>
      </c>
      <c r="G378" s="518">
        <f t="shared" si="821"/>
        <v>1.5760000000000001</v>
      </c>
      <c r="H378" s="518">
        <f t="shared" si="821"/>
        <v>2.835</v>
      </c>
      <c r="I378" s="518">
        <f t="shared" si="821"/>
        <v>4.923</v>
      </c>
      <c r="J378" s="518">
        <f t="shared" si="821"/>
        <v>282.38599999999997</v>
      </c>
      <c r="K378" s="89">
        <f t="shared" si="821"/>
        <v>291.71999999999997</v>
      </c>
      <c r="L378" s="518">
        <f t="shared" si="821"/>
        <v>6.4130000000000003</v>
      </c>
      <c r="M378" s="518">
        <f t="shared" si="821"/>
        <v>8.3329999999999966</v>
      </c>
      <c r="N378" s="518">
        <f t="shared" si="821"/>
        <v>6.5209999999999999</v>
      </c>
      <c r="O378" s="518">
        <f t="shared" si="821"/>
        <v>8.2820000000000036</v>
      </c>
      <c r="P378" s="89">
        <f t="shared" si="821"/>
        <v>29.548999999999999</v>
      </c>
      <c r="Q378" s="518">
        <f t="shared" si="821"/>
        <v>4.0449999999999999</v>
      </c>
      <c r="R378" s="518">
        <f t="shared" si="821"/>
        <v>13.106000000000002</v>
      </c>
      <c r="S378" s="518">
        <f t="shared" si="821"/>
        <v>1.6149999999999989</v>
      </c>
      <c r="T378" s="518">
        <f t="shared" si="821"/>
        <v>8.5010000000000012</v>
      </c>
      <c r="U378" s="89">
        <f t="shared" si="821"/>
        <v>27.267000000000003</v>
      </c>
      <c r="V378" s="518">
        <f t="shared" si="821"/>
        <v>1.0449999999999999</v>
      </c>
      <c r="W378" s="518">
        <f t="shared" si="821"/>
        <v>6.8100000000000005</v>
      </c>
      <c r="X378" s="518">
        <f t="shared" si="821"/>
        <v>10.199999999999999</v>
      </c>
      <c r="Y378" s="518">
        <f t="shared" si="821"/>
        <v>11.466999999999999</v>
      </c>
      <c r="Z378" s="89">
        <f t="shared" si="821"/>
        <v>29.521999999999998</v>
      </c>
      <c r="AA378" s="518">
        <f t="shared" si="821"/>
        <v>3.2869999999999999</v>
      </c>
      <c r="AB378" s="518">
        <f t="shared" si="821"/>
        <v>16.067</v>
      </c>
      <c r="AC378" s="518">
        <f t="shared" si="821"/>
        <v>2.4590000000000014</v>
      </c>
      <c r="AD378" s="518">
        <f t="shared" si="821"/>
        <v>5.349000000000002</v>
      </c>
      <c r="AE378" s="89">
        <f t="shared" si="821"/>
        <v>27.162000000000006</v>
      </c>
      <c r="AF378" s="518">
        <f t="shared" si="821"/>
        <v>-39.973999999999997</v>
      </c>
      <c r="AG378" s="518">
        <f t="shared" si="821"/>
        <v>-37.547000000000004</v>
      </c>
      <c r="AH378" s="518">
        <f t="shared" si="821"/>
        <v>-13.717999999999996</v>
      </c>
      <c r="AI378" s="518">
        <f t="shared" si="821"/>
        <v>-116.50800000000001</v>
      </c>
      <c r="AJ378" s="89">
        <f t="shared" si="821"/>
        <v>-207.74700000000001</v>
      </c>
      <c r="AK378" s="518">
        <f t="shared" si="821"/>
        <v>-113.47800000000001</v>
      </c>
      <c r="AL378" s="518">
        <f t="shared" si="821"/>
        <v>-295.54199999999997</v>
      </c>
      <c r="AM378" s="518">
        <f t="shared" si="821"/>
        <v>-82.943999999999988</v>
      </c>
      <c r="AN378" s="518">
        <f t="shared" si="821"/>
        <v>0.44499999999996476</v>
      </c>
      <c r="AO378" s="89">
        <f t="shared" si="821"/>
        <v>-491.51900000000001</v>
      </c>
      <c r="AP378" s="518">
        <f t="shared" si="821"/>
        <v>-8.9289999999999985</v>
      </c>
      <c r="AQ378" s="518">
        <f t="shared" si="821"/>
        <v>7.1799999999999979</v>
      </c>
      <c r="AR378" s="518">
        <f t="shared" ref="AR378:AW378" si="822">AR548+AR549+AR550+AR551+AR552+AR553+AR555+AR556</f>
        <v>0.81199999999999939</v>
      </c>
      <c r="AS378" s="518">
        <f t="shared" si="822"/>
        <v>-19.681999999999999</v>
      </c>
      <c r="AT378" s="89">
        <f t="shared" si="822"/>
        <v>-20.619</v>
      </c>
      <c r="AU378" s="518">
        <f t="shared" si="822"/>
        <v>-60.281999999999996</v>
      </c>
      <c r="AV378" s="518">
        <f t="shared" si="822"/>
        <v>-73.111999999999995</v>
      </c>
      <c r="AW378" s="518">
        <f t="shared" si="822"/>
        <v>-76.811000000000007</v>
      </c>
      <c r="AX378" s="518">
        <f t="shared" ref="AX378:BD378" si="823">AX548+AX549+AX550+AX551+AX552+AX553+AX555+AX556</f>
        <v>-90.284000000000006</v>
      </c>
      <c r="AY378" s="89">
        <f t="shared" si="823"/>
        <v>-300.48899999999998</v>
      </c>
      <c r="AZ378" s="518">
        <f t="shared" si="823"/>
        <v>-67.953000000000003</v>
      </c>
      <c r="BA378" s="518">
        <f t="shared" si="823"/>
        <v>-53.073</v>
      </c>
      <c r="BB378" s="518">
        <f t="shared" si="823"/>
        <v>-60.998000000000005</v>
      </c>
      <c r="BC378" s="518">
        <f t="shared" si="823"/>
        <v>-55.508000000000003</v>
      </c>
      <c r="BD378" s="89">
        <f t="shared" si="823"/>
        <v>-237.53200000000001</v>
      </c>
      <c r="BE378" s="518">
        <f t="shared" ref="BE378:BJ378" si="824">BE548+BE549+BE550+BE551+BE552+BE553+BE555+BE556</f>
        <v>-54.706000000000003</v>
      </c>
      <c r="BF378" s="518">
        <f t="shared" si="824"/>
        <v>-57.4</v>
      </c>
      <c r="BG378" s="518">
        <f t="shared" si="824"/>
        <v>-70.076999999999998</v>
      </c>
      <c r="BH378" s="518">
        <f t="shared" si="824"/>
        <v>-63.486000000000004</v>
      </c>
      <c r="BI378" s="89">
        <f t="shared" si="824"/>
        <v>-245.66900000000001</v>
      </c>
      <c r="BJ378" s="518">
        <f t="shared" si="824"/>
        <v>-83.834000000000003</v>
      </c>
      <c r="BK378" s="518">
        <f>BK548+BK549+BK550+BK551+BK552+BK553+BK555+BK556</f>
        <v>-66.576999999999998</v>
      </c>
      <c r="BL378" s="520">
        <f>BL548+BL549+BL550+BL551+BL552+BL553+BL555+BL556</f>
        <v>-82.596000000000004</v>
      </c>
      <c r="BM378" s="609">
        <v>0</v>
      </c>
      <c r="BN378" s="89">
        <f>BN548+BN549+BN550+BN551+BN552+BN553+BN555+BN556</f>
        <v>-233.00700000000001</v>
      </c>
      <c r="BO378" s="609">
        <v>0</v>
      </c>
      <c r="BP378" s="609">
        <v>0</v>
      </c>
      <c r="BQ378" s="609">
        <v>0</v>
      </c>
      <c r="BR378" s="609">
        <v>0</v>
      </c>
      <c r="BS378" s="89">
        <f>BS548+BS549+BS550+BS551+BS552+BS553+BS555+BS556</f>
        <v>0</v>
      </c>
      <c r="BT378" s="675">
        <v>0</v>
      </c>
      <c r="BU378" s="675">
        <v>0</v>
      </c>
      <c r="BV378" s="675">
        <v>0</v>
      </c>
      <c r="BW378" s="83"/>
    </row>
    <row r="379" spans="1:75" s="472" customFormat="1">
      <c r="A379" s="216" t="s">
        <v>400</v>
      </c>
      <c r="B379" s="217"/>
      <c r="C379" s="759"/>
      <c r="D379" s="759"/>
      <c r="E379" s="759"/>
      <c r="F379" s="759"/>
      <c r="G379" s="541"/>
      <c r="H379" s="541"/>
      <c r="I379" s="541"/>
      <c r="J379" s="541"/>
      <c r="K379" s="759"/>
      <c r="L379" s="541"/>
      <c r="M379" s="541"/>
      <c r="N379" s="541"/>
      <c r="O379" s="541"/>
      <c r="P379" s="759"/>
      <c r="Q379" s="541"/>
      <c r="R379" s="541"/>
      <c r="S379" s="541"/>
      <c r="T379" s="541"/>
      <c r="U379" s="759"/>
      <c r="V379" s="541"/>
      <c r="W379" s="541"/>
      <c r="X379" s="541"/>
      <c r="Y379" s="541"/>
      <c r="Z379" s="759"/>
      <c r="AA379" s="541"/>
      <c r="AB379" s="541"/>
      <c r="AC379" s="541"/>
      <c r="AD379" s="541"/>
      <c r="AE379" s="759"/>
      <c r="AF379" s="541"/>
      <c r="AG379" s="541"/>
      <c r="AH379" s="541"/>
      <c r="AI379" s="541"/>
      <c r="AJ379" s="759"/>
      <c r="AK379" s="541"/>
      <c r="AL379" s="541"/>
      <c r="AM379" s="541"/>
      <c r="AN379" s="541"/>
      <c r="AO379" s="759"/>
      <c r="AP379" s="541"/>
      <c r="AQ379" s="541"/>
      <c r="AR379" s="541"/>
      <c r="AS379" s="541"/>
      <c r="AT379" s="759"/>
      <c r="AU379" s="541"/>
      <c r="AV379" s="541"/>
      <c r="AW379" s="541"/>
      <c r="AX379" s="541"/>
      <c r="AY379" s="759"/>
      <c r="AZ379" s="541"/>
      <c r="BA379" s="541"/>
      <c r="BB379" s="541"/>
      <c r="BC379" s="541"/>
      <c r="BD379" s="759"/>
      <c r="BE379" s="541"/>
      <c r="BF379" s="541"/>
      <c r="BG379" s="541"/>
      <c r="BH379" s="541"/>
      <c r="BI379" s="759"/>
      <c r="BJ379" s="541"/>
      <c r="BK379" s="541"/>
      <c r="BL379" s="410"/>
      <c r="BM379" s="646">
        <v>36</v>
      </c>
      <c r="BN379" s="759">
        <f>AVERAGE(BJ379,BK379,BL379,BM379)</f>
        <v>36</v>
      </c>
      <c r="BO379" s="646">
        <v>40</v>
      </c>
      <c r="BP379" s="646">
        <v>40</v>
      </c>
      <c r="BQ379" s="646">
        <v>40</v>
      </c>
      <c r="BR379" s="646">
        <v>40</v>
      </c>
      <c r="BS379" s="759">
        <f>AVERAGE(BO379,BP379,BQ379,BR379)</f>
        <v>40</v>
      </c>
      <c r="BT379" s="760">
        <v>44</v>
      </c>
      <c r="BU379" s="760">
        <v>48</v>
      </c>
      <c r="BV379" s="760">
        <v>53</v>
      </c>
      <c r="BW379" s="83"/>
    </row>
    <row r="380" spans="1:75" s="459" customFormat="1">
      <c r="A380" s="529"/>
      <c r="B380" s="530"/>
      <c r="C380" s="723"/>
      <c r="D380" s="723"/>
      <c r="E380" s="723"/>
      <c r="F380" s="723"/>
      <c r="G380" s="524"/>
      <c r="H380" s="524"/>
      <c r="I380" s="524"/>
      <c r="J380" s="524"/>
      <c r="K380" s="723"/>
      <c r="L380" s="524"/>
      <c r="M380" s="524"/>
      <c r="N380" s="524"/>
      <c r="O380" s="524"/>
      <c r="P380" s="723"/>
      <c r="Q380" s="524"/>
      <c r="R380" s="524"/>
      <c r="S380" s="524"/>
      <c r="T380" s="524"/>
      <c r="U380" s="723"/>
      <c r="V380" s="524"/>
      <c r="W380" s="524"/>
      <c r="X380" s="524"/>
      <c r="Y380" s="524"/>
      <c r="Z380" s="723"/>
      <c r="AA380" s="524"/>
      <c r="AB380" s="524"/>
      <c r="AC380" s="524"/>
      <c r="AD380" s="524"/>
      <c r="AE380" s="723"/>
      <c r="AF380" s="524"/>
      <c r="AG380" s="524"/>
      <c r="AH380" s="524"/>
      <c r="AI380" s="524"/>
      <c r="AJ380" s="723"/>
      <c r="AK380" s="524"/>
      <c r="AL380" s="524"/>
      <c r="AM380" s="524"/>
      <c r="AN380" s="524"/>
      <c r="AO380" s="723"/>
      <c r="AP380" s="524"/>
      <c r="AQ380" s="524"/>
      <c r="AR380" s="524"/>
      <c r="AS380" s="524"/>
      <c r="AT380" s="723"/>
      <c r="AU380" s="524"/>
      <c r="AV380" s="524"/>
      <c r="AW380" s="524"/>
      <c r="AX380" s="524"/>
      <c r="AY380" s="723"/>
      <c r="AZ380" s="524"/>
      <c r="BA380" s="524"/>
      <c r="BB380" s="524"/>
      <c r="BC380" s="524"/>
      <c r="BD380" s="723"/>
      <c r="BE380" s="524"/>
      <c r="BF380" s="524"/>
      <c r="BG380" s="524"/>
      <c r="BH380" s="524"/>
      <c r="BI380" s="723"/>
      <c r="BJ380" s="524"/>
      <c r="BK380" s="524"/>
      <c r="BL380" s="576"/>
      <c r="BM380" s="524"/>
      <c r="BN380" s="723"/>
      <c r="BO380" s="524"/>
      <c r="BP380" s="524"/>
      <c r="BQ380" s="524"/>
      <c r="BR380" s="524"/>
      <c r="BS380" s="723"/>
      <c r="BT380" s="723"/>
      <c r="BU380" s="723"/>
      <c r="BV380" s="723"/>
      <c r="BW380" s="142"/>
    </row>
    <row r="381" spans="1:75" s="439" customFormat="1" outlineLevel="1">
      <c r="A381" s="518" t="s">
        <v>401</v>
      </c>
      <c r="B381" s="53"/>
      <c r="C381" s="89">
        <f t="shared" ref="C381:AH381" si="825">C364+C370</f>
        <v>-2.101</v>
      </c>
      <c r="D381" s="89">
        <f t="shared" si="825"/>
        <v>-10.172000000000001</v>
      </c>
      <c r="E381" s="89">
        <f t="shared" si="825"/>
        <v>-8.2889999999999997</v>
      </c>
      <c r="F381" s="89">
        <f t="shared" si="825"/>
        <v>-5.4890000000000008</v>
      </c>
      <c r="G381" s="518">
        <f t="shared" si="825"/>
        <v>1.528</v>
      </c>
      <c r="H381" s="518">
        <f t="shared" si="825"/>
        <v>3.0729999999999995</v>
      </c>
      <c r="I381" s="518">
        <f t="shared" si="825"/>
        <v>2.7730000000000015</v>
      </c>
      <c r="J381" s="518">
        <f t="shared" si="825"/>
        <v>2.7010000000000005</v>
      </c>
      <c r="K381" s="89">
        <f t="shared" si="825"/>
        <v>10.075000000000003</v>
      </c>
      <c r="L381" s="518">
        <f t="shared" si="825"/>
        <v>5.7909999999999986</v>
      </c>
      <c r="M381" s="518">
        <f t="shared" si="825"/>
        <v>12.221000000000005</v>
      </c>
      <c r="N381" s="518">
        <f t="shared" si="825"/>
        <v>9.6449999999999996</v>
      </c>
      <c r="O381" s="518">
        <f t="shared" si="825"/>
        <v>4.1120000000000125</v>
      </c>
      <c r="P381" s="89">
        <f t="shared" si="825"/>
        <v>31.76900000000002</v>
      </c>
      <c r="Q381" s="518">
        <f t="shared" si="825"/>
        <v>7.4449999999999985</v>
      </c>
      <c r="R381" s="518">
        <f t="shared" si="825"/>
        <v>11.579000000000001</v>
      </c>
      <c r="S381" s="518">
        <f t="shared" si="825"/>
        <v>9.1939999999999991</v>
      </c>
      <c r="T381" s="518">
        <f t="shared" si="825"/>
        <v>17.765000000000004</v>
      </c>
      <c r="U381" s="89">
        <f t="shared" si="825"/>
        <v>45.983000000000004</v>
      </c>
      <c r="V381" s="518">
        <f t="shared" si="825"/>
        <v>6.6479999999999997</v>
      </c>
      <c r="W381" s="518">
        <f t="shared" si="825"/>
        <v>23.654000000000003</v>
      </c>
      <c r="X381" s="518">
        <f t="shared" si="825"/>
        <v>29.953000000000003</v>
      </c>
      <c r="Y381" s="518">
        <f t="shared" si="825"/>
        <v>39.554999999999986</v>
      </c>
      <c r="Z381" s="89">
        <f t="shared" si="825"/>
        <v>99.809999999999974</v>
      </c>
      <c r="AA381" s="518">
        <f t="shared" si="825"/>
        <v>29.952999999999999</v>
      </c>
      <c r="AB381" s="518">
        <f t="shared" si="825"/>
        <v>43.387000000000008</v>
      </c>
      <c r="AC381" s="518">
        <f t="shared" si="825"/>
        <v>40.402000000000001</v>
      </c>
      <c r="AD381" s="518">
        <f t="shared" si="825"/>
        <v>8.1340000000000003</v>
      </c>
      <c r="AE381" s="89">
        <f t="shared" si="825"/>
        <v>121.87600000000003</v>
      </c>
      <c r="AF381" s="518">
        <f t="shared" si="825"/>
        <v>27.081000000000003</v>
      </c>
      <c r="AG381" s="518">
        <f t="shared" si="825"/>
        <v>45.953000000000003</v>
      </c>
      <c r="AH381" s="518">
        <f t="shared" si="825"/>
        <v>49.907000000000004</v>
      </c>
      <c r="AI381" s="518">
        <f t="shared" ref="AI381:AQ381" si="826">AI364+AI370</f>
        <v>48.534999999999997</v>
      </c>
      <c r="AJ381" s="89">
        <f t="shared" si="826"/>
        <v>171.47599999999997</v>
      </c>
      <c r="AK381" s="518">
        <f t="shared" si="826"/>
        <v>47.165999999999997</v>
      </c>
      <c r="AL381" s="518">
        <f t="shared" si="826"/>
        <v>59.778999999999996</v>
      </c>
      <c r="AM381" s="518">
        <f t="shared" si="826"/>
        <v>57.752999999999986</v>
      </c>
      <c r="AN381" s="518">
        <f t="shared" si="826"/>
        <v>67.640999999999991</v>
      </c>
      <c r="AO381" s="89">
        <f t="shared" si="826"/>
        <v>232.339</v>
      </c>
      <c r="AP381" s="518">
        <f t="shared" si="826"/>
        <v>40.125999999999998</v>
      </c>
      <c r="AQ381" s="518">
        <f t="shared" si="826"/>
        <v>20.146000000000001</v>
      </c>
      <c r="AR381" s="518">
        <f t="shared" ref="AR381:AW381" si="827">AR364+AR370</f>
        <v>58.375000000000014</v>
      </c>
      <c r="AS381" s="518">
        <f t="shared" si="827"/>
        <v>64.492999999999995</v>
      </c>
      <c r="AT381" s="89">
        <f t="shared" si="827"/>
        <v>183.14000000000001</v>
      </c>
      <c r="AU381" s="518">
        <f t="shared" si="827"/>
        <v>52.202999999999996</v>
      </c>
      <c r="AV381" s="518">
        <f t="shared" si="827"/>
        <v>70.694000000000003</v>
      </c>
      <c r="AW381" s="518">
        <f t="shared" si="827"/>
        <v>72.45</v>
      </c>
      <c r="AX381" s="518">
        <f t="shared" ref="AX381:BA381" si="828">AX364+AX370</f>
        <v>68.197999999999993</v>
      </c>
      <c r="AY381" s="89">
        <f t="shared" si="828"/>
        <v>263.54499999999996</v>
      </c>
      <c r="AZ381" s="518">
        <f t="shared" si="828"/>
        <v>54.227000000000004</v>
      </c>
      <c r="BA381" s="518">
        <f t="shared" si="828"/>
        <v>56.79999999999999</v>
      </c>
      <c r="BB381" s="518">
        <f t="shared" ref="BB381:BN381" si="829">BB364+BB370</f>
        <v>66.27000000000001</v>
      </c>
      <c r="BC381" s="518">
        <f t="shared" si="829"/>
        <v>59.534999999999997</v>
      </c>
      <c r="BD381" s="89">
        <f t="shared" si="829"/>
        <v>236.83200000000005</v>
      </c>
      <c r="BE381" s="518">
        <f t="shared" ref="BE381:BM381" si="830">BE364+BE370</f>
        <v>53.055999999999997</v>
      </c>
      <c r="BF381" s="518">
        <f t="shared" si="830"/>
        <v>59.993000000000002</v>
      </c>
      <c r="BG381" s="518">
        <f t="shared" si="830"/>
        <v>164.864</v>
      </c>
      <c r="BH381" s="518">
        <f t="shared" si="830"/>
        <v>103.872</v>
      </c>
      <c r="BI381" s="89">
        <f t="shared" si="830"/>
        <v>381.78500000000003</v>
      </c>
      <c r="BJ381" s="518">
        <f>BJ364+BJ370</f>
        <v>79.649000000000001</v>
      </c>
      <c r="BK381" s="518">
        <f>BK364+BK370</f>
        <v>98.242000000000019</v>
      </c>
      <c r="BL381" s="520">
        <f>BL364+BL370</f>
        <v>89.506</v>
      </c>
      <c r="BM381" s="518">
        <f t="shared" si="830"/>
        <v>91.69710256932332</v>
      </c>
      <c r="BN381" s="89">
        <f t="shared" si="829"/>
        <v>359.09410256932335</v>
      </c>
      <c r="BO381" s="518">
        <f t="shared" ref="BO381:BV381" si="831">BO364+BO370</f>
        <v>86.395965387656048</v>
      </c>
      <c r="BP381" s="518">
        <f t="shared" si="831"/>
        <v>109.54374013341501</v>
      </c>
      <c r="BQ381" s="518">
        <f t="shared" si="831"/>
        <v>103.2306327943372</v>
      </c>
      <c r="BR381" s="518">
        <f t="shared" si="831"/>
        <v>97.978916724606165</v>
      </c>
      <c r="BS381" s="89">
        <f t="shared" si="831"/>
        <v>397.1492550400144</v>
      </c>
      <c r="BT381" s="89">
        <f t="shared" si="831"/>
        <v>395.3939117674671</v>
      </c>
      <c r="BU381" s="89">
        <f t="shared" si="831"/>
        <v>404.37829941783144</v>
      </c>
      <c r="BV381" s="89">
        <f t="shared" si="831"/>
        <v>341.52539363089454</v>
      </c>
      <c r="BW381" s="518"/>
    </row>
    <row r="382" spans="1:75" s="439" customFormat="1" outlineLevel="1">
      <c r="A382" s="518" t="s">
        <v>402</v>
      </c>
      <c r="B382" s="53"/>
      <c r="C382" s="89">
        <f t="shared" ref="C382:AH382" si="832">C381+C374</f>
        <v>-2.101</v>
      </c>
      <c r="D382" s="89">
        <f t="shared" si="832"/>
        <v>-10.172000000000001</v>
      </c>
      <c r="E382" s="89">
        <f t="shared" si="832"/>
        <v>-8.2889999999999997</v>
      </c>
      <c r="F382" s="89">
        <f t="shared" si="832"/>
        <v>-5.4890000000000008</v>
      </c>
      <c r="G382" s="518">
        <f t="shared" si="832"/>
        <v>1.528</v>
      </c>
      <c r="H382" s="518">
        <f t="shared" si="832"/>
        <v>3.0729999999999995</v>
      </c>
      <c r="I382" s="518">
        <f t="shared" si="832"/>
        <v>2.7730000000000015</v>
      </c>
      <c r="J382" s="518">
        <f t="shared" si="832"/>
        <v>2.7010000000000005</v>
      </c>
      <c r="K382" s="89">
        <f t="shared" si="832"/>
        <v>10.075000000000003</v>
      </c>
      <c r="L382" s="518">
        <f t="shared" si="832"/>
        <v>5.7909999999999986</v>
      </c>
      <c r="M382" s="518">
        <f t="shared" si="832"/>
        <v>12.221000000000005</v>
      </c>
      <c r="N382" s="518">
        <f t="shared" si="832"/>
        <v>9.6449999999999996</v>
      </c>
      <c r="O382" s="518">
        <f t="shared" si="832"/>
        <v>4.1120000000000125</v>
      </c>
      <c r="P382" s="89">
        <f t="shared" si="832"/>
        <v>31.76900000000002</v>
      </c>
      <c r="Q382" s="518">
        <f t="shared" si="832"/>
        <v>7.4449999999999985</v>
      </c>
      <c r="R382" s="518">
        <f t="shared" si="832"/>
        <v>11.579000000000001</v>
      </c>
      <c r="S382" s="518">
        <f t="shared" si="832"/>
        <v>9.1939999999999991</v>
      </c>
      <c r="T382" s="518">
        <f t="shared" si="832"/>
        <v>17.765000000000004</v>
      </c>
      <c r="U382" s="89">
        <f t="shared" si="832"/>
        <v>45.983000000000004</v>
      </c>
      <c r="V382" s="518">
        <f t="shared" si="832"/>
        <v>6.6479999999999997</v>
      </c>
      <c r="W382" s="518">
        <f t="shared" si="832"/>
        <v>23.654000000000003</v>
      </c>
      <c r="X382" s="518">
        <f t="shared" si="832"/>
        <v>29.953000000000003</v>
      </c>
      <c r="Y382" s="518">
        <f t="shared" si="832"/>
        <v>39.554999999999986</v>
      </c>
      <c r="Z382" s="89">
        <f t="shared" si="832"/>
        <v>99.809999999999974</v>
      </c>
      <c r="AA382" s="518">
        <f t="shared" si="832"/>
        <v>29.952999999999999</v>
      </c>
      <c r="AB382" s="518">
        <f t="shared" si="832"/>
        <v>43.387000000000008</v>
      </c>
      <c r="AC382" s="518">
        <f t="shared" si="832"/>
        <v>40.402000000000001</v>
      </c>
      <c r="AD382" s="518">
        <f t="shared" si="832"/>
        <v>8.1340000000000003</v>
      </c>
      <c r="AE382" s="89">
        <f t="shared" si="832"/>
        <v>121.87600000000003</v>
      </c>
      <c r="AF382" s="518">
        <f t="shared" si="832"/>
        <v>27.081000000000003</v>
      </c>
      <c r="AG382" s="518">
        <f t="shared" si="832"/>
        <v>45.953000000000003</v>
      </c>
      <c r="AH382" s="518">
        <f t="shared" si="832"/>
        <v>49.907000000000004</v>
      </c>
      <c r="AI382" s="518">
        <f t="shared" ref="AI382:AQ382" si="833">AI381+AI374</f>
        <v>48.534999999999997</v>
      </c>
      <c r="AJ382" s="89">
        <f t="shared" si="833"/>
        <v>171.47599999999997</v>
      </c>
      <c r="AK382" s="518">
        <f t="shared" si="833"/>
        <v>47.165999999999997</v>
      </c>
      <c r="AL382" s="518">
        <f t="shared" si="833"/>
        <v>59.778999999999996</v>
      </c>
      <c r="AM382" s="518">
        <f t="shared" si="833"/>
        <v>57.752999999999986</v>
      </c>
      <c r="AN382" s="518">
        <f t="shared" si="833"/>
        <v>67.640999999999991</v>
      </c>
      <c r="AO382" s="89">
        <f t="shared" si="833"/>
        <v>232.339</v>
      </c>
      <c r="AP382" s="518">
        <f t="shared" si="833"/>
        <v>40.125999999999998</v>
      </c>
      <c r="AQ382" s="518">
        <f t="shared" si="833"/>
        <v>20.146000000000001</v>
      </c>
      <c r="AR382" s="518">
        <f t="shared" ref="AR382:AW382" si="834">AR381+AR374</f>
        <v>58.375000000000014</v>
      </c>
      <c r="AS382" s="518">
        <f t="shared" si="834"/>
        <v>64.492999999999995</v>
      </c>
      <c r="AT382" s="89">
        <f t="shared" si="834"/>
        <v>183.14000000000001</v>
      </c>
      <c r="AU382" s="518">
        <f t="shared" si="834"/>
        <v>52.202999999999996</v>
      </c>
      <c r="AV382" s="518">
        <f t="shared" si="834"/>
        <v>70.694000000000003</v>
      </c>
      <c r="AW382" s="518">
        <f t="shared" si="834"/>
        <v>72.45</v>
      </c>
      <c r="AX382" s="518">
        <f t="shared" ref="AX382:BA382" si="835">AX381+AX374</f>
        <v>68.197999999999993</v>
      </c>
      <c r="AY382" s="89">
        <f t="shared" si="835"/>
        <v>263.54499999999996</v>
      </c>
      <c r="AZ382" s="518">
        <f t="shared" si="835"/>
        <v>54.227000000000004</v>
      </c>
      <c r="BA382" s="518">
        <f t="shared" si="835"/>
        <v>56.79999999999999</v>
      </c>
      <c r="BB382" s="518">
        <f t="shared" ref="BB382:BN382" si="836">BB381+BB374</f>
        <v>66.27000000000001</v>
      </c>
      <c r="BC382" s="518">
        <f t="shared" si="836"/>
        <v>59.534999999999997</v>
      </c>
      <c r="BD382" s="89">
        <f t="shared" si="836"/>
        <v>236.83200000000005</v>
      </c>
      <c r="BE382" s="518">
        <f t="shared" ref="BE382:BM382" si="837">BE381+BE374</f>
        <v>53.055999999999997</v>
      </c>
      <c r="BF382" s="518">
        <f t="shared" si="837"/>
        <v>59.993000000000002</v>
      </c>
      <c r="BG382" s="518">
        <f t="shared" si="837"/>
        <v>164.864</v>
      </c>
      <c r="BH382" s="518">
        <f t="shared" si="837"/>
        <v>103.872</v>
      </c>
      <c r="BI382" s="89">
        <f t="shared" si="837"/>
        <v>381.78500000000003</v>
      </c>
      <c r="BJ382" s="518">
        <f>BJ381+BJ374</f>
        <v>79.649000000000001</v>
      </c>
      <c r="BK382" s="518">
        <f>BK381+BK374</f>
        <v>98.242000000000019</v>
      </c>
      <c r="BL382" s="520">
        <f>BL381+BL374</f>
        <v>89.506</v>
      </c>
      <c r="BM382" s="518" t="e">
        <f t="shared" si="837"/>
        <v>#REF!</v>
      </c>
      <c r="BN382" s="89" t="e">
        <f t="shared" si="836"/>
        <v>#REF!</v>
      </c>
      <c r="BO382" s="518" t="e">
        <f t="shared" ref="BO382:BV382" si="838">BO381+BO374</f>
        <v>#REF!</v>
      </c>
      <c r="BP382" s="518" t="e">
        <f t="shared" si="838"/>
        <v>#REF!</v>
      </c>
      <c r="BQ382" s="518" t="e">
        <f t="shared" si="838"/>
        <v>#REF!</v>
      </c>
      <c r="BR382" s="518" t="e">
        <f t="shared" si="838"/>
        <v>#REF!</v>
      </c>
      <c r="BS382" s="89" t="e">
        <f t="shared" si="838"/>
        <v>#REF!</v>
      </c>
      <c r="BT382" s="89" t="e">
        <f t="shared" si="838"/>
        <v>#REF!</v>
      </c>
      <c r="BU382" s="89" t="e">
        <f t="shared" si="838"/>
        <v>#REF!</v>
      </c>
      <c r="BV382" s="89" t="e">
        <f t="shared" si="838"/>
        <v>#REF!</v>
      </c>
      <c r="BW382" s="518"/>
    </row>
    <row r="383" spans="1:75" s="439" customFormat="1" outlineLevel="1">
      <c r="A383" s="518" t="s">
        <v>403</v>
      </c>
      <c r="B383" s="53"/>
      <c r="C383" s="89">
        <f t="shared" ref="C383:AH383" si="839">C382+C372+C373</f>
        <v>-2.101</v>
      </c>
      <c r="D383" s="89">
        <f t="shared" si="839"/>
        <v>-10.172000000000001</v>
      </c>
      <c r="E383" s="89">
        <f t="shared" si="839"/>
        <v>-8.2889999999999997</v>
      </c>
      <c r="F383" s="89">
        <f t="shared" si="839"/>
        <v>-29.614000000000001</v>
      </c>
      <c r="G383" s="518">
        <f t="shared" si="839"/>
        <v>1.528</v>
      </c>
      <c r="H383" s="518">
        <f t="shared" si="839"/>
        <v>3.0729999999999995</v>
      </c>
      <c r="I383" s="518">
        <f t="shared" si="839"/>
        <v>0.71600000000000152</v>
      </c>
      <c r="J383" s="518">
        <f t="shared" si="839"/>
        <v>2.7010000000000005</v>
      </c>
      <c r="K383" s="89">
        <f t="shared" si="839"/>
        <v>8.0180000000000025</v>
      </c>
      <c r="L383" s="518">
        <f t="shared" si="839"/>
        <v>5.7909999999999986</v>
      </c>
      <c r="M383" s="518">
        <f t="shared" si="839"/>
        <v>12.235000000000005</v>
      </c>
      <c r="N383" s="518">
        <f t="shared" si="839"/>
        <v>9.6449999999999996</v>
      </c>
      <c r="O383" s="518">
        <f t="shared" si="839"/>
        <v>-10.227999999999987</v>
      </c>
      <c r="P383" s="89">
        <f t="shared" si="839"/>
        <v>17.443000000000019</v>
      </c>
      <c r="Q383" s="518">
        <f t="shared" si="839"/>
        <v>-64.004000000000019</v>
      </c>
      <c r="R383" s="518">
        <f t="shared" si="839"/>
        <v>9.7150000000000105</v>
      </c>
      <c r="S383" s="518">
        <f t="shared" si="839"/>
        <v>9.1939999999999991</v>
      </c>
      <c r="T383" s="518">
        <f t="shared" si="839"/>
        <v>17.790000000000003</v>
      </c>
      <c r="U383" s="89">
        <f t="shared" si="839"/>
        <v>-27.304999999999993</v>
      </c>
      <c r="V383" s="518">
        <f t="shared" si="839"/>
        <v>6.6479999999999997</v>
      </c>
      <c r="W383" s="518">
        <f t="shared" si="839"/>
        <v>23.688000000000002</v>
      </c>
      <c r="X383" s="518">
        <f t="shared" si="839"/>
        <v>29.996000000000002</v>
      </c>
      <c r="Y383" s="518">
        <f t="shared" si="839"/>
        <v>39.565999999999988</v>
      </c>
      <c r="Z383" s="89">
        <f t="shared" si="839"/>
        <v>99.897999999999968</v>
      </c>
      <c r="AA383" s="518">
        <f t="shared" si="839"/>
        <v>-0.87999999999999901</v>
      </c>
      <c r="AB383" s="518">
        <f t="shared" si="839"/>
        <v>23.676000000000009</v>
      </c>
      <c r="AC383" s="518">
        <f t="shared" si="839"/>
        <v>40.402000000000001</v>
      </c>
      <c r="AD383" s="518">
        <f t="shared" si="839"/>
        <v>260.79700000000003</v>
      </c>
      <c r="AE383" s="89">
        <f t="shared" si="839"/>
        <v>323.99500000000006</v>
      </c>
      <c r="AF383" s="518">
        <f t="shared" si="839"/>
        <v>27.081000000000003</v>
      </c>
      <c r="AG383" s="518">
        <f t="shared" si="839"/>
        <v>45.953000000000003</v>
      </c>
      <c r="AH383" s="518">
        <f t="shared" si="839"/>
        <v>49.907000000000004</v>
      </c>
      <c r="AI383" s="518">
        <f t="shared" ref="AI383:AQ383" si="840">AI382+AI372+AI373</f>
        <v>48.534999999999997</v>
      </c>
      <c r="AJ383" s="89">
        <f t="shared" si="840"/>
        <v>171.47599999999997</v>
      </c>
      <c r="AK383" s="518">
        <f t="shared" si="840"/>
        <v>47.165999999999997</v>
      </c>
      <c r="AL383" s="518">
        <f t="shared" si="840"/>
        <v>59.778999999999996</v>
      </c>
      <c r="AM383" s="518">
        <f t="shared" si="840"/>
        <v>57.752999999999986</v>
      </c>
      <c r="AN383" s="518">
        <f t="shared" si="840"/>
        <v>67.640999999999991</v>
      </c>
      <c r="AO383" s="89">
        <f t="shared" si="840"/>
        <v>232.339</v>
      </c>
      <c r="AP383" s="518">
        <f t="shared" si="840"/>
        <v>40.125999999999998</v>
      </c>
      <c r="AQ383" s="518">
        <f t="shared" si="840"/>
        <v>20.146000000000001</v>
      </c>
      <c r="AR383" s="518">
        <f t="shared" ref="AR383:AW383" si="841">AR382+AR372+AR373</f>
        <v>58.375000000000014</v>
      </c>
      <c r="AS383" s="518">
        <f t="shared" si="841"/>
        <v>64.492999999999995</v>
      </c>
      <c r="AT383" s="89">
        <f t="shared" si="841"/>
        <v>183.14000000000001</v>
      </c>
      <c r="AU383" s="518">
        <f t="shared" si="841"/>
        <v>52.202999999999996</v>
      </c>
      <c r="AV383" s="518">
        <f t="shared" si="841"/>
        <v>70.694000000000003</v>
      </c>
      <c r="AW383" s="518">
        <f t="shared" si="841"/>
        <v>72.45</v>
      </c>
      <c r="AX383" s="518">
        <f t="shared" ref="AX383:BA383" si="842">AX382+AX372+AX373</f>
        <v>68.197999999999993</v>
      </c>
      <c r="AY383" s="89">
        <f t="shared" si="842"/>
        <v>263.54499999999996</v>
      </c>
      <c r="AZ383" s="518">
        <f t="shared" si="842"/>
        <v>54.227000000000004</v>
      </c>
      <c r="BA383" s="518">
        <f t="shared" si="842"/>
        <v>56.79999999999999</v>
      </c>
      <c r="BB383" s="518">
        <f t="shared" ref="BB383:BN383" si="843">BB382+BB372+BB373</f>
        <v>66.27000000000001</v>
      </c>
      <c r="BC383" s="518">
        <f t="shared" si="843"/>
        <v>59.534999999999997</v>
      </c>
      <c r="BD383" s="89">
        <f t="shared" si="843"/>
        <v>236.83200000000005</v>
      </c>
      <c r="BE383" s="518">
        <f t="shared" ref="BE383:BM383" si="844">BE382+BE372+BE373</f>
        <v>53.055999999999997</v>
      </c>
      <c r="BF383" s="518">
        <f t="shared" si="844"/>
        <v>59.993000000000002</v>
      </c>
      <c r="BG383" s="518">
        <f t="shared" si="844"/>
        <v>164.864</v>
      </c>
      <c r="BH383" s="518">
        <f t="shared" si="844"/>
        <v>103.872</v>
      </c>
      <c r="BI383" s="89">
        <f t="shared" si="844"/>
        <v>381.78500000000003</v>
      </c>
      <c r="BJ383" s="518">
        <f>BJ382+BJ372+BJ373</f>
        <v>79.649000000000001</v>
      </c>
      <c r="BK383" s="518">
        <f>BK382+BK372+BK373</f>
        <v>98.242000000000019</v>
      </c>
      <c r="BL383" s="520">
        <f>BL382+BL372+BL373</f>
        <v>89.506</v>
      </c>
      <c r="BM383" s="518" t="e">
        <f t="shared" si="844"/>
        <v>#REF!</v>
      </c>
      <c r="BN383" s="89" t="e">
        <f t="shared" si="843"/>
        <v>#REF!</v>
      </c>
      <c r="BO383" s="518" t="e">
        <f t="shared" ref="BO383:BV383" si="845">BO382+BO372+BO373</f>
        <v>#REF!</v>
      </c>
      <c r="BP383" s="518" t="e">
        <f t="shared" si="845"/>
        <v>#REF!</v>
      </c>
      <c r="BQ383" s="518" t="e">
        <f t="shared" si="845"/>
        <v>#REF!</v>
      </c>
      <c r="BR383" s="518" t="e">
        <f t="shared" si="845"/>
        <v>#REF!</v>
      </c>
      <c r="BS383" s="89" t="e">
        <f t="shared" si="845"/>
        <v>#REF!</v>
      </c>
      <c r="BT383" s="89" t="e">
        <f t="shared" si="845"/>
        <v>#REF!</v>
      </c>
      <c r="BU383" s="89" t="e">
        <f t="shared" si="845"/>
        <v>#REF!</v>
      </c>
      <c r="BV383" s="89" t="e">
        <f t="shared" si="845"/>
        <v>#REF!</v>
      </c>
      <c r="BW383" s="518"/>
    </row>
    <row r="384" spans="1:75" s="439" customFormat="1" outlineLevel="1">
      <c r="A384" s="523" t="s">
        <v>404</v>
      </c>
      <c r="B384" s="30"/>
      <c r="C384" s="700">
        <f t="shared" ref="C384:AH384" si="846">C383+C377+C378</f>
        <v>-2.0289999999999999</v>
      </c>
      <c r="D384" s="700">
        <f t="shared" si="846"/>
        <v>-9.7330000000000005</v>
      </c>
      <c r="E384" s="700">
        <f t="shared" si="846"/>
        <v>-6.7069999999999999</v>
      </c>
      <c r="F384" s="700">
        <f t="shared" si="846"/>
        <v>84.558999999999997</v>
      </c>
      <c r="G384" s="523">
        <f t="shared" si="846"/>
        <v>3.1040000000000001</v>
      </c>
      <c r="H384" s="523">
        <f t="shared" si="846"/>
        <v>5.9079999999999995</v>
      </c>
      <c r="I384" s="523">
        <f t="shared" si="846"/>
        <v>5.6390000000000011</v>
      </c>
      <c r="J384" s="523">
        <f t="shared" si="846"/>
        <v>285.08699999999999</v>
      </c>
      <c r="K384" s="700">
        <f t="shared" si="846"/>
        <v>299.738</v>
      </c>
      <c r="L384" s="523">
        <f t="shared" si="846"/>
        <v>12.203999999999999</v>
      </c>
      <c r="M384" s="523">
        <f t="shared" si="846"/>
        <v>20.568000000000001</v>
      </c>
      <c r="N384" s="523">
        <f t="shared" si="846"/>
        <v>16.166</v>
      </c>
      <c r="O384" s="523">
        <f t="shared" si="846"/>
        <v>-1.9459999999999837</v>
      </c>
      <c r="P384" s="700">
        <f t="shared" si="846"/>
        <v>46.992000000000019</v>
      </c>
      <c r="Q384" s="523">
        <f t="shared" si="846"/>
        <v>-59.959000000000017</v>
      </c>
      <c r="R384" s="523">
        <f t="shared" si="846"/>
        <v>22.821000000000012</v>
      </c>
      <c r="S384" s="523">
        <f t="shared" si="846"/>
        <v>10.808999999999997</v>
      </c>
      <c r="T384" s="523">
        <f t="shared" si="846"/>
        <v>25.466000000000005</v>
      </c>
      <c r="U384" s="700">
        <f t="shared" si="846"/>
        <v>-0.86299999999998889</v>
      </c>
      <c r="V384" s="523">
        <f t="shared" si="846"/>
        <v>7.6929999999999996</v>
      </c>
      <c r="W384" s="523">
        <f t="shared" si="846"/>
        <v>30.498000000000005</v>
      </c>
      <c r="X384" s="523">
        <f t="shared" si="846"/>
        <v>40.195999999999998</v>
      </c>
      <c r="Y384" s="523">
        <f t="shared" si="846"/>
        <v>51.032999999999987</v>
      </c>
      <c r="Z384" s="700">
        <f t="shared" si="846"/>
        <v>129.41999999999996</v>
      </c>
      <c r="AA384" s="523">
        <f t="shared" si="846"/>
        <v>2.4070000000000009</v>
      </c>
      <c r="AB384" s="523">
        <f t="shared" si="846"/>
        <v>39.743000000000009</v>
      </c>
      <c r="AC384" s="523">
        <f t="shared" si="846"/>
        <v>42.861000000000004</v>
      </c>
      <c r="AD384" s="523">
        <f t="shared" si="846"/>
        <v>266.14600000000002</v>
      </c>
      <c r="AE384" s="700">
        <f t="shared" si="846"/>
        <v>351.15700000000004</v>
      </c>
      <c r="AF384" s="523">
        <f t="shared" si="846"/>
        <v>-12.892999999999994</v>
      </c>
      <c r="AG384" s="523">
        <f t="shared" si="846"/>
        <v>8.4059999999999988</v>
      </c>
      <c r="AH384" s="523">
        <f t="shared" si="846"/>
        <v>36.189000000000007</v>
      </c>
      <c r="AI384" s="523">
        <f t="shared" ref="AI384:AQ384" si="847">AI383+AI377+AI378</f>
        <v>-67.973000000000013</v>
      </c>
      <c r="AJ384" s="700">
        <f t="shared" si="847"/>
        <v>-36.271000000000043</v>
      </c>
      <c r="AK384" s="523">
        <f t="shared" si="847"/>
        <v>-66.312000000000012</v>
      </c>
      <c r="AL384" s="523">
        <f t="shared" si="847"/>
        <v>-235.76299999999998</v>
      </c>
      <c r="AM384" s="523">
        <f t="shared" si="847"/>
        <v>-25.191000000000003</v>
      </c>
      <c r="AN384" s="523">
        <f t="shared" si="847"/>
        <v>68.085999999999956</v>
      </c>
      <c r="AO384" s="700">
        <f t="shared" si="847"/>
        <v>-259.18</v>
      </c>
      <c r="AP384" s="523">
        <f t="shared" si="847"/>
        <v>31.196999999999999</v>
      </c>
      <c r="AQ384" s="523">
        <f t="shared" si="847"/>
        <v>27.326000000000001</v>
      </c>
      <c r="AR384" s="523">
        <f t="shared" ref="AR384:AW384" si="848">AR383+AR377+AR378</f>
        <v>59.187000000000012</v>
      </c>
      <c r="AS384" s="523">
        <f t="shared" si="848"/>
        <v>44.810999999999993</v>
      </c>
      <c r="AT384" s="700">
        <f t="shared" si="848"/>
        <v>162.52100000000002</v>
      </c>
      <c r="AU384" s="523">
        <f t="shared" si="848"/>
        <v>-8.0790000000000006</v>
      </c>
      <c r="AV384" s="523">
        <f t="shared" si="848"/>
        <v>-2.4179999999999922</v>
      </c>
      <c r="AW384" s="523">
        <f t="shared" si="848"/>
        <v>-4.3610000000000042</v>
      </c>
      <c r="AX384" s="523">
        <f t="shared" ref="AX384:BA384" si="849">AX383+AX377+AX378</f>
        <v>-22.086000000000013</v>
      </c>
      <c r="AY384" s="700">
        <f t="shared" si="849"/>
        <v>-36.944000000000017</v>
      </c>
      <c r="AZ384" s="523">
        <f t="shared" si="849"/>
        <v>-13.725999999999999</v>
      </c>
      <c r="BA384" s="523">
        <f t="shared" si="849"/>
        <v>3.7269999999999897</v>
      </c>
      <c r="BB384" s="523">
        <f t="shared" ref="BB384:BN384" si="850">BB383+BB377+BB378</f>
        <v>5.2720000000000056</v>
      </c>
      <c r="BC384" s="523">
        <f t="shared" si="850"/>
        <v>4.0269999999999939</v>
      </c>
      <c r="BD384" s="700">
        <f t="shared" si="850"/>
        <v>-0.69999999999996021</v>
      </c>
      <c r="BE384" s="523">
        <f t="shared" ref="BE384:BM384" si="851">BE383+BE377+BE378</f>
        <v>-1.6500000000000057</v>
      </c>
      <c r="BF384" s="523">
        <f t="shared" si="851"/>
        <v>2.5930000000000035</v>
      </c>
      <c r="BG384" s="523">
        <f t="shared" si="851"/>
        <v>94.787000000000006</v>
      </c>
      <c r="BH384" s="523">
        <f t="shared" si="851"/>
        <v>40.385999999999996</v>
      </c>
      <c r="BI384" s="700">
        <f t="shared" si="851"/>
        <v>136.11600000000001</v>
      </c>
      <c r="BJ384" s="523">
        <f>BJ383+BJ377+BJ378</f>
        <v>-4.1850000000000023</v>
      </c>
      <c r="BK384" s="523">
        <f>BK383+BK377+BK378</f>
        <v>31.66500000000002</v>
      </c>
      <c r="BL384" s="563">
        <f>BL383+BL377+BL378</f>
        <v>6.9099999999999966</v>
      </c>
      <c r="BM384" s="523" t="e">
        <f t="shared" si="851"/>
        <v>#REF!</v>
      </c>
      <c r="BN384" s="700" t="e">
        <f t="shared" si="850"/>
        <v>#REF!</v>
      </c>
      <c r="BO384" s="523" t="e">
        <f t="shared" ref="BO384:BV384" si="852">BO383+BO377+BO378</f>
        <v>#REF!</v>
      </c>
      <c r="BP384" s="523" t="e">
        <f t="shared" si="852"/>
        <v>#REF!</v>
      </c>
      <c r="BQ384" s="523" t="e">
        <f t="shared" si="852"/>
        <v>#REF!</v>
      </c>
      <c r="BR384" s="523" t="e">
        <f t="shared" si="852"/>
        <v>#REF!</v>
      </c>
      <c r="BS384" s="700" t="e">
        <f t="shared" si="852"/>
        <v>#REF!</v>
      </c>
      <c r="BT384" s="700" t="e">
        <f t="shared" si="852"/>
        <v>#REF!</v>
      </c>
      <c r="BU384" s="700" t="e">
        <f t="shared" si="852"/>
        <v>#REF!</v>
      </c>
      <c r="BV384" s="700" t="e">
        <f t="shared" si="852"/>
        <v>#REF!</v>
      </c>
      <c r="BW384" s="518"/>
    </row>
    <row r="385" spans="1:75" s="439" customFormat="1">
      <c r="A385" s="518" t="s">
        <v>405</v>
      </c>
      <c r="B385" s="53"/>
      <c r="C385" s="89">
        <f t="shared" ref="C385:AH385" si="853">C366+C370</f>
        <v>-2.2529999999999997</v>
      </c>
      <c r="D385" s="89">
        <f t="shared" si="853"/>
        <v>-12.611000000000001</v>
      </c>
      <c r="E385" s="89">
        <f t="shared" si="853"/>
        <v>-7.0539999999999994</v>
      </c>
      <c r="F385" s="89">
        <f t="shared" si="853"/>
        <v>-10.553000000000001</v>
      </c>
      <c r="G385" s="518">
        <f t="shared" si="853"/>
        <v>-2.0859999999999994</v>
      </c>
      <c r="H385" s="518">
        <f t="shared" si="853"/>
        <v>9.4999999999999751E-2</v>
      </c>
      <c r="I385" s="518">
        <f t="shared" si="853"/>
        <v>1.2870000000000008</v>
      </c>
      <c r="J385" s="518">
        <f t="shared" si="853"/>
        <v>1.0370000000000008</v>
      </c>
      <c r="K385" s="89">
        <f t="shared" si="853"/>
        <v>0.33300000000000551</v>
      </c>
      <c r="L385" s="518">
        <f t="shared" si="853"/>
        <v>3.4849999999999994</v>
      </c>
      <c r="M385" s="518">
        <f t="shared" si="853"/>
        <v>4.9650000000000052</v>
      </c>
      <c r="N385" s="518">
        <f t="shared" si="853"/>
        <v>8.5429999999999993</v>
      </c>
      <c r="O385" s="518">
        <f t="shared" si="853"/>
        <v>-1.1879999999999882</v>
      </c>
      <c r="P385" s="89">
        <f t="shared" si="853"/>
        <v>15.805000000000021</v>
      </c>
      <c r="Q385" s="518">
        <f t="shared" si="853"/>
        <v>11.243999999999998</v>
      </c>
      <c r="R385" s="518">
        <f t="shared" si="853"/>
        <v>8.0360000000000014</v>
      </c>
      <c r="S385" s="518">
        <f t="shared" si="853"/>
        <v>-0.41600000000000215</v>
      </c>
      <c r="T385" s="518">
        <f t="shared" si="853"/>
        <v>-5.0099999999999945</v>
      </c>
      <c r="U385" s="89">
        <f t="shared" si="853"/>
        <v>13.854000000000006</v>
      </c>
      <c r="V385" s="518">
        <f t="shared" si="853"/>
        <v>13.108999999999998</v>
      </c>
      <c r="W385" s="518">
        <f t="shared" si="853"/>
        <v>13.808000000000007</v>
      </c>
      <c r="X385" s="518">
        <f t="shared" si="853"/>
        <v>26.296999999999997</v>
      </c>
      <c r="Y385" s="518">
        <f t="shared" si="853"/>
        <v>36.321999999999989</v>
      </c>
      <c r="Z385" s="89">
        <f t="shared" si="853"/>
        <v>89.535999999999973</v>
      </c>
      <c r="AA385" s="518">
        <f t="shared" si="853"/>
        <v>34.575000000000003</v>
      </c>
      <c r="AB385" s="518">
        <f t="shared" si="853"/>
        <v>29.63900000000001</v>
      </c>
      <c r="AC385" s="518">
        <f t="shared" si="853"/>
        <v>43.619</v>
      </c>
      <c r="AD385" s="518">
        <f t="shared" si="853"/>
        <v>29.568999999999992</v>
      </c>
      <c r="AE385" s="89">
        <f t="shared" si="853"/>
        <v>137.40200000000004</v>
      </c>
      <c r="AF385" s="518">
        <f t="shared" si="853"/>
        <v>22.671000000000006</v>
      </c>
      <c r="AG385" s="518">
        <f t="shared" si="853"/>
        <v>13.108999999999991</v>
      </c>
      <c r="AH385" s="518">
        <f t="shared" si="853"/>
        <v>46.398000000000003</v>
      </c>
      <c r="AI385" s="518">
        <f t="shared" ref="AI385:BA385" si="854">AI366+AI370</f>
        <v>33.036999999999992</v>
      </c>
      <c r="AJ385" s="89">
        <f t="shared" si="854"/>
        <v>115.21499999999995</v>
      </c>
      <c r="AK385" s="518">
        <f t="shared" si="854"/>
        <v>32.037999999999997</v>
      </c>
      <c r="AL385" s="518">
        <f t="shared" si="854"/>
        <v>46.593999999999994</v>
      </c>
      <c r="AM385" s="518">
        <f t="shared" si="854"/>
        <v>40.685999999999993</v>
      </c>
      <c r="AN385" s="518">
        <f t="shared" si="854"/>
        <v>47.941999999999993</v>
      </c>
      <c r="AO385" s="89">
        <f t="shared" si="854"/>
        <v>167.26</v>
      </c>
      <c r="AP385" s="518">
        <f t="shared" si="854"/>
        <v>33.732999999999997</v>
      </c>
      <c r="AQ385" s="518">
        <f t="shared" si="854"/>
        <v>6.5120000000000005</v>
      </c>
      <c r="AR385" s="518">
        <f t="shared" si="854"/>
        <v>64.068000000000012</v>
      </c>
      <c r="AS385" s="518">
        <f t="shared" si="854"/>
        <v>34.256999999999984</v>
      </c>
      <c r="AT385" s="89">
        <f t="shared" si="854"/>
        <v>138.57000000000002</v>
      </c>
      <c r="AU385" s="518">
        <f t="shared" si="854"/>
        <v>52.925999999999995</v>
      </c>
      <c r="AV385" s="518">
        <f t="shared" si="854"/>
        <v>42.89500000000001</v>
      </c>
      <c r="AW385" s="518">
        <f t="shared" si="854"/>
        <v>50.314000000000014</v>
      </c>
      <c r="AX385" s="518">
        <f t="shared" si="854"/>
        <v>38.238</v>
      </c>
      <c r="AY385" s="89">
        <f t="shared" si="854"/>
        <v>184.37299999999993</v>
      </c>
      <c r="AZ385" s="518">
        <f t="shared" si="854"/>
        <v>53.267000000000003</v>
      </c>
      <c r="BA385" s="518">
        <f t="shared" si="854"/>
        <v>10.466999999999988</v>
      </c>
      <c r="BB385" s="518">
        <f t="shared" ref="BB385:BD385" si="855">BB366+BB370</f>
        <v>63.997999999999998</v>
      </c>
      <c r="BC385" s="518">
        <f t="shared" si="855"/>
        <v>32.598000000000013</v>
      </c>
      <c r="BD385" s="89">
        <f t="shared" si="855"/>
        <v>160.33000000000004</v>
      </c>
      <c r="BE385" s="518">
        <f t="shared" ref="BE385:BV385" si="856">BE366+BE370</f>
        <v>66.725999999999999</v>
      </c>
      <c r="BF385" s="518">
        <f t="shared" si="856"/>
        <v>40.372000000000007</v>
      </c>
      <c r="BG385" s="518">
        <f t="shared" si="856"/>
        <v>99.162000000000006</v>
      </c>
      <c r="BH385" s="518">
        <f t="shared" si="856"/>
        <v>73.173000000000002</v>
      </c>
      <c r="BI385" s="89">
        <f t="shared" si="856"/>
        <v>279.43299999999999</v>
      </c>
      <c r="BJ385" s="518">
        <f>BJ366+BJ370</f>
        <v>65.867999999999995</v>
      </c>
      <c r="BK385" s="518">
        <f>BK366+BK370</f>
        <v>30.102000000000018</v>
      </c>
      <c r="BL385" s="520">
        <f>BL366+BL370</f>
        <v>92.534999999999997</v>
      </c>
      <c r="BM385" s="518">
        <f t="shared" si="856"/>
        <v>266.17545893072764</v>
      </c>
      <c r="BN385" s="89">
        <f t="shared" si="856"/>
        <v>454.6804589307277</v>
      </c>
      <c r="BO385" s="518">
        <f t="shared" si="856"/>
        <v>-70.564040510271383</v>
      </c>
      <c r="BP385" s="518">
        <f t="shared" si="856"/>
        <v>74.436881380432595</v>
      </c>
      <c r="BQ385" s="518">
        <f t="shared" si="856"/>
        <v>296.67060459211928</v>
      </c>
      <c r="BR385" s="518">
        <f t="shared" si="856"/>
        <v>292.53522694555812</v>
      </c>
      <c r="BS385" s="89">
        <f t="shared" si="856"/>
        <v>593.07867240783855</v>
      </c>
      <c r="BT385" s="89">
        <f t="shared" si="856"/>
        <v>407.69427343453003</v>
      </c>
      <c r="BU385" s="89">
        <f t="shared" si="856"/>
        <v>431.76960348777686</v>
      </c>
      <c r="BV385" s="89">
        <f t="shared" si="856"/>
        <v>377.39368188120045</v>
      </c>
      <c r="BW385" s="518"/>
    </row>
    <row r="386" spans="1:75" s="439" customFormat="1">
      <c r="A386" s="518" t="s">
        <v>406</v>
      </c>
      <c r="B386" s="53"/>
      <c r="C386" s="89">
        <f t="shared" ref="C386:AH386" si="857">C385+C374</f>
        <v>-2.2529999999999997</v>
      </c>
      <c r="D386" s="89">
        <f t="shared" si="857"/>
        <v>-12.611000000000001</v>
      </c>
      <c r="E386" s="89">
        <f t="shared" si="857"/>
        <v>-7.0539999999999994</v>
      </c>
      <c r="F386" s="89">
        <f t="shared" si="857"/>
        <v>-10.553000000000001</v>
      </c>
      <c r="G386" s="518">
        <f t="shared" si="857"/>
        <v>-2.0859999999999994</v>
      </c>
      <c r="H386" s="518">
        <f t="shared" si="857"/>
        <v>9.4999999999999751E-2</v>
      </c>
      <c r="I386" s="518">
        <f t="shared" si="857"/>
        <v>1.2870000000000008</v>
      </c>
      <c r="J386" s="518">
        <f t="shared" si="857"/>
        <v>1.0370000000000008</v>
      </c>
      <c r="K386" s="89">
        <f t="shared" si="857"/>
        <v>0.33300000000000551</v>
      </c>
      <c r="L386" s="518">
        <f t="shared" si="857"/>
        <v>3.4849999999999994</v>
      </c>
      <c r="M386" s="518">
        <f t="shared" si="857"/>
        <v>4.9650000000000052</v>
      </c>
      <c r="N386" s="518">
        <f t="shared" si="857"/>
        <v>8.5429999999999993</v>
      </c>
      <c r="O386" s="518">
        <f t="shared" si="857"/>
        <v>-1.1879999999999882</v>
      </c>
      <c r="P386" s="89">
        <f t="shared" si="857"/>
        <v>15.805000000000021</v>
      </c>
      <c r="Q386" s="518">
        <f t="shared" si="857"/>
        <v>11.243999999999998</v>
      </c>
      <c r="R386" s="518">
        <f t="shared" si="857"/>
        <v>8.0360000000000014</v>
      </c>
      <c r="S386" s="518">
        <f t="shared" si="857"/>
        <v>-0.41600000000000215</v>
      </c>
      <c r="T386" s="518">
        <f t="shared" si="857"/>
        <v>-5.0099999999999945</v>
      </c>
      <c r="U386" s="89">
        <f t="shared" si="857"/>
        <v>13.854000000000006</v>
      </c>
      <c r="V386" s="518">
        <f t="shared" si="857"/>
        <v>13.108999999999998</v>
      </c>
      <c r="W386" s="518">
        <f t="shared" si="857"/>
        <v>13.808000000000007</v>
      </c>
      <c r="X386" s="518">
        <f t="shared" si="857"/>
        <v>26.296999999999997</v>
      </c>
      <c r="Y386" s="518">
        <f t="shared" si="857"/>
        <v>36.321999999999989</v>
      </c>
      <c r="Z386" s="89">
        <f t="shared" si="857"/>
        <v>89.535999999999973</v>
      </c>
      <c r="AA386" s="518">
        <f t="shared" si="857"/>
        <v>34.575000000000003</v>
      </c>
      <c r="AB386" s="518">
        <f t="shared" si="857"/>
        <v>29.63900000000001</v>
      </c>
      <c r="AC386" s="518">
        <f t="shared" si="857"/>
        <v>43.619</v>
      </c>
      <c r="AD386" s="518">
        <f t="shared" si="857"/>
        <v>29.568999999999992</v>
      </c>
      <c r="AE386" s="89">
        <f t="shared" si="857"/>
        <v>137.40200000000004</v>
      </c>
      <c r="AF386" s="518">
        <f t="shared" si="857"/>
        <v>22.671000000000006</v>
      </c>
      <c r="AG386" s="518">
        <f t="shared" si="857"/>
        <v>13.108999999999991</v>
      </c>
      <c r="AH386" s="518">
        <f t="shared" si="857"/>
        <v>46.398000000000003</v>
      </c>
      <c r="AI386" s="518">
        <f t="shared" ref="AI386:BA386" si="858">AI385+AI374</f>
        <v>33.036999999999992</v>
      </c>
      <c r="AJ386" s="89">
        <f t="shared" si="858"/>
        <v>115.21499999999995</v>
      </c>
      <c r="AK386" s="518">
        <f t="shared" si="858"/>
        <v>32.037999999999997</v>
      </c>
      <c r="AL386" s="518">
        <f t="shared" si="858"/>
        <v>46.593999999999994</v>
      </c>
      <c r="AM386" s="518">
        <f t="shared" si="858"/>
        <v>40.685999999999993</v>
      </c>
      <c r="AN386" s="518">
        <f t="shared" si="858"/>
        <v>47.941999999999993</v>
      </c>
      <c r="AO386" s="89">
        <f t="shared" si="858"/>
        <v>167.26</v>
      </c>
      <c r="AP386" s="518">
        <f t="shared" si="858"/>
        <v>33.732999999999997</v>
      </c>
      <c r="AQ386" s="518">
        <f t="shared" si="858"/>
        <v>6.5120000000000005</v>
      </c>
      <c r="AR386" s="518">
        <f t="shared" si="858"/>
        <v>64.068000000000012</v>
      </c>
      <c r="AS386" s="518">
        <f t="shared" si="858"/>
        <v>34.256999999999984</v>
      </c>
      <c r="AT386" s="89">
        <f t="shared" si="858"/>
        <v>138.57000000000002</v>
      </c>
      <c r="AU386" s="518">
        <f t="shared" si="858"/>
        <v>52.925999999999995</v>
      </c>
      <c r="AV386" s="518">
        <f t="shared" si="858"/>
        <v>42.89500000000001</v>
      </c>
      <c r="AW386" s="518">
        <f t="shared" si="858"/>
        <v>50.314000000000014</v>
      </c>
      <c r="AX386" s="518">
        <f t="shared" si="858"/>
        <v>38.238</v>
      </c>
      <c r="AY386" s="89">
        <f t="shared" si="858"/>
        <v>184.37299999999993</v>
      </c>
      <c r="AZ386" s="518">
        <f t="shared" si="858"/>
        <v>53.267000000000003</v>
      </c>
      <c r="BA386" s="518">
        <f t="shared" si="858"/>
        <v>10.466999999999988</v>
      </c>
      <c r="BB386" s="518">
        <f t="shared" ref="BB386:BD386" si="859">BB385+BB374</f>
        <v>63.997999999999998</v>
      </c>
      <c r="BC386" s="518">
        <f t="shared" si="859"/>
        <v>32.598000000000013</v>
      </c>
      <c r="BD386" s="89">
        <f t="shared" si="859"/>
        <v>160.33000000000004</v>
      </c>
      <c r="BE386" s="518">
        <f t="shared" ref="BE386:BV386" si="860">BE385+BE374</f>
        <v>66.725999999999999</v>
      </c>
      <c r="BF386" s="518">
        <f t="shared" si="860"/>
        <v>40.372000000000007</v>
      </c>
      <c r="BG386" s="518">
        <f t="shared" si="860"/>
        <v>99.162000000000006</v>
      </c>
      <c r="BH386" s="518">
        <f t="shared" si="860"/>
        <v>73.173000000000002</v>
      </c>
      <c r="BI386" s="89">
        <f t="shared" si="860"/>
        <v>279.43299999999999</v>
      </c>
      <c r="BJ386" s="518">
        <f>BJ385+BJ374</f>
        <v>65.867999999999995</v>
      </c>
      <c r="BK386" s="518">
        <f>BK385+BK374</f>
        <v>30.102000000000018</v>
      </c>
      <c r="BL386" s="520">
        <f>BL385+BL374</f>
        <v>92.534999999999997</v>
      </c>
      <c r="BM386" s="518" t="e">
        <f t="shared" si="860"/>
        <v>#REF!</v>
      </c>
      <c r="BN386" s="89" t="e">
        <f t="shared" si="860"/>
        <v>#REF!</v>
      </c>
      <c r="BO386" s="518" t="e">
        <f t="shared" si="860"/>
        <v>#REF!</v>
      </c>
      <c r="BP386" s="518" t="e">
        <f t="shared" si="860"/>
        <v>#REF!</v>
      </c>
      <c r="BQ386" s="518" t="e">
        <f t="shared" si="860"/>
        <v>#REF!</v>
      </c>
      <c r="BR386" s="518" t="e">
        <f t="shared" si="860"/>
        <v>#REF!</v>
      </c>
      <c r="BS386" s="89" t="e">
        <f t="shared" si="860"/>
        <v>#REF!</v>
      </c>
      <c r="BT386" s="89" t="e">
        <f t="shared" si="860"/>
        <v>#REF!</v>
      </c>
      <c r="BU386" s="89" t="e">
        <f t="shared" si="860"/>
        <v>#REF!</v>
      </c>
      <c r="BV386" s="89" t="e">
        <f t="shared" si="860"/>
        <v>#REF!</v>
      </c>
      <c r="BW386" s="518"/>
    </row>
    <row r="387" spans="1:75" s="439" customFormat="1">
      <c r="A387" s="518" t="s">
        <v>407</v>
      </c>
      <c r="B387" s="53"/>
      <c r="C387" s="89">
        <f t="shared" ref="C387:AH387" si="861">C386+C372+C373</f>
        <v>-2.2529999999999997</v>
      </c>
      <c r="D387" s="89">
        <f t="shared" si="861"/>
        <v>-12.611000000000001</v>
      </c>
      <c r="E387" s="89">
        <f t="shared" si="861"/>
        <v>-7.0539999999999994</v>
      </c>
      <c r="F387" s="89">
        <f t="shared" si="861"/>
        <v>-34.677999999999997</v>
      </c>
      <c r="G387" s="518">
        <f t="shared" si="861"/>
        <v>-2.0859999999999994</v>
      </c>
      <c r="H387" s="518">
        <f t="shared" si="861"/>
        <v>9.4999999999999751E-2</v>
      </c>
      <c r="I387" s="518">
        <f t="shared" si="861"/>
        <v>-0.76999999999999913</v>
      </c>
      <c r="J387" s="518">
        <f t="shared" si="861"/>
        <v>1.0370000000000008</v>
      </c>
      <c r="K387" s="89">
        <f t="shared" si="861"/>
        <v>-1.7239999999999944</v>
      </c>
      <c r="L387" s="518">
        <f t="shared" si="861"/>
        <v>3.4849999999999994</v>
      </c>
      <c r="M387" s="518">
        <f t="shared" si="861"/>
        <v>4.9790000000000054</v>
      </c>
      <c r="N387" s="518">
        <f t="shared" si="861"/>
        <v>8.5429999999999993</v>
      </c>
      <c r="O387" s="518">
        <f t="shared" si="861"/>
        <v>-15.527999999999988</v>
      </c>
      <c r="P387" s="89">
        <f t="shared" si="861"/>
        <v>1.4790000000000212</v>
      </c>
      <c r="Q387" s="518">
        <f t="shared" si="861"/>
        <v>-60.205000000000005</v>
      </c>
      <c r="R387" s="518">
        <f t="shared" si="861"/>
        <v>6.1720000000000104</v>
      </c>
      <c r="S387" s="518">
        <f t="shared" si="861"/>
        <v>-0.41600000000000215</v>
      </c>
      <c r="T387" s="518">
        <f t="shared" si="861"/>
        <v>-4.9849999999999941</v>
      </c>
      <c r="U387" s="89">
        <f t="shared" si="861"/>
        <v>-59.43399999999999</v>
      </c>
      <c r="V387" s="518">
        <f t="shared" si="861"/>
        <v>13.108999999999998</v>
      </c>
      <c r="W387" s="518">
        <f t="shared" si="861"/>
        <v>13.842000000000008</v>
      </c>
      <c r="X387" s="518">
        <f t="shared" si="861"/>
        <v>26.339999999999996</v>
      </c>
      <c r="Y387" s="518">
        <f t="shared" si="861"/>
        <v>36.332999999999991</v>
      </c>
      <c r="Z387" s="89">
        <f t="shared" si="861"/>
        <v>89.623999999999967</v>
      </c>
      <c r="AA387" s="518">
        <f t="shared" si="861"/>
        <v>3.7420000000000044</v>
      </c>
      <c r="AB387" s="518">
        <f t="shared" si="861"/>
        <v>9.9280000000000115</v>
      </c>
      <c r="AC387" s="518">
        <f t="shared" si="861"/>
        <v>43.619</v>
      </c>
      <c r="AD387" s="518">
        <f t="shared" si="861"/>
        <v>282.23200000000003</v>
      </c>
      <c r="AE387" s="89">
        <f t="shared" si="861"/>
        <v>339.52100000000007</v>
      </c>
      <c r="AF387" s="518">
        <f t="shared" si="861"/>
        <v>22.671000000000006</v>
      </c>
      <c r="AG387" s="518">
        <f t="shared" si="861"/>
        <v>13.108999999999991</v>
      </c>
      <c r="AH387" s="518">
        <f t="shared" si="861"/>
        <v>46.398000000000003</v>
      </c>
      <c r="AI387" s="518">
        <f t="shared" ref="AI387:BA387" si="862">AI386+AI372+AI373</f>
        <v>33.036999999999992</v>
      </c>
      <c r="AJ387" s="89">
        <f t="shared" si="862"/>
        <v>115.21499999999995</v>
      </c>
      <c r="AK387" s="518">
        <f t="shared" si="862"/>
        <v>32.037999999999997</v>
      </c>
      <c r="AL387" s="518">
        <f t="shared" si="862"/>
        <v>46.593999999999994</v>
      </c>
      <c r="AM387" s="518">
        <f t="shared" si="862"/>
        <v>40.685999999999993</v>
      </c>
      <c r="AN387" s="518">
        <f t="shared" si="862"/>
        <v>47.941999999999993</v>
      </c>
      <c r="AO387" s="89">
        <f t="shared" si="862"/>
        <v>167.26</v>
      </c>
      <c r="AP387" s="518">
        <f t="shared" si="862"/>
        <v>33.732999999999997</v>
      </c>
      <c r="AQ387" s="518">
        <f t="shared" si="862"/>
        <v>6.5120000000000005</v>
      </c>
      <c r="AR387" s="518">
        <f t="shared" si="862"/>
        <v>64.068000000000012</v>
      </c>
      <c r="AS387" s="518">
        <f t="shared" si="862"/>
        <v>34.256999999999984</v>
      </c>
      <c r="AT387" s="89">
        <f t="shared" si="862"/>
        <v>138.57000000000002</v>
      </c>
      <c r="AU387" s="518">
        <f t="shared" si="862"/>
        <v>52.925999999999995</v>
      </c>
      <c r="AV387" s="518">
        <f t="shared" si="862"/>
        <v>42.89500000000001</v>
      </c>
      <c r="AW387" s="518">
        <f t="shared" si="862"/>
        <v>50.314000000000014</v>
      </c>
      <c r="AX387" s="518">
        <f t="shared" si="862"/>
        <v>38.238</v>
      </c>
      <c r="AY387" s="89">
        <f t="shared" si="862"/>
        <v>184.37299999999993</v>
      </c>
      <c r="AZ387" s="518">
        <f t="shared" si="862"/>
        <v>53.267000000000003</v>
      </c>
      <c r="BA387" s="518">
        <f t="shared" si="862"/>
        <v>10.466999999999988</v>
      </c>
      <c r="BB387" s="518">
        <f t="shared" ref="BB387:BD387" si="863">BB386+BB372+BB373</f>
        <v>63.997999999999998</v>
      </c>
      <c r="BC387" s="518">
        <f t="shared" si="863"/>
        <v>32.598000000000013</v>
      </c>
      <c r="BD387" s="89">
        <f t="shared" si="863"/>
        <v>160.33000000000004</v>
      </c>
      <c r="BE387" s="518">
        <f t="shared" ref="BE387:BV387" si="864">BE386+BE372+BE373</f>
        <v>66.725999999999999</v>
      </c>
      <c r="BF387" s="518">
        <f t="shared" si="864"/>
        <v>40.372000000000007</v>
      </c>
      <c r="BG387" s="518">
        <f t="shared" si="864"/>
        <v>99.162000000000006</v>
      </c>
      <c r="BH387" s="518">
        <f t="shared" si="864"/>
        <v>73.173000000000002</v>
      </c>
      <c r="BI387" s="89">
        <f t="shared" si="864"/>
        <v>279.43299999999999</v>
      </c>
      <c r="BJ387" s="518">
        <f>BJ386+BJ372+BJ373</f>
        <v>65.867999999999995</v>
      </c>
      <c r="BK387" s="518">
        <f>BK386+BK372+BK373</f>
        <v>30.102000000000018</v>
      </c>
      <c r="BL387" s="520">
        <f>BL386+BL372+BL373</f>
        <v>92.534999999999997</v>
      </c>
      <c r="BM387" s="518" t="e">
        <f t="shared" si="864"/>
        <v>#REF!</v>
      </c>
      <c r="BN387" s="89" t="e">
        <f t="shared" si="864"/>
        <v>#REF!</v>
      </c>
      <c r="BO387" s="518" t="e">
        <f t="shared" si="864"/>
        <v>#REF!</v>
      </c>
      <c r="BP387" s="518" t="e">
        <f t="shared" si="864"/>
        <v>#REF!</v>
      </c>
      <c r="BQ387" s="518" t="e">
        <f t="shared" si="864"/>
        <v>#REF!</v>
      </c>
      <c r="BR387" s="518" t="e">
        <f t="shared" si="864"/>
        <v>#REF!</v>
      </c>
      <c r="BS387" s="89" t="e">
        <f t="shared" si="864"/>
        <v>#REF!</v>
      </c>
      <c r="BT387" s="89" t="e">
        <f t="shared" si="864"/>
        <v>#REF!</v>
      </c>
      <c r="BU387" s="89" t="e">
        <f t="shared" si="864"/>
        <v>#REF!</v>
      </c>
      <c r="BV387" s="89" t="e">
        <f t="shared" si="864"/>
        <v>#REF!</v>
      </c>
      <c r="BW387" s="518"/>
    </row>
    <row r="388" spans="1:75" s="439" customFormat="1">
      <c r="A388" s="523" t="s">
        <v>408</v>
      </c>
      <c r="B388" s="30"/>
      <c r="C388" s="700">
        <f t="shared" ref="C388:AH388" si="865">C387+C377+C378</f>
        <v>-2.1809999999999996</v>
      </c>
      <c r="D388" s="700">
        <f t="shared" si="865"/>
        <v>-12.172000000000001</v>
      </c>
      <c r="E388" s="700">
        <f t="shared" si="865"/>
        <v>-5.4719999999999995</v>
      </c>
      <c r="F388" s="700">
        <f t="shared" si="865"/>
        <v>79.495000000000005</v>
      </c>
      <c r="G388" s="523">
        <f t="shared" si="865"/>
        <v>-0.50999999999999934</v>
      </c>
      <c r="H388" s="523">
        <f t="shared" si="865"/>
        <v>2.9299999999999997</v>
      </c>
      <c r="I388" s="523">
        <f t="shared" si="865"/>
        <v>4.1530000000000005</v>
      </c>
      <c r="J388" s="523">
        <f t="shared" si="865"/>
        <v>283.42299999999994</v>
      </c>
      <c r="K388" s="700">
        <f t="shared" si="865"/>
        <v>289.99599999999998</v>
      </c>
      <c r="L388" s="523">
        <f t="shared" si="865"/>
        <v>9.8979999999999997</v>
      </c>
      <c r="M388" s="523">
        <f t="shared" si="865"/>
        <v>13.312000000000001</v>
      </c>
      <c r="N388" s="523">
        <f t="shared" si="865"/>
        <v>15.064</v>
      </c>
      <c r="O388" s="523">
        <f t="shared" si="865"/>
        <v>-7.2459999999999845</v>
      </c>
      <c r="P388" s="700">
        <f t="shared" si="865"/>
        <v>31.02800000000002</v>
      </c>
      <c r="Q388" s="523">
        <f t="shared" si="865"/>
        <v>-56.160000000000004</v>
      </c>
      <c r="R388" s="523">
        <f t="shared" si="865"/>
        <v>19.278000000000013</v>
      </c>
      <c r="S388" s="523">
        <f t="shared" si="865"/>
        <v>1.1989999999999967</v>
      </c>
      <c r="T388" s="523">
        <f t="shared" si="865"/>
        <v>2.6910000000000069</v>
      </c>
      <c r="U388" s="700">
        <f t="shared" si="865"/>
        <v>-32.99199999999999</v>
      </c>
      <c r="V388" s="523">
        <f t="shared" si="865"/>
        <v>14.153999999999998</v>
      </c>
      <c r="W388" s="523">
        <f t="shared" si="865"/>
        <v>20.652000000000008</v>
      </c>
      <c r="X388" s="523">
        <f t="shared" si="865"/>
        <v>36.539999999999992</v>
      </c>
      <c r="Y388" s="523">
        <f t="shared" si="865"/>
        <v>47.79999999999999</v>
      </c>
      <c r="Z388" s="700">
        <f t="shared" si="865"/>
        <v>119.14599999999996</v>
      </c>
      <c r="AA388" s="523">
        <f t="shared" si="865"/>
        <v>7.0290000000000044</v>
      </c>
      <c r="AB388" s="523">
        <f t="shared" si="865"/>
        <v>25.995000000000012</v>
      </c>
      <c r="AC388" s="523">
        <f t="shared" si="865"/>
        <v>46.078000000000003</v>
      </c>
      <c r="AD388" s="523">
        <f t="shared" si="865"/>
        <v>287.58100000000002</v>
      </c>
      <c r="AE388" s="700">
        <f t="shared" si="865"/>
        <v>366.68300000000011</v>
      </c>
      <c r="AF388" s="523">
        <f t="shared" si="865"/>
        <v>-17.30299999999999</v>
      </c>
      <c r="AG388" s="523">
        <f t="shared" si="865"/>
        <v>-24.438000000000013</v>
      </c>
      <c r="AH388" s="523">
        <f t="shared" si="865"/>
        <v>32.680000000000007</v>
      </c>
      <c r="AI388" s="523">
        <f t="shared" ref="AI388:BA388" si="866">AI387+AI377+AI378</f>
        <v>-83.471000000000018</v>
      </c>
      <c r="AJ388" s="700">
        <f t="shared" si="866"/>
        <v>-92.532000000000068</v>
      </c>
      <c r="AK388" s="523">
        <f t="shared" si="866"/>
        <v>-81.440000000000012</v>
      </c>
      <c r="AL388" s="523">
        <f t="shared" si="866"/>
        <v>-248.94799999999998</v>
      </c>
      <c r="AM388" s="523">
        <f t="shared" si="866"/>
        <v>-42.257999999999996</v>
      </c>
      <c r="AN388" s="523">
        <f t="shared" si="866"/>
        <v>48.386999999999958</v>
      </c>
      <c r="AO388" s="700">
        <f t="shared" si="866"/>
        <v>-324.25900000000001</v>
      </c>
      <c r="AP388" s="523">
        <f t="shared" si="866"/>
        <v>24.803999999999998</v>
      </c>
      <c r="AQ388" s="523">
        <f t="shared" si="866"/>
        <v>13.691999999999998</v>
      </c>
      <c r="AR388" s="523">
        <f t="shared" si="866"/>
        <v>64.88000000000001</v>
      </c>
      <c r="AS388" s="523">
        <f t="shared" si="866"/>
        <v>14.574999999999985</v>
      </c>
      <c r="AT388" s="700">
        <f t="shared" si="866"/>
        <v>117.95100000000002</v>
      </c>
      <c r="AU388" s="523">
        <f t="shared" si="866"/>
        <v>-7.3560000000000016</v>
      </c>
      <c r="AV388" s="523">
        <f t="shared" si="866"/>
        <v>-30.216999999999985</v>
      </c>
      <c r="AW388" s="523">
        <f t="shared" si="866"/>
        <v>-26.496999999999993</v>
      </c>
      <c r="AX388" s="523">
        <f t="shared" si="866"/>
        <v>-52.046000000000006</v>
      </c>
      <c r="AY388" s="700">
        <f t="shared" si="866"/>
        <v>-116.11600000000004</v>
      </c>
      <c r="AZ388" s="523">
        <f t="shared" si="866"/>
        <v>-14.686</v>
      </c>
      <c r="BA388" s="523">
        <f t="shared" si="866"/>
        <v>-42.606000000000009</v>
      </c>
      <c r="BB388" s="523">
        <f t="shared" ref="BB388:BD388" si="867">BB387+BB377+BB378</f>
        <v>2.9999999999999929</v>
      </c>
      <c r="BC388" s="523">
        <f t="shared" si="867"/>
        <v>-22.909999999999989</v>
      </c>
      <c r="BD388" s="700">
        <f t="shared" si="867"/>
        <v>-77.20199999999997</v>
      </c>
      <c r="BE388" s="523">
        <f t="shared" ref="BE388:BV388" si="868">BE387+BE377+BE378</f>
        <v>12.019999999999996</v>
      </c>
      <c r="BF388" s="523">
        <f t="shared" si="868"/>
        <v>-17.027999999999992</v>
      </c>
      <c r="BG388" s="523">
        <f t="shared" si="868"/>
        <v>29.085000000000008</v>
      </c>
      <c r="BH388" s="523">
        <f t="shared" si="868"/>
        <v>9.6869999999999976</v>
      </c>
      <c r="BI388" s="700">
        <f t="shared" si="868"/>
        <v>33.763999999999982</v>
      </c>
      <c r="BJ388" s="523">
        <f>BJ387+BJ377+BJ378</f>
        <v>-17.966000000000008</v>
      </c>
      <c r="BK388" s="523">
        <f>BK387+BK377+BK378</f>
        <v>-36.47499999999998</v>
      </c>
      <c r="BL388" s="563">
        <f>BL387+BL377+BL378</f>
        <v>9.938999999999993</v>
      </c>
      <c r="BM388" s="523" t="e">
        <f t="shared" si="868"/>
        <v>#REF!</v>
      </c>
      <c r="BN388" s="700" t="e">
        <f t="shared" si="868"/>
        <v>#REF!</v>
      </c>
      <c r="BO388" s="523" t="e">
        <f t="shared" si="868"/>
        <v>#REF!</v>
      </c>
      <c r="BP388" s="523" t="e">
        <f t="shared" si="868"/>
        <v>#REF!</v>
      </c>
      <c r="BQ388" s="523" t="e">
        <f t="shared" si="868"/>
        <v>#REF!</v>
      </c>
      <c r="BR388" s="523" t="e">
        <f t="shared" si="868"/>
        <v>#REF!</v>
      </c>
      <c r="BS388" s="700" t="e">
        <f t="shared" si="868"/>
        <v>#REF!</v>
      </c>
      <c r="BT388" s="700" t="e">
        <f t="shared" si="868"/>
        <v>#REF!</v>
      </c>
      <c r="BU388" s="700" t="e">
        <f t="shared" si="868"/>
        <v>#REF!</v>
      </c>
      <c r="BV388" s="700" t="e">
        <f t="shared" si="868"/>
        <v>#REF!</v>
      </c>
      <c r="BW388" s="518"/>
    </row>
    <row r="389" spans="1:75" s="439" customFormat="1">
      <c r="A389" s="518"/>
      <c r="B389" s="53"/>
      <c r="C389" s="89"/>
      <c r="D389" s="89"/>
      <c r="E389" s="89"/>
      <c r="F389" s="89"/>
      <c r="G389" s="518"/>
      <c r="H389" s="518"/>
      <c r="I389" s="518"/>
      <c r="J389" s="518"/>
      <c r="K389" s="89"/>
      <c r="L389" s="518"/>
      <c r="M389" s="518"/>
      <c r="N389" s="518"/>
      <c r="O389" s="518"/>
      <c r="P389" s="89"/>
      <c r="Q389" s="518"/>
      <c r="R389" s="518"/>
      <c r="S389" s="518"/>
      <c r="T389" s="518"/>
      <c r="U389" s="89"/>
      <c r="V389" s="518"/>
      <c r="W389" s="518"/>
      <c r="X389" s="518"/>
      <c r="Y389" s="518"/>
      <c r="Z389" s="89"/>
      <c r="AA389" s="518"/>
      <c r="AB389" s="518"/>
      <c r="AC389" s="518"/>
      <c r="AD389" s="518"/>
      <c r="AE389" s="89"/>
      <c r="AF389" s="518"/>
      <c r="AG389" s="518"/>
      <c r="AH389" s="518"/>
      <c r="AI389" s="518"/>
      <c r="AJ389" s="89"/>
      <c r="AK389" s="518"/>
      <c r="AL389" s="518"/>
      <c r="AM389" s="518"/>
      <c r="AN389" s="518"/>
      <c r="AO389" s="89"/>
      <c r="AP389" s="518"/>
      <c r="AQ389" s="518"/>
      <c r="AR389" s="518"/>
      <c r="AS389" s="518"/>
      <c r="AT389" s="89"/>
      <c r="AU389" s="518"/>
      <c r="AV389" s="518"/>
      <c r="AW389" s="518"/>
      <c r="AX389" s="518"/>
      <c r="AY389" s="89"/>
      <c r="AZ389" s="518"/>
      <c r="BA389" s="518"/>
      <c r="BB389" s="518"/>
      <c r="BC389" s="518"/>
      <c r="BD389" s="89"/>
      <c r="BE389" s="518"/>
      <c r="BF389" s="518"/>
      <c r="BG389" s="518"/>
      <c r="BH389" s="518"/>
      <c r="BI389" s="89"/>
      <c r="BJ389" s="518"/>
      <c r="BK389" s="518"/>
      <c r="BL389" s="520"/>
      <c r="BM389" s="518"/>
      <c r="BN389" s="89"/>
      <c r="BO389" s="518"/>
      <c r="BP389" s="518"/>
      <c r="BQ389" s="518"/>
      <c r="BR389" s="518"/>
      <c r="BS389" s="89"/>
      <c r="BT389" s="89"/>
      <c r="BU389" s="89"/>
      <c r="BV389" s="89"/>
      <c r="BW389" s="519"/>
    </row>
    <row r="390" spans="1:75" s="444" customFormat="1">
      <c r="A390" s="517" t="s">
        <v>409</v>
      </c>
      <c r="B390" s="517"/>
      <c r="C390" s="517"/>
      <c r="D390" s="517"/>
      <c r="E390" s="517"/>
      <c r="F390" s="517"/>
      <c r="G390" s="517"/>
      <c r="H390" s="517"/>
      <c r="I390" s="517"/>
      <c r="J390" s="517"/>
      <c r="K390" s="517"/>
      <c r="L390" s="517"/>
      <c r="M390" s="517"/>
      <c r="N390" s="517"/>
      <c r="O390" s="517"/>
      <c r="P390" s="517"/>
      <c r="Q390" s="517"/>
      <c r="R390" s="517"/>
      <c r="S390" s="517"/>
      <c r="T390" s="517"/>
      <c r="U390" s="517"/>
      <c r="V390" s="517"/>
      <c r="W390" s="517"/>
      <c r="X390" s="517"/>
      <c r="Y390" s="517"/>
      <c r="Z390" s="517"/>
      <c r="AA390" s="517"/>
      <c r="AB390" s="517"/>
      <c r="AC390" s="517"/>
      <c r="AD390" s="517"/>
      <c r="AE390" s="517"/>
      <c r="AF390" s="517"/>
      <c r="AG390" s="517"/>
      <c r="AH390" s="517"/>
      <c r="AI390" s="517"/>
      <c r="AJ390" s="517"/>
      <c r="AK390" s="517"/>
      <c r="AL390" s="517"/>
      <c r="AM390" s="517"/>
      <c r="AN390" s="517"/>
      <c r="AO390" s="517"/>
      <c r="AP390" s="517"/>
      <c r="AQ390" s="517"/>
      <c r="AR390" s="517"/>
      <c r="AS390" s="517"/>
      <c r="AT390" s="517"/>
      <c r="AU390" s="517"/>
      <c r="AV390" s="517"/>
      <c r="AW390" s="517"/>
      <c r="AX390" s="517"/>
      <c r="AY390" s="517"/>
      <c r="AZ390" s="517"/>
      <c r="BA390" s="517"/>
      <c r="BB390" s="517"/>
      <c r="BC390" s="517"/>
      <c r="BD390" s="517"/>
      <c r="BE390" s="517"/>
      <c r="BF390" s="517"/>
      <c r="BG390" s="517"/>
      <c r="BH390" s="517"/>
      <c r="BI390" s="517"/>
      <c r="BJ390" s="517"/>
      <c r="BK390" s="517"/>
      <c r="BL390" s="562"/>
      <c r="BM390" s="517"/>
      <c r="BN390" s="517"/>
      <c r="BO390" s="517"/>
      <c r="BP390" s="517"/>
      <c r="BQ390" s="517"/>
      <c r="BR390" s="517"/>
      <c r="BS390" s="517"/>
      <c r="BT390" s="517"/>
      <c r="BU390" s="517"/>
      <c r="BV390" s="517"/>
      <c r="BW390" s="318"/>
    </row>
    <row r="391" spans="1:75" s="439" customFormat="1">
      <c r="A391" s="518" t="s">
        <v>68</v>
      </c>
      <c r="B391" s="53"/>
      <c r="C391" s="89">
        <f t="shared" ref="C391:AH391" si="869">C604+C605+C607+C613+C618</f>
        <v>15.074</v>
      </c>
      <c r="D391" s="89">
        <f t="shared" si="869"/>
        <v>27.074000000000002</v>
      </c>
      <c r="E391" s="89">
        <f t="shared" si="869"/>
        <v>22.100999999999999</v>
      </c>
      <c r="F391" s="89">
        <f t="shared" si="869"/>
        <v>101.524</v>
      </c>
      <c r="G391" s="518">
        <f t="shared" si="869"/>
        <v>100.83</v>
      </c>
      <c r="H391" s="518">
        <f t="shared" si="869"/>
        <v>104.89700000000001</v>
      </c>
      <c r="I391" s="518">
        <f t="shared" si="869"/>
        <v>109.38200000000001</v>
      </c>
      <c r="J391" s="518">
        <f t="shared" si="869"/>
        <v>393.01100000000002</v>
      </c>
      <c r="K391" s="89">
        <f t="shared" si="869"/>
        <v>393.01100000000002</v>
      </c>
      <c r="L391" s="518">
        <f t="shared" si="869"/>
        <v>402.97499999999997</v>
      </c>
      <c r="M391" s="518">
        <f t="shared" si="869"/>
        <v>416.20300000000009</v>
      </c>
      <c r="N391" s="518">
        <f t="shared" si="869"/>
        <v>430.70099999999996</v>
      </c>
      <c r="O391" s="518">
        <f t="shared" si="869"/>
        <v>422.36500000000001</v>
      </c>
      <c r="P391" s="89">
        <f t="shared" si="869"/>
        <v>422.36500000000001</v>
      </c>
      <c r="Q391" s="518">
        <f t="shared" si="869"/>
        <v>365.62599999999998</v>
      </c>
      <c r="R391" s="518">
        <f t="shared" si="869"/>
        <v>384.41800000000006</v>
      </c>
      <c r="S391" s="518">
        <f t="shared" si="869"/>
        <v>385.19199999999995</v>
      </c>
      <c r="T391" s="518">
        <f t="shared" si="869"/>
        <v>387.31299999999999</v>
      </c>
      <c r="U391" s="89">
        <f t="shared" si="869"/>
        <v>387.31299999999999</v>
      </c>
      <c r="V391" s="518">
        <f t="shared" si="869"/>
        <v>401.03499999999997</v>
      </c>
      <c r="W391" s="518">
        <f t="shared" si="869"/>
        <v>421.40699999999998</v>
      </c>
      <c r="X391" s="518">
        <f t="shared" si="869"/>
        <v>449.60599999999994</v>
      </c>
      <c r="Y391" s="518">
        <f t="shared" si="869"/>
        <v>496.85</v>
      </c>
      <c r="Z391" s="89">
        <f t="shared" si="869"/>
        <v>496.85</v>
      </c>
      <c r="AA391" s="518">
        <f t="shared" si="869"/>
        <v>503.94</v>
      </c>
      <c r="AB391" s="518">
        <f t="shared" si="869"/>
        <v>530.33400000000006</v>
      </c>
      <c r="AC391" s="518">
        <f t="shared" si="869"/>
        <v>576.76400000000001</v>
      </c>
      <c r="AD391" s="518">
        <f t="shared" si="869"/>
        <v>864.80200000000002</v>
      </c>
      <c r="AE391" s="89">
        <f t="shared" si="869"/>
        <v>864.80200000000002</v>
      </c>
      <c r="AF391" s="518">
        <f t="shared" si="869"/>
        <v>848.31599999999992</v>
      </c>
      <c r="AG391" s="518">
        <f t="shared" si="869"/>
        <v>825.52800000000013</v>
      </c>
      <c r="AH391" s="518">
        <f t="shared" si="869"/>
        <v>859.61800000000005</v>
      </c>
      <c r="AI391" s="518">
        <f t="shared" ref="AI391:AQ391" si="870">AI604+AI605+AI607+AI613+AI618</f>
        <v>777.93100000000004</v>
      </c>
      <c r="AJ391" s="89">
        <f t="shared" si="870"/>
        <v>777.93100000000004</v>
      </c>
      <c r="AK391" s="518">
        <f t="shared" si="870"/>
        <v>698.25999999999988</v>
      </c>
      <c r="AL391" s="518">
        <f t="shared" si="870"/>
        <v>479.67900000000003</v>
      </c>
      <c r="AM391" s="518">
        <f t="shared" si="870"/>
        <v>438.90699999999998</v>
      </c>
      <c r="AN391" s="518">
        <f t="shared" si="870"/>
        <v>487.81700000000001</v>
      </c>
      <c r="AO391" s="89">
        <f t="shared" si="870"/>
        <v>487.81700000000001</v>
      </c>
      <c r="AP391" s="518">
        <f t="shared" si="870"/>
        <v>513.02600000000007</v>
      </c>
      <c r="AQ391" s="518">
        <f t="shared" si="870"/>
        <v>526.60299999999995</v>
      </c>
      <c r="AR391" s="518">
        <f t="shared" ref="AR391:AW391" si="871">AR604+AR605+AR607+AR613+AR618</f>
        <v>591.61500000000001</v>
      </c>
      <c r="AS391" s="518">
        <f t="shared" si="871"/>
        <v>596.54</v>
      </c>
      <c r="AT391" s="89">
        <f t="shared" si="871"/>
        <v>596.54</v>
      </c>
      <c r="AU391" s="518">
        <f t="shared" si="871"/>
        <v>589.28099999999995</v>
      </c>
      <c r="AV391" s="518">
        <f t="shared" si="871"/>
        <v>559.25400000000002</v>
      </c>
      <c r="AW391" s="518">
        <f t="shared" si="871"/>
        <v>532.67399999999998</v>
      </c>
      <c r="AX391" s="518">
        <f t="shared" ref="AX391:BA391" si="872">AX604+AX605+AX607+AX613+AX618</f>
        <v>480.64100000000002</v>
      </c>
      <c r="AY391" s="89">
        <f t="shared" si="872"/>
        <v>480.64100000000002</v>
      </c>
      <c r="AZ391" s="518">
        <f t="shared" si="872"/>
        <v>465.91499999999996</v>
      </c>
      <c r="BA391" s="518">
        <f t="shared" si="872"/>
        <v>422.214</v>
      </c>
      <c r="BB391" s="518">
        <f t="shared" ref="BB391:BN391" si="873">BB604+BB605+BB607+BB613+BB618</f>
        <v>422.98700000000002</v>
      </c>
      <c r="BC391" s="518">
        <f t="shared" si="873"/>
        <v>401.38200000000006</v>
      </c>
      <c r="BD391" s="89">
        <f t="shared" si="873"/>
        <v>401.38200000000006</v>
      </c>
      <c r="BE391" s="518">
        <f t="shared" ref="BE391:BM391" si="874">BE604+BE605+BE607+BE613+BE618</f>
        <v>414.738</v>
      </c>
      <c r="BF391" s="518">
        <f t="shared" si="874"/>
        <v>397.68299999999994</v>
      </c>
      <c r="BG391" s="518">
        <f t="shared" si="874"/>
        <v>426.92200000000003</v>
      </c>
      <c r="BH391" s="518">
        <f t="shared" si="874"/>
        <v>441.48700000000002</v>
      </c>
      <c r="BI391" s="89">
        <f t="shared" si="874"/>
        <v>441.48700000000002</v>
      </c>
      <c r="BJ391" s="518">
        <f>BJ604+BJ605+BJ607+BJ613+BJ618</f>
        <v>420.88499999999999</v>
      </c>
      <c r="BK391" s="518">
        <f>BK604+BK605+BK607+BK613+BK618</f>
        <v>385.17</v>
      </c>
      <c r="BL391" s="520">
        <f>BL604+BL605+BL607+BL613+BL618</f>
        <v>397.40300000000002</v>
      </c>
      <c r="BM391" s="518" t="e">
        <f t="shared" si="874"/>
        <v>#REF!</v>
      </c>
      <c r="BN391" s="89" t="e">
        <f t="shared" si="873"/>
        <v>#REF!</v>
      </c>
      <c r="BO391" s="518" t="e">
        <f t="shared" ref="BO391:BV391" si="875">BO604+BO605+BO607+BO613+BO618</f>
        <v>#REF!</v>
      </c>
      <c r="BP391" s="518" t="e">
        <f t="shared" si="875"/>
        <v>#REF!</v>
      </c>
      <c r="BQ391" s="518" t="e">
        <f t="shared" si="875"/>
        <v>#REF!</v>
      </c>
      <c r="BR391" s="518" t="e">
        <f t="shared" si="875"/>
        <v>#REF!</v>
      </c>
      <c r="BS391" s="89" t="e">
        <f t="shared" si="875"/>
        <v>#REF!</v>
      </c>
      <c r="BT391" s="89" t="e">
        <f t="shared" si="875"/>
        <v>#REF!</v>
      </c>
      <c r="BU391" s="89" t="e">
        <f t="shared" si="875"/>
        <v>#REF!</v>
      </c>
      <c r="BV391" s="89" t="e">
        <f t="shared" si="875"/>
        <v>#REF!</v>
      </c>
      <c r="BW391" s="519"/>
    </row>
    <row r="392" spans="1:75" s="439" customFormat="1">
      <c r="A392" s="31" t="s">
        <v>410</v>
      </c>
      <c r="B392" s="53"/>
      <c r="C392" s="89">
        <f t="shared" ref="C392:AQ392" si="876">C624</f>
        <v>0</v>
      </c>
      <c r="D392" s="89">
        <f t="shared" si="876"/>
        <v>0</v>
      </c>
      <c r="E392" s="89">
        <f t="shared" si="876"/>
        <v>0</v>
      </c>
      <c r="F392" s="89">
        <f t="shared" si="876"/>
        <v>0</v>
      </c>
      <c r="G392" s="518">
        <f t="shared" si="876"/>
        <v>0</v>
      </c>
      <c r="H392" s="518">
        <f t="shared" si="876"/>
        <v>0</v>
      </c>
      <c r="I392" s="518">
        <f t="shared" si="876"/>
        <v>0</v>
      </c>
      <c r="J392" s="518">
        <f t="shared" si="876"/>
        <v>0</v>
      </c>
      <c r="K392" s="89">
        <f t="shared" si="876"/>
        <v>0</v>
      </c>
      <c r="L392" s="518">
        <f t="shared" si="876"/>
        <v>0</v>
      </c>
      <c r="M392" s="518">
        <f t="shared" si="876"/>
        <v>0</v>
      </c>
      <c r="N392" s="518">
        <f t="shared" si="876"/>
        <v>0</v>
      </c>
      <c r="O392" s="518">
        <f t="shared" si="876"/>
        <v>0</v>
      </c>
      <c r="P392" s="89">
        <f t="shared" si="876"/>
        <v>0</v>
      </c>
      <c r="Q392" s="518">
        <f t="shared" si="876"/>
        <v>0</v>
      </c>
      <c r="R392" s="518">
        <f t="shared" si="876"/>
        <v>0</v>
      </c>
      <c r="S392" s="518">
        <f t="shared" si="876"/>
        <v>0</v>
      </c>
      <c r="T392" s="518">
        <f t="shared" si="876"/>
        <v>0</v>
      </c>
      <c r="U392" s="89">
        <f t="shared" si="876"/>
        <v>0</v>
      </c>
      <c r="V392" s="518">
        <f t="shared" si="876"/>
        <v>0</v>
      </c>
      <c r="W392" s="518">
        <f t="shared" si="876"/>
        <v>0</v>
      </c>
      <c r="X392" s="518">
        <f t="shared" si="876"/>
        <v>0</v>
      </c>
      <c r="Y392" s="518">
        <f t="shared" si="876"/>
        <v>0</v>
      </c>
      <c r="Z392" s="89">
        <f t="shared" si="876"/>
        <v>0</v>
      </c>
      <c r="AA392" s="518">
        <f t="shared" si="876"/>
        <v>0</v>
      </c>
      <c r="AB392" s="518">
        <f t="shared" si="876"/>
        <v>0</v>
      </c>
      <c r="AC392" s="518">
        <f t="shared" si="876"/>
        <v>0</v>
      </c>
      <c r="AD392" s="518">
        <f t="shared" si="876"/>
        <v>0</v>
      </c>
      <c r="AE392" s="89">
        <f t="shared" si="876"/>
        <v>0</v>
      </c>
      <c r="AF392" s="518">
        <f t="shared" si="876"/>
        <v>0</v>
      </c>
      <c r="AG392" s="518">
        <f t="shared" si="876"/>
        <v>0</v>
      </c>
      <c r="AH392" s="518">
        <f t="shared" si="876"/>
        <v>0</v>
      </c>
      <c r="AI392" s="518">
        <f t="shared" si="876"/>
        <v>0</v>
      </c>
      <c r="AJ392" s="89">
        <f t="shared" si="876"/>
        <v>0</v>
      </c>
      <c r="AK392" s="518">
        <f t="shared" si="876"/>
        <v>0</v>
      </c>
      <c r="AL392" s="518">
        <f t="shared" si="876"/>
        <v>0</v>
      </c>
      <c r="AM392" s="518">
        <f t="shared" si="876"/>
        <v>0</v>
      </c>
      <c r="AN392" s="518">
        <f t="shared" si="876"/>
        <v>0</v>
      </c>
      <c r="AO392" s="89">
        <f t="shared" si="876"/>
        <v>0</v>
      </c>
      <c r="AP392" s="518">
        <f t="shared" si="876"/>
        <v>0</v>
      </c>
      <c r="AQ392" s="518">
        <f t="shared" si="876"/>
        <v>0</v>
      </c>
      <c r="AR392" s="518">
        <f t="shared" ref="AR392:AW392" si="877">AR624</f>
        <v>0</v>
      </c>
      <c r="AS392" s="518">
        <f t="shared" si="877"/>
        <v>0</v>
      </c>
      <c r="AT392" s="89">
        <f t="shared" si="877"/>
        <v>0</v>
      </c>
      <c r="AU392" s="518">
        <f t="shared" si="877"/>
        <v>0</v>
      </c>
      <c r="AV392" s="518">
        <f t="shared" si="877"/>
        <v>0</v>
      </c>
      <c r="AW392" s="518">
        <f t="shared" si="877"/>
        <v>0</v>
      </c>
      <c r="AX392" s="518">
        <f t="shared" ref="AX392:BD392" si="878">AX624</f>
        <v>0</v>
      </c>
      <c r="AY392" s="89">
        <f t="shared" si="878"/>
        <v>0</v>
      </c>
      <c r="AZ392" s="518">
        <f t="shared" si="878"/>
        <v>0</v>
      </c>
      <c r="BA392" s="518">
        <f t="shared" si="878"/>
        <v>0</v>
      </c>
      <c r="BB392" s="518">
        <f t="shared" si="878"/>
        <v>0</v>
      </c>
      <c r="BC392" s="518">
        <f t="shared" si="878"/>
        <v>0</v>
      </c>
      <c r="BD392" s="89">
        <f t="shared" si="878"/>
        <v>0</v>
      </c>
      <c r="BE392" s="518">
        <f t="shared" ref="BE392:BJ392" si="879">BE624</f>
        <v>0</v>
      </c>
      <c r="BF392" s="518">
        <f t="shared" si="879"/>
        <v>0</v>
      </c>
      <c r="BG392" s="518">
        <f t="shared" si="879"/>
        <v>0</v>
      </c>
      <c r="BH392" s="518">
        <f t="shared" si="879"/>
        <v>0</v>
      </c>
      <c r="BI392" s="89">
        <f t="shared" si="879"/>
        <v>0</v>
      </c>
      <c r="BJ392" s="518">
        <f t="shared" si="879"/>
        <v>0</v>
      </c>
      <c r="BK392" s="518">
        <f>BK624</f>
        <v>0</v>
      </c>
      <c r="BL392" s="520">
        <f>BL624</f>
        <v>0</v>
      </c>
      <c r="BM392" s="518">
        <f>BM394-BM393</f>
        <v>0</v>
      </c>
      <c r="BN392" s="89">
        <f>BN624</f>
        <v>0</v>
      </c>
      <c r="BO392" s="518">
        <f>BO394-BO393</f>
        <v>0</v>
      </c>
      <c r="BP392" s="518">
        <f>BP394-BP393</f>
        <v>0</v>
      </c>
      <c r="BQ392" s="518">
        <f>BQ394-BQ393</f>
        <v>0</v>
      </c>
      <c r="BR392" s="518">
        <f>BR394-BR393</f>
        <v>0</v>
      </c>
      <c r="BS392" s="89">
        <f>BS624</f>
        <v>0</v>
      </c>
      <c r="BT392" s="89">
        <f>BT394-BT393</f>
        <v>0</v>
      </c>
      <c r="BU392" s="89">
        <f>BU394-BU393</f>
        <v>0</v>
      </c>
      <c r="BV392" s="89">
        <f>BV394-BV393</f>
        <v>0</v>
      </c>
      <c r="BW392" s="519"/>
    </row>
    <row r="393" spans="1:75" s="439" customFormat="1">
      <c r="A393" s="214" t="s">
        <v>411</v>
      </c>
      <c r="B393" s="215"/>
      <c r="C393" s="761">
        <f t="shared" ref="C393:AQ393" si="880">C635</f>
        <v>0</v>
      </c>
      <c r="D393" s="761">
        <f t="shared" si="880"/>
        <v>0</v>
      </c>
      <c r="E393" s="761">
        <f t="shared" si="880"/>
        <v>0</v>
      </c>
      <c r="F393" s="761">
        <f t="shared" si="880"/>
        <v>0</v>
      </c>
      <c r="G393" s="579">
        <f t="shared" si="880"/>
        <v>0</v>
      </c>
      <c r="H393" s="579">
        <f t="shared" si="880"/>
        <v>0</v>
      </c>
      <c r="I393" s="579">
        <f t="shared" si="880"/>
        <v>0</v>
      </c>
      <c r="J393" s="579">
        <f t="shared" si="880"/>
        <v>0</v>
      </c>
      <c r="K393" s="761">
        <f t="shared" si="880"/>
        <v>0</v>
      </c>
      <c r="L393" s="579">
        <f t="shared" si="880"/>
        <v>0</v>
      </c>
      <c r="M393" s="579">
        <f t="shared" si="880"/>
        <v>0</v>
      </c>
      <c r="N393" s="579">
        <f t="shared" si="880"/>
        <v>0</v>
      </c>
      <c r="O393" s="579">
        <f t="shared" si="880"/>
        <v>0</v>
      </c>
      <c r="P393" s="761">
        <f t="shared" si="880"/>
        <v>0</v>
      </c>
      <c r="Q393" s="579">
        <f t="shared" si="880"/>
        <v>0</v>
      </c>
      <c r="R393" s="579">
        <f t="shared" si="880"/>
        <v>0</v>
      </c>
      <c r="S393" s="579">
        <f t="shared" si="880"/>
        <v>0</v>
      </c>
      <c r="T393" s="579">
        <f t="shared" si="880"/>
        <v>0</v>
      </c>
      <c r="U393" s="761">
        <f t="shared" si="880"/>
        <v>0</v>
      </c>
      <c r="V393" s="579">
        <f t="shared" si="880"/>
        <v>0</v>
      </c>
      <c r="W393" s="579">
        <f t="shared" si="880"/>
        <v>0</v>
      </c>
      <c r="X393" s="579">
        <f t="shared" si="880"/>
        <v>0</v>
      </c>
      <c r="Y393" s="579">
        <f t="shared" si="880"/>
        <v>0</v>
      </c>
      <c r="Z393" s="761">
        <f t="shared" si="880"/>
        <v>0</v>
      </c>
      <c r="AA393" s="579">
        <f t="shared" si="880"/>
        <v>0</v>
      </c>
      <c r="AB393" s="579">
        <f t="shared" si="880"/>
        <v>0</v>
      </c>
      <c r="AC393" s="579">
        <f t="shared" si="880"/>
        <v>0</v>
      </c>
      <c r="AD393" s="579">
        <f t="shared" si="880"/>
        <v>0</v>
      </c>
      <c r="AE393" s="761">
        <f t="shared" si="880"/>
        <v>0</v>
      </c>
      <c r="AF393" s="579">
        <f t="shared" si="880"/>
        <v>0</v>
      </c>
      <c r="AG393" s="579">
        <f t="shared" si="880"/>
        <v>0</v>
      </c>
      <c r="AH393" s="579">
        <f t="shared" si="880"/>
        <v>0</v>
      </c>
      <c r="AI393" s="579">
        <f t="shared" si="880"/>
        <v>0</v>
      </c>
      <c r="AJ393" s="761">
        <f t="shared" si="880"/>
        <v>0</v>
      </c>
      <c r="AK393" s="579">
        <f t="shared" si="880"/>
        <v>0</v>
      </c>
      <c r="AL393" s="579">
        <f t="shared" si="880"/>
        <v>0</v>
      </c>
      <c r="AM393" s="579">
        <f t="shared" si="880"/>
        <v>0</v>
      </c>
      <c r="AN393" s="579">
        <f t="shared" si="880"/>
        <v>0</v>
      </c>
      <c r="AO393" s="761">
        <f t="shared" si="880"/>
        <v>0</v>
      </c>
      <c r="AP393" s="579">
        <f t="shared" si="880"/>
        <v>0</v>
      </c>
      <c r="AQ393" s="579">
        <f t="shared" si="880"/>
        <v>0</v>
      </c>
      <c r="AR393" s="579">
        <f t="shared" ref="AR393:AW393" si="881">AR635</f>
        <v>0</v>
      </c>
      <c r="AS393" s="579">
        <f t="shared" si="881"/>
        <v>0</v>
      </c>
      <c r="AT393" s="761">
        <f t="shared" si="881"/>
        <v>0</v>
      </c>
      <c r="AU393" s="579">
        <f t="shared" si="881"/>
        <v>0</v>
      </c>
      <c r="AV393" s="579">
        <f t="shared" si="881"/>
        <v>0</v>
      </c>
      <c r="AW393" s="579">
        <f t="shared" si="881"/>
        <v>0</v>
      </c>
      <c r="AX393" s="579">
        <f t="shared" ref="AX393:BD393" si="882">AX635</f>
        <v>0</v>
      </c>
      <c r="AY393" s="761">
        <f t="shared" si="882"/>
        <v>0</v>
      </c>
      <c r="AZ393" s="579">
        <f t="shared" si="882"/>
        <v>0</v>
      </c>
      <c r="BA393" s="579">
        <f t="shared" si="882"/>
        <v>0</v>
      </c>
      <c r="BB393" s="579">
        <f t="shared" si="882"/>
        <v>0</v>
      </c>
      <c r="BC393" s="579">
        <f t="shared" si="882"/>
        <v>0</v>
      </c>
      <c r="BD393" s="761">
        <f t="shared" si="882"/>
        <v>0</v>
      </c>
      <c r="BE393" s="579">
        <f t="shared" ref="BE393:BJ393" si="883">BE635</f>
        <v>0</v>
      </c>
      <c r="BF393" s="579">
        <f t="shared" si="883"/>
        <v>0</v>
      </c>
      <c r="BG393" s="579">
        <f t="shared" si="883"/>
        <v>0</v>
      </c>
      <c r="BH393" s="579">
        <f t="shared" si="883"/>
        <v>0</v>
      </c>
      <c r="BI393" s="761">
        <f t="shared" si="883"/>
        <v>0</v>
      </c>
      <c r="BJ393" s="579">
        <f t="shared" si="883"/>
        <v>0</v>
      </c>
      <c r="BK393" s="579">
        <f>BK635</f>
        <v>0</v>
      </c>
      <c r="BL393" s="580">
        <f>BL635</f>
        <v>0</v>
      </c>
      <c r="BM393" s="579">
        <f>MAX(0,BL393+BM377)</f>
        <v>0</v>
      </c>
      <c r="BN393" s="761">
        <f>BN635</f>
        <v>0</v>
      </c>
      <c r="BO393" s="579">
        <f>MAX(0,BN393+BO377)</f>
        <v>0</v>
      </c>
      <c r="BP393" s="579">
        <f>MAX(0,BO393+BP377)</f>
        <v>0</v>
      </c>
      <c r="BQ393" s="579">
        <f>MAX(0,BP393+BQ377)</f>
        <v>0</v>
      </c>
      <c r="BR393" s="579">
        <f>MAX(0,BQ393+BR377)</f>
        <v>0</v>
      </c>
      <c r="BS393" s="761">
        <f>BS635</f>
        <v>0</v>
      </c>
      <c r="BT393" s="761">
        <f>MAX(0,BS393+BT377)</f>
        <v>0</v>
      </c>
      <c r="BU393" s="761">
        <f>MAX(0,BT393+BU377)</f>
        <v>0</v>
      </c>
      <c r="BV393" s="761">
        <f>MAX(0,BU393+BV377)</f>
        <v>0</v>
      </c>
      <c r="BW393" s="519"/>
    </row>
    <row r="394" spans="1:75" s="439" customFormat="1">
      <c r="A394" s="518" t="s">
        <v>70</v>
      </c>
      <c r="B394" s="53"/>
      <c r="C394" s="89">
        <f t="shared" ref="C394:AQ394" si="884">C624+C635</f>
        <v>0</v>
      </c>
      <c r="D394" s="89">
        <f t="shared" si="884"/>
        <v>0</v>
      </c>
      <c r="E394" s="89">
        <f t="shared" si="884"/>
        <v>0</v>
      </c>
      <c r="F394" s="89">
        <f t="shared" si="884"/>
        <v>0</v>
      </c>
      <c r="G394" s="518">
        <f t="shared" si="884"/>
        <v>0</v>
      </c>
      <c r="H394" s="518">
        <f t="shared" si="884"/>
        <v>0</v>
      </c>
      <c r="I394" s="518">
        <f t="shared" si="884"/>
        <v>0</v>
      </c>
      <c r="J394" s="518">
        <f t="shared" si="884"/>
        <v>0</v>
      </c>
      <c r="K394" s="89">
        <f t="shared" si="884"/>
        <v>0</v>
      </c>
      <c r="L394" s="518">
        <f t="shared" si="884"/>
        <v>0</v>
      </c>
      <c r="M394" s="518">
        <f t="shared" si="884"/>
        <v>0</v>
      </c>
      <c r="N394" s="518">
        <f t="shared" si="884"/>
        <v>0</v>
      </c>
      <c r="O394" s="518">
        <f t="shared" si="884"/>
        <v>0</v>
      </c>
      <c r="P394" s="89">
        <f t="shared" si="884"/>
        <v>0</v>
      </c>
      <c r="Q394" s="518">
        <f t="shared" si="884"/>
        <v>0</v>
      </c>
      <c r="R394" s="518">
        <f t="shared" si="884"/>
        <v>0</v>
      </c>
      <c r="S394" s="518">
        <f t="shared" si="884"/>
        <v>0</v>
      </c>
      <c r="T394" s="518">
        <f t="shared" si="884"/>
        <v>0</v>
      </c>
      <c r="U394" s="89">
        <f t="shared" si="884"/>
        <v>0</v>
      </c>
      <c r="V394" s="518">
        <f t="shared" si="884"/>
        <v>0</v>
      </c>
      <c r="W394" s="518">
        <f t="shared" si="884"/>
        <v>0</v>
      </c>
      <c r="X394" s="518">
        <f t="shared" si="884"/>
        <v>0</v>
      </c>
      <c r="Y394" s="518">
        <f t="shared" si="884"/>
        <v>0</v>
      </c>
      <c r="Z394" s="89">
        <f t="shared" si="884"/>
        <v>0</v>
      </c>
      <c r="AA394" s="518">
        <f t="shared" si="884"/>
        <v>0</v>
      </c>
      <c r="AB394" s="518">
        <f t="shared" si="884"/>
        <v>0</v>
      </c>
      <c r="AC394" s="518">
        <f t="shared" si="884"/>
        <v>0</v>
      </c>
      <c r="AD394" s="518">
        <f t="shared" si="884"/>
        <v>0</v>
      </c>
      <c r="AE394" s="89">
        <f t="shared" si="884"/>
        <v>0</v>
      </c>
      <c r="AF394" s="518">
        <f t="shared" si="884"/>
        <v>0</v>
      </c>
      <c r="AG394" s="518">
        <f t="shared" si="884"/>
        <v>0</v>
      </c>
      <c r="AH394" s="518">
        <f t="shared" si="884"/>
        <v>0</v>
      </c>
      <c r="AI394" s="518">
        <f t="shared" si="884"/>
        <v>0</v>
      </c>
      <c r="AJ394" s="89">
        <f t="shared" si="884"/>
        <v>0</v>
      </c>
      <c r="AK394" s="518">
        <f t="shared" si="884"/>
        <v>0</v>
      </c>
      <c r="AL394" s="518">
        <f t="shared" si="884"/>
        <v>0</v>
      </c>
      <c r="AM394" s="518">
        <f t="shared" si="884"/>
        <v>0</v>
      </c>
      <c r="AN394" s="518">
        <f t="shared" si="884"/>
        <v>0</v>
      </c>
      <c r="AO394" s="89">
        <f t="shared" si="884"/>
        <v>0</v>
      </c>
      <c r="AP394" s="518">
        <f t="shared" si="884"/>
        <v>0</v>
      </c>
      <c r="AQ394" s="518">
        <f t="shared" si="884"/>
        <v>0</v>
      </c>
      <c r="AR394" s="518">
        <f t="shared" ref="AR394:AW394" si="885">AR624+AR635</f>
        <v>0</v>
      </c>
      <c r="AS394" s="518">
        <f t="shared" si="885"/>
        <v>0</v>
      </c>
      <c r="AT394" s="89">
        <f t="shared" si="885"/>
        <v>0</v>
      </c>
      <c r="AU394" s="518">
        <f t="shared" si="885"/>
        <v>0</v>
      </c>
      <c r="AV394" s="518">
        <f t="shared" si="885"/>
        <v>0</v>
      </c>
      <c r="AW394" s="518">
        <f t="shared" si="885"/>
        <v>0</v>
      </c>
      <c r="AX394" s="518">
        <f t="shared" ref="AX394:BD394" si="886">AX624+AX635</f>
        <v>0</v>
      </c>
      <c r="AY394" s="89">
        <f t="shared" si="886"/>
        <v>0</v>
      </c>
      <c r="AZ394" s="518">
        <f t="shared" si="886"/>
        <v>0</v>
      </c>
      <c r="BA394" s="518">
        <f t="shared" si="886"/>
        <v>0</v>
      </c>
      <c r="BB394" s="518">
        <f t="shared" si="886"/>
        <v>0</v>
      </c>
      <c r="BC394" s="518">
        <f t="shared" si="886"/>
        <v>0</v>
      </c>
      <c r="BD394" s="89">
        <f t="shared" si="886"/>
        <v>0</v>
      </c>
      <c r="BE394" s="518">
        <f t="shared" ref="BE394:BJ394" si="887">BE624+BE635</f>
        <v>0</v>
      </c>
      <c r="BF394" s="518">
        <f t="shared" si="887"/>
        <v>0</v>
      </c>
      <c r="BG394" s="518">
        <f t="shared" si="887"/>
        <v>0</v>
      </c>
      <c r="BH394" s="518">
        <f t="shared" si="887"/>
        <v>0</v>
      </c>
      <c r="BI394" s="89">
        <f t="shared" si="887"/>
        <v>0</v>
      </c>
      <c r="BJ394" s="518">
        <f t="shared" si="887"/>
        <v>0</v>
      </c>
      <c r="BK394" s="518">
        <f>BK624+BK635</f>
        <v>0</v>
      </c>
      <c r="BL394" s="520">
        <f>BL624+BL635</f>
        <v>0</v>
      </c>
      <c r="BM394" s="518">
        <f>BL394+BM377</f>
        <v>0</v>
      </c>
      <c r="BN394" s="89">
        <f>BN624+BN635</f>
        <v>0</v>
      </c>
      <c r="BO394" s="518">
        <f>BN394+BO377</f>
        <v>0</v>
      </c>
      <c r="BP394" s="518">
        <f>BO394+BP377</f>
        <v>0</v>
      </c>
      <c r="BQ394" s="518">
        <f>BP394+BQ377</f>
        <v>0</v>
      </c>
      <c r="BR394" s="518">
        <f>BQ394+BR377</f>
        <v>0</v>
      </c>
      <c r="BS394" s="89">
        <f>BS624+BS635</f>
        <v>0</v>
      </c>
      <c r="BT394" s="89">
        <f>BS394+BT377</f>
        <v>0</v>
      </c>
      <c r="BU394" s="89">
        <f>BT394+BU377</f>
        <v>0</v>
      </c>
      <c r="BV394" s="89">
        <f>BU394+BV377</f>
        <v>0</v>
      </c>
      <c r="BW394" s="519"/>
    </row>
    <row r="395" spans="1:75" s="439" customFormat="1">
      <c r="A395" s="518" t="s">
        <v>412</v>
      </c>
      <c r="B395" s="53"/>
      <c r="C395" s="89">
        <f t="shared" ref="C395:AH395" si="888">C636+C628</f>
        <v>0</v>
      </c>
      <c r="D395" s="89">
        <f t="shared" si="888"/>
        <v>0</v>
      </c>
      <c r="E395" s="89">
        <f t="shared" si="888"/>
        <v>0</v>
      </c>
      <c r="F395" s="89">
        <f t="shared" si="888"/>
        <v>0</v>
      </c>
      <c r="G395" s="518">
        <f t="shared" si="888"/>
        <v>0</v>
      </c>
      <c r="H395" s="518">
        <f t="shared" si="888"/>
        <v>0</v>
      </c>
      <c r="I395" s="518">
        <f t="shared" si="888"/>
        <v>0</v>
      </c>
      <c r="J395" s="518">
        <f t="shared" si="888"/>
        <v>0</v>
      </c>
      <c r="K395" s="89">
        <f t="shared" si="888"/>
        <v>0</v>
      </c>
      <c r="L395" s="518">
        <f t="shared" si="888"/>
        <v>0</v>
      </c>
      <c r="M395" s="518">
        <f t="shared" si="888"/>
        <v>0</v>
      </c>
      <c r="N395" s="518">
        <f t="shared" si="888"/>
        <v>0</v>
      </c>
      <c r="O395" s="518">
        <f t="shared" si="888"/>
        <v>0</v>
      </c>
      <c r="P395" s="89">
        <f t="shared" si="888"/>
        <v>0</v>
      </c>
      <c r="Q395" s="518">
        <f t="shared" si="888"/>
        <v>0</v>
      </c>
      <c r="R395" s="518">
        <f t="shared" si="888"/>
        <v>0</v>
      </c>
      <c r="S395" s="518">
        <f t="shared" si="888"/>
        <v>0</v>
      </c>
      <c r="T395" s="518">
        <f t="shared" si="888"/>
        <v>0</v>
      </c>
      <c r="U395" s="89">
        <f t="shared" si="888"/>
        <v>0</v>
      </c>
      <c r="V395" s="518">
        <f t="shared" si="888"/>
        <v>0</v>
      </c>
      <c r="W395" s="518">
        <f t="shared" si="888"/>
        <v>0</v>
      </c>
      <c r="X395" s="518">
        <f t="shared" si="888"/>
        <v>0</v>
      </c>
      <c r="Y395" s="518">
        <f t="shared" si="888"/>
        <v>0</v>
      </c>
      <c r="Z395" s="89">
        <f t="shared" si="888"/>
        <v>0</v>
      </c>
      <c r="AA395" s="518">
        <f t="shared" si="888"/>
        <v>0</v>
      </c>
      <c r="AB395" s="518">
        <f t="shared" si="888"/>
        <v>0</v>
      </c>
      <c r="AC395" s="518">
        <f t="shared" si="888"/>
        <v>0</v>
      </c>
      <c r="AD395" s="518">
        <f t="shared" si="888"/>
        <v>0</v>
      </c>
      <c r="AE395" s="89">
        <f t="shared" si="888"/>
        <v>0</v>
      </c>
      <c r="AF395" s="518">
        <f t="shared" si="888"/>
        <v>0</v>
      </c>
      <c r="AG395" s="518">
        <f t="shared" si="888"/>
        <v>0</v>
      </c>
      <c r="AH395" s="518">
        <f t="shared" si="888"/>
        <v>0</v>
      </c>
      <c r="AI395" s="518">
        <f t="shared" ref="AI395:AQ395" si="889">AI636+AI628</f>
        <v>0</v>
      </c>
      <c r="AJ395" s="89">
        <f t="shared" si="889"/>
        <v>0</v>
      </c>
      <c r="AK395" s="518">
        <f t="shared" si="889"/>
        <v>264.12299999999999</v>
      </c>
      <c r="AL395" s="518">
        <f t="shared" si="889"/>
        <v>253.77199999999999</v>
      </c>
      <c r="AM395" s="518">
        <f t="shared" si="889"/>
        <v>243.06900000000002</v>
      </c>
      <c r="AN395" s="518">
        <f t="shared" si="889"/>
        <v>232.26300000000001</v>
      </c>
      <c r="AO395" s="89">
        <f t="shared" si="889"/>
        <v>232.26300000000001</v>
      </c>
      <c r="AP395" s="518">
        <f t="shared" si="889"/>
        <v>237.41500000000002</v>
      </c>
      <c r="AQ395" s="518">
        <f t="shared" si="889"/>
        <v>220.94300000000001</v>
      </c>
      <c r="AR395" s="518">
        <f t="shared" ref="AR395:AW395" si="890">AR636+AR628</f>
        <v>209.69299999999998</v>
      </c>
      <c r="AS395" s="518">
        <f t="shared" si="890"/>
        <v>200.096</v>
      </c>
      <c r="AT395" s="89">
        <f t="shared" si="890"/>
        <v>200.096</v>
      </c>
      <c r="AU395" s="518">
        <f t="shared" si="890"/>
        <v>197.80199999999999</v>
      </c>
      <c r="AV395" s="518">
        <f t="shared" si="890"/>
        <v>182.30600000000001</v>
      </c>
      <c r="AW395" s="518">
        <f t="shared" si="890"/>
        <v>178.05600000000001</v>
      </c>
      <c r="AX395" s="518">
        <f t="shared" ref="AX395:BA395" si="891">AX636+AX628</f>
        <v>168.21600000000001</v>
      </c>
      <c r="AY395" s="89">
        <f t="shared" si="891"/>
        <v>168.21600000000001</v>
      </c>
      <c r="AZ395" s="518">
        <f t="shared" si="891"/>
        <v>158.52799999999999</v>
      </c>
      <c r="BA395" s="518">
        <f t="shared" si="891"/>
        <v>146.98599999999999</v>
      </c>
      <c r="BB395" s="518">
        <f t="shared" ref="BB395:BN395" si="892">BB636+BB628</f>
        <v>135.316</v>
      </c>
      <c r="BC395" s="518">
        <f t="shared" si="892"/>
        <v>126.33500000000001</v>
      </c>
      <c r="BD395" s="89">
        <f t="shared" si="892"/>
        <v>126.33500000000001</v>
      </c>
      <c r="BE395" s="518">
        <f t="shared" ref="BE395:BM395" si="893">BE636+BE628</f>
        <v>116.20699999999999</v>
      </c>
      <c r="BF395" s="518">
        <f t="shared" si="893"/>
        <v>106.023</v>
      </c>
      <c r="BG395" s="518">
        <f t="shared" si="893"/>
        <v>96.259999999999991</v>
      </c>
      <c r="BH395" s="518">
        <f t="shared" si="893"/>
        <v>87.299000000000007</v>
      </c>
      <c r="BI395" s="89">
        <f t="shared" si="893"/>
        <v>87.299000000000007</v>
      </c>
      <c r="BJ395" s="518">
        <f>BJ636+BJ628</f>
        <v>77.373000000000005</v>
      </c>
      <c r="BK395" s="518">
        <f>BK636+BK628</f>
        <v>67.61699999999999</v>
      </c>
      <c r="BL395" s="520">
        <f>BL636+BL628</f>
        <v>53.927</v>
      </c>
      <c r="BM395" s="518">
        <f t="shared" si="893"/>
        <v>53.927</v>
      </c>
      <c r="BN395" s="89">
        <f t="shared" si="892"/>
        <v>53.927</v>
      </c>
      <c r="BO395" s="518">
        <f t="shared" ref="BO395:BV395" si="894">BO636+BO628</f>
        <v>53.927</v>
      </c>
      <c r="BP395" s="518">
        <f t="shared" si="894"/>
        <v>53.927</v>
      </c>
      <c r="BQ395" s="518">
        <f t="shared" si="894"/>
        <v>53.927</v>
      </c>
      <c r="BR395" s="518">
        <f t="shared" si="894"/>
        <v>53.927</v>
      </c>
      <c r="BS395" s="89">
        <f t="shared" si="894"/>
        <v>53.927</v>
      </c>
      <c r="BT395" s="89">
        <f t="shared" si="894"/>
        <v>53.927</v>
      </c>
      <c r="BU395" s="89">
        <f t="shared" si="894"/>
        <v>53.927</v>
      </c>
      <c r="BV395" s="89">
        <f t="shared" si="894"/>
        <v>53.927</v>
      </c>
      <c r="BW395" s="519"/>
    </row>
    <row r="396" spans="1:75" s="439" customFormat="1">
      <c r="A396" s="518" t="s">
        <v>413</v>
      </c>
      <c r="B396" s="53"/>
      <c r="C396" s="89">
        <f t="shared" ref="C396:AH396" si="895">C394+C395-C391</f>
        <v>-15.074</v>
      </c>
      <c r="D396" s="89">
        <f t="shared" si="895"/>
        <v>-27.074000000000002</v>
      </c>
      <c r="E396" s="89">
        <f t="shared" si="895"/>
        <v>-22.100999999999999</v>
      </c>
      <c r="F396" s="89">
        <f t="shared" si="895"/>
        <v>-101.524</v>
      </c>
      <c r="G396" s="518">
        <f t="shared" si="895"/>
        <v>-100.83</v>
      </c>
      <c r="H396" s="518">
        <f t="shared" si="895"/>
        <v>-104.89700000000001</v>
      </c>
      <c r="I396" s="518">
        <f t="shared" si="895"/>
        <v>-109.38200000000001</v>
      </c>
      <c r="J396" s="518">
        <f t="shared" si="895"/>
        <v>-393.01100000000002</v>
      </c>
      <c r="K396" s="89">
        <f t="shared" si="895"/>
        <v>-393.01100000000002</v>
      </c>
      <c r="L396" s="518">
        <f t="shared" si="895"/>
        <v>-402.97499999999997</v>
      </c>
      <c r="M396" s="518">
        <f t="shared" si="895"/>
        <v>-416.20300000000009</v>
      </c>
      <c r="N396" s="518">
        <f t="shared" si="895"/>
        <v>-430.70099999999996</v>
      </c>
      <c r="O396" s="518">
        <f t="shared" si="895"/>
        <v>-422.36500000000001</v>
      </c>
      <c r="P396" s="89">
        <f t="shared" si="895"/>
        <v>-422.36500000000001</v>
      </c>
      <c r="Q396" s="518">
        <f t="shared" si="895"/>
        <v>-365.62599999999998</v>
      </c>
      <c r="R396" s="518">
        <f t="shared" si="895"/>
        <v>-384.41800000000006</v>
      </c>
      <c r="S396" s="518">
        <f t="shared" si="895"/>
        <v>-385.19199999999995</v>
      </c>
      <c r="T396" s="518">
        <f t="shared" si="895"/>
        <v>-387.31299999999999</v>
      </c>
      <c r="U396" s="89">
        <f t="shared" si="895"/>
        <v>-387.31299999999999</v>
      </c>
      <c r="V396" s="518">
        <f t="shared" si="895"/>
        <v>-401.03499999999997</v>
      </c>
      <c r="W396" s="518">
        <f t="shared" si="895"/>
        <v>-421.40699999999998</v>
      </c>
      <c r="X396" s="518">
        <f t="shared" si="895"/>
        <v>-449.60599999999994</v>
      </c>
      <c r="Y396" s="518">
        <f t="shared" si="895"/>
        <v>-496.85</v>
      </c>
      <c r="Z396" s="89">
        <f t="shared" si="895"/>
        <v>-496.85</v>
      </c>
      <c r="AA396" s="518">
        <f t="shared" si="895"/>
        <v>-503.94</v>
      </c>
      <c r="AB396" s="518">
        <f t="shared" si="895"/>
        <v>-530.33400000000006</v>
      </c>
      <c r="AC396" s="518">
        <f t="shared" si="895"/>
        <v>-576.76400000000001</v>
      </c>
      <c r="AD396" s="518">
        <f t="shared" si="895"/>
        <v>-864.80200000000002</v>
      </c>
      <c r="AE396" s="89">
        <f t="shared" si="895"/>
        <v>-864.80200000000002</v>
      </c>
      <c r="AF396" s="518">
        <f t="shared" si="895"/>
        <v>-848.31599999999992</v>
      </c>
      <c r="AG396" s="518">
        <f t="shared" si="895"/>
        <v>-825.52800000000013</v>
      </c>
      <c r="AH396" s="518">
        <f t="shared" si="895"/>
        <v>-859.61800000000005</v>
      </c>
      <c r="AI396" s="518">
        <f t="shared" ref="AI396:AQ396" si="896">AI394+AI395-AI391</f>
        <v>-777.93100000000004</v>
      </c>
      <c r="AJ396" s="89">
        <f t="shared" si="896"/>
        <v>-777.93100000000004</v>
      </c>
      <c r="AK396" s="518">
        <f t="shared" si="896"/>
        <v>-434.13699999999989</v>
      </c>
      <c r="AL396" s="518">
        <f t="shared" si="896"/>
        <v>-225.90700000000004</v>
      </c>
      <c r="AM396" s="518">
        <f t="shared" si="896"/>
        <v>-195.83799999999997</v>
      </c>
      <c r="AN396" s="518">
        <f t="shared" si="896"/>
        <v>-255.554</v>
      </c>
      <c r="AO396" s="89">
        <f t="shared" si="896"/>
        <v>-255.554</v>
      </c>
      <c r="AP396" s="518">
        <f t="shared" si="896"/>
        <v>-275.61100000000005</v>
      </c>
      <c r="AQ396" s="518">
        <f t="shared" si="896"/>
        <v>-305.65999999999997</v>
      </c>
      <c r="AR396" s="518">
        <f t="shared" ref="AR396:AW396" si="897">AR394+AR395-AR391</f>
        <v>-381.92200000000003</v>
      </c>
      <c r="AS396" s="518">
        <f t="shared" si="897"/>
        <v>-396.44399999999996</v>
      </c>
      <c r="AT396" s="89">
        <f t="shared" si="897"/>
        <v>-396.44399999999996</v>
      </c>
      <c r="AU396" s="518">
        <f t="shared" si="897"/>
        <v>-391.47899999999993</v>
      </c>
      <c r="AV396" s="518">
        <f t="shared" si="897"/>
        <v>-376.94799999999998</v>
      </c>
      <c r="AW396" s="518">
        <f t="shared" si="897"/>
        <v>-354.61799999999994</v>
      </c>
      <c r="AX396" s="518">
        <f t="shared" ref="AX396:BA396" si="898">AX394+AX395-AX391</f>
        <v>-312.42500000000001</v>
      </c>
      <c r="AY396" s="89">
        <f t="shared" si="898"/>
        <v>-312.42500000000001</v>
      </c>
      <c r="AZ396" s="518">
        <f t="shared" si="898"/>
        <v>-307.38699999999994</v>
      </c>
      <c r="BA396" s="518">
        <f t="shared" si="898"/>
        <v>-275.22800000000001</v>
      </c>
      <c r="BB396" s="518">
        <f t="shared" ref="BB396:BN396" si="899">BB394+BB395-BB391</f>
        <v>-287.67100000000005</v>
      </c>
      <c r="BC396" s="518">
        <f t="shared" si="899"/>
        <v>-275.04700000000003</v>
      </c>
      <c r="BD396" s="89">
        <f t="shared" si="899"/>
        <v>-275.04700000000003</v>
      </c>
      <c r="BE396" s="518">
        <f t="shared" ref="BE396:BM396" si="900">BE394+BE395-BE391</f>
        <v>-298.53100000000001</v>
      </c>
      <c r="BF396" s="518">
        <f t="shared" si="900"/>
        <v>-291.65999999999997</v>
      </c>
      <c r="BG396" s="518">
        <f t="shared" si="900"/>
        <v>-330.66200000000003</v>
      </c>
      <c r="BH396" s="518">
        <f t="shared" si="900"/>
        <v>-354.18799999999999</v>
      </c>
      <c r="BI396" s="89">
        <f t="shared" si="900"/>
        <v>-354.18799999999999</v>
      </c>
      <c r="BJ396" s="518">
        <f>BJ394+BJ395-BJ391</f>
        <v>-343.512</v>
      </c>
      <c r="BK396" s="518">
        <f>BK394+BK395-BK391</f>
        <v>-317.553</v>
      </c>
      <c r="BL396" s="520">
        <f>BL394+BL395-BL391</f>
        <v>-343.476</v>
      </c>
      <c r="BM396" s="518" t="e">
        <f t="shared" si="900"/>
        <v>#REF!</v>
      </c>
      <c r="BN396" s="89" t="e">
        <f t="shared" si="899"/>
        <v>#REF!</v>
      </c>
      <c r="BO396" s="518" t="e">
        <f t="shared" ref="BO396:BV396" si="901">BO394+BO395-BO391</f>
        <v>#REF!</v>
      </c>
      <c r="BP396" s="518" t="e">
        <f t="shared" si="901"/>
        <v>#REF!</v>
      </c>
      <c r="BQ396" s="518" t="e">
        <f t="shared" si="901"/>
        <v>#REF!</v>
      </c>
      <c r="BR396" s="518" t="e">
        <f t="shared" si="901"/>
        <v>#REF!</v>
      </c>
      <c r="BS396" s="89" t="e">
        <f t="shared" si="901"/>
        <v>#REF!</v>
      </c>
      <c r="BT396" s="89" t="e">
        <f t="shared" si="901"/>
        <v>#REF!</v>
      </c>
      <c r="BU396" s="89" t="e">
        <f t="shared" si="901"/>
        <v>#REF!</v>
      </c>
      <c r="BV396" s="89" t="e">
        <f t="shared" si="901"/>
        <v>#REF!</v>
      </c>
      <c r="BW396" s="519"/>
    </row>
    <row r="397" spans="1:75" s="439" customFormat="1">
      <c r="A397" s="518"/>
      <c r="B397" s="53"/>
      <c r="C397" s="89"/>
      <c r="D397" s="89"/>
      <c r="E397" s="89"/>
      <c r="F397" s="89"/>
      <c r="G397" s="518"/>
      <c r="H397" s="518"/>
      <c r="I397" s="518"/>
      <c r="J397" s="518"/>
      <c r="K397" s="89"/>
      <c r="L397" s="518"/>
      <c r="M397" s="518"/>
      <c r="N397" s="518"/>
      <c r="O397" s="518"/>
      <c r="P397" s="89"/>
      <c r="Q397" s="518"/>
      <c r="R397" s="518"/>
      <c r="S397" s="518"/>
      <c r="T397" s="518"/>
      <c r="U397" s="89"/>
      <c r="V397" s="518"/>
      <c r="W397" s="518"/>
      <c r="X397" s="518"/>
      <c r="Y397" s="518"/>
      <c r="Z397" s="89"/>
      <c r="AA397" s="518"/>
      <c r="AB397" s="518"/>
      <c r="AC397" s="518"/>
      <c r="AD397" s="518"/>
      <c r="AE397" s="89"/>
      <c r="AF397" s="518"/>
      <c r="AG397" s="518"/>
      <c r="AH397" s="518"/>
      <c r="AI397" s="518"/>
      <c r="AJ397" s="89"/>
      <c r="AK397" s="518"/>
      <c r="AL397" s="518"/>
      <c r="AM397" s="518"/>
      <c r="AN397" s="518"/>
      <c r="AO397" s="89"/>
      <c r="AP397" s="518"/>
      <c r="AQ397" s="518"/>
      <c r="AR397" s="518"/>
      <c r="AS397" s="518"/>
      <c r="AT397" s="89"/>
      <c r="AU397" s="518"/>
      <c r="AV397" s="518"/>
      <c r="AW397" s="518"/>
      <c r="AX397" s="518"/>
      <c r="AY397" s="89"/>
      <c r="AZ397" s="518"/>
      <c r="BA397" s="518"/>
      <c r="BB397" s="518"/>
      <c r="BC397" s="518"/>
      <c r="BD397" s="89"/>
      <c r="BE397" s="518"/>
      <c r="BF397" s="518"/>
      <c r="BG397" s="518"/>
      <c r="BH397" s="518"/>
      <c r="BI397" s="89"/>
      <c r="BJ397" s="518"/>
      <c r="BK397" s="518"/>
      <c r="BL397" s="520"/>
      <c r="BM397" s="518"/>
      <c r="BN397" s="89"/>
      <c r="BO397" s="518"/>
      <c r="BP397" s="518"/>
      <c r="BQ397" s="518"/>
      <c r="BR397" s="518"/>
      <c r="BS397" s="89"/>
      <c r="BT397" s="89"/>
      <c r="BU397" s="89"/>
      <c r="BV397" s="89"/>
      <c r="BW397" s="519"/>
    </row>
    <row r="398" spans="1:75" s="439" customFormat="1">
      <c r="A398" s="518" t="s">
        <v>414</v>
      </c>
      <c r="B398" s="53"/>
      <c r="C398" s="762"/>
      <c r="D398" s="762"/>
      <c r="E398" s="762"/>
      <c r="F398" s="762"/>
      <c r="G398" s="525"/>
      <c r="H398" s="525"/>
      <c r="I398" s="525"/>
      <c r="J398" s="525"/>
      <c r="K398" s="762"/>
      <c r="L398" s="525"/>
      <c r="M398" s="525"/>
      <c r="N398" s="525"/>
      <c r="O398" s="525"/>
      <c r="P398" s="762"/>
      <c r="Q398" s="525"/>
      <c r="R398" s="525"/>
      <c r="S398" s="525"/>
      <c r="T398" s="525"/>
      <c r="U398" s="762"/>
      <c r="V398" s="525"/>
      <c r="W398" s="525"/>
      <c r="X398" s="525"/>
      <c r="Y398" s="525"/>
      <c r="Z398" s="762"/>
      <c r="AA398" s="525"/>
      <c r="AB398" s="525"/>
      <c r="AC398" s="525"/>
      <c r="AD398" s="525"/>
      <c r="AE398" s="762"/>
      <c r="AF398" s="525"/>
      <c r="AG398" s="525"/>
      <c r="AH398" s="525"/>
      <c r="AI398" s="525"/>
      <c r="AJ398" s="762"/>
      <c r="AK398" s="525"/>
      <c r="AL398" s="525"/>
      <c r="AM398" s="525"/>
      <c r="AN398" s="525"/>
      <c r="AO398" s="762"/>
      <c r="AP398" s="525"/>
      <c r="AQ398" s="525"/>
      <c r="AR398" s="525"/>
      <c r="AS398" s="525"/>
      <c r="AT398" s="762"/>
      <c r="AU398" s="525"/>
      <c r="AV398" s="525"/>
      <c r="AW398" s="525"/>
      <c r="AX398" s="525"/>
      <c r="AY398" s="762"/>
      <c r="AZ398" s="525"/>
      <c r="BA398" s="525"/>
      <c r="BB398" s="525"/>
      <c r="BC398" s="525"/>
      <c r="BD398" s="762"/>
      <c r="BE398" s="525"/>
      <c r="BF398" s="525"/>
      <c r="BG398" s="525"/>
      <c r="BH398" s="525"/>
      <c r="BI398" s="762"/>
      <c r="BJ398" s="525"/>
      <c r="BK398" s="525"/>
      <c r="BL398" s="581"/>
      <c r="BM398" s="525">
        <f>MAX(0,BM399*AVERAGE(BL394,BM394)*BM3/BN3)</f>
        <v>0</v>
      </c>
      <c r="BN398" s="762" t="str">
        <f>IF(OR(ISBLANK(BJ398),ISBLANK(BK398),ISBLANK(BL398),ISBLANK(BM398)),"n/a",SUM(BJ398,BK398,BL398,BM398))</f>
        <v>n/a</v>
      </c>
      <c r="BO398" s="525">
        <f>MAX(0,BO399*AVERAGE(BN394,BO394)*BO3/BS3)</f>
        <v>0</v>
      </c>
      <c r="BP398" s="525">
        <f>MAX(0,BP399*AVERAGE(BO394,BP394)*BP3/BS3)</f>
        <v>0</v>
      </c>
      <c r="BQ398" s="525">
        <f>MAX(0,BQ399*AVERAGE(BP394,BQ394)*BQ3/BS3)</f>
        <v>0</v>
      </c>
      <c r="BR398" s="525">
        <f>MAX(0,BR399*AVERAGE(BQ394,BR394)*BR3/BS3)</f>
        <v>0</v>
      </c>
      <c r="BS398" s="762">
        <f>IF(OR(ISBLANK(BO398),ISBLANK(BP398),ISBLANK(BQ398),ISBLANK(BR398)),"n/a",SUM(BO398,BP398,BQ398,BR398))</f>
        <v>0</v>
      </c>
      <c r="BT398" s="762">
        <f>MAX(0,BT399*AVERAGE(BS394,BT394))</f>
        <v>0</v>
      </c>
      <c r="BU398" s="762">
        <f>MAX(0,BU399*AVERAGE(BT394,BU394))</f>
        <v>0</v>
      </c>
      <c r="BV398" s="762">
        <f>MAX(0,BV399*AVERAGE(BU394,BV394))</f>
        <v>0</v>
      </c>
      <c r="BW398" s="519"/>
    </row>
    <row r="399" spans="1:75" s="439" customFormat="1">
      <c r="A399" s="523" t="s">
        <v>415</v>
      </c>
      <c r="B399" s="30"/>
      <c r="C399" s="673"/>
      <c r="D399" s="673"/>
      <c r="E399" s="673"/>
      <c r="F399" s="673"/>
      <c r="G399" s="10"/>
      <c r="H399" s="10"/>
      <c r="I399" s="10"/>
      <c r="J399" s="10"/>
      <c r="K399" s="673"/>
      <c r="L399" s="10"/>
      <c r="M399" s="10"/>
      <c r="N399" s="10"/>
      <c r="O399" s="10"/>
      <c r="P399" s="673"/>
      <c r="Q399" s="10"/>
      <c r="R399" s="10"/>
      <c r="S399" s="10"/>
      <c r="T399" s="10"/>
      <c r="U399" s="673"/>
      <c r="V399" s="10"/>
      <c r="W399" s="10"/>
      <c r="X399" s="10"/>
      <c r="Y399" s="10"/>
      <c r="Z399" s="673"/>
      <c r="AA399" s="10"/>
      <c r="AB399" s="10"/>
      <c r="AC399" s="10"/>
      <c r="AD399" s="10"/>
      <c r="AE399" s="673"/>
      <c r="AF399" s="10"/>
      <c r="AG399" s="10"/>
      <c r="AH399" s="10"/>
      <c r="AI399" s="10"/>
      <c r="AJ399" s="673"/>
      <c r="AK399" s="10"/>
      <c r="AL399" s="10"/>
      <c r="AM399" s="10"/>
      <c r="AN399" s="10"/>
      <c r="AO399" s="673"/>
      <c r="AP399" s="10"/>
      <c r="AQ399" s="10"/>
      <c r="AR399" s="10"/>
      <c r="AS399" s="10"/>
      <c r="AT399" s="673"/>
      <c r="AU399" s="10"/>
      <c r="AV399" s="10"/>
      <c r="AW399" s="10"/>
      <c r="AX399" s="10"/>
      <c r="AY399" s="673"/>
      <c r="AZ399" s="10"/>
      <c r="BA399" s="10"/>
      <c r="BB399" s="10"/>
      <c r="BC399" s="10"/>
      <c r="BD399" s="673"/>
      <c r="BE399" s="10"/>
      <c r="BF399" s="10"/>
      <c r="BG399" s="10"/>
      <c r="BH399" s="10"/>
      <c r="BI399" s="673"/>
      <c r="BJ399" s="10"/>
      <c r="BK399" s="10"/>
      <c r="BL399" s="390"/>
      <c r="BM399" s="628">
        <v>0.05</v>
      </c>
      <c r="BN399" s="673" t="str">
        <f>IFERROR(BN398/AVERAGE(BJ394,BK394,BL394,BM394),"n/a")</f>
        <v>n/a</v>
      </c>
      <c r="BO399" s="628">
        <v>0.05</v>
      </c>
      <c r="BP399" s="628">
        <v>0.05</v>
      </c>
      <c r="BQ399" s="628">
        <v>0.05</v>
      </c>
      <c r="BR399" s="628">
        <v>0.05</v>
      </c>
      <c r="BS399" s="673" t="str">
        <f>IFERROR(BS398/AVERAGE(BO394,BP394,BQ394,BR394),"n/a")</f>
        <v>n/a</v>
      </c>
      <c r="BT399" s="708">
        <v>0.05</v>
      </c>
      <c r="BU399" s="708">
        <v>0.05</v>
      </c>
      <c r="BV399" s="708">
        <v>0.05</v>
      </c>
      <c r="BW399" s="519"/>
    </row>
    <row r="400" spans="1:75" s="439" customFormat="1">
      <c r="A400" s="518" t="s">
        <v>416</v>
      </c>
      <c r="B400" s="53"/>
      <c r="C400" s="762"/>
      <c r="D400" s="762"/>
      <c r="E400" s="762"/>
      <c r="F400" s="762"/>
      <c r="G400" s="525"/>
      <c r="H400" s="525"/>
      <c r="I400" s="525"/>
      <c r="J400" s="525"/>
      <c r="K400" s="762"/>
      <c r="L400" s="525"/>
      <c r="M400" s="525"/>
      <c r="N400" s="525"/>
      <c r="O400" s="525"/>
      <c r="P400" s="762"/>
      <c r="Q400" s="525"/>
      <c r="R400" s="525"/>
      <c r="S400" s="525"/>
      <c r="T400" s="525"/>
      <c r="U400" s="762"/>
      <c r="V400" s="525"/>
      <c r="W400" s="525"/>
      <c r="X400" s="525"/>
      <c r="Y400" s="525"/>
      <c r="Z400" s="762"/>
      <c r="AA400" s="525"/>
      <c r="AB400" s="525"/>
      <c r="AC400" s="525"/>
      <c r="AD400" s="525"/>
      <c r="AE400" s="762"/>
      <c r="AF400" s="525"/>
      <c r="AG400" s="525"/>
      <c r="AH400" s="525"/>
      <c r="AI400" s="525"/>
      <c r="AJ400" s="762"/>
      <c r="AK400" s="525"/>
      <c r="AL400" s="525"/>
      <c r="AM400" s="525"/>
      <c r="AN400" s="525"/>
      <c r="AO400" s="762"/>
      <c r="AP400" s="525"/>
      <c r="AQ400" s="525"/>
      <c r="AR400" s="525"/>
      <c r="AS400" s="525"/>
      <c r="AT400" s="762"/>
      <c r="AU400" s="525"/>
      <c r="AV400" s="525"/>
      <c r="AW400" s="525"/>
      <c r="AX400" s="525"/>
      <c r="AY400" s="762"/>
      <c r="AZ400" s="525"/>
      <c r="BA400" s="525"/>
      <c r="BB400" s="525"/>
      <c r="BC400" s="525"/>
      <c r="BD400" s="762"/>
      <c r="BE400" s="525"/>
      <c r="BF400" s="525"/>
      <c r="BG400" s="525"/>
      <c r="BH400" s="525"/>
      <c r="BI400" s="762"/>
      <c r="BJ400" s="525"/>
      <c r="BK400" s="525"/>
      <c r="BL400" s="581"/>
      <c r="BM400" s="525">
        <f>MAX(0,BM401*BL391*BM3/BN3)</f>
        <v>4.9946825136612025</v>
      </c>
      <c r="BN400" s="762" t="str">
        <f>IF(OR(ISBLANK(BJ400),ISBLANK(BK400),ISBLANK(BL400),ISBLANK(BM400)),"n/a",SUM(BJ400,BK400,BL400,BM400))</f>
        <v>n/a</v>
      </c>
      <c r="BO400" s="525" t="e">
        <f>MAX(0,BO401*BN391*BO3/BS3)</f>
        <v>#REF!</v>
      </c>
      <c r="BP400" s="525" t="e">
        <f>MAX(0,BP401*BO391*BP3/BS3)</f>
        <v>#REF!</v>
      </c>
      <c r="BQ400" s="525" t="e">
        <f>MAX(0,BQ401*BP391*BQ3/BS3)</f>
        <v>#REF!</v>
      </c>
      <c r="BR400" s="525" t="e">
        <f>MAX(0,BR401*BQ391*BR3/BS3)</f>
        <v>#REF!</v>
      </c>
      <c r="BS400" s="762" t="e">
        <f>IF(OR(ISBLANK(BO400),ISBLANK(BP400),ISBLANK(BQ400),ISBLANK(BR400)),"n/a",SUM(BO400,BP400,BQ400,BR400))</f>
        <v>#REF!</v>
      </c>
      <c r="BT400" s="762" t="e">
        <f>MAX(0,BT401*BS391)</f>
        <v>#REF!</v>
      </c>
      <c r="BU400" s="762" t="e">
        <f>MAX(0,BU401*BT391)</f>
        <v>#REF!</v>
      </c>
      <c r="BV400" s="762" t="e">
        <f>MAX(0,BV401*BU391)</f>
        <v>#REF!</v>
      </c>
      <c r="BW400" s="519"/>
    </row>
    <row r="401" spans="1:75" s="439" customFormat="1">
      <c r="A401" s="523" t="s">
        <v>417</v>
      </c>
      <c r="B401" s="30"/>
      <c r="C401" s="673"/>
      <c r="D401" s="673"/>
      <c r="E401" s="673"/>
      <c r="F401" s="673"/>
      <c r="G401" s="10"/>
      <c r="H401" s="10"/>
      <c r="I401" s="10"/>
      <c r="J401" s="10"/>
      <c r="K401" s="673"/>
      <c r="L401" s="10"/>
      <c r="M401" s="10"/>
      <c r="N401" s="10"/>
      <c r="O401" s="10"/>
      <c r="P401" s="673"/>
      <c r="Q401" s="10"/>
      <c r="R401" s="10"/>
      <c r="S401" s="10"/>
      <c r="T401" s="10"/>
      <c r="U401" s="673"/>
      <c r="V401" s="10"/>
      <c r="W401" s="10"/>
      <c r="X401" s="10"/>
      <c r="Y401" s="10"/>
      <c r="Z401" s="673"/>
      <c r="AA401" s="10"/>
      <c r="AB401" s="10"/>
      <c r="AC401" s="10"/>
      <c r="AD401" s="10"/>
      <c r="AE401" s="673"/>
      <c r="AF401" s="10"/>
      <c r="AG401" s="10"/>
      <c r="AH401" s="10"/>
      <c r="AI401" s="10"/>
      <c r="AJ401" s="673"/>
      <c r="AK401" s="10"/>
      <c r="AL401" s="10"/>
      <c r="AM401" s="10"/>
      <c r="AN401" s="10"/>
      <c r="AO401" s="673"/>
      <c r="AP401" s="10"/>
      <c r="AQ401" s="10"/>
      <c r="AR401" s="10"/>
      <c r="AS401" s="10"/>
      <c r="AT401" s="673"/>
      <c r="AU401" s="10"/>
      <c r="AV401" s="10"/>
      <c r="AW401" s="10"/>
      <c r="AX401" s="10"/>
      <c r="AY401" s="673"/>
      <c r="AZ401" s="10"/>
      <c r="BA401" s="10"/>
      <c r="BB401" s="10"/>
      <c r="BC401" s="10"/>
      <c r="BD401" s="673"/>
      <c r="BE401" s="10"/>
      <c r="BF401" s="10"/>
      <c r="BG401" s="10"/>
      <c r="BH401" s="10"/>
      <c r="BI401" s="673"/>
      <c r="BJ401" s="10"/>
      <c r="BK401" s="10"/>
      <c r="BL401" s="390"/>
      <c r="BM401" s="628">
        <v>0.05</v>
      </c>
      <c r="BN401" s="673" t="str">
        <f>IFERROR(BN400/AVERAGE(BJ391,BK391,BL391,BM391),"n/a")</f>
        <v>n/a</v>
      </c>
      <c r="BO401" s="628">
        <v>0.05</v>
      </c>
      <c r="BP401" s="628">
        <v>0.05</v>
      </c>
      <c r="BQ401" s="628">
        <v>0.05</v>
      </c>
      <c r="BR401" s="628">
        <v>0.05</v>
      </c>
      <c r="BS401" s="673" t="str">
        <f>IFERROR(BS400/AVERAGE(BO391,BP391,BQ391,BR391),"n/a")</f>
        <v>n/a</v>
      </c>
      <c r="BT401" s="708">
        <v>4.3205214440851701E-2</v>
      </c>
      <c r="BU401" s="708">
        <v>4.3205214440851701E-2</v>
      </c>
      <c r="BV401" s="708">
        <v>4.3205214440851701E-2</v>
      </c>
      <c r="BW401" s="519"/>
    </row>
    <row r="402" spans="1:75" s="439" customFormat="1">
      <c r="A402" s="518" t="s">
        <v>418</v>
      </c>
      <c r="B402" s="53"/>
      <c r="C402" s="762">
        <f t="shared" ref="C402:AH402" si="902">C235</f>
        <v>0</v>
      </c>
      <c r="D402" s="762">
        <f t="shared" si="902"/>
        <v>0</v>
      </c>
      <c r="E402" s="762">
        <f t="shared" si="902"/>
        <v>0</v>
      </c>
      <c r="F402" s="762">
        <f t="shared" si="902"/>
        <v>0</v>
      </c>
      <c r="G402" s="525">
        <f t="shared" si="902"/>
        <v>0</v>
      </c>
      <c r="H402" s="525">
        <f t="shared" si="902"/>
        <v>0</v>
      </c>
      <c r="I402" s="525">
        <f t="shared" si="902"/>
        <v>0</v>
      </c>
      <c r="J402" s="525">
        <f t="shared" si="902"/>
        <v>0</v>
      </c>
      <c r="K402" s="762">
        <f t="shared" si="902"/>
        <v>0</v>
      </c>
      <c r="L402" s="525">
        <f t="shared" si="902"/>
        <v>-3.4000000000000002E-2</v>
      </c>
      <c r="M402" s="525">
        <f t="shared" si="902"/>
        <v>-0.20200000000000001</v>
      </c>
      <c r="N402" s="525">
        <f t="shared" si="902"/>
        <v>-0.222</v>
      </c>
      <c r="O402" s="525">
        <f t="shared" si="902"/>
        <v>8.3000000000000018E-2</v>
      </c>
      <c r="P402" s="762">
        <f t="shared" si="902"/>
        <v>-0.375</v>
      </c>
      <c r="Q402" s="525">
        <f t="shared" si="902"/>
        <v>-0.13200000000000001</v>
      </c>
      <c r="R402" s="525">
        <f t="shared" si="902"/>
        <v>-0.13100000000000001</v>
      </c>
      <c r="S402" s="525">
        <f t="shared" si="902"/>
        <v>-0.47199999999999998</v>
      </c>
      <c r="T402" s="525">
        <f t="shared" si="902"/>
        <v>0.11299999999999999</v>
      </c>
      <c r="U402" s="762">
        <f t="shared" si="902"/>
        <v>-0.622</v>
      </c>
      <c r="V402" s="525">
        <f t="shared" si="902"/>
        <v>-0.311</v>
      </c>
      <c r="W402" s="525">
        <f t="shared" si="902"/>
        <v>-0.41399999999999998</v>
      </c>
      <c r="X402" s="525">
        <f t="shared" si="902"/>
        <v>-0.47799999999999998</v>
      </c>
      <c r="Y402" s="525">
        <f t="shared" si="902"/>
        <v>-0.52100000000000013</v>
      </c>
      <c r="Z402" s="762">
        <f t="shared" si="902"/>
        <v>-1.724</v>
      </c>
      <c r="AA402" s="525">
        <f t="shared" si="902"/>
        <v>-0.68</v>
      </c>
      <c r="AB402" s="525">
        <f t="shared" si="902"/>
        <v>-0.79400000000000004</v>
      </c>
      <c r="AC402" s="525">
        <f t="shared" si="902"/>
        <v>-0.99099999999999999</v>
      </c>
      <c r="AD402" s="525">
        <f t="shared" si="902"/>
        <v>-1.7239999999999998</v>
      </c>
      <c r="AE402" s="762">
        <f t="shared" si="902"/>
        <v>-4.1890000000000001</v>
      </c>
      <c r="AF402" s="525">
        <f t="shared" si="902"/>
        <v>-2.6240000000000001</v>
      </c>
      <c r="AG402" s="525">
        <f t="shared" si="902"/>
        <v>-3.2770000000000001</v>
      </c>
      <c r="AH402" s="525">
        <f t="shared" si="902"/>
        <v>-3.7050000000000001</v>
      </c>
      <c r="AI402" s="525">
        <f t="shared" ref="AI402:BG402" si="903">AI235</f>
        <v>-4.1980000000000004</v>
      </c>
      <c r="AJ402" s="762">
        <f t="shared" si="903"/>
        <v>-13.804</v>
      </c>
      <c r="AK402" s="525">
        <f t="shared" si="903"/>
        <v>-4.3739999999999997</v>
      </c>
      <c r="AL402" s="525">
        <f t="shared" si="903"/>
        <v>-3.7429999999999999</v>
      </c>
      <c r="AM402" s="525">
        <f t="shared" si="903"/>
        <v>-2.83</v>
      </c>
      <c r="AN402" s="525">
        <f t="shared" si="903"/>
        <v>-2.3810000000000002</v>
      </c>
      <c r="AO402" s="762">
        <f t="shared" si="903"/>
        <v>-13.327999999999999</v>
      </c>
      <c r="AP402" s="525">
        <f t="shared" si="903"/>
        <v>-2.1059999999999999</v>
      </c>
      <c r="AQ402" s="525">
        <f t="shared" si="903"/>
        <v>-0.191</v>
      </c>
      <c r="AR402" s="525">
        <f t="shared" si="903"/>
        <v>-7.0000000000000001E-3</v>
      </c>
      <c r="AS402" s="525">
        <f t="shared" si="903"/>
        <v>3.0999999999999694E-2</v>
      </c>
      <c r="AT402" s="762">
        <f t="shared" si="903"/>
        <v>-2.2730000000000001</v>
      </c>
      <c r="AU402" s="525">
        <f t="shared" si="903"/>
        <v>1.7999999999999999E-2</v>
      </c>
      <c r="AV402" s="525">
        <f t="shared" si="903"/>
        <v>3.4000000000000002E-2</v>
      </c>
      <c r="AW402" s="525">
        <f t="shared" si="903"/>
        <v>3.1E-2</v>
      </c>
      <c r="AX402" s="525">
        <f t="shared" si="903"/>
        <v>3.3000000000000002E-2</v>
      </c>
      <c r="AY402" s="762">
        <f t="shared" si="903"/>
        <v>0.11600000000000001</v>
      </c>
      <c r="AZ402" s="525">
        <f t="shared" si="903"/>
        <v>-2.1999999999999999E-2</v>
      </c>
      <c r="BA402" s="525">
        <f t="shared" si="903"/>
        <v>-0.52900000000000003</v>
      </c>
      <c r="BB402" s="525">
        <f t="shared" si="903"/>
        <v>-2.0070000000000001</v>
      </c>
      <c r="BC402" s="525">
        <f t="shared" si="903"/>
        <v>-3.2039999999999993</v>
      </c>
      <c r="BD402" s="762">
        <f t="shared" si="903"/>
        <v>-5.7619999999999996</v>
      </c>
      <c r="BE402" s="525">
        <f t="shared" si="903"/>
        <v>-4.0069999999999997</v>
      </c>
      <c r="BF402" s="525">
        <f t="shared" si="903"/>
        <v>-4.6559999999999997</v>
      </c>
      <c r="BG402" s="525">
        <f t="shared" si="903"/>
        <v>-5.1870000000000003</v>
      </c>
      <c r="BH402" s="525">
        <f>BH235</f>
        <v>-5.7210000000000001</v>
      </c>
      <c r="BI402" s="762">
        <f>BI235</f>
        <v>-19.571000000000002</v>
      </c>
      <c r="BJ402" s="525">
        <f>BJ235</f>
        <v>-5.6639999999999997</v>
      </c>
      <c r="BK402" s="525">
        <f>BK235</f>
        <v>-5.4240000000000004</v>
      </c>
      <c r="BL402" s="581">
        <f>BL235</f>
        <v>-5.3079999999999998</v>
      </c>
      <c r="BM402" s="525">
        <f>IFERROR(BM398-BM400,"n/a")</f>
        <v>-4.9946825136612025</v>
      </c>
      <c r="BN402" s="762">
        <f>SUM(BJ402,BK402,BL402,BM402)</f>
        <v>-21.390682513661204</v>
      </c>
      <c r="BO402" s="525" t="str">
        <f>IFERROR(BO398-BO400,"n/a")</f>
        <v>n/a</v>
      </c>
      <c r="BP402" s="525" t="str">
        <f>IFERROR(BP398-BP400,"n/a")</f>
        <v>n/a</v>
      </c>
      <c r="BQ402" s="525" t="str">
        <f>IFERROR(BQ398-BQ400,"n/a")</f>
        <v>n/a</v>
      </c>
      <c r="BR402" s="525" t="str">
        <f>IFERROR(BR398-BR400,"n/a")</f>
        <v>n/a</v>
      </c>
      <c r="BS402" s="762">
        <f>SUM(BO402,BP402,BQ402,BR402)</f>
        <v>0</v>
      </c>
      <c r="BT402" s="762" t="str">
        <f>IFERROR(BT398-BT400,"n/a")</f>
        <v>n/a</v>
      </c>
      <c r="BU402" s="762" t="str">
        <f>IFERROR(BU398-BU400,"n/a")</f>
        <v>n/a</v>
      </c>
      <c r="BV402" s="762" t="str">
        <f>IFERROR(BV398-BV400,"n/a")</f>
        <v>n/a</v>
      </c>
      <c r="BW402" s="519"/>
    </row>
    <row r="403" spans="1:75" s="439" customFormat="1">
      <c r="A403" s="523" t="s">
        <v>419</v>
      </c>
      <c r="B403" s="30"/>
      <c r="C403" s="673"/>
      <c r="D403" s="673" t="str">
        <f>IFERROR(IF(D402/AVERAGE(C394,D394)&lt;0,"n/a",D402/AVERAGE(C394,D394)),"n/a")</f>
        <v>n/a</v>
      </c>
      <c r="E403" s="673" t="str">
        <f>IFERROR(IF(E402/AVERAGE(D394,E394)&lt;0,"n/a",E402/AVERAGE(D394,E394)),"n/a")</f>
        <v>n/a</v>
      </c>
      <c r="F403" s="673" t="str">
        <f>IFERROR(IF(F402/AVERAGE(E394,F394)&lt;0,"n/a",F402/AVERAGE(E394,F394)),"n/a")</f>
        <v>n/a</v>
      </c>
      <c r="G403" s="10" t="str">
        <f>IFERROR(IF(G402/AVERAGE(F394,G394)&lt;0,"n/a",G402/AVERAGE(F394,G394)*K3/G3),"n/a")</f>
        <v>n/a</v>
      </c>
      <c r="H403" s="10" t="str">
        <f>IFERROR(IF(H402/AVERAGE(G394,H394)&lt;0,"n/a",H402/AVERAGE(G394,H394)*K3/H3),"n/a")</f>
        <v>n/a</v>
      </c>
      <c r="I403" s="10" t="str">
        <f>IFERROR(IF(I402/AVERAGE(H394,I394)&lt;0,"n/a",I402/AVERAGE(H394,I394)*K3/I3),"n/a")</f>
        <v>n/a</v>
      </c>
      <c r="J403" s="10" t="str">
        <f>IFERROR(IF(J402/AVERAGE(I394,J394)&lt;0,"n/a",J402/AVERAGE(I394,J394)*K3/J3),"n/a")</f>
        <v>n/a</v>
      </c>
      <c r="K403" s="673" t="str">
        <f>IFERROR(IF(K402/AVERAGE(G394,H394,I394,J394)&lt;0,"n/a",K402/AVERAGE(G394,H394,I394,J394)),"n/a")</f>
        <v>n/a</v>
      </c>
      <c r="L403" s="10" t="str">
        <f>IFERROR(IF(L402/AVERAGE(K394,L394)&lt;0,"n/a",L402/AVERAGE(K394,L394)*P3/L3),"n/a")</f>
        <v>n/a</v>
      </c>
      <c r="M403" s="10" t="str">
        <f>IFERROR(IF(M402/AVERAGE(L394,M394)&lt;0,"n/a",M402/AVERAGE(L394,M394)*P3/M3),"n/a")</f>
        <v>n/a</v>
      </c>
      <c r="N403" s="10" t="str">
        <f>IFERROR(IF(N402/AVERAGE(M394,N394)&lt;0,"n/a",N402/AVERAGE(M394,N394)*P3/N3),"n/a")</f>
        <v>n/a</v>
      </c>
      <c r="O403" s="10" t="str">
        <f>IFERROR(IF(O402/AVERAGE(N394,O394)&lt;0,"n/a",O402/AVERAGE(N394,O394)*P3/O3),"n/a")</f>
        <v>n/a</v>
      </c>
      <c r="P403" s="673" t="str">
        <f>IFERROR(IF(P402/AVERAGE(L394,M394,N394,O394)&lt;0,"n/a",P402/AVERAGE(L394,M394,N394,O394)),"n/a")</f>
        <v>n/a</v>
      </c>
      <c r="Q403" s="10" t="str">
        <f>IFERROR(IF(Q402/AVERAGE(P394,Q394)&lt;0,"n/a",Q402/AVERAGE(P394,Q394)*U3/Q3),"n/a")</f>
        <v>n/a</v>
      </c>
      <c r="R403" s="10" t="str">
        <f>IFERROR(IF(R402/AVERAGE(Q394,R394)&lt;0,"n/a",R402/AVERAGE(Q394,R394)*U3/R3),"n/a")</f>
        <v>n/a</v>
      </c>
      <c r="S403" s="10" t="str">
        <f>IFERROR(IF(S402/AVERAGE(R394,S394)&lt;0,"n/a",S402/AVERAGE(R394,S394)*U3/S3),"n/a")</f>
        <v>n/a</v>
      </c>
      <c r="T403" s="10" t="str">
        <f>IFERROR(IF(T402/AVERAGE(S394,T394)&lt;0,"n/a",T402/AVERAGE(S394,T394)*U3/T3),"n/a")</f>
        <v>n/a</v>
      </c>
      <c r="U403" s="673" t="str">
        <f>IFERROR(IF(U402/AVERAGE(Q394,R394,S394,T394)&lt;0,"n/a",U402/AVERAGE(Q394,R394,S394,T394)),"n/a")</f>
        <v>n/a</v>
      </c>
      <c r="V403" s="10" t="str">
        <f>IFERROR(IF(V402/AVERAGE(U394,V394)&lt;0,"n/a",V402/AVERAGE(U394,V394)*Z3/V3),"n/a")</f>
        <v>n/a</v>
      </c>
      <c r="W403" s="10" t="str">
        <f>IFERROR(IF(W402/AVERAGE(V394,W394)&lt;0,"n/a",W402/AVERAGE(V394,W394)*Z3/W3),"n/a")</f>
        <v>n/a</v>
      </c>
      <c r="X403" s="10" t="str">
        <f>IFERROR(IF(X402/AVERAGE(W394,X394)&lt;0,"n/a",X402/AVERAGE(W394,X394)*Z3/X3),"n/a")</f>
        <v>n/a</v>
      </c>
      <c r="Y403" s="10" t="str">
        <f>IFERROR(IF(Y402/AVERAGE(X394,Y394)&lt;0,"n/a",Y402/AVERAGE(X394,Y394)*Z3/Y3),"n/a")</f>
        <v>n/a</v>
      </c>
      <c r="Z403" s="673" t="str">
        <f>IFERROR(IF(Z402/AVERAGE(V394,W394,X394,Y394)&lt;0,"n/a",Z402/AVERAGE(V394,W394,X394,Y394)),"n/a")</f>
        <v>n/a</v>
      </c>
      <c r="AA403" s="10" t="str">
        <f>IFERROR(IF(AA402/AVERAGE(Z394,AA394)&lt;0,"n/a",AA402/AVERAGE(Z394,AA394)*AE3/AA3),"n/a")</f>
        <v>n/a</v>
      </c>
      <c r="AB403" s="10" t="str">
        <f>IFERROR(IF(AB402/AVERAGE(AA394,AB394)&lt;0,"n/a",AB402/AVERAGE(AA394,AB394)*AE3/AB3),"n/a")</f>
        <v>n/a</v>
      </c>
      <c r="AC403" s="10" t="str">
        <f>IFERROR(IF(AC402/AVERAGE(AB394,AC394)&lt;0,"n/a",AC402/AVERAGE(AB394,AC394)*AE3/AC3),"n/a")</f>
        <v>n/a</v>
      </c>
      <c r="AD403" s="10" t="str">
        <f>IFERROR(IF(AD402/AVERAGE(AC394,AD394)&lt;0,"n/a",AD402/AVERAGE(AC394,AD394)*AE3/AD3),"n/a")</f>
        <v>n/a</v>
      </c>
      <c r="AE403" s="673" t="str">
        <f>IFERROR(IF(AE402/AVERAGE(AA394,AB394,AC394,AD394)&lt;0,"n/a",AE402/AVERAGE(AA394,AB394,AC394,AD394)),"n/a")</f>
        <v>n/a</v>
      </c>
      <c r="AF403" s="10" t="str">
        <f>IFERROR(IF(AF402/AVERAGE(AE394,AF394)&lt;0,"n/a",AF402/AVERAGE(AE394,AF394)*AJ3/AF3),"n/a")</f>
        <v>n/a</v>
      </c>
      <c r="AG403" s="10" t="str">
        <f>IFERROR(IF(AG402/AVERAGE(AF394,AG394)&lt;0,"n/a",AG402/AVERAGE(AF394,AG394)*AJ3/AG3),"n/a")</f>
        <v>n/a</v>
      </c>
      <c r="AH403" s="10" t="str">
        <f>IFERROR(IF(AH402/AVERAGE(AG394,AH394)&lt;0,"n/a",AH402/AVERAGE(AG394,AH394)*AJ3/AH3),"n/a")</f>
        <v>n/a</v>
      </c>
      <c r="AI403" s="10" t="str">
        <f>IFERROR(IF(AI402/AVERAGE(AH394,AI394)&lt;0,"n/a",AI402/AVERAGE(AH394,AI394)*AJ3/AI3),"n/a")</f>
        <v>n/a</v>
      </c>
      <c r="AJ403" s="673" t="str">
        <f>IFERROR(IF(AJ402/AVERAGE(AF394,AG394,AH394,AI394)&lt;0,"n/a",AJ402/AVERAGE(AF394,AG394,AH394,AI394)),"n/a")</f>
        <v>n/a</v>
      </c>
      <c r="AK403" s="10" t="str">
        <f>IFERROR(IF(AK402/AVERAGE(AJ394,AK394)&lt;0,"n/a",AK402/AVERAGE(AJ394,AK394)*AO3/AK3),"n/a")</f>
        <v>n/a</v>
      </c>
      <c r="AL403" s="10" t="str">
        <f>IFERROR(IF(AL402/AVERAGE(AK394,AL394)&lt;0,"n/a",AL402/AVERAGE(AK394,AL394)*AO3/AL3),"n/a")</f>
        <v>n/a</v>
      </c>
      <c r="AM403" s="10" t="str">
        <f>IFERROR(IF(AM402/AVERAGE(AL394,AM394)&lt;0,"n/a",AM402/AVERAGE(AL394,AM394)*AO3/AM3),"n/a")</f>
        <v>n/a</v>
      </c>
      <c r="AN403" s="10" t="str">
        <f>IFERROR(IF(AN402/AVERAGE(AM394,AN394)&lt;0,"n/a",AN402/AVERAGE(AM394,AN394)*AO3/AN3),"n/a")</f>
        <v>n/a</v>
      </c>
      <c r="AO403" s="673" t="str">
        <f>IFERROR(IF(AO402/AVERAGE(AK394,AL394,AM394,AN394)&lt;0,"n/a",AO402/AVERAGE(AK394,AL394,AM394,AN394)),"n/a")</f>
        <v>n/a</v>
      </c>
      <c r="AP403" s="10" t="str">
        <f>IFERROR(IF(AP402/AVERAGE(AO394,AP394)&lt;0,"n/a",AP402/AVERAGE(AO394,AP394)*AT3/AP3),"n/a")</f>
        <v>n/a</v>
      </c>
      <c r="AQ403" s="10" t="str">
        <f>IFERROR(IF(AQ402/AVERAGE(AP394,AQ394)&lt;0,"n/a",AQ402/AVERAGE(AP394,AQ394)*AT3/AQ3),"n/a")</f>
        <v>n/a</v>
      </c>
      <c r="AR403" s="10" t="str">
        <f>IFERROR(IF(AR402/AVERAGE(AQ394,AR394)&lt;0,"n/a",AR402/AVERAGE(AQ394,AR394)*AT3/AR3),"n/a")</f>
        <v>n/a</v>
      </c>
      <c r="AS403" s="10" t="str">
        <f>IFERROR(IF(AS402/AVERAGE(AR394,AS394)&lt;0,"n/a",AS402/AVERAGE(AR394,AS394)*AT3/AS3),"n/a")</f>
        <v>n/a</v>
      </c>
      <c r="AT403" s="673" t="str">
        <f>IFERROR(IF(AT402/AVERAGE(AP394,AQ394,AR394,AS394)&lt;0,"n/a",AT402/AVERAGE(AP394,AQ394,AR394,AS394)),"n/a")</f>
        <v>n/a</v>
      </c>
      <c r="AU403" s="10" t="str">
        <f>IFERROR(IF(AU402/AVERAGE(AT394,AU394)&lt;0,"n/a",AU402/AVERAGE(AT394,AU394)*AY3/AU3),"n/a")</f>
        <v>n/a</v>
      </c>
      <c r="AV403" s="10" t="str">
        <f>IFERROR(IF(AV402/AVERAGE(AU394,AV394)&lt;0,"n/a",AV402/AVERAGE(AU394,AV394)*AY3/AV3),"n/a")</f>
        <v>n/a</v>
      </c>
      <c r="AW403" s="10" t="str">
        <f>IFERROR(IF(AW402/AVERAGE(AV394,AW394)&lt;0,"n/a",AW402/AVERAGE(AV394,AW394)*AY3/AW3),"n/a")</f>
        <v>n/a</v>
      </c>
      <c r="AX403" s="10" t="str">
        <f>IFERROR(IF(AX402/AVERAGE(AW394,AX394)&lt;0,"n/a",AX402/AVERAGE(AW394,AX394)*AY3/AX3),"n/a")</f>
        <v>n/a</v>
      </c>
      <c r="AY403" s="673" t="str">
        <f>IFERROR(IF(AY402/AVERAGE(AU394,AV394,AW394,AX394)&lt;0,"n/a",AY402/AVERAGE(AU394,AV394,AW394,AX394)),"n/a")</f>
        <v>n/a</v>
      </c>
      <c r="AZ403" s="10" t="str">
        <f>IFERROR(IF(AZ402/AVERAGE(AY394,AZ394)&lt;0,"n/a",AZ402/AVERAGE(AY394,AZ394)*BD3/AZ3),"n/a")</f>
        <v>n/a</v>
      </c>
      <c r="BA403" s="10" t="str">
        <f>IFERROR(IF(BA402/AVERAGE(AZ394,BA394)&lt;0,"n/a",BA402/AVERAGE(AZ394,BA394)*BD3/BA3),"n/a")</f>
        <v>n/a</v>
      </c>
      <c r="BB403" s="10" t="str">
        <f>IFERROR(IF(BB402/AVERAGE(BA394,BB394)&lt;0,"n/a",BB402/AVERAGE(BA394,BB394)*BD3/BB3),"n/a")</f>
        <v>n/a</v>
      </c>
      <c r="BC403" s="10" t="str">
        <f>IFERROR(IF(BC402/AVERAGE(BB394,BC394)&lt;0,"n/a",BC402/AVERAGE(BB394,BC394)*BD3/BC3),"n/a")</f>
        <v>n/a</v>
      </c>
      <c r="BD403" s="673" t="str">
        <f>IFERROR(IF(BD402/AVERAGE(AZ394,BA394,BB394,BC394)&lt;0,"n/a",BD402/AVERAGE(AZ394,BA394,BB394,BC394)),"n/a")</f>
        <v>n/a</v>
      </c>
      <c r="BE403" s="10" t="str">
        <f>IFERROR(IF(BE402/AVERAGE(BD394,BE394)&lt;0,"n/a",BE402/AVERAGE(BD394,BE394)*BI3/BE3),"n/a")</f>
        <v>n/a</v>
      </c>
      <c r="BF403" s="10" t="str">
        <f>IFERROR(IF(BF402/AVERAGE(BE394,BF394)&lt;0,"n/a",BF402/AVERAGE(BE394,BF394)*BI3/BF3),"n/a")</f>
        <v>n/a</v>
      </c>
      <c r="BG403" s="10" t="str">
        <f>IFERROR(IF(BG402/AVERAGE(BF394,BG394)&lt;0,"n/a",BG402/AVERAGE(BF394,BG394)*BI3/BG3),"n/a")</f>
        <v>n/a</v>
      </c>
      <c r="BH403" s="10" t="str">
        <f>IFERROR(IF(BH402/AVERAGE(BG394,BH394)&lt;0,"n/a",BH402/AVERAGE(BG394,BH394)*BI3/BH3),"n/a")</f>
        <v>n/a</v>
      </c>
      <c r="BI403" s="673" t="str">
        <f>IFERROR(IF(BI402/AVERAGE(BE394,BF394,BG394,BH394)&lt;0,"n/a",BI402/AVERAGE(BE394,BF394,BG394,BH394)),"n/a")</f>
        <v>n/a</v>
      </c>
      <c r="BJ403" s="10" t="str">
        <f>IFERROR(IF(BJ402/AVERAGE(BI394,BJ394)&lt;0,"n/a",BJ402/AVERAGE(BI394,BJ394)*BN3/BJ3),"n/a")</f>
        <v>n/a</v>
      </c>
      <c r="BK403" s="10" t="str">
        <f>IFERROR(IF(BK402/AVERAGE(BJ394,BK394)&lt;0,"n/a",BK402/AVERAGE(BJ394,BK394)*BN3/BK3),"n/a")</f>
        <v>n/a</v>
      </c>
      <c r="BL403" s="390" t="str">
        <f>IFERROR(IF(BL402/AVERAGE(BK394,BL394)&lt;0,"n/a",BL402/AVERAGE(BK394,BL394)*BN3/BL3),"n/a")</f>
        <v>n/a</v>
      </c>
      <c r="BM403" s="10" t="str">
        <f>IFERROR(IF(BM402/AVERAGE(BL394,BM394)&lt;0,"n/a",BM402/AVERAGE(BL394,BM394)*BN3/BM3),"n/a")</f>
        <v>n/a</v>
      </c>
      <c r="BN403" s="673" t="str">
        <f>IFERROR(IF(BN402/AVERAGE(BJ394,BK394,BL394,BM394)&lt;0,"n/a",BN402/AVERAGE(BJ394,BK394,BL394,BM394)),"n/a")</f>
        <v>n/a</v>
      </c>
      <c r="BO403" s="10" t="str">
        <f>IFERROR(IF(BO402/AVERAGE(BN394,BO394)&lt;0,"n/a",BO402/AVERAGE(BN394,BO394)*BS3/BO3),"n/a")</f>
        <v>n/a</v>
      </c>
      <c r="BP403" s="10" t="str">
        <f>IFERROR(IF(BP402/AVERAGE(BO394,BP394)&lt;0,"n/a",BP402/AVERAGE(BO394,BP394)*BS3/BP3),"n/a")</f>
        <v>n/a</v>
      </c>
      <c r="BQ403" s="10" t="str">
        <f>IFERROR(IF(BQ402/AVERAGE(BP394,BQ394)&lt;0,"n/a",BQ402/AVERAGE(BP394,BQ394)*BS3/BQ3),"n/a")</f>
        <v>n/a</v>
      </c>
      <c r="BR403" s="10" t="str">
        <f>IFERROR(IF(BR402/AVERAGE(BQ394,BR394)&lt;0,"n/a",BR402/AVERAGE(BQ394,BR394)*BS3/BR3),"n/a")</f>
        <v>n/a</v>
      </c>
      <c r="BS403" s="673" t="str">
        <f>IFERROR(IF(BS402/AVERAGE(BO394,BP394,BQ394,BR394)&lt;0,"n/a",BS402/AVERAGE(BO394,BP394,BQ394,BR394)),"n/a")</f>
        <v>n/a</v>
      </c>
      <c r="BT403" s="673" t="str">
        <f>IFERROR(IF(BT402/AVERAGE(BS394,BT394)&lt;0,"n/a",BT402/AVERAGE(BS394,BT394)),"n/a")</f>
        <v>n/a</v>
      </c>
      <c r="BU403" s="673" t="str">
        <f>IFERROR(IF(BU402/AVERAGE(BT394,BU394)&lt;0,"n/a",BU402/AVERAGE(BT394,BU394)),"n/a")</f>
        <v>n/a</v>
      </c>
      <c r="BV403" s="673" t="str">
        <f>IFERROR(IF(BV402/AVERAGE(BU394,BV394)&lt;0,"n/a",BV402/AVERAGE(BU394,BV394)),"n/a")</f>
        <v>n/a</v>
      </c>
      <c r="BW403" s="519"/>
    </row>
    <row r="404" spans="1:75" s="439" customFormat="1">
      <c r="A404" s="523"/>
      <c r="B404" s="30"/>
      <c r="C404" s="673"/>
      <c r="D404" s="673"/>
      <c r="E404" s="673"/>
      <c r="F404" s="673"/>
      <c r="G404" s="10"/>
      <c r="H404" s="10"/>
      <c r="I404" s="10"/>
      <c r="J404" s="10"/>
      <c r="K404" s="673"/>
      <c r="L404" s="10"/>
      <c r="M404" s="10"/>
      <c r="N404" s="10"/>
      <c r="O404" s="10"/>
      <c r="P404" s="673"/>
      <c r="Q404" s="10"/>
      <c r="R404" s="10"/>
      <c r="S404" s="10"/>
      <c r="T404" s="10"/>
      <c r="U404" s="673"/>
      <c r="V404" s="10"/>
      <c r="W404" s="10"/>
      <c r="X404" s="10"/>
      <c r="Y404" s="10"/>
      <c r="Z404" s="673"/>
      <c r="AA404" s="10"/>
      <c r="AB404" s="10"/>
      <c r="AC404" s="10"/>
      <c r="AD404" s="10"/>
      <c r="AE404" s="673"/>
      <c r="AF404" s="10"/>
      <c r="AG404" s="10"/>
      <c r="AH404" s="10"/>
      <c r="AI404" s="10"/>
      <c r="AJ404" s="673"/>
      <c r="AK404" s="10"/>
      <c r="AL404" s="10"/>
      <c r="AM404" s="10"/>
      <c r="AN404" s="10"/>
      <c r="AO404" s="673"/>
      <c r="AP404" s="10"/>
      <c r="AQ404" s="10"/>
      <c r="AR404" s="10"/>
      <c r="AS404" s="10"/>
      <c r="AT404" s="673"/>
      <c r="AU404" s="10"/>
      <c r="AV404" s="10"/>
      <c r="AW404" s="10"/>
      <c r="AX404" s="10"/>
      <c r="AY404" s="673"/>
      <c r="AZ404" s="10"/>
      <c r="BA404" s="10"/>
      <c r="BB404" s="10"/>
      <c r="BC404" s="10"/>
      <c r="BD404" s="673"/>
      <c r="BE404" s="10"/>
      <c r="BF404" s="10"/>
      <c r="BG404" s="10"/>
      <c r="BH404" s="10"/>
      <c r="BI404" s="673"/>
      <c r="BJ404" s="10"/>
      <c r="BK404" s="10"/>
      <c r="BL404" s="390"/>
      <c r="BM404" s="10"/>
      <c r="BN404" s="673"/>
      <c r="BO404" s="10"/>
      <c r="BP404" s="10"/>
      <c r="BQ404" s="10"/>
      <c r="BR404" s="10"/>
      <c r="BS404" s="673"/>
      <c r="BT404" s="673"/>
      <c r="BU404" s="673"/>
      <c r="BV404" s="673"/>
      <c r="BW404" s="519"/>
    </row>
    <row r="405" spans="1:75" s="439" customFormat="1">
      <c r="A405" s="523" t="s">
        <v>420</v>
      </c>
      <c r="B405" s="30"/>
      <c r="C405" s="763" t="str">
        <f t="shared" ref="C405:AH405" si="904">IFERROR(IF(OR(C232&lt;0,C402&lt;0),"n/a",C232/C402),"n/a")</f>
        <v>n/a</v>
      </c>
      <c r="D405" s="763" t="str">
        <f t="shared" si="904"/>
        <v>n/a</v>
      </c>
      <c r="E405" s="763" t="str">
        <f t="shared" si="904"/>
        <v>n/a</v>
      </c>
      <c r="F405" s="763" t="str">
        <f t="shared" si="904"/>
        <v>n/a</v>
      </c>
      <c r="G405" s="178" t="str">
        <f t="shared" si="904"/>
        <v>n/a</v>
      </c>
      <c r="H405" s="178" t="str">
        <f t="shared" si="904"/>
        <v>n/a</v>
      </c>
      <c r="I405" s="178" t="str">
        <f t="shared" si="904"/>
        <v>n/a</v>
      </c>
      <c r="J405" s="178" t="str">
        <f t="shared" si="904"/>
        <v>n/a</v>
      </c>
      <c r="K405" s="763" t="str">
        <f t="shared" si="904"/>
        <v>n/a</v>
      </c>
      <c r="L405" s="178" t="str">
        <f t="shared" si="904"/>
        <v>n/a</v>
      </c>
      <c r="M405" s="178" t="str">
        <f t="shared" si="904"/>
        <v>n/a</v>
      </c>
      <c r="N405" s="178" t="str">
        <f t="shared" si="904"/>
        <v>n/a</v>
      </c>
      <c r="O405" s="178">
        <f t="shared" si="904"/>
        <v>302.39759036144585</v>
      </c>
      <c r="P405" s="763" t="str">
        <f t="shared" si="904"/>
        <v>n/a</v>
      </c>
      <c r="Q405" s="178" t="str">
        <f t="shared" si="904"/>
        <v>n/a</v>
      </c>
      <c r="R405" s="178" t="str">
        <f t="shared" si="904"/>
        <v>n/a</v>
      </c>
      <c r="S405" s="178" t="str">
        <f t="shared" si="904"/>
        <v>n/a</v>
      </c>
      <c r="T405" s="178">
        <f t="shared" si="904"/>
        <v>155.21238938053091</v>
      </c>
      <c r="U405" s="763" t="str">
        <f t="shared" si="904"/>
        <v>n/a</v>
      </c>
      <c r="V405" s="178" t="str">
        <f t="shared" si="904"/>
        <v>n/a</v>
      </c>
      <c r="W405" s="178" t="str">
        <f t="shared" si="904"/>
        <v>n/a</v>
      </c>
      <c r="X405" s="178" t="str">
        <f t="shared" si="904"/>
        <v>n/a</v>
      </c>
      <c r="Y405" s="178" t="str">
        <f t="shared" si="904"/>
        <v>n/a</v>
      </c>
      <c r="Z405" s="763" t="str">
        <f t="shared" si="904"/>
        <v>n/a</v>
      </c>
      <c r="AA405" s="178" t="str">
        <f t="shared" si="904"/>
        <v>n/a</v>
      </c>
      <c r="AB405" s="178" t="str">
        <f t="shared" si="904"/>
        <v>n/a</v>
      </c>
      <c r="AC405" s="178" t="str">
        <f t="shared" si="904"/>
        <v>n/a</v>
      </c>
      <c r="AD405" s="178" t="str">
        <f t="shared" si="904"/>
        <v>n/a</v>
      </c>
      <c r="AE405" s="763" t="str">
        <f t="shared" si="904"/>
        <v>n/a</v>
      </c>
      <c r="AF405" s="178" t="str">
        <f t="shared" si="904"/>
        <v>n/a</v>
      </c>
      <c r="AG405" s="178" t="str">
        <f t="shared" si="904"/>
        <v>n/a</v>
      </c>
      <c r="AH405" s="178" t="str">
        <f t="shared" si="904"/>
        <v>n/a</v>
      </c>
      <c r="AI405" s="178" t="str">
        <f t="shared" ref="AI405:BN405" si="905">IFERROR(IF(OR(AI232&lt;0,AI402&lt;0),"n/a",AI232/AI402),"n/a")</f>
        <v>n/a</v>
      </c>
      <c r="AJ405" s="763" t="str">
        <f t="shared" si="905"/>
        <v>n/a</v>
      </c>
      <c r="AK405" s="178" t="str">
        <f t="shared" si="905"/>
        <v>n/a</v>
      </c>
      <c r="AL405" s="178" t="str">
        <f t="shared" si="905"/>
        <v>n/a</v>
      </c>
      <c r="AM405" s="178" t="str">
        <f t="shared" si="905"/>
        <v>n/a</v>
      </c>
      <c r="AN405" s="178" t="str">
        <f t="shared" si="905"/>
        <v>n/a</v>
      </c>
      <c r="AO405" s="763" t="str">
        <f t="shared" si="905"/>
        <v>n/a</v>
      </c>
      <c r="AP405" s="178" t="str">
        <f t="shared" si="905"/>
        <v>n/a</v>
      </c>
      <c r="AQ405" s="178" t="str">
        <f t="shared" si="905"/>
        <v>n/a</v>
      </c>
      <c r="AR405" s="178" t="str">
        <f t="shared" si="905"/>
        <v>n/a</v>
      </c>
      <c r="AS405" s="178">
        <f t="shared" si="905"/>
        <v>1922.6774193548579</v>
      </c>
      <c r="AT405" s="763" t="str">
        <f t="shared" si="905"/>
        <v>n/a</v>
      </c>
      <c r="AU405" s="178">
        <f t="shared" si="905"/>
        <v>2428.0555555555557</v>
      </c>
      <c r="AV405" s="178">
        <f t="shared" si="905"/>
        <v>1876.0882352941171</v>
      </c>
      <c r="AW405" s="178">
        <f t="shared" si="905"/>
        <v>2281.0967741935469</v>
      </c>
      <c r="AX405" s="178">
        <f t="shared" si="905"/>
        <v>2064.1818181818189</v>
      </c>
      <c r="AY405" s="763">
        <f t="shared" si="905"/>
        <v>2123.4827586206893</v>
      </c>
      <c r="AZ405" s="178" t="str">
        <f t="shared" si="905"/>
        <v>n/a</v>
      </c>
      <c r="BA405" s="178" t="str">
        <f t="shared" si="905"/>
        <v>n/a</v>
      </c>
      <c r="BB405" s="178" t="str">
        <f t="shared" si="905"/>
        <v>n/a</v>
      </c>
      <c r="BC405" s="178" t="str">
        <f t="shared" si="905"/>
        <v>n/a</v>
      </c>
      <c r="BD405" s="763" t="str">
        <f t="shared" si="905"/>
        <v>n/a</v>
      </c>
      <c r="BE405" s="178" t="str">
        <f t="shared" si="905"/>
        <v>n/a</v>
      </c>
      <c r="BF405" s="178" t="str">
        <f t="shared" si="905"/>
        <v>n/a</v>
      </c>
      <c r="BG405" s="178" t="str">
        <f t="shared" si="905"/>
        <v>n/a</v>
      </c>
      <c r="BH405" s="178" t="str">
        <f t="shared" ref="BH405:BM405" si="906">IFERROR(IF(OR(BH232&lt;0,BH402&lt;0),"n/a",BH232/BH402),"n/a")</f>
        <v>n/a</v>
      </c>
      <c r="BI405" s="763" t="str">
        <f t="shared" si="906"/>
        <v>n/a</v>
      </c>
      <c r="BJ405" s="178" t="str">
        <f>IFERROR(IF(OR(BJ232&lt;0,BJ402&lt;0),"n/a",BJ232/BJ402),"n/a")</f>
        <v>n/a</v>
      </c>
      <c r="BK405" s="178" t="str">
        <f>IFERROR(IF(OR(BK232&lt;0,BK402&lt;0),"n/a",BK232/BK402),"n/a")</f>
        <v>n/a</v>
      </c>
      <c r="BL405" s="508" t="str">
        <f>IFERROR(IF(OR(BL232&lt;0,BL402&lt;0),"n/a",BL232/BL402),"n/a")</f>
        <v>n/a</v>
      </c>
      <c r="BM405" s="178" t="str">
        <f t="shared" si="906"/>
        <v>n/a</v>
      </c>
      <c r="BN405" s="763" t="str">
        <f t="shared" si="905"/>
        <v>n/a</v>
      </c>
      <c r="BO405" s="178" t="str">
        <f t="shared" ref="BO405:BV405" si="907">IFERROR(IF(OR(BO232&lt;0,BO402&lt;0),"n/a",BO232/BO402),"n/a")</f>
        <v>n/a</v>
      </c>
      <c r="BP405" s="178" t="str">
        <f t="shared" si="907"/>
        <v>n/a</v>
      </c>
      <c r="BQ405" s="178" t="str">
        <f t="shared" si="907"/>
        <v>n/a</v>
      </c>
      <c r="BR405" s="178" t="str">
        <f t="shared" si="907"/>
        <v>n/a</v>
      </c>
      <c r="BS405" s="763" t="str">
        <f t="shared" si="907"/>
        <v>n/a</v>
      </c>
      <c r="BT405" s="763" t="str">
        <f t="shared" si="907"/>
        <v>n/a</v>
      </c>
      <c r="BU405" s="763" t="str">
        <f t="shared" si="907"/>
        <v>n/a</v>
      </c>
      <c r="BV405" s="763" t="str">
        <f t="shared" si="907"/>
        <v>n/a</v>
      </c>
      <c r="BW405" s="519"/>
    </row>
    <row r="406" spans="1:75" s="473" customFormat="1">
      <c r="A406" s="37" t="s">
        <v>421</v>
      </c>
      <c r="B406" s="76"/>
      <c r="C406" s="763" t="str">
        <f>IF(C396&lt;0,"n/a",C396/C232)</f>
        <v>n/a</v>
      </c>
      <c r="D406" s="763" t="str">
        <f>IF(D396&lt;0,"n/a",D396/D232)</f>
        <v>n/a</v>
      </c>
      <c r="E406" s="763" t="str">
        <f>IF(E396&lt;0,"n/a",E396/E232)</f>
        <v>n/a</v>
      </c>
      <c r="F406" s="763" t="str">
        <f>IF(F396&lt;0,"n/a",F396/F232)</f>
        <v>n/a</v>
      </c>
      <c r="G406" s="178"/>
      <c r="H406" s="178"/>
      <c r="I406" s="178"/>
      <c r="J406" s="178"/>
      <c r="K406" s="763" t="str">
        <f>IF(K396&lt;0,"n/a",K396/K232)</f>
        <v>n/a</v>
      </c>
      <c r="L406" s="178"/>
      <c r="M406" s="178"/>
      <c r="N406" s="178"/>
      <c r="O406" s="178"/>
      <c r="P406" s="763" t="str">
        <f>IF(P396&lt;0,"n/a",P396/P232)</f>
        <v>n/a</v>
      </c>
      <c r="Q406" s="178"/>
      <c r="R406" s="178"/>
      <c r="S406" s="178"/>
      <c r="T406" s="178"/>
      <c r="U406" s="763" t="str">
        <f>IF(U396&lt;0,"n/a",U396/U232)</f>
        <v>n/a</v>
      </c>
      <c r="V406" s="178"/>
      <c r="W406" s="181"/>
      <c r="X406" s="181"/>
      <c r="Y406" s="181"/>
      <c r="Z406" s="763" t="str">
        <f>IF(Z396&lt;0,"n/a",Z396/Z232)</f>
        <v>n/a</v>
      </c>
      <c r="AA406" s="178"/>
      <c r="AB406" s="181"/>
      <c r="AC406" s="181"/>
      <c r="AD406" s="181"/>
      <c r="AE406" s="763" t="str">
        <f>IF(AE396&lt;0,"n/a",AE396/AE232)</f>
        <v>n/a</v>
      </c>
      <c r="AF406" s="178"/>
      <c r="AG406" s="181"/>
      <c r="AH406" s="181"/>
      <c r="AI406" s="181"/>
      <c r="AJ406" s="763" t="str">
        <f>IF(AJ396&lt;0,"n/a",AJ396/AJ232)</f>
        <v>n/a</v>
      </c>
      <c r="AK406" s="178"/>
      <c r="AL406" s="181"/>
      <c r="AM406" s="181"/>
      <c r="AN406" s="181"/>
      <c r="AO406" s="763" t="str">
        <f>IF(AO396&lt;0,"n/a",AO396/AO232)</f>
        <v>n/a</v>
      </c>
      <c r="AP406" s="178"/>
      <c r="AQ406" s="181"/>
      <c r="AR406" s="181"/>
      <c r="AS406" s="181"/>
      <c r="AT406" s="763" t="str">
        <f>IF(AT396&lt;0,"n/a",AT396/AT232)</f>
        <v>n/a</v>
      </c>
      <c r="AU406" s="178"/>
      <c r="AV406" s="181"/>
      <c r="AW406" s="181"/>
      <c r="AX406" s="181"/>
      <c r="AY406" s="763" t="str">
        <f>IF(AY396&lt;0,"n/a",AY396/AY232)</f>
        <v>n/a</v>
      </c>
      <c r="AZ406" s="178"/>
      <c r="BA406" s="181"/>
      <c r="BB406" s="181"/>
      <c r="BC406" s="181"/>
      <c r="BD406" s="763" t="str">
        <f>IF(BD396&lt;0,"n/a",BD396/BD232)</f>
        <v>n/a</v>
      </c>
      <c r="BE406" s="178"/>
      <c r="BF406" s="181"/>
      <c r="BG406" s="181"/>
      <c r="BH406" s="181"/>
      <c r="BI406" s="763" t="str">
        <f>IF(BI396&lt;0,"n/a",BI396/BI232)</f>
        <v>n/a</v>
      </c>
      <c r="BJ406" s="178"/>
      <c r="BK406" s="181"/>
      <c r="BL406" s="435"/>
      <c r="BM406" s="181"/>
      <c r="BN406" s="763" t="e">
        <f>IF(BN396&lt;0,"n/a",BN396/BN232)</f>
        <v>#REF!</v>
      </c>
      <c r="BO406" s="181"/>
      <c r="BP406" s="181"/>
      <c r="BQ406" s="181"/>
      <c r="BR406" s="181"/>
      <c r="BS406" s="763" t="e">
        <f>IF(BS396&lt;0,"n/a",BS396/BS232)</f>
        <v>#REF!</v>
      </c>
      <c r="BT406" s="763" t="e">
        <f>IF(BT396&lt;0,"n/a",BT396/BT232)</f>
        <v>#REF!</v>
      </c>
      <c r="BU406" s="763" t="e">
        <f>IF(BU396&lt;0,"n/a",BU396/BU232)</f>
        <v>#REF!</v>
      </c>
      <c r="BV406" s="763" t="e">
        <f>IF(BV396&lt;0,"n/a",BV396/BV232)</f>
        <v>#REF!</v>
      </c>
      <c r="BW406" s="144"/>
    </row>
    <row r="407" spans="1:75" s="473" customFormat="1">
      <c r="A407" s="37" t="s">
        <v>422</v>
      </c>
      <c r="B407" s="76"/>
      <c r="C407" s="763" t="str">
        <f>IF(C396&lt;0,"n/a",C396/C366)</f>
        <v>n/a</v>
      </c>
      <c r="D407" s="763" t="str">
        <f>IF(D396&lt;0,"n/a",D396/D366)</f>
        <v>n/a</v>
      </c>
      <c r="E407" s="763" t="str">
        <f>IF(E396&lt;0,"n/a",E396/E366)</f>
        <v>n/a</v>
      </c>
      <c r="F407" s="763" t="str">
        <f>IF(F396&lt;0,"n/a",F396/F366)</f>
        <v>n/a</v>
      </c>
      <c r="G407" s="178"/>
      <c r="H407" s="178"/>
      <c r="I407" s="178"/>
      <c r="J407" s="178"/>
      <c r="K407" s="763" t="str">
        <f>IF(K396&lt;0,"n/a",K396/K366)</f>
        <v>n/a</v>
      </c>
      <c r="L407" s="178"/>
      <c r="M407" s="178"/>
      <c r="N407" s="178"/>
      <c r="O407" s="178"/>
      <c r="P407" s="763" t="str">
        <f>IF(P396&lt;0,"n/a",P396/P366)</f>
        <v>n/a</v>
      </c>
      <c r="Q407" s="178"/>
      <c r="R407" s="178"/>
      <c r="S407" s="178"/>
      <c r="T407" s="178"/>
      <c r="U407" s="763" t="str">
        <f>IF(U396&lt;0,"n/a",U396/U366)</f>
        <v>n/a</v>
      </c>
      <c r="V407" s="178"/>
      <c r="W407" s="181"/>
      <c r="X407" s="181"/>
      <c r="Y407" s="181"/>
      <c r="Z407" s="763" t="str">
        <f>IF(Z396&lt;0,"n/a",Z396/Z366)</f>
        <v>n/a</v>
      </c>
      <c r="AA407" s="178"/>
      <c r="AB407" s="181"/>
      <c r="AC407" s="181"/>
      <c r="AD407" s="181"/>
      <c r="AE407" s="763" t="str">
        <f>IF(AE396&lt;0,"n/a",AE396/AE366)</f>
        <v>n/a</v>
      </c>
      <c r="AF407" s="178"/>
      <c r="AG407" s="181"/>
      <c r="AH407" s="181"/>
      <c r="AI407" s="181"/>
      <c r="AJ407" s="763" t="str">
        <f>IF(AJ396&lt;0,"n/a",AJ396/AJ366)</f>
        <v>n/a</v>
      </c>
      <c r="AK407" s="178"/>
      <c r="AL407" s="181"/>
      <c r="AM407" s="181"/>
      <c r="AN407" s="181"/>
      <c r="AO407" s="763" t="str">
        <f>IF(AO396&lt;0,"n/a",AO396/AO366)</f>
        <v>n/a</v>
      </c>
      <c r="AP407" s="178"/>
      <c r="AQ407" s="181"/>
      <c r="AR407" s="181"/>
      <c r="AS407" s="181"/>
      <c r="AT407" s="763" t="str">
        <f>IF(AT396&lt;0,"n/a",AT396/AT366)</f>
        <v>n/a</v>
      </c>
      <c r="AU407" s="178"/>
      <c r="AV407" s="181"/>
      <c r="AW407" s="181"/>
      <c r="AX407" s="181"/>
      <c r="AY407" s="763" t="str">
        <f>IF(AY396&lt;0,"n/a",AY396/AY366)</f>
        <v>n/a</v>
      </c>
      <c r="AZ407" s="178"/>
      <c r="BA407" s="181"/>
      <c r="BB407" s="181"/>
      <c r="BC407" s="181"/>
      <c r="BD407" s="763" t="str">
        <f>IF(BD396&lt;0,"n/a",BD396/BD366)</f>
        <v>n/a</v>
      </c>
      <c r="BE407" s="178"/>
      <c r="BF407" s="181"/>
      <c r="BG407" s="181"/>
      <c r="BH407" s="181"/>
      <c r="BI407" s="763" t="str">
        <f>IF(BI396&lt;0,"n/a",BI396/BI366)</f>
        <v>n/a</v>
      </c>
      <c r="BJ407" s="178"/>
      <c r="BK407" s="181"/>
      <c r="BL407" s="435"/>
      <c r="BM407" s="181"/>
      <c r="BN407" s="763" t="e">
        <f>IF(BN396&lt;0,"n/a",BN396/BN366)</f>
        <v>#REF!</v>
      </c>
      <c r="BO407" s="181"/>
      <c r="BP407" s="181"/>
      <c r="BQ407" s="181"/>
      <c r="BR407" s="181"/>
      <c r="BS407" s="763" t="e">
        <f>IF(BS396&lt;0,"n/a",BS396/BS366)</f>
        <v>#REF!</v>
      </c>
      <c r="BT407" s="763" t="e">
        <f>IF(BT396&lt;0,"n/a",BT396/BT366)</f>
        <v>#REF!</v>
      </c>
      <c r="BU407" s="763" t="e">
        <f>IF(BU396&lt;0,"n/a",BU396/BU366)</f>
        <v>#REF!</v>
      </c>
      <c r="BV407" s="763" t="e">
        <f>IF(BV396&lt;0,"n/a",BV396/BV366)</f>
        <v>#REF!</v>
      </c>
      <c r="BW407" s="144"/>
    </row>
    <row r="408" spans="1:75">
      <c r="A408" s="69"/>
      <c r="B408" s="69"/>
      <c r="C408" s="88"/>
      <c r="D408" s="88"/>
      <c r="E408" s="88"/>
      <c r="F408" s="88"/>
      <c r="G408" s="87"/>
      <c r="H408" s="87"/>
      <c r="I408" s="87"/>
      <c r="J408" s="87"/>
      <c r="K408" s="88"/>
      <c r="L408" s="87"/>
      <c r="M408" s="87"/>
      <c r="N408" s="87"/>
      <c r="O408" s="87"/>
      <c r="P408" s="88"/>
      <c r="Q408" s="87"/>
      <c r="R408" s="87"/>
      <c r="S408" s="87"/>
      <c r="T408" s="87"/>
      <c r="U408" s="88"/>
      <c r="V408" s="87"/>
      <c r="W408" s="87"/>
      <c r="X408" s="87"/>
      <c r="Y408" s="87"/>
      <c r="Z408" s="88"/>
      <c r="AA408" s="87"/>
      <c r="AB408" s="87"/>
      <c r="AC408" s="87"/>
      <c r="AD408" s="87"/>
      <c r="AE408" s="88"/>
      <c r="AF408" s="87"/>
      <c r="AG408" s="87"/>
      <c r="AH408" s="87"/>
      <c r="AI408" s="87"/>
      <c r="AJ408" s="88"/>
      <c r="AK408" s="87"/>
      <c r="AL408" s="87"/>
      <c r="AM408" s="87"/>
      <c r="AN408" s="87"/>
      <c r="AO408" s="88"/>
      <c r="AP408" s="87"/>
      <c r="AQ408" s="87"/>
      <c r="AR408" s="87"/>
      <c r="AS408" s="87"/>
      <c r="AT408" s="88"/>
      <c r="AU408" s="87"/>
      <c r="AV408" s="87"/>
      <c r="AW408" s="87"/>
      <c r="AX408" s="87"/>
      <c r="AY408" s="88"/>
      <c r="AZ408" s="87"/>
      <c r="BA408" s="87"/>
      <c r="BB408" s="87"/>
      <c r="BC408" s="87"/>
      <c r="BD408" s="88"/>
      <c r="BE408" s="87"/>
      <c r="BF408" s="87"/>
      <c r="BG408" s="87"/>
      <c r="BH408" s="87"/>
      <c r="BI408" s="88"/>
      <c r="BJ408" s="87"/>
      <c r="BK408" s="87"/>
      <c r="BL408" s="241"/>
      <c r="BM408" s="87"/>
      <c r="BN408" s="88"/>
      <c r="BO408" s="87"/>
      <c r="BP408" s="87"/>
      <c r="BQ408" s="87"/>
      <c r="BR408" s="87"/>
      <c r="BS408" s="88"/>
      <c r="BT408" s="88"/>
      <c r="BU408" s="88"/>
      <c r="BV408" s="88"/>
      <c r="BW408" s="129"/>
    </row>
    <row r="409" spans="1:75" s="444" customFormat="1">
      <c r="A409" s="517" t="s">
        <v>423</v>
      </c>
      <c r="B409" s="517"/>
      <c r="C409" s="517"/>
      <c r="D409" s="517"/>
      <c r="E409" s="517"/>
      <c r="F409" s="517"/>
      <c r="G409" s="517"/>
      <c r="H409" s="517"/>
      <c r="I409" s="517"/>
      <c r="J409" s="517"/>
      <c r="K409" s="517"/>
      <c r="L409" s="517"/>
      <c r="M409" s="517"/>
      <c r="N409" s="517"/>
      <c r="O409" s="517"/>
      <c r="P409" s="517"/>
      <c r="Q409" s="517"/>
      <c r="R409" s="517"/>
      <c r="S409" s="517"/>
      <c r="T409" s="517"/>
      <c r="U409" s="517"/>
      <c r="V409" s="517"/>
      <c r="W409" s="517"/>
      <c r="X409" s="517"/>
      <c r="Y409" s="517"/>
      <c r="Z409" s="517"/>
      <c r="AA409" s="517"/>
      <c r="AB409" s="517"/>
      <c r="AC409" s="517"/>
      <c r="AD409" s="517"/>
      <c r="AE409" s="517"/>
      <c r="AF409" s="517"/>
      <c r="AG409" s="517"/>
      <c r="AH409" s="517"/>
      <c r="AI409" s="517"/>
      <c r="AJ409" s="517"/>
      <c r="AK409" s="517"/>
      <c r="AL409" s="517"/>
      <c r="AM409" s="517"/>
      <c r="AN409" s="517"/>
      <c r="AO409" s="517"/>
      <c r="AP409" s="517"/>
      <c r="AQ409" s="517"/>
      <c r="AR409" s="517"/>
      <c r="AS409" s="517"/>
      <c r="AT409" s="517"/>
      <c r="AU409" s="517"/>
      <c r="AV409" s="517"/>
      <c r="AW409" s="517"/>
      <c r="AX409" s="517"/>
      <c r="AY409" s="517"/>
      <c r="AZ409" s="517"/>
      <c r="BA409" s="517"/>
      <c r="BB409" s="517"/>
      <c r="BC409" s="517"/>
      <c r="BD409" s="517"/>
      <c r="BE409" s="517"/>
      <c r="BF409" s="517"/>
      <c r="BG409" s="517"/>
      <c r="BH409" s="517"/>
      <c r="BI409" s="517"/>
      <c r="BJ409" s="517"/>
      <c r="BK409" s="517"/>
      <c r="BL409" s="562"/>
      <c r="BM409" s="517"/>
      <c r="BN409" s="517"/>
      <c r="BO409" s="517"/>
      <c r="BP409" s="517"/>
      <c r="BQ409" s="517"/>
      <c r="BR409" s="517"/>
      <c r="BS409" s="517"/>
      <c r="BT409" s="517"/>
      <c r="BU409" s="517"/>
      <c r="BV409" s="517"/>
      <c r="BW409" s="318"/>
    </row>
    <row r="410" spans="1:75" s="474" customFormat="1">
      <c r="A410" s="312" t="str">
        <f>"Stock Price (Reporting Cur.) - "&amp;MO.ValuationToggle&amp;", "&amp;MO.ReportCurrency</f>
        <v>Stock Price (Reporting Cur.) - EoP, USD</v>
      </c>
      <c r="B410" s="647" t="s">
        <v>424</v>
      </c>
      <c r="C410" s="764"/>
      <c r="D410" s="764"/>
      <c r="E410" s="764"/>
      <c r="F410" s="765">
        <f t="shared" ref="F410:AK410" si="908">IF(MO.ValuationToggle="EoP",INDEX(MO_VA_StockPrice_TradingCurrency,1,COLUMN())/INDEX(MO_VA_FX_EoP,1,COLUMN()),INDEX(MO_VA_StockPrice_TradingCurrency,1,COLUMN())/INDEX(MO_VA_FX_Average,1,COLUMN()))</f>
        <v>18.87</v>
      </c>
      <c r="G410" s="542">
        <f t="shared" si="908"/>
        <v>23.71</v>
      </c>
      <c r="H410" s="542">
        <f t="shared" si="908"/>
        <v>34.770000000000003</v>
      </c>
      <c r="I410" s="542">
        <f t="shared" si="908"/>
        <v>68.05</v>
      </c>
      <c r="J410" s="542">
        <f t="shared" si="908"/>
        <v>66.010000000000005</v>
      </c>
      <c r="K410" s="765">
        <f t="shared" si="908"/>
        <v>66.010000000000005</v>
      </c>
      <c r="L410" s="542">
        <f t="shared" si="908"/>
        <v>76.44</v>
      </c>
      <c r="M410" s="542">
        <f t="shared" si="908"/>
        <v>77.28</v>
      </c>
      <c r="N410" s="542">
        <f t="shared" si="908"/>
        <v>69.540000000000006</v>
      </c>
      <c r="O410" s="542">
        <f t="shared" si="908"/>
        <v>54.24</v>
      </c>
      <c r="P410" s="765">
        <f t="shared" si="908"/>
        <v>54.24</v>
      </c>
      <c r="Q410" s="542">
        <f t="shared" si="908"/>
        <v>47.39</v>
      </c>
      <c r="R410" s="542">
        <f t="shared" si="908"/>
        <v>42.47</v>
      </c>
      <c r="S410" s="542">
        <f t="shared" si="908"/>
        <v>21.14</v>
      </c>
      <c r="T410" s="542">
        <f t="shared" si="908"/>
        <v>28.25</v>
      </c>
      <c r="U410" s="765">
        <f t="shared" si="908"/>
        <v>28.25</v>
      </c>
      <c r="V410" s="542">
        <f t="shared" si="908"/>
        <v>20.43</v>
      </c>
      <c r="W410" s="542">
        <f t="shared" si="908"/>
        <v>29.2</v>
      </c>
      <c r="X410" s="542">
        <f t="shared" si="908"/>
        <v>40.98</v>
      </c>
      <c r="Y410" s="542">
        <f t="shared" si="908"/>
        <v>38.130000000000003</v>
      </c>
      <c r="Z410" s="766">
        <f t="shared" si="908"/>
        <v>38.130000000000003</v>
      </c>
      <c r="AA410" s="542">
        <f t="shared" si="908"/>
        <v>32.520000000000003</v>
      </c>
      <c r="AB410" s="542">
        <f t="shared" si="908"/>
        <v>29.89</v>
      </c>
      <c r="AC410" s="542">
        <f t="shared" si="908"/>
        <v>43.3</v>
      </c>
      <c r="AD410" s="542">
        <f t="shared" si="908"/>
        <v>41.96</v>
      </c>
      <c r="AE410" s="766">
        <f t="shared" si="908"/>
        <v>41.96</v>
      </c>
      <c r="AF410" s="542">
        <f t="shared" si="908"/>
        <v>41.75</v>
      </c>
      <c r="AG410" s="542">
        <f t="shared" si="908"/>
        <v>39.18</v>
      </c>
      <c r="AH410" s="542">
        <f t="shared" si="908"/>
        <v>49.2</v>
      </c>
      <c r="AI410" s="542">
        <f t="shared" si="908"/>
        <v>34.42</v>
      </c>
      <c r="AJ410" s="766">
        <f t="shared" si="908"/>
        <v>34.42</v>
      </c>
      <c r="AK410" s="542">
        <f t="shared" si="908"/>
        <v>34.5</v>
      </c>
      <c r="AL410" s="542">
        <f t="shared" ref="AL410:BN410" si="909">IF(MO.ValuationToggle="EoP",INDEX(MO_VA_StockPrice_TradingCurrency,1,COLUMN())/INDEX(MO_VA_FX_EoP,1,COLUMN()),INDEX(MO_VA_StockPrice_TradingCurrency,1,COLUMN())/INDEX(MO_VA_FX_Average,1,COLUMN()))</f>
        <v>34.18</v>
      </c>
      <c r="AM410" s="542">
        <f t="shared" si="909"/>
        <v>34.42</v>
      </c>
      <c r="AN410" s="542">
        <f t="shared" si="909"/>
        <v>34.58</v>
      </c>
      <c r="AO410" s="766">
        <f t="shared" si="909"/>
        <v>34.58</v>
      </c>
      <c r="AP410" s="542">
        <f t="shared" si="909"/>
        <v>17.53</v>
      </c>
      <c r="AQ410" s="542">
        <f t="shared" si="909"/>
        <v>21.47</v>
      </c>
      <c r="AR410" s="542">
        <f t="shared" si="909"/>
        <v>20.07</v>
      </c>
      <c r="AS410" s="542">
        <f t="shared" si="909"/>
        <v>31.64</v>
      </c>
      <c r="AT410" s="766">
        <f t="shared" si="909"/>
        <v>31.64</v>
      </c>
      <c r="AU410" s="542">
        <f t="shared" si="909"/>
        <v>38.57</v>
      </c>
      <c r="AV410" s="542">
        <f t="shared" si="909"/>
        <v>40.369999999999997</v>
      </c>
      <c r="AW410" s="542">
        <f t="shared" si="909"/>
        <v>37.979999999999997</v>
      </c>
      <c r="AX410" s="542">
        <f t="shared" si="909"/>
        <v>36.479999999999997</v>
      </c>
      <c r="AY410" s="766">
        <f t="shared" si="909"/>
        <v>36.479999999999997</v>
      </c>
      <c r="AZ410" s="542">
        <f t="shared" si="909"/>
        <v>34.76</v>
      </c>
      <c r="BA410" s="542">
        <f t="shared" si="909"/>
        <v>28.47</v>
      </c>
      <c r="BB410" s="542">
        <f t="shared" si="909"/>
        <v>33.770000000000003</v>
      </c>
      <c r="BC410" s="542">
        <f t="shared" si="909"/>
        <v>27.34</v>
      </c>
      <c r="BD410" s="766">
        <f t="shared" si="909"/>
        <v>27.34</v>
      </c>
      <c r="BE410" s="542">
        <f t="shared" ref="BE410:BM410" si="910">IF(MO.ValuationToggle="EoP",INDEX(MO_VA_StockPrice_TradingCurrency,1,COLUMN())/INDEX(MO_VA_FX_EoP,1,COLUMN()),INDEX(MO_VA_StockPrice_TradingCurrency,1,COLUMN())/INDEX(MO_VA_FX_Average,1,COLUMN()))</f>
        <v>29.98</v>
      </c>
      <c r="BF410" s="542">
        <f t="shared" si="910"/>
        <v>36.47</v>
      </c>
      <c r="BG410" s="542">
        <f t="shared" si="910"/>
        <v>41.59</v>
      </c>
      <c r="BH410" s="542">
        <f t="shared" si="910"/>
        <v>47.34</v>
      </c>
      <c r="BI410" s="766">
        <f t="shared" si="910"/>
        <v>47.34</v>
      </c>
      <c r="BJ410" s="542">
        <f>IF(MO.ValuationToggle="EoP",INDEX(MO_VA_StockPrice_TradingCurrency,1,COLUMN())/INDEX(MO_VA_FX_EoP,1,COLUMN()),INDEX(MO_VA_StockPrice_TradingCurrency,1,COLUMN())/INDEX(MO_VA_FX_Average,1,COLUMN()))</f>
        <v>39.4</v>
      </c>
      <c r="BK410" s="542">
        <f>IF(MO.ValuationToggle="EoP",INDEX(MO_VA_StockPrice_TradingCurrency,1,COLUMN())/INDEX(MO_VA_FX_EoP,1,COLUMN()),INDEX(MO_VA_StockPrice_TradingCurrency,1,COLUMN())/INDEX(MO_VA_FX_Average,1,COLUMN()))</f>
        <v>36.950000000000003</v>
      </c>
      <c r="BL410" s="509">
        <f>IF(MO.ValuationToggle="EoP",INDEX(MO_VA_StockPrice_TradingCurrency,1,COLUMN())/INDEX(MO_VA_FX_EoP,1,COLUMN()),INDEX(MO_VA_StockPrice_TradingCurrency,1,COLUMN())/INDEX(MO_VA_FX_Average,1,COLUMN()))</f>
        <v>34.909999999999997</v>
      </c>
      <c r="BM410" s="319" t="e">
        <f t="shared" si="910"/>
        <v>#REF!</v>
      </c>
      <c r="BN410" s="759" t="e">
        <f t="shared" si="909"/>
        <v>#REF!</v>
      </c>
      <c r="BO410" s="319" t="e">
        <f t="shared" ref="BO410:BV410" si="911">IF(MO.ValuationToggle="EoP",INDEX(MO_VA_StockPrice_TradingCurrency,1,COLUMN())/INDEX(MO_VA_FX_EoP,1,COLUMN()),INDEX(MO_VA_StockPrice_TradingCurrency,1,COLUMN())/INDEX(MO_VA_FX_Average,1,COLUMN()))</f>
        <v>#REF!</v>
      </c>
      <c r="BP410" s="319" t="e">
        <f t="shared" si="911"/>
        <v>#REF!</v>
      </c>
      <c r="BQ410" s="319" t="e">
        <f t="shared" si="911"/>
        <v>#REF!</v>
      </c>
      <c r="BR410" s="319" t="e">
        <f t="shared" si="911"/>
        <v>#REF!</v>
      </c>
      <c r="BS410" s="759" t="e">
        <f t="shared" si="911"/>
        <v>#REF!</v>
      </c>
      <c r="BT410" s="759" t="e">
        <f t="shared" si="911"/>
        <v>#REF!</v>
      </c>
      <c r="BU410" s="759" t="e">
        <f t="shared" si="911"/>
        <v>#REF!</v>
      </c>
      <c r="BV410" s="759" t="e">
        <f t="shared" si="911"/>
        <v>#REF!</v>
      </c>
      <c r="BW410" s="167"/>
    </row>
    <row r="411" spans="1:75" s="439" customFormat="1">
      <c r="A411" s="519" t="str">
        <f>"Market Cap - "&amp;MO.ValuationToggle</f>
        <v>Market Cap - EoP</v>
      </c>
      <c r="B411" s="53"/>
      <c r="C411" s="89"/>
      <c r="D411" s="89"/>
      <c r="E411" s="89"/>
      <c r="F411" s="767">
        <f t="shared" ref="F411:AK411" si="912">INDEX(MO_VA_StockPrice,0,COLUMN())*INDEX(MO_SCA_ShareCount_EoP_Diluted,0,COLUMN())</f>
        <v>1196.1560532599999</v>
      </c>
      <c r="G411" s="519">
        <f t="shared" si="912"/>
        <v>1521.7106214900002</v>
      </c>
      <c r="H411" s="519">
        <f t="shared" si="912"/>
        <v>2258.6003343900002</v>
      </c>
      <c r="I411" s="519">
        <f t="shared" si="912"/>
        <v>4483.5165090499995</v>
      </c>
      <c r="J411" s="519">
        <f t="shared" si="912"/>
        <v>4673.5755282300006</v>
      </c>
      <c r="K411" s="767">
        <f t="shared" si="912"/>
        <v>4673.5755282300006</v>
      </c>
      <c r="L411" s="519">
        <f t="shared" si="912"/>
        <v>5464.5701619600004</v>
      </c>
      <c r="M411" s="519">
        <f t="shared" si="912"/>
        <v>5972.4175660800001</v>
      </c>
      <c r="N411" s="519">
        <f t="shared" si="912"/>
        <v>5391.6902296200014</v>
      </c>
      <c r="O411" s="519">
        <f t="shared" si="912"/>
        <v>4064.0736748800009</v>
      </c>
      <c r="P411" s="767">
        <f t="shared" si="912"/>
        <v>4064.0736748800009</v>
      </c>
      <c r="Q411" s="519">
        <f t="shared" si="912"/>
        <v>3633.2989368900003</v>
      </c>
      <c r="R411" s="519">
        <f t="shared" si="912"/>
        <v>3281.2341960899998</v>
      </c>
      <c r="S411" s="519">
        <f t="shared" si="912"/>
        <v>1637.8601650600003</v>
      </c>
      <c r="T411" s="519">
        <f t="shared" si="912"/>
        <v>2204.0788425000005</v>
      </c>
      <c r="U411" s="767">
        <f t="shared" si="912"/>
        <v>2204.0788425000005</v>
      </c>
      <c r="V411" s="519">
        <f t="shared" si="912"/>
        <v>1602.9939825000004</v>
      </c>
      <c r="W411" s="519">
        <f t="shared" si="912"/>
        <v>2337.6877016000003</v>
      </c>
      <c r="X411" s="519">
        <f t="shared" si="912"/>
        <v>3430.4357590199998</v>
      </c>
      <c r="Y411" s="519">
        <f t="shared" si="912"/>
        <v>3238.8702222900006</v>
      </c>
      <c r="Z411" s="767">
        <f t="shared" si="912"/>
        <v>3238.8702222900006</v>
      </c>
      <c r="AA411" s="519">
        <f t="shared" si="912"/>
        <v>2790.3164542800005</v>
      </c>
      <c r="AB411" s="519">
        <f t="shared" si="912"/>
        <v>2559.0920403300001</v>
      </c>
      <c r="AC411" s="519">
        <f t="shared" si="912"/>
        <v>3806.7396778000002</v>
      </c>
      <c r="AD411" s="519">
        <f t="shared" si="912"/>
        <v>3756.4654753599998</v>
      </c>
      <c r="AE411" s="767">
        <f t="shared" si="912"/>
        <v>3756.4654753599998</v>
      </c>
      <c r="AF411" s="519">
        <f t="shared" si="912"/>
        <v>3732.3042924999995</v>
      </c>
      <c r="AG411" s="519">
        <f t="shared" si="912"/>
        <v>3474.2746284599998</v>
      </c>
      <c r="AH411" s="519">
        <f t="shared" si="912"/>
        <v>4383.2782332000006</v>
      </c>
      <c r="AI411" s="519">
        <f t="shared" si="912"/>
        <v>2945.5892183800001</v>
      </c>
      <c r="AJ411" s="767">
        <f t="shared" si="912"/>
        <v>2945.5892183800001</v>
      </c>
      <c r="AK411" s="519">
        <f t="shared" si="912"/>
        <v>2863.6666005000002</v>
      </c>
      <c r="AL411" s="519">
        <f t="shared" ref="AL411:BN411" si="913">INDEX(MO_VA_StockPrice,0,COLUMN())*INDEX(MO_SCA_ShareCount_EoP_Diluted,0,COLUMN())</f>
        <v>2552.5969559800001</v>
      </c>
      <c r="AM411" s="519">
        <f t="shared" si="913"/>
        <v>2517.4417296600004</v>
      </c>
      <c r="AN411" s="519">
        <f t="shared" si="913"/>
        <v>2543.20228344</v>
      </c>
      <c r="AO411" s="767">
        <f t="shared" si="913"/>
        <v>2543.20228344</v>
      </c>
      <c r="AP411" s="519">
        <f t="shared" si="913"/>
        <v>1301.5647403800001</v>
      </c>
      <c r="AQ411" s="519">
        <f t="shared" si="913"/>
        <v>1620.5819866299998</v>
      </c>
      <c r="AR411" s="519">
        <f t="shared" si="913"/>
        <v>1532.0732940900002</v>
      </c>
      <c r="AS411" s="519">
        <f t="shared" si="913"/>
        <v>2459.0402340000001</v>
      </c>
      <c r="AT411" s="767">
        <f t="shared" si="913"/>
        <v>2459.0402340000001</v>
      </c>
      <c r="AU411" s="519">
        <f t="shared" si="913"/>
        <v>2989.6478296300002</v>
      </c>
      <c r="AV411" s="519">
        <f t="shared" si="913"/>
        <v>3175.5864336899999</v>
      </c>
      <c r="AW411" s="519">
        <f t="shared" si="913"/>
        <v>2926.9051523999997</v>
      </c>
      <c r="AX411" s="519">
        <f t="shared" si="913"/>
        <v>2745.8466815999996</v>
      </c>
      <c r="AY411" s="767">
        <f t="shared" si="913"/>
        <v>2745.8466815999996</v>
      </c>
      <c r="AZ411" s="519">
        <f t="shared" si="913"/>
        <v>2595.1120799999999</v>
      </c>
      <c r="BA411" s="519">
        <f t="shared" si="913"/>
        <v>2070.8223899999998</v>
      </c>
      <c r="BB411" s="519">
        <f t="shared" si="913"/>
        <v>2445.8597900000004</v>
      </c>
      <c r="BC411" s="519">
        <f t="shared" si="913"/>
        <v>1952.1580199999999</v>
      </c>
      <c r="BD411" s="767">
        <f t="shared" si="913"/>
        <v>1952.1580199999999</v>
      </c>
      <c r="BE411" s="519">
        <f t="shared" ref="BE411:BM411" si="914">INDEX(MO_VA_StockPrice,0,COLUMN())*INDEX(MO_SCA_ShareCount_EoP_Diluted,0,COLUMN())</f>
        <v>2136.2248999999997</v>
      </c>
      <c r="BF411" s="519">
        <f t="shared" si="914"/>
        <v>2599.1804300000003</v>
      </c>
      <c r="BG411" s="519">
        <f t="shared" si="914"/>
        <v>3056.7818200000006</v>
      </c>
      <c r="BH411" s="519">
        <f t="shared" si="914"/>
        <v>3466.8502200000003</v>
      </c>
      <c r="BI411" s="767">
        <f t="shared" si="914"/>
        <v>3466.8502200000003</v>
      </c>
      <c r="BJ411" s="519">
        <f>INDEX(MO_VA_StockPrice,0,COLUMN())*INDEX(MO_SCA_ShareCount_EoP_Diluted,0,COLUMN())</f>
        <v>2837.5092</v>
      </c>
      <c r="BK411" s="519">
        <f>INDEX(MO_VA_StockPrice,0,COLUMN())*INDEX(MO_SCA_ShareCount_EoP_Diluted,0,COLUMN())</f>
        <v>2595.7744500000003</v>
      </c>
      <c r="BL411" s="564">
        <f>INDEX(MO_VA_StockPrice,0,COLUMN())*INDEX(MO_SCA_ShareCount_EoP_Diluted,0,COLUMN())</f>
        <v>2394.1976199999999</v>
      </c>
      <c r="BM411" s="518" t="e">
        <f t="shared" si="914"/>
        <v>#REF!</v>
      </c>
      <c r="BN411" s="89" t="e">
        <f t="shared" si="913"/>
        <v>#REF!</v>
      </c>
      <c r="BO411" s="518" t="e">
        <f t="shared" ref="BO411:BV411" si="915">INDEX(MO_VA_StockPrice,0,COLUMN())*INDEX(MO_SCA_ShareCount_EoP_Diluted,0,COLUMN())</f>
        <v>#REF!</v>
      </c>
      <c r="BP411" s="518" t="e">
        <f t="shared" si="915"/>
        <v>#REF!</v>
      </c>
      <c r="BQ411" s="518" t="e">
        <f t="shared" si="915"/>
        <v>#REF!</v>
      </c>
      <c r="BR411" s="518" t="e">
        <f t="shared" si="915"/>
        <v>#REF!</v>
      </c>
      <c r="BS411" s="89" t="e">
        <f t="shared" si="915"/>
        <v>#REF!</v>
      </c>
      <c r="BT411" s="89" t="e">
        <f t="shared" si="915"/>
        <v>#REF!</v>
      </c>
      <c r="BU411" s="89" t="e">
        <f t="shared" si="915"/>
        <v>#REF!</v>
      </c>
      <c r="BV411" s="89" t="e">
        <f t="shared" si="915"/>
        <v>#REF!</v>
      </c>
      <c r="BW411" s="519"/>
    </row>
    <row r="412" spans="1:75" s="439" customFormat="1">
      <c r="A412" s="519" t="str">
        <f>"Enterprise Value - "&amp;MO.ValuationToggle</f>
        <v>Enterprise Value - EoP</v>
      </c>
      <c r="B412" s="53"/>
      <c r="C412" s="89"/>
      <c r="D412" s="89"/>
      <c r="E412" s="89"/>
      <c r="F412" s="767">
        <f t="shared" ref="F412:AH412" si="916">F396+F411+F429+F430+F431</f>
        <v>1094.6320532599998</v>
      </c>
      <c r="G412" s="519">
        <f t="shared" si="916"/>
        <v>1420.8806214900003</v>
      </c>
      <c r="H412" s="519">
        <f t="shared" si="916"/>
        <v>2153.7033343900002</v>
      </c>
      <c r="I412" s="519">
        <f t="shared" si="916"/>
        <v>4374.1345090499999</v>
      </c>
      <c r="J412" s="519">
        <f t="shared" si="916"/>
        <v>4280.5645282300002</v>
      </c>
      <c r="K412" s="767">
        <f t="shared" si="916"/>
        <v>4280.5645282300002</v>
      </c>
      <c r="L412" s="519">
        <f t="shared" si="916"/>
        <v>5061.59516196</v>
      </c>
      <c r="M412" s="519">
        <f t="shared" si="916"/>
        <v>5556.2145660799997</v>
      </c>
      <c r="N412" s="519">
        <f t="shared" si="916"/>
        <v>4960.9892296200014</v>
      </c>
      <c r="O412" s="519">
        <f t="shared" si="916"/>
        <v>3641.7086748800011</v>
      </c>
      <c r="P412" s="767">
        <f t="shared" si="916"/>
        <v>3641.7086748800011</v>
      </c>
      <c r="Q412" s="519">
        <f t="shared" si="916"/>
        <v>3267.6729368900005</v>
      </c>
      <c r="R412" s="519">
        <f t="shared" si="916"/>
        <v>2896.8161960899997</v>
      </c>
      <c r="S412" s="519">
        <f t="shared" si="916"/>
        <v>1252.6681650600003</v>
      </c>
      <c r="T412" s="519">
        <f t="shared" si="916"/>
        <v>1816.7658425000004</v>
      </c>
      <c r="U412" s="767">
        <f t="shared" si="916"/>
        <v>1816.7658425000004</v>
      </c>
      <c r="V412" s="519">
        <f t="shared" si="916"/>
        <v>1201.9589825000003</v>
      </c>
      <c r="W412" s="519">
        <f t="shared" si="916"/>
        <v>1916.2807016000004</v>
      </c>
      <c r="X412" s="519">
        <f t="shared" si="916"/>
        <v>2980.82975902</v>
      </c>
      <c r="Y412" s="519">
        <f t="shared" si="916"/>
        <v>2742.0202222900007</v>
      </c>
      <c r="Z412" s="767">
        <f t="shared" si="916"/>
        <v>2742.0202222900007</v>
      </c>
      <c r="AA412" s="519">
        <f t="shared" si="916"/>
        <v>2286.3764542800004</v>
      </c>
      <c r="AB412" s="519">
        <f t="shared" si="916"/>
        <v>2028.7580403300001</v>
      </c>
      <c r="AC412" s="519">
        <f t="shared" si="916"/>
        <v>3229.9756778000001</v>
      </c>
      <c r="AD412" s="519">
        <f t="shared" si="916"/>
        <v>2891.6634753599997</v>
      </c>
      <c r="AE412" s="767">
        <f t="shared" si="916"/>
        <v>2891.6634753599997</v>
      </c>
      <c r="AF412" s="519">
        <f t="shared" si="916"/>
        <v>2883.9882924999997</v>
      </c>
      <c r="AG412" s="519">
        <f t="shared" si="916"/>
        <v>2648.7466284599996</v>
      </c>
      <c r="AH412" s="519">
        <f t="shared" si="916"/>
        <v>3523.6602332000007</v>
      </c>
      <c r="AI412" s="519">
        <f t="shared" ref="AI412:AQ412" si="917">AI396+AI411+AI429+AI430+AI431</f>
        <v>2167.6582183800001</v>
      </c>
      <c r="AJ412" s="767">
        <f t="shared" si="917"/>
        <v>2167.6582183800001</v>
      </c>
      <c r="AK412" s="519">
        <f t="shared" si="917"/>
        <v>2429.5296005000005</v>
      </c>
      <c r="AL412" s="519">
        <f t="shared" si="917"/>
        <v>2326.6899559799999</v>
      </c>
      <c r="AM412" s="519">
        <f t="shared" si="917"/>
        <v>2321.6037296600007</v>
      </c>
      <c r="AN412" s="519">
        <f t="shared" si="917"/>
        <v>2287.6482834399999</v>
      </c>
      <c r="AO412" s="767">
        <f t="shared" si="917"/>
        <v>2287.6482834399999</v>
      </c>
      <c r="AP412" s="519">
        <f t="shared" si="917"/>
        <v>1025.95374038</v>
      </c>
      <c r="AQ412" s="519">
        <f t="shared" si="917"/>
        <v>1314.92198663</v>
      </c>
      <c r="AR412" s="519">
        <f t="shared" ref="AR412:AW412" si="918">AR396+AR411+AR429+AR430+AR431</f>
        <v>1150.1512940900002</v>
      </c>
      <c r="AS412" s="519">
        <f t="shared" si="918"/>
        <v>2062.5962340000001</v>
      </c>
      <c r="AT412" s="767">
        <f t="shared" si="918"/>
        <v>2062.5962340000001</v>
      </c>
      <c r="AU412" s="519">
        <f t="shared" si="918"/>
        <v>2598.1688296300003</v>
      </c>
      <c r="AV412" s="519">
        <f t="shared" si="918"/>
        <v>2798.6384336900001</v>
      </c>
      <c r="AW412" s="519">
        <f t="shared" si="918"/>
        <v>2572.2871523999997</v>
      </c>
      <c r="AX412" s="519">
        <f t="shared" ref="AX412:BA412" si="919">AX396+AX411+AX429+AX430+AX431</f>
        <v>2433.4216815999994</v>
      </c>
      <c r="AY412" s="767">
        <f t="shared" si="919"/>
        <v>2433.4216815999994</v>
      </c>
      <c r="AZ412" s="519">
        <f t="shared" si="919"/>
        <v>2287.7250800000002</v>
      </c>
      <c r="BA412" s="519">
        <f t="shared" si="919"/>
        <v>1795.5943899999997</v>
      </c>
      <c r="BB412" s="519">
        <f t="shared" ref="BB412:BN412" si="920">BB396+BB411+BB429+BB430+BB431</f>
        <v>2158.1887900000002</v>
      </c>
      <c r="BC412" s="519">
        <f t="shared" si="920"/>
        <v>1677.1110199999998</v>
      </c>
      <c r="BD412" s="767">
        <f t="shared" si="920"/>
        <v>1677.1110199999998</v>
      </c>
      <c r="BE412" s="519">
        <f t="shared" ref="BE412:BM412" si="921">BE396+BE411+BE429+BE430+BE431</f>
        <v>1837.6938999999998</v>
      </c>
      <c r="BF412" s="519">
        <f t="shared" si="921"/>
        <v>2307.5204300000005</v>
      </c>
      <c r="BG412" s="519">
        <f t="shared" si="921"/>
        <v>2726.1198200000008</v>
      </c>
      <c r="BH412" s="519">
        <f t="shared" si="921"/>
        <v>3112.6622200000002</v>
      </c>
      <c r="BI412" s="767">
        <f t="shared" si="921"/>
        <v>3112.6622200000002</v>
      </c>
      <c r="BJ412" s="519">
        <f>BJ396+BJ411+BJ429+BJ430+BJ431</f>
        <v>2493.9971999999998</v>
      </c>
      <c r="BK412" s="519">
        <f>BK396+BK411+BK429+BK430+BK431</f>
        <v>2278.2214500000005</v>
      </c>
      <c r="BL412" s="564">
        <f>BL396+BL411+BL429+BL430+BL431</f>
        <v>2050.7216199999998</v>
      </c>
      <c r="BM412" s="518" t="e">
        <f t="shared" si="921"/>
        <v>#REF!</v>
      </c>
      <c r="BN412" s="89" t="e">
        <f t="shared" si="920"/>
        <v>#REF!</v>
      </c>
      <c r="BO412" s="518" t="e">
        <f t="shared" ref="BO412:BV412" si="922">BO396+BO411+BO429+BO430+BO431</f>
        <v>#REF!</v>
      </c>
      <c r="BP412" s="518" t="e">
        <f t="shared" si="922"/>
        <v>#REF!</v>
      </c>
      <c r="BQ412" s="518" t="e">
        <f t="shared" si="922"/>
        <v>#REF!</v>
      </c>
      <c r="BR412" s="518" t="e">
        <f t="shared" si="922"/>
        <v>#REF!</v>
      </c>
      <c r="BS412" s="89" t="e">
        <f t="shared" si="922"/>
        <v>#REF!</v>
      </c>
      <c r="BT412" s="89" t="e">
        <f t="shared" si="922"/>
        <v>#REF!</v>
      </c>
      <c r="BU412" s="89" t="e">
        <f t="shared" si="922"/>
        <v>#REF!</v>
      </c>
      <c r="BV412" s="89" t="e">
        <f t="shared" si="922"/>
        <v>#REF!</v>
      </c>
      <c r="BW412" s="519"/>
    </row>
    <row r="413" spans="1:75" s="475" customFormat="1">
      <c r="A413" s="38"/>
      <c r="B413" s="77"/>
      <c r="C413" s="768"/>
      <c r="D413" s="768"/>
      <c r="E413" s="768"/>
      <c r="F413" s="768"/>
      <c r="G413" s="543"/>
      <c r="H413" s="543"/>
      <c r="I413" s="543"/>
      <c r="J413" s="543"/>
      <c r="K413" s="768"/>
      <c r="L413" s="543"/>
      <c r="M413" s="543"/>
      <c r="N413" s="543"/>
      <c r="O413" s="543"/>
      <c r="P413" s="768"/>
      <c r="Q413" s="543"/>
      <c r="R413" s="543"/>
      <c r="S413" s="543"/>
      <c r="T413" s="543"/>
      <c r="U413" s="768"/>
      <c r="V413" s="543"/>
      <c r="W413" s="182"/>
      <c r="X413" s="182"/>
      <c r="Y413" s="182"/>
      <c r="Z413" s="768"/>
      <c r="AA413" s="543"/>
      <c r="AB413" s="182"/>
      <c r="AC413" s="182"/>
      <c r="AD413" s="182"/>
      <c r="AE413" s="768"/>
      <c r="AF413" s="543"/>
      <c r="AG413" s="182"/>
      <c r="AH413" s="182"/>
      <c r="AI413" s="182"/>
      <c r="AJ413" s="768"/>
      <c r="AK413" s="543"/>
      <c r="AL413" s="182"/>
      <c r="AM413" s="182"/>
      <c r="AN413" s="182"/>
      <c r="AO413" s="768"/>
      <c r="AP413" s="543"/>
      <c r="AQ413" s="182"/>
      <c r="AR413" s="182"/>
      <c r="AS413" s="182"/>
      <c r="AT413" s="768"/>
      <c r="AU413" s="543"/>
      <c r="AV413" s="182"/>
      <c r="AW413" s="182"/>
      <c r="AX413" s="182"/>
      <c r="AY413" s="768"/>
      <c r="AZ413" s="543"/>
      <c r="BA413" s="182"/>
      <c r="BB413" s="182"/>
      <c r="BC413" s="182"/>
      <c r="BD413" s="768"/>
      <c r="BE413" s="543"/>
      <c r="BF413" s="182"/>
      <c r="BG413" s="182"/>
      <c r="BH413" s="182"/>
      <c r="BI413" s="768"/>
      <c r="BJ413" s="543"/>
      <c r="BK413" s="182"/>
      <c r="BL413" s="436"/>
      <c r="BM413" s="182"/>
      <c r="BN413" s="768"/>
      <c r="BO413" s="182"/>
      <c r="BP413" s="182"/>
      <c r="BQ413" s="182"/>
      <c r="BR413" s="182"/>
      <c r="BS413" s="768"/>
      <c r="BT413" s="768"/>
      <c r="BU413" s="768"/>
      <c r="BV413" s="768"/>
      <c r="BW413" s="145"/>
    </row>
    <row r="414" spans="1:75" s="475" customFormat="1">
      <c r="A414" s="38" t="str">
        <f>"P/E - "&amp;MO.ValuationToggle</f>
        <v>P/E - EoP</v>
      </c>
      <c r="B414" s="77"/>
      <c r="C414" s="768"/>
      <c r="D414" s="768"/>
      <c r="E414" s="768"/>
      <c r="F414" s="768">
        <f>F410/F258</f>
        <v>-53.550213825271172</v>
      </c>
      <c r="G414" s="543"/>
      <c r="H414" s="543"/>
      <c r="I414" s="543"/>
      <c r="J414" s="543"/>
      <c r="K414" s="768">
        <f>K410/K258</f>
        <v>236.679406465</v>
      </c>
      <c r="L414" s="543"/>
      <c r="M414" s="543"/>
      <c r="N414" s="543"/>
      <c r="O414" s="543"/>
      <c r="P414" s="768">
        <f>P410/P258</f>
        <v>78.511215351812325</v>
      </c>
      <c r="Q414" s="543"/>
      <c r="R414" s="543"/>
      <c r="S414" s="543"/>
      <c r="T414" s="543"/>
      <c r="U414" s="768">
        <f>U410/U258</f>
        <v>76.308718214841633</v>
      </c>
      <c r="V414" s="543"/>
      <c r="W414" s="182"/>
      <c r="X414" s="182"/>
      <c r="Y414" s="182"/>
      <c r="Z414" s="768">
        <f>Z410/Z258</f>
        <v>52.089403263795568</v>
      </c>
      <c r="AA414" s="543"/>
      <c r="AB414" s="182"/>
      <c r="AC414" s="182"/>
      <c r="AD414" s="182"/>
      <c r="AE414" s="768">
        <f>AE410/AE258</f>
        <v>45.548151376660925</v>
      </c>
      <c r="AF414" s="543"/>
      <c r="AG414" s="182"/>
      <c r="AH414" s="182"/>
      <c r="AI414" s="182"/>
      <c r="AJ414" s="768">
        <f>AJ410/AJ258</f>
        <v>55.164657271906009</v>
      </c>
      <c r="AK414" s="543"/>
      <c r="AL414" s="182"/>
      <c r="AM414" s="182"/>
      <c r="AN414" s="182"/>
      <c r="AO414" s="768">
        <f>AO410/AO258</f>
        <v>65.951616154203705</v>
      </c>
      <c r="AP414" s="543"/>
      <c r="AQ414" s="182"/>
      <c r="AR414" s="182"/>
      <c r="AS414" s="182"/>
      <c r="AT414" s="768">
        <f>AT410/AT258</f>
        <v>-118.91877059308098</v>
      </c>
      <c r="AU414" s="543"/>
      <c r="AV414" s="182"/>
      <c r="AW414" s="182"/>
      <c r="AX414" s="182"/>
      <c r="AY414" s="768">
        <f>AY410/AY258</f>
        <v>72.292396965037611</v>
      </c>
      <c r="AZ414" s="543"/>
      <c r="BA414" s="182"/>
      <c r="BB414" s="182"/>
      <c r="BC414" s="182"/>
      <c r="BD414" s="768">
        <f>BD410/BD258</f>
        <v>55.212553443200179</v>
      </c>
      <c r="BE414" s="543"/>
      <c r="BF414" s="182"/>
      <c r="BG414" s="182"/>
      <c r="BH414" s="182"/>
      <c r="BI414" s="768">
        <f>BI410/BI258</f>
        <v>35.130878767406493</v>
      </c>
      <c r="BJ414" s="543"/>
      <c r="BK414" s="182"/>
      <c r="BL414" s="436"/>
      <c r="BM414" s="182"/>
      <c r="BN414" s="768" t="e">
        <f>BN410/BN258</f>
        <v>#REF!</v>
      </c>
      <c r="BO414" s="182"/>
      <c r="BP414" s="182"/>
      <c r="BQ414" s="182"/>
      <c r="BR414" s="182"/>
      <c r="BS414" s="768" t="e">
        <f>BS410/BS258</f>
        <v>#REF!</v>
      </c>
      <c r="BT414" s="768" t="e">
        <f>BT410/BT258</f>
        <v>#REF!</v>
      </c>
      <c r="BU414" s="768" t="e">
        <f>BU410/BU258</f>
        <v>#REF!</v>
      </c>
      <c r="BV414" s="768" t="e">
        <f>BV410/BV258</f>
        <v>#REF!</v>
      </c>
      <c r="BW414" s="145"/>
    </row>
    <row r="415" spans="1:75" s="475" customFormat="1">
      <c r="A415" s="38" t="str">
        <f>"EV/EBITDA - "&amp;MO.ValuationToggle</f>
        <v>EV/EBITDA - EoP</v>
      </c>
      <c r="B415" s="77"/>
      <c r="C415" s="768"/>
      <c r="D415" s="768"/>
      <c r="E415" s="768"/>
      <c r="F415" s="768">
        <f>F412/F232</f>
        <v>238.06699722922937</v>
      </c>
      <c r="G415" s="543"/>
      <c r="H415" s="543"/>
      <c r="I415" s="543"/>
      <c r="J415" s="543"/>
      <c r="K415" s="768">
        <f>K412/K232</f>
        <v>145.45395794046692</v>
      </c>
      <c r="L415" s="543"/>
      <c r="M415" s="543"/>
      <c r="N415" s="543"/>
      <c r="O415" s="543"/>
      <c r="P415" s="768">
        <f>P412/P232</f>
        <v>51.348082046191585</v>
      </c>
      <c r="Q415" s="543"/>
      <c r="R415" s="543"/>
      <c r="S415" s="543"/>
      <c r="T415" s="543"/>
      <c r="U415" s="768">
        <f>U412/U232</f>
        <v>26.283467528427988</v>
      </c>
      <c r="V415" s="543"/>
      <c r="W415" s="182"/>
      <c r="X415" s="182"/>
      <c r="Y415" s="182"/>
      <c r="Z415" s="768">
        <f>Z412/Z232</f>
        <v>22.834374743219279</v>
      </c>
      <c r="AA415" s="543"/>
      <c r="AB415" s="182"/>
      <c r="AC415" s="182"/>
      <c r="AD415" s="182"/>
      <c r="AE415" s="768">
        <f>AE412/AE232</f>
        <v>18.321844787043954</v>
      </c>
      <c r="AF415" s="543"/>
      <c r="AG415" s="182"/>
      <c r="AH415" s="182"/>
      <c r="AI415" s="182"/>
      <c r="AJ415" s="768">
        <f>AJ412/AJ232</f>
        <v>11.83930426773718</v>
      </c>
      <c r="AK415" s="543"/>
      <c r="AL415" s="182"/>
      <c r="AM415" s="182"/>
      <c r="AN415" s="182"/>
      <c r="AO415" s="768">
        <f>AO412/AO232</f>
        <v>10.715231192486952</v>
      </c>
      <c r="AP415" s="543"/>
      <c r="AQ415" s="182"/>
      <c r="AR415" s="182"/>
      <c r="AS415" s="182"/>
      <c r="AT415" s="768">
        <f>AT412/AT232</f>
        <v>14.706568513368987</v>
      </c>
      <c r="AU415" s="543"/>
      <c r="AV415" s="182"/>
      <c r="AW415" s="182"/>
      <c r="AX415" s="182"/>
      <c r="AY415" s="768">
        <f>AY412/AY232</f>
        <v>9.8789467595524592</v>
      </c>
      <c r="AZ415" s="543"/>
      <c r="BA415" s="182"/>
      <c r="BB415" s="182"/>
      <c r="BC415" s="182"/>
      <c r="BD415" s="768">
        <f>BD412/BD232</f>
        <v>6.2170716083615325</v>
      </c>
      <c r="BE415" s="543"/>
      <c r="BF415" s="182"/>
      <c r="BG415" s="182"/>
      <c r="BH415" s="182"/>
      <c r="BI415" s="768">
        <f>BI412/BI232</f>
        <v>9.4182394785971297</v>
      </c>
      <c r="BJ415" s="543"/>
      <c r="BK415" s="182"/>
      <c r="BL415" s="436"/>
      <c r="BM415" s="182"/>
      <c r="BN415" s="768" t="e">
        <f>BN412/BN232</f>
        <v>#REF!</v>
      </c>
      <c r="BO415" s="182"/>
      <c r="BP415" s="182"/>
      <c r="BQ415" s="182"/>
      <c r="BR415" s="182"/>
      <c r="BS415" s="768" t="e">
        <f>BS412/BS232</f>
        <v>#REF!</v>
      </c>
      <c r="BT415" s="768" t="e">
        <f>BT412/BT232</f>
        <v>#REF!</v>
      </c>
      <c r="BU415" s="768" t="e">
        <f>BU412/BU232</f>
        <v>#REF!</v>
      </c>
      <c r="BV415" s="768" t="e">
        <f>BV412/BV232</f>
        <v>#REF!</v>
      </c>
      <c r="BW415" s="145"/>
    </row>
    <row r="416" spans="1:75" s="475" customFormat="1">
      <c r="A416" s="38" t="str">
        <f>"P/CF - "&amp;MO.ValuationToggle</f>
        <v>P/CF - EoP</v>
      </c>
      <c r="B416" s="77"/>
      <c r="C416" s="768"/>
      <c r="D416" s="768"/>
      <c r="E416" s="768"/>
      <c r="F416" s="768">
        <f>F410/F368</f>
        <v>-10321.127575757555</v>
      </c>
      <c r="G416" s="543"/>
      <c r="H416" s="543"/>
      <c r="I416" s="543"/>
      <c r="J416" s="543"/>
      <c r="K416" s="768">
        <f>K410/K368</f>
        <v>202.24648422919</v>
      </c>
      <c r="L416" s="543"/>
      <c r="M416" s="543"/>
      <c r="N416" s="543"/>
      <c r="O416" s="543"/>
      <c r="P416" s="768">
        <f>P410/P368</f>
        <v>71.823152661741332</v>
      </c>
      <c r="Q416" s="543"/>
      <c r="R416" s="543"/>
      <c r="S416" s="543"/>
      <c r="T416" s="543"/>
      <c r="U416" s="768">
        <f>U410/U368</f>
        <v>36.780355461803985</v>
      </c>
      <c r="V416" s="543"/>
      <c r="W416" s="182"/>
      <c r="X416" s="182"/>
      <c r="Y416" s="182"/>
      <c r="Z416" s="768">
        <f>Z410/Z368</f>
        <v>23.192294562647763</v>
      </c>
      <c r="AA416" s="543"/>
      <c r="AB416" s="182"/>
      <c r="AC416" s="182"/>
      <c r="AD416" s="182"/>
      <c r="AE416" s="768">
        <f>AE410/AE368</f>
        <v>21.817588146522152</v>
      </c>
      <c r="AF416" s="543"/>
      <c r="AG416" s="182"/>
      <c r="AH416" s="182"/>
      <c r="AI416" s="182"/>
      <c r="AJ416" s="768">
        <f>AJ410/AJ368</f>
        <v>19.061245793978294</v>
      </c>
      <c r="AK416" s="543"/>
      <c r="AL416" s="182"/>
      <c r="AM416" s="182"/>
      <c r="AN416" s="182"/>
      <c r="AO416" s="768">
        <f>AO410/AO368</f>
        <v>13.166040081647802</v>
      </c>
      <c r="AP416" s="543"/>
      <c r="AQ416" s="182"/>
      <c r="AR416" s="182"/>
      <c r="AS416" s="182"/>
      <c r="AT416" s="768">
        <f>AT410/AT368</f>
        <v>13.072241809610583</v>
      </c>
      <c r="AU416" s="543"/>
      <c r="AV416" s="182"/>
      <c r="AW416" s="182"/>
      <c r="AX416" s="182"/>
      <c r="AY416" s="768">
        <f>AY410/AY368</f>
        <v>13.486217958665447</v>
      </c>
      <c r="AZ416" s="543"/>
      <c r="BA416" s="182"/>
      <c r="BB416" s="182"/>
      <c r="BC416" s="182"/>
      <c r="BD416" s="768">
        <f>BD410/BD368</f>
        <v>10.435344575656883</v>
      </c>
      <c r="BE416" s="543"/>
      <c r="BF416" s="182"/>
      <c r="BG416" s="182"/>
      <c r="BH416" s="182"/>
      <c r="BI416" s="768">
        <f>BI410/BI368</f>
        <v>11.375325323233646</v>
      </c>
      <c r="BJ416" s="543"/>
      <c r="BK416" s="182"/>
      <c r="BL416" s="436"/>
      <c r="BM416" s="182"/>
      <c r="BN416" s="768" t="e">
        <f>BN410/BN368</f>
        <v>#REF!</v>
      </c>
      <c r="BO416" s="182"/>
      <c r="BP416" s="182"/>
      <c r="BQ416" s="182"/>
      <c r="BR416" s="182"/>
      <c r="BS416" s="768" t="e">
        <f>BS410/BS368</f>
        <v>#REF!</v>
      </c>
      <c r="BT416" s="768" t="e">
        <f>BT410/BT368</f>
        <v>#REF!</v>
      </c>
      <c r="BU416" s="768" t="e">
        <f>BU410/BU368</f>
        <v>#REF!</v>
      </c>
      <c r="BV416" s="768" t="e">
        <f>BV410/BV368</f>
        <v>#REF!</v>
      </c>
      <c r="BW416" s="145"/>
    </row>
    <row r="417" spans="1:75" s="443" customFormat="1">
      <c r="A417" s="39" t="str">
        <f>"FCF Yield % to "&amp;MO.ValuationToggle&amp;" Market Cap"</f>
        <v>FCF Yield % to EoP Market Cap</v>
      </c>
      <c r="B417" s="27"/>
      <c r="C417" s="668"/>
      <c r="D417" s="668"/>
      <c r="E417" s="668"/>
      <c r="F417" s="668">
        <f>F385/F411</f>
        <v>-8.8224274510327379E-3</v>
      </c>
      <c r="G417" s="13"/>
      <c r="H417" s="13"/>
      <c r="I417" s="13"/>
      <c r="J417" s="13"/>
      <c r="K417" s="668">
        <f>K385/K411</f>
        <v>7.1251656892794648E-5</v>
      </c>
      <c r="L417" s="13"/>
      <c r="M417" s="13"/>
      <c r="N417" s="13"/>
      <c r="O417" s="13"/>
      <c r="P417" s="668">
        <f>P385/P411</f>
        <v>3.8889550890011098E-3</v>
      </c>
      <c r="Q417" s="13"/>
      <c r="R417" s="13"/>
      <c r="S417" s="13"/>
      <c r="T417" s="13"/>
      <c r="U417" s="668">
        <f>U385/U411</f>
        <v>6.2856190680937512E-3</v>
      </c>
      <c r="V417" s="13"/>
      <c r="W417" s="13"/>
      <c r="X417" s="13"/>
      <c r="Y417" s="13"/>
      <c r="Z417" s="668">
        <f>Z385/Z411</f>
        <v>2.7644207348541037E-2</v>
      </c>
      <c r="AA417" s="13"/>
      <c r="AB417" s="13"/>
      <c r="AC417" s="13"/>
      <c r="AD417" s="13"/>
      <c r="AE417" s="668">
        <f>AE385/AE411</f>
        <v>3.6577469139878666E-2</v>
      </c>
      <c r="AF417" s="13"/>
      <c r="AG417" s="13"/>
      <c r="AH417" s="13"/>
      <c r="AI417" s="13"/>
      <c r="AJ417" s="668">
        <f>AJ385/AJ411</f>
        <v>3.9114415303083329E-2</v>
      </c>
      <c r="AK417" s="13"/>
      <c r="AL417" s="13"/>
      <c r="AM417" s="13"/>
      <c r="AN417" s="13"/>
      <c r="AO417" s="668">
        <f>AO385/AO411</f>
        <v>6.576747791125756E-2</v>
      </c>
      <c r="AP417" s="13"/>
      <c r="AQ417" s="13"/>
      <c r="AR417" s="13"/>
      <c r="AS417" s="13"/>
      <c r="AT417" s="668">
        <f>AT385/AT411</f>
        <v>5.6351253665579519E-2</v>
      </c>
      <c r="AU417" s="13"/>
      <c r="AV417" s="13"/>
      <c r="AW417" s="13"/>
      <c r="AX417" s="13"/>
      <c r="AY417" s="668">
        <f>AY385/AY411</f>
        <v>6.7146137923682667E-2</v>
      </c>
      <c r="AZ417" s="13"/>
      <c r="BA417" s="13"/>
      <c r="BB417" s="13"/>
      <c r="BC417" s="13"/>
      <c r="BD417" s="668">
        <f>BD385/BD411</f>
        <v>8.2129621863295699E-2</v>
      </c>
      <c r="BE417" s="13"/>
      <c r="BF417" s="13"/>
      <c r="BG417" s="13"/>
      <c r="BH417" s="13"/>
      <c r="BI417" s="668">
        <f>BI385/BI411</f>
        <v>8.0601405387510497E-2</v>
      </c>
      <c r="BJ417" s="13"/>
      <c r="BK417" s="13"/>
      <c r="BL417" s="388"/>
      <c r="BM417" s="13"/>
      <c r="BN417" s="668" t="e">
        <f>BN385/BN411</f>
        <v>#REF!</v>
      </c>
      <c r="BO417" s="13"/>
      <c r="BP417" s="13"/>
      <c r="BQ417" s="13"/>
      <c r="BR417" s="13"/>
      <c r="BS417" s="668" t="e">
        <f>BS385/BS411</f>
        <v>#REF!</v>
      </c>
      <c r="BT417" s="668" t="e">
        <f>BT385/BT411</f>
        <v>#REF!</v>
      </c>
      <c r="BU417" s="668" t="e">
        <f>BU385/BU411</f>
        <v>#REF!</v>
      </c>
      <c r="BV417" s="668" t="e">
        <f>BV385/BV411</f>
        <v>#REF!</v>
      </c>
      <c r="BW417" s="135"/>
    </row>
    <row r="418" spans="1:75" s="443" customFormat="1">
      <c r="A418" s="39" t="str">
        <f>"FCF Yield % to "&amp;MO.ValuationToggle&amp;" Enterprise Value"</f>
        <v>FCF Yield % to EoP Enterprise Value</v>
      </c>
      <c r="B418" s="27"/>
      <c r="C418" s="668"/>
      <c r="D418" s="668"/>
      <c r="E418" s="668"/>
      <c r="F418" s="668">
        <f>F385/F412</f>
        <v>-9.6406824270962813E-3</v>
      </c>
      <c r="G418" s="13"/>
      <c r="H418" s="13"/>
      <c r="I418" s="13"/>
      <c r="J418" s="13"/>
      <c r="K418" s="668">
        <f>K385/K412</f>
        <v>7.7793477426609415E-5</v>
      </c>
      <c r="L418" s="13"/>
      <c r="M418" s="13"/>
      <c r="N418" s="13"/>
      <c r="O418" s="13"/>
      <c r="P418" s="668">
        <f>P385/P412</f>
        <v>4.3399957028470481E-3</v>
      </c>
      <c r="Q418" s="13"/>
      <c r="R418" s="13"/>
      <c r="S418" s="13"/>
      <c r="T418" s="13"/>
      <c r="U418" s="668">
        <f>U385/U412</f>
        <v>7.6256387454620494E-3</v>
      </c>
      <c r="V418" s="13"/>
      <c r="W418" s="13"/>
      <c r="X418" s="13"/>
      <c r="Y418" s="13"/>
      <c r="Z418" s="668">
        <f>Z385/Z412</f>
        <v>3.2653296745282168E-2</v>
      </c>
      <c r="AA418" s="13"/>
      <c r="AB418" s="13"/>
      <c r="AC418" s="13"/>
      <c r="AD418" s="13"/>
      <c r="AE418" s="668">
        <f>AE385/AE412</f>
        <v>4.7516594227097635E-2</v>
      </c>
      <c r="AF418" s="13"/>
      <c r="AG418" s="13"/>
      <c r="AH418" s="13"/>
      <c r="AI418" s="13"/>
      <c r="AJ418" s="668">
        <f>AJ385/AJ412</f>
        <v>5.3151829482650591E-2</v>
      </c>
      <c r="AK418" s="13"/>
      <c r="AL418" s="13"/>
      <c r="AM418" s="13"/>
      <c r="AN418" s="13"/>
      <c r="AO418" s="668">
        <f>AO385/AO412</f>
        <v>7.3114386162756853E-2</v>
      </c>
      <c r="AP418" s="13"/>
      <c r="AQ418" s="13"/>
      <c r="AR418" s="13"/>
      <c r="AS418" s="13"/>
      <c r="AT418" s="668">
        <f>AT385/AT412</f>
        <v>6.7182319891698206E-2</v>
      </c>
      <c r="AU418" s="13"/>
      <c r="AV418" s="13"/>
      <c r="AW418" s="13"/>
      <c r="AX418" s="13"/>
      <c r="AY418" s="668">
        <f>AY385/AY412</f>
        <v>7.5766975117429219E-2</v>
      </c>
      <c r="AZ418" s="13"/>
      <c r="BA418" s="13"/>
      <c r="BB418" s="13"/>
      <c r="BC418" s="13"/>
      <c r="BD418" s="668">
        <f>BD385/BD412</f>
        <v>9.5598918669081351E-2</v>
      </c>
      <c r="BE418" s="13"/>
      <c r="BF418" s="13"/>
      <c r="BG418" s="13"/>
      <c r="BH418" s="13"/>
      <c r="BI418" s="668">
        <f>BI385/BI412</f>
        <v>8.977299181534705E-2</v>
      </c>
      <c r="BJ418" s="13"/>
      <c r="BK418" s="13"/>
      <c r="BL418" s="388"/>
      <c r="BM418" s="13"/>
      <c r="BN418" s="668" t="e">
        <f>BN385/BN412</f>
        <v>#REF!</v>
      </c>
      <c r="BO418" s="13"/>
      <c r="BP418" s="13"/>
      <c r="BQ418" s="13"/>
      <c r="BR418" s="13"/>
      <c r="BS418" s="668" t="e">
        <f>BS385/BS412</f>
        <v>#REF!</v>
      </c>
      <c r="BT418" s="668" t="e">
        <f>BT385/BT412</f>
        <v>#REF!</v>
      </c>
      <c r="BU418" s="668" t="e">
        <f>BU385/BU412</f>
        <v>#REF!</v>
      </c>
      <c r="BV418" s="668" t="e">
        <f>BV385/BV412</f>
        <v>#REF!</v>
      </c>
      <c r="BW418" s="135"/>
    </row>
    <row r="419" spans="1:75" s="443" customFormat="1" hidden="1" outlineLevel="1">
      <c r="A419" s="39"/>
      <c r="B419" s="27"/>
      <c r="C419" s="668"/>
      <c r="D419" s="668"/>
      <c r="E419" s="668"/>
      <c r="F419" s="668"/>
      <c r="G419" s="13"/>
      <c r="H419" s="13"/>
      <c r="I419" s="13"/>
      <c r="J419" s="13"/>
      <c r="K419" s="668"/>
      <c r="L419" s="13"/>
      <c r="M419" s="13"/>
      <c r="N419" s="13"/>
      <c r="O419" s="13"/>
      <c r="P419" s="668"/>
      <c r="Q419" s="13"/>
      <c r="R419" s="13"/>
      <c r="S419" s="13"/>
      <c r="T419" s="13"/>
      <c r="U419" s="668"/>
      <c r="V419" s="13"/>
      <c r="W419" s="13"/>
      <c r="X419" s="13"/>
      <c r="Y419" s="13"/>
      <c r="Z419" s="668"/>
      <c r="AA419" s="13"/>
      <c r="AB419" s="13"/>
      <c r="AC419" s="13"/>
      <c r="AD419" s="13"/>
      <c r="AE419" s="668"/>
      <c r="AF419" s="13"/>
      <c r="AG419" s="13"/>
      <c r="AH419" s="13"/>
      <c r="AI419" s="13"/>
      <c r="AJ419" s="668"/>
      <c r="AK419" s="13"/>
      <c r="AL419" s="13"/>
      <c r="AM419" s="13"/>
      <c r="AN419" s="13"/>
      <c r="AO419" s="668"/>
      <c r="AP419" s="13"/>
      <c r="AQ419" s="13"/>
      <c r="AR419" s="13"/>
      <c r="AS419" s="13"/>
      <c r="AT419" s="668"/>
      <c r="AU419" s="13"/>
      <c r="AV419" s="13"/>
      <c r="AW419" s="13"/>
      <c r="AX419" s="13"/>
      <c r="AY419" s="668"/>
      <c r="AZ419" s="13"/>
      <c r="BA419" s="13"/>
      <c r="BB419" s="13"/>
      <c r="BC419" s="13"/>
      <c r="BD419" s="668"/>
      <c r="BE419" s="13"/>
      <c r="BF419" s="13"/>
      <c r="BG419" s="13"/>
      <c r="BH419" s="13"/>
      <c r="BI419" s="668"/>
      <c r="BJ419" s="13"/>
      <c r="BK419" s="13"/>
      <c r="BL419" s="388"/>
      <c r="BM419" s="13"/>
      <c r="BN419" s="668"/>
      <c r="BO419" s="13"/>
      <c r="BP419" s="13"/>
      <c r="BQ419" s="13"/>
      <c r="BR419" s="13"/>
      <c r="BS419" s="668"/>
      <c r="BT419" s="668"/>
      <c r="BU419" s="668"/>
      <c r="BV419" s="668"/>
      <c r="BW419" s="135"/>
    </row>
    <row r="420" spans="1:75" s="476" customFormat="1" hidden="1" outlineLevel="1">
      <c r="A420" s="126" t="str">
        <f>"Stock High, "&amp;HP.TradeCurrency</f>
        <v>Stock High, USD</v>
      </c>
      <c r="B420" s="164"/>
      <c r="C420" s="769"/>
      <c r="D420" s="769"/>
      <c r="E420" s="769"/>
      <c r="F420" s="769" t="e">
        <f t="shared" ref="F420:AH420" si="923">IF(INDEX(MO_SNA_IsHistoricalPeriod,1,COLUMN())=FALSE,0,INDEX(MO_SPT_StockHigh,1,COLUMN()))</f>
        <v>#REF!</v>
      </c>
      <c r="G420" s="183" t="e">
        <f t="shared" si="923"/>
        <v>#REF!</v>
      </c>
      <c r="H420" s="183" t="e">
        <f t="shared" si="923"/>
        <v>#REF!</v>
      </c>
      <c r="I420" s="183" t="e">
        <f t="shared" si="923"/>
        <v>#REF!</v>
      </c>
      <c r="J420" s="183" t="e">
        <f t="shared" si="923"/>
        <v>#REF!</v>
      </c>
      <c r="K420" s="769" t="e">
        <f t="shared" si="923"/>
        <v>#REF!</v>
      </c>
      <c r="L420" s="183" t="e">
        <f t="shared" si="923"/>
        <v>#REF!</v>
      </c>
      <c r="M420" s="183" t="e">
        <f t="shared" si="923"/>
        <v>#REF!</v>
      </c>
      <c r="N420" s="183" t="e">
        <f t="shared" si="923"/>
        <v>#REF!</v>
      </c>
      <c r="O420" s="183" t="e">
        <f t="shared" si="923"/>
        <v>#REF!</v>
      </c>
      <c r="P420" s="769" t="e">
        <f t="shared" si="923"/>
        <v>#REF!</v>
      </c>
      <c r="Q420" s="183" t="e">
        <f t="shared" si="923"/>
        <v>#REF!</v>
      </c>
      <c r="R420" s="183" t="e">
        <f t="shared" si="923"/>
        <v>#REF!</v>
      </c>
      <c r="S420" s="183" t="e">
        <f t="shared" si="923"/>
        <v>#REF!</v>
      </c>
      <c r="T420" s="183" t="e">
        <f t="shared" si="923"/>
        <v>#REF!</v>
      </c>
      <c r="U420" s="769" t="e">
        <f t="shared" si="923"/>
        <v>#REF!</v>
      </c>
      <c r="V420" s="183" t="e">
        <f t="shared" si="923"/>
        <v>#REF!</v>
      </c>
      <c r="W420" s="183" t="e">
        <f t="shared" si="923"/>
        <v>#REF!</v>
      </c>
      <c r="X420" s="183" t="e">
        <f t="shared" si="923"/>
        <v>#REF!</v>
      </c>
      <c r="Y420" s="183" t="e">
        <f t="shared" si="923"/>
        <v>#REF!</v>
      </c>
      <c r="Z420" s="770" t="e">
        <f t="shared" si="923"/>
        <v>#REF!</v>
      </c>
      <c r="AA420" s="183" t="e">
        <f t="shared" si="923"/>
        <v>#REF!</v>
      </c>
      <c r="AB420" s="183" t="e">
        <f t="shared" si="923"/>
        <v>#REF!</v>
      </c>
      <c r="AC420" s="183" t="e">
        <f t="shared" si="923"/>
        <v>#REF!</v>
      </c>
      <c r="AD420" s="183" t="e">
        <f t="shared" si="923"/>
        <v>#REF!</v>
      </c>
      <c r="AE420" s="770" t="e">
        <f t="shared" si="923"/>
        <v>#REF!</v>
      </c>
      <c r="AF420" s="183" t="e">
        <f t="shared" si="923"/>
        <v>#REF!</v>
      </c>
      <c r="AG420" s="183" t="e">
        <f t="shared" si="923"/>
        <v>#REF!</v>
      </c>
      <c r="AH420" s="183" t="e">
        <f t="shared" si="923"/>
        <v>#REF!</v>
      </c>
      <c r="AI420" s="183" t="e">
        <f t="shared" ref="AI420:AQ420" si="924">IF(INDEX(MO_SNA_IsHistoricalPeriod,1,COLUMN())=FALSE,0,INDEX(MO_SPT_StockHigh,1,COLUMN()))</f>
        <v>#REF!</v>
      </c>
      <c r="AJ420" s="770" t="e">
        <f t="shared" si="924"/>
        <v>#REF!</v>
      </c>
      <c r="AK420" s="183" t="e">
        <f t="shared" si="924"/>
        <v>#REF!</v>
      </c>
      <c r="AL420" s="183" t="e">
        <f t="shared" si="924"/>
        <v>#REF!</v>
      </c>
      <c r="AM420" s="183" t="e">
        <f t="shared" si="924"/>
        <v>#REF!</v>
      </c>
      <c r="AN420" s="183" t="e">
        <f t="shared" si="924"/>
        <v>#REF!</v>
      </c>
      <c r="AO420" s="770" t="e">
        <f t="shared" si="924"/>
        <v>#REF!</v>
      </c>
      <c r="AP420" s="183" t="e">
        <f t="shared" si="924"/>
        <v>#REF!</v>
      </c>
      <c r="AQ420" s="183" t="e">
        <f t="shared" si="924"/>
        <v>#REF!</v>
      </c>
      <c r="AR420" s="183" t="e">
        <f t="shared" ref="AR420:AW420" si="925">IF(INDEX(MO_SNA_IsHistoricalPeriod,1,COLUMN())=FALSE,0,INDEX(MO_SPT_StockHigh,1,COLUMN()))</f>
        <v>#REF!</v>
      </c>
      <c r="AS420" s="183" t="e">
        <f t="shared" si="925"/>
        <v>#REF!</v>
      </c>
      <c r="AT420" s="770" t="e">
        <f t="shared" si="925"/>
        <v>#REF!</v>
      </c>
      <c r="AU420" s="183" t="e">
        <f t="shared" si="925"/>
        <v>#REF!</v>
      </c>
      <c r="AV420" s="183" t="e">
        <f t="shared" si="925"/>
        <v>#REF!</v>
      </c>
      <c r="AW420" s="183" t="e">
        <f t="shared" si="925"/>
        <v>#REF!</v>
      </c>
      <c r="AX420" s="183" t="e">
        <f t="shared" ref="AX420:BA420" si="926">IF(INDEX(MO_SNA_IsHistoricalPeriod,1,COLUMN())=FALSE,0,INDEX(MO_SPT_StockHigh,1,COLUMN()))</f>
        <v>#REF!</v>
      </c>
      <c r="AY420" s="770" t="e">
        <f t="shared" si="926"/>
        <v>#REF!</v>
      </c>
      <c r="AZ420" s="183" t="e">
        <f t="shared" si="926"/>
        <v>#REF!</v>
      </c>
      <c r="BA420" s="183" t="e">
        <f t="shared" si="926"/>
        <v>#REF!</v>
      </c>
      <c r="BB420" s="183" t="e">
        <f t="shared" ref="BB420:BN420" si="927">IF(INDEX(MO_SNA_IsHistoricalPeriod,1,COLUMN())=FALSE,0,INDEX(MO_SPT_StockHigh,1,COLUMN()))</f>
        <v>#REF!</v>
      </c>
      <c r="BC420" s="183" t="e">
        <f t="shared" si="927"/>
        <v>#REF!</v>
      </c>
      <c r="BD420" s="770" t="e">
        <f t="shared" si="927"/>
        <v>#REF!</v>
      </c>
      <c r="BE420" s="183" t="e">
        <f t="shared" ref="BE420:BM420" si="928">IF(INDEX(MO_SNA_IsHistoricalPeriod,1,COLUMN())=FALSE,0,INDEX(MO_SPT_StockHigh,1,COLUMN()))</f>
        <v>#REF!</v>
      </c>
      <c r="BF420" s="183" t="e">
        <f t="shared" si="928"/>
        <v>#REF!</v>
      </c>
      <c r="BG420" s="183" t="e">
        <f t="shared" si="928"/>
        <v>#REF!</v>
      </c>
      <c r="BH420" s="183" t="e">
        <f t="shared" si="928"/>
        <v>#REF!</v>
      </c>
      <c r="BI420" s="770" t="e">
        <f t="shared" si="928"/>
        <v>#REF!</v>
      </c>
      <c r="BJ420" s="183" t="e">
        <f>IF(INDEX(MO_SNA_IsHistoricalPeriod,1,COLUMN())=FALSE,0,INDEX(MO_SPT_StockHigh,1,COLUMN()))</f>
        <v>#REF!</v>
      </c>
      <c r="BK420" s="183" t="e">
        <f>IF(INDEX(MO_SNA_IsHistoricalPeriod,1,COLUMN())=FALSE,0,INDEX(MO_SPT_StockHigh,1,COLUMN()))</f>
        <v>#REF!</v>
      </c>
      <c r="BL420" s="510" t="e">
        <f>IF(INDEX(MO_SNA_IsHistoricalPeriod,1,COLUMN())=FALSE,0,INDEX(MO_SPT_StockHigh,1,COLUMN()))</f>
        <v>#REF!</v>
      </c>
      <c r="BM420" s="183">
        <f t="shared" si="928"/>
        <v>0</v>
      </c>
      <c r="BN420" s="770">
        <f t="shared" si="927"/>
        <v>0</v>
      </c>
      <c r="BO420" s="183">
        <f t="shared" ref="BO420:BV420" si="929">IF(INDEX(MO_SNA_IsHistoricalPeriod,1,COLUMN())=FALSE,0,INDEX(MO_SPT_StockHigh,1,COLUMN()))</f>
        <v>0</v>
      </c>
      <c r="BP420" s="183">
        <f t="shared" si="929"/>
        <v>0</v>
      </c>
      <c r="BQ420" s="183">
        <f t="shared" si="929"/>
        <v>0</v>
      </c>
      <c r="BR420" s="183">
        <f t="shared" si="929"/>
        <v>0</v>
      </c>
      <c r="BS420" s="770">
        <f t="shared" si="929"/>
        <v>0</v>
      </c>
      <c r="BT420" s="770">
        <f t="shared" si="929"/>
        <v>0</v>
      </c>
      <c r="BU420" s="770">
        <f t="shared" si="929"/>
        <v>0</v>
      </c>
      <c r="BV420" s="770">
        <f t="shared" si="929"/>
        <v>0</v>
      </c>
      <c r="BW420" s="128"/>
    </row>
    <row r="421" spans="1:75" s="476" customFormat="1" hidden="1" outlineLevel="1">
      <c r="A421" s="126" t="str">
        <f>"Stock Low, "&amp;HP.TradeCurrency</f>
        <v>Stock Low, USD</v>
      </c>
      <c r="B421" s="164"/>
      <c r="C421" s="769"/>
      <c r="D421" s="769"/>
      <c r="E421" s="769"/>
      <c r="F421" s="769" t="e">
        <f t="shared" ref="F421:AH421" si="930">IF(INDEX(MO_SNA_IsHistoricalPeriod,1,COLUMN())=FALSE,0,INDEX(MO_SPT_StockLow,1,COLUMN()))</f>
        <v>#REF!</v>
      </c>
      <c r="G421" s="183" t="e">
        <f t="shared" si="930"/>
        <v>#REF!</v>
      </c>
      <c r="H421" s="183" t="e">
        <f t="shared" si="930"/>
        <v>#REF!</v>
      </c>
      <c r="I421" s="183" t="e">
        <f t="shared" si="930"/>
        <v>#REF!</v>
      </c>
      <c r="J421" s="183" t="e">
        <f t="shared" si="930"/>
        <v>#REF!</v>
      </c>
      <c r="K421" s="769" t="e">
        <f t="shared" si="930"/>
        <v>#REF!</v>
      </c>
      <c r="L421" s="183" t="e">
        <f t="shared" si="930"/>
        <v>#REF!</v>
      </c>
      <c r="M421" s="183" t="e">
        <f t="shared" si="930"/>
        <v>#REF!</v>
      </c>
      <c r="N421" s="183" t="e">
        <f t="shared" si="930"/>
        <v>#REF!</v>
      </c>
      <c r="O421" s="183" t="e">
        <f t="shared" si="930"/>
        <v>#REF!</v>
      </c>
      <c r="P421" s="769" t="e">
        <f t="shared" si="930"/>
        <v>#REF!</v>
      </c>
      <c r="Q421" s="183" t="e">
        <f t="shared" si="930"/>
        <v>#REF!</v>
      </c>
      <c r="R421" s="183" t="e">
        <f t="shared" si="930"/>
        <v>#REF!</v>
      </c>
      <c r="S421" s="183" t="e">
        <f t="shared" si="930"/>
        <v>#REF!</v>
      </c>
      <c r="T421" s="183" t="e">
        <f t="shared" si="930"/>
        <v>#REF!</v>
      </c>
      <c r="U421" s="769" t="e">
        <f t="shared" si="930"/>
        <v>#REF!</v>
      </c>
      <c r="V421" s="183" t="e">
        <f t="shared" si="930"/>
        <v>#REF!</v>
      </c>
      <c r="W421" s="183" t="e">
        <f t="shared" si="930"/>
        <v>#REF!</v>
      </c>
      <c r="X421" s="183" t="e">
        <f t="shared" si="930"/>
        <v>#REF!</v>
      </c>
      <c r="Y421" s="183" t="e">
        <f t="shared" si="930"/>
        <v>#REF!</v>
      </c>
      <c r="Z421" s="770" t="e">
        <f t="shared" si="930"/>
        <v>#REF!</v>
      </c>
      <c r="AA421" s="183" t="e">
        <f t="shared" si="930"/>
        <v>#REF!</v>
      </c>
      <c r="AB421" s="183" t="e">
        <f t="shared" si="930"/>
        <v>#REF!</v>
      </c>
      <c r="AC421" s="183" t="e">
        <f t="shared" si="930"/>
        <v>#REF!</v>
      </c>
      <c r="AD421" s="183" t="e">
        <f t="shared" si="930"/>
        <v>#REF!</v>
      </c>
      <c r="AE421" s="770" t="e">
        <f t="shared" si="930"/>
        <v>#REF!</v>
      </c>
      <c r="AF421" s="183" t="e">
        <f t="shared" si="930"/>
        <v>#REF!</v>
      </c>
      <c r="AG421" s="183" t="e">
        <f t="shared" si="930"/>
        <v>#REF!</v>
      </c>
      <c r="AH421" s="183" t="e">
        <f t="shared" si="930"/>
        <v>#REF!</v>
      </c>
      <c r="AI421" s="183" t="e">
        <f t="shared" ref="AI421:AQ421" si="931">IF(INDEX(MO_SNA_IsHistoricalPeriod,1,COLUMN())=FALSE,0,INDEX(MO_SPT_StockLow,1,COLUMN()))</f>
        <v>#REF!</v>
      </c>
      <c r="AJ421" s="770" t="e">
        <f t="shared" si="931"/>
        <v>#REF!</v>
      </c>
      <c r="AK421" s="183" t="e">
        <f t="shared" si="931"/>
        <v>#REF!</v>
      </c>
      <c r="AL421" s="183" t="e">
        <f t="shared" si="931"/>
        <v>#REF!</v>
      </c>
      <c r="AM421" s="183" t="e">
        <f t="shared" si="931"/>
        <v>#REF!</v>
      </c>
      <c r="AN421" s="183" t="e">
        <f t="shared" si="931"/>
        <v>#REF!</v>
      </c>
      <c r="AO421" s="770" t="e">
        <f t="shared" si="931"/>
        <v>#REF!</v>
      </c>
      <c r="AP421" s="183" t="e">
        <f t="shared" si="931"/>
        <v>#REF!</v>
      </c>
      <c r="AQ421" s="183" t="e">
        <f t="shared" si="931"/>
        <v>#REF!</v>
      </c>
      <c r="AR421" s="183" t="e">
        <f t="shared" ref="AR421:AW421" si="932">IF(INDEX(MO_SNA_IsHistoricalPeriod,1,COLUMN())=FALSE,0,INDEX(MO_SPT_StockLow,1,COLUMN()))</f>
        <v>#REF!</v>
      </c>
      <c r="AS421" s="183" t="e">
        <f t="shared" si="932"/>
        <v>#REF!</v>
      </c>
      <c r="AT421" s="770" t="e">
        <f t="shared" si="932"/>
        <v>#REF!</v>
      </c>
      <c r="AU421" s="183" t="e">
        <f t="shared" si="932"/>
        <v>#REF!</v>
      </c>
      <c r="AV421" s="183" t="e">
        <f t="shared" si="932"/>
        <v>#REF!</v>
      </c>
      <c r="AW421" s="183" t="e">
        <f t="shared" si="932"/>
        <v>#REF!</v>
      </c>
      <c r="AX421" s="183" t="e">
        <f t="shared" ref="AX421:BA421" si="933">IF(INDEX(MO_SNA_IsHistoricalPeriod,1,COLUMN())=FALSE,0,INDEX(MO_SPT_StockLow,1,COLUMN()))</f>
        <v>#REF!</v>
      </c>
      <c r="AY421" s="770" t="e">
        <f t="shared" si="933"/>
        <v>#REF!</v>
      </c>
      <c r="AZ421" s="183" t="e">
        <f t="shared" si="933"/>
        <v>#REF!</v>
      </c>
      <c r="BA421" s="183" t="e">
        <f t="shared" si="933"/>
        <v>#REF!</v>
      </c>
      <c r="BB421" s="183" t="e">
        <f t="shared" ref="BB421:BN421" si="934">IF(INDEX(MO_SNA_IsHistoricalPeriod,1,COLUMN())=FALSE,0,INDEX(MO_SPT_StockLow,1,COLUMN()))</f>
        <v>#REF!</v>
      </c>
      <c r="BC421" s="183" t="e">
        <f t="shared" si="934"/>
        <v>#REF!</v>
      </c>
      <c r="BD421" s="770" t="e">
        <f t="shared" si="934"/>
        <v>#REF!</v>
      </c>
      <c r="BE421" s="183" t="e">
        <f t="shared" ref="BE421:BM421" si="935">IF(INDEX(MO_SNA_IsHistoricalPeriod,1,COLUMN())=FALSE,0,INDEX(MO_SPT_StockLow,1,COLUMN()))</f>
        <v>#REF!</v>
      </c>
      <c r="BF421" s="183" t="e">
        <f t="shared" si="935"/>
        <v>#REF!</v>
      </c>
      <c r="BG421" s="183" t="e">
        <f t="shared" si="935"/>
        <v>#REF!</v>
      </c>
      <c r="BH421" s="183" t="e">
        <f t="shared" si="935"/>
        <v>#REF!</v>
      </c>
      <c r="BI421" s="770" t="e">
        <f t="shared" si="935"/>
        <v>#REF!</v>
      </c>
      <c r="BJ421" s="183" t="e">
        <f>IF(INDEX(MO_SNA_IsHistoricalPeriod,1,COLUMN())=FALSE,0,INDEX(MO_SPT_StockLow,1,COLUMN()))</f>
        <v>#REF!</v>
      </c>
      <c r="BK421" s="183" t="e">
        <f>IF(INDEX(MO_SNA_IsHistoricalPeriod,1,COLUMN())=FALSE,0,INDEX(MO_SPT_StockLow,1,COLUMN()))</f>
        <v>#REF!</v>
      </c>
      <c r="BL421" s="510" t="e">
        <f>IF(INDEX(MO_SNA_IsHistoricalPeriod,1,COLUMN())=FALSE,0,INDEX(MO_SPT_StockLow,1,COLUMN()))</f>
        <v>#REF!</v>
      </c>
      <c r="BM421" s="183">
        <f t="shared" si="935"/>
        <v>0</v>
      </c>
      <c r="BN421" s="770">
        <f t="shared" si="934"/>
        <v>0</v>
      </c>
      <c r="BO421" s="183">
        <f t="shared" ref="BO421:BV421" si="936">IF(INDEX(MO_SNA_IsHistoricalPeriod,1,COLUMN())=FALSE,0,INDEX(MO_SPT_StockLow,1,COLUMN()))</f>
        <v>0</v>
      </c>
      <c r="BP421" s="183">
        <f t="shared" si="936"/>
        <v>0</v>
      </c>
      <c r="BQ421" s="183">
        <f t="shared" si="936"/>
        <v>0</v>
      </c>
      <c r="BR421" s="183">
        <f t="shared" si="936"/>
        <v>0</v>
      </c>
      <c r="BS421" s="770">
        <f t="shared" si="936"/>
        <v>0</v>
      </c>
      <c r="BT421" s="770">
        <f t="shared" si="936"/>
        <v>0</v>
      </c>
      <c r="BU421" s="770">
        <f t="shared" si="936"/>
        <v>0</v>
      </c>
      <c r="BV421" s="770">
        <f t="shared" si="936"/>
        <v>0</v>
      </c>
      <c r="BW421" s="128"/>
    </row>
    <row r="422" spans="1:75" s="476" customFormat="1" hidden="1" outlineLevel="1">
      <c r="A422" s="126" t="str">
        <f>"Stock Average, "&amp;HP.TradeCurrency</f>
        <v>Stock Average, USD</v>
      </c>
      <c r="B422" s="164"/>
      <c r="C422" s="769"/>
      <c r="D422" s="769"/>
      <c r="E422" s="769"/>
      <c r="F422" s="769" t="e">
        <f t="shared" ref="F422:AH422" si="937">IF(INDEX(MO_SNA_IsHistoricalPeriod,1,COLUMN())=FALSE,0,INDEX(MO_SPT_StockAverage,1,COLUMN()))</f>
        <v>#REF!</v>
      </c>
      <c r="G422" s="183" t="e">
        <f t="shared" si="937"/>
        <v>#REF!</v>
      </c>
      <c r="H422" s="183" t="e">
        <f t="shared" si="937"/>
        <v>#REF!</v>
      </c>
      <c r="I422" s="183" t="e">
        <f t="shared" si="937"/>
        <v>#REF!</v>
      </c>
      <c r="J422" s="183" t="e">
        <f t="shared" si="937"/>
        <v>#REF!</v>
      </c>
      <c r="K422" s="769" t="e">
        <f t="shared" si="937"/>
        <v>#REF!</v>
      </c>
      <c r="L422" s="183" t="e">
        <f t="shared" si="937"/>
        <v>#REF!</v>
      </c>
      <c r="M422" s="183" t="e">
        <f t="shared" si="937"/>
        <v>#REF!</v>
      </c>
      <c r="N422" s="183" t="e">
        <f t="shared" si="937"/>
        <v>#REF!</v>
      </c>
      <c r="O422" s="183" t="e">
        <f t="shared" si="937"/>
        <v>#REF!</v>
      </c>
      <c r="P422" s="769" t="e">
        <f t="shared" si="937"/>
        <v>#REF!</v>
      </c>
      <c r="Q422" s="183" t="e">
        <f t="shared" si="937"/>
        <v>#REF!</v>
      </c>
      <c r="R422" s="183" t="e">
        <f t="shared" si="937"/>
        <v>#REF!</v>
      </c>
      <c r="S422" s="183" t="e">
        <f t="shared" si="937"/>
        <v>#REF!</v>
      </c>
      <c r="T422" s="183" t="e">
        <f t="shared" si="937"/>
        <v>#REF!</v>
      </c>
      <c r="U422" s="769" t="e">
        <f t="shared" si="937"/>
        <v>#REF!</v>
      </c>
      <c r="V422" s="183" t="e">
        <f t="shared" si="937"/>
        <v>#REF!</v>
      </c>
      <c r="W422" s="183" t="e">
        <f t="shared" si="937"/>
        <v>#REF!</v>
      </c>
      <c r="X422" s="183" t="e">
        <f t="shared" si="937"/>
        <v>#REF!</v>
      </c>
      <c r="Y422" s="183" t="e">
        <f t="shared" si="937"/>
        <v>#REF!</v>
      </c>
      <c r="Z422" s="770" t="e">
        <f t="shared" si="937"/>
        <v>#REF!</v>
      </c>
      <c r="AA422" s="183" t="e">
        <f t="shared" si="937"/>
        <v>#REF!</v>
      </c>
      <c r="AB422" s="183" t="e">
        <f t="shared" si="937"/>
        <v>#REF!</v>
      </c>
      <c r="AC422" s="183" t="e">
        <f t="shared" si="937"/>
        <v>#REF!</v>
      </c>
      <c r="AD422" s="183" t="e">
        <f t="shared" si="937"/>
        <v>#REF!</v>
      </c>
      <c r="AE422" s="770" t="e">
        <f t="shared" si="937"/>
        <v>#REF!</v>
      </c>
      <c r="AF422" s="183" t="e">
        <f t="shared" si="937"/>
        <v>#REF!</v>
      </c>
      <c r="AG422" s="183" t="e">
        <f t="shared" si="937"/>
        <v>#REF!</v>
      </c>
      <c r="AH422" s="183" t="e">
        <f t="shared" si="937"/>
        <v>#REF!</v>
      </c>
      <c r="AI422" s="183" t="e">
        <f t="shared" ref="AI422:AQ422" si="938">IF(INDEX(MO_SNA_IsHistoricalPeriod,1,COLUMN())=FALSE,0,INDEX(MO_SPT_StockAverage,1,COLUMN()))</f>
        <v>#REF!</v>
      </c>
      <c r="AJ422" s="770" t="e">
        <f t="shared" si="938"/>
        <v>#REF!</v>
      </c>
      <c r="AK422" s="183" t="e">
        <f t="shared" si="938"/>
        <v>#REF!</v>
      </c>
      <c r="AL422" s="183" t="e">
        <f t="shared" si="938"/>
        <v>#REF!</v>
      </c>
      <c r="AM422" s="183" t="e">
        <f t="shared" si="938"/>
        <v>#REF!</v>
      </c>
      <c r="AN422" s="183" t="e">
        <f t="shared" si="938"/>
        <v>#REF!</v>
      </c>
      <c r="AO422" s="770" t="e">
        <f t="shared" si="938"/>
        <v>#REF!</v>
      </c>
      <c r="AP422" s="183" t="e">
        <f t="shared" si="938"/>
        <v>#REF!</v>
      </c>
      <c r="AQ422" s="183" t="e">
        <f t="shared" si="938"/>
        <v>#REF!</v>
      </c>
      <c r="AR422" s="183" t="e">
        <f t="shared" ref="AR422:AW422" si="939">IF(INDEX(MO_SNA_IsHistoricalPeriod,1,COLUMN())=FALSE,0,INDEX(MO_SPT_StockAverage,1,COLUMN()))</f>
        <v>#REF!</v>
      </c>
      <c r="AS422" s="183" t="e">
        <f t="shared" si="939"/>
        <v>#REF!</v>
      </c>
      <c r="AT422" s="770" t="e">
        <f t="shared" si="939"/>
        <v>#REF!</v>
      </c>
      <c r="AU422" s="183" t="e">
        <f t="shared" si="939"/>
        <v>#REF!</v>
      </c>
      <c r="AV422" s="183" t="e">
        <f t="shared" si="939"/>
        <v>#REF!</v>
      </c>
      <c r="AW422" s="183" t="e">
        <f t="shared" si="939"/>
        <v>#REF!</v>
      </c>
      <c r="AX422" s="183" t="e">
        <f t="shared" ref="AX422:BA422" si="940">IF(INDEX(MO_SNA_IsHistoricalPeriod,1,COLUMN())=FALSE,0,INDEX(MO_SPT_StockAverage,1,COLUMN()))</f>
        <v>#REF!</v>
      </c>
      <c r="AY422" s="770" t="e">
        <f t="shared" si="940"/>
        <v>#REF!</v>
      </c>
      <c r="AZ422" s="183" t="e">
        <f t="shared" si="940"/>
        <v>#REF!</v>
      </c>
      <c r="BA422" s="183" t="e">
        <f t="shared" si="940"/>
        <v>#REF!</v>
      </c>
      <c r="BB422" s="183" t="e">
        <f t="shared" ref="BB422:BN422" si="941">IF(INDEX(MO_SNA_IsHistoricalPeriod,1,COLUMN())=FALSE,0,INDEX(MO_SPT_StockAverage,1,COLUMN()))</f>
        <v>#REF!</v>
      </c>
      <c r="BC422" s="183" t="e">
        <f t="shared" si="941"/>
        <v>#REF!</v>
      </c>
      <c r="BD422" s="770" t="e">
        <f t="shared" si="941"/>
        <v>#REF!</v>
      </c>
      <c r="BE422" s="183" t="e">
        <f t="shared" ref="BE422:BM422" si="942">IF(INDEX(MO_SNA_IsHistoricalPeriod,1,COLUMN())=FALSE,0,INDEX(MO_SPT_StockAverage,1,COLUMN()))</f>
        <v>#REF!</v>
      </c>
      <c r="BF422" s="183" t="e">
        <f t="shared" si="942"/>
        <v>#REF!</v>
      </c>
      <c r="BG422" s="183" t="e">
        <f t="shared" si="942"/>
        <v>#REF!</v>
      </c>
      <c r="BH422" s="183" t="e">
        <f t="shared" si="942"/>
        <v>#REF!</v>
      </c>
      <c r="BI422" s="770" t="e">
        <f t="shared" si="942"/>
        <v>#REF!</v>
      </c>
      <c r="BJ422" s="183" t="e">
        <f>IF(INDEX(MO_SNA_IsHistoricalPeriod,1,COLUMN())=FALSE,0,INDEX(MO_SPT_StockAverage,1,COLUMN()))</f>
        <v>#REF!</v>
      </c>
      <c r="BK422" s="183" t="e">
        <f>IF(INDEX(MO_SNA_IsHistoricalPeriod,1,COLUMN())=FALSE,0,INDEX(MO_SPT_StockAverage,1,COLUMN()))</f>
        <v>#REF!</v>
      </c>
      <c r="BL422" s="510" t="e">
        <f>IF(INDEX(MO_SNA_IsHistoricalPeriod,1,COLUMN())=FALSE,0,INDEX(MO_SPT_StockAverage,1,COLUMN()))</f>
        <v>#REF!</v>
      </c>
      <c r="BM422" s="183">
        <f t="shared" si="942"/>
        <v>0</v>
      </c>
      <c r="BN422" s="770">
        <f t="shared" si="941"/>
        <v>0</v>
      </c>
      <c r="BO422" s="183">
        <f t="shared" ref="BO422:BV422" si="943">IF(INDEX(MO_SNA_IsHistoricalPeriod,1,COLUMN())=FALSE,0,INDEX(MO_SPT_StockAverage,1,COLUMN()))</f>
        <v>0</v>
      </c>
      <c r="BP422" s="183">
        <f t="shared" si="943"/>
        <v>0</v>
      </c>
      <c r="BQ422" s="183">
        <f t="shared" si="943"/>
        <v>0</v>
      </c>
      <c r="BR422" s="183">
        <f t="shared" si="943"/>
        <v>0</v>
      </c>
      <c r="BS422" s="770">
        <f t="shared" si="943"/>
        <v>0</v>
      </c>
      <c r="BT422" s="770">
        <f t="shared" si="943"/>
        <v>0</v>
      </c>
      <c r="BU422" s="770">
        <f t="shared" si="943"/>
        <v>0</v>
      </c>
      <c r="BV422" s="770">
        <f t="shared" si="943"/>
        <v>0</v>
      </c>
      <c r="BW422" s="128"/>
    </row>
    <row r="423" spans="1:75" s="476" customFormat="1" hidden="1" outlineLevel="1">
      <c r="A423" s="126" t="str">
        <f>"Stock EoP, "&amp;HP.TradeCurrency</f>
        <v>Stock EoP, USD</v>
      </c>
      <c r="B423" s="164"/>
      <c r="C423" s="771"/>
      <c r="D423" s="771"/>
      <c r="E423" s="771"/>
      <c r="F423" s="771">
        <f t="shared" ref="F423:AH423" si="944">IF(INDEX(MO_SNA_IsHistoricalPeriod,1,COLUMN())=FALSE,MO.LastPrice,INDEX(MO_SPT_StockEoP,1,COLUMN()))</f>
        <v>18.87</v>
      </c>
      <c r="G423" s="309">
        <f t="shared" si="944"/>
        <v>23.71</v>
      </c>
      <c r="H423" s="309">
        <f t="shared" si="944"/>
        <v>34.770000000000003</v>
      </c>
      <c r="I423" s="309">
        <f t="shared" si="944"/>
        <v>68.05</v>
      </c>
      <c r="J423" s="309">
        <f t="shared" si="944"/>
        <v>66.010000000000005</v>
      </c>
      <c r="K423" s="771">
        <f t="shared" si="944"/>
        <v>66.010000000000005</v>
      </c>
      <c r="L423" s="309">
        <f t="shared" si="944"/>
        <v>76.44</v>
      </c>
      <c r="M423" s="309">
        <f t="shared" si="944"/>
        <v>77.28</v>
      </c>
      <c r="N423" s="309">
        <f t="shared" si="944"/>
        <v>69.540000000000006</v>
      </c>
      <c r="O423" s="309">
        <f t="shared" si="944"/>
        <v>54.24</v>
      </c>
      <c r="P423" s="771">
        <f t="shared" si="944"/>
        <v>54.24</v>
      </c>
      <c r="Q423" s="309">
        <f t="shared" si="944"/>
        <v>47.39</v>
      </c>
      <c r="R423" s="309">
        <f t="shared" si="944"/>
        <v>42.47</v>
      </c>
      <c r="S423" s="309">
        <f t="shared" si="944"/>
        <v>21.14</v>
      </c>
      <c r="T423" s="309">
        <f t="shared" si="944"/>
        <v>28.25</v>
      </c>
      <c r="U423" s="771">
        <f t="shared" si="944"/>
        <v>28.25</v>
      </c>
      <c r="V423" s="309">
        <f t="shared" si="944"/>
        <v>20.43</v>
      </c>
      <c r="W423" s="309">
        <f t="shared" si="944"/>
        <v>29.2</v>
      </c>
      <c r="X423" s="309">
        <f t="shared" si="944"/>
        <v>40.98</v>
      </c>
      <c r="Y423" s="309">
        <f t="shared" si="944"/>
        <v>38.130000000000003</v>
      </c>
      <c r="Z423" s="772">
        <f t="shared" si="944"/>
        <v>38.130000000000003</v>
      </c>
      <c r="AA423" s="309">
        <f t="shared" si="944"/>
        <v>32.520000000000003</v>
      </c>
      <c r="AB423" s="309">
        <f t="shared" si="944"/>
        <v>29.89</v>
      </c>
      <c r="AC423" s="309">
        <f t="shared" si="944"/>
        <v>43.3</v>
      </c>
      <c r="AD423" s="309">
        <f t="shared" si="944"/>
        <v>41.96</v>
      </c>
      <c r="AE423" s="772">
        <f t="shared" si="944"/>
        <v>41.96</v>
      </c>
      <c r="AF423" s="309">
        <f t="shared" si="944"/>
        <v>41.75</v>
      </c>
      <c r="AG423" s="309">
        <f t="shared" si="944"/>
        <v>39.18</v>
      </c>
      <c r="AH423" s="309">
        <f t="shared" si="944"/>
        <v>49.2</v>
      </c>
      <c r="AI423" s="309">
        <f t="shared" ref="AI423:AZ423" si="945">IF(INDEX(MO_SNA_IsHistoricalPeriod,1,COLUMN())=FALSE,MO.LastPrice,INDEX(MO_SPT_StockEoP,1,COLUMN()))</f>
        <v>34.42</v>
      </c>
      <c r="AJ423" s="772">
        <f t="shared" si="945"/>
        <v>34.42</v>
      </c>
      <c r="AK423" s="309">
        <f t="shared" si="945"/>
        <v>34.5</v>
      </c>
      <c r="AL423" s="309">
        <f t="shared" si="945"/>
        <v>34.18</v>
      </c>
      <c r="AM423" s="309">
        <f t="shared" si="945"/>
        <v>34.42</v>
      </c>
      <c r="AN423" s="309">
        <f t="shared" si="945"/>
        <v>34.58</v>
      </c>
      <c r="AO423" s="772">
        <f t="shared" si="945"/>
        <v>34.58</v>
      </c>
      <c r="AP423" s="309">
        <f t="shared" si="945"/>
        <v>17.53</v>
      </c>
      <c r="AQ423" s="309">
        <f t="shared" si="945"/>
        <v>21.47</v>
      </c>
      <c r="AR423" s="309">
        <f t="shared" si="945"/>
        <v>20.07</v>
      </c>
      <c r="AS423" s="309">
        <f t="shared" si="945"/>
        <v>31.64</v>
      </c>
      <c r="AT423" s="772">
        <f t="shared" si="945"/>
        <v>31.64</v>
      </c>
      <c r="AU423" s="309">
        <f t="shared" si="945"/>
        <v>38.57</v>
      </c>
      <c r="AV423" s="309">
        <f t="shared" si="945"/>
        <v>40.369999999999997</v>
      </c>
      <c r="AW423" s="309">
        <f t="shared" si="945"/>
        <v>37.979999999999997</v>
      </c>
      <c r="AX423" s="309">
        <f t="shared" si="945"/>
        <v>36.479999999999997</v>
      </c>
      <c r="AY423" s="772">
        <f t="shared" si="945"/>
        <v>36.479999999999997</v>
      </c>
      <c r="AZ423" s="309">
        <f t="shared" si="945"/>
        <v>34.76</v>
      </c>
      <c r="BA423" s="309">
        <f t="shared" ref="BA423:BD423" si="946">IF(INDEX(MO_SNA_IsHistoricalPeriod,1,COLUMN())=FALSE,MO.LastPrice,INDEX(MO_SPT_StockEoP,1,COLUMN()))</f>
        <v>28.47</v>
      </c>
      <c r="BB423" s="309">
        <f t="shared" si="946"/>
        <v>33.770000000000003</v>
      </c>
      <c r="BC423" s="309">
        <f t="shared" si="946"/>
        <v>27.34</v>
      </c>
      <c r="BD423" s="772">
        <f t="shared" si="946"/>
        <v>27.34</v>
      </c>
      <c r="BE423" s="309">
        <f t="shared" ref="BE423:BV423" si="947">IF(INDEX(MO_SNA_IsHistoricalPeriod,1,COLUMN())=FALSE,MO.LastPrice,INDEX(MO_SPT_StockEoP,1,COLUMN()))</f>
        <v>29.98</v>
      </c>
      <c r="BF423" s="309">
        <f t="shared" si="947"/>
        <v>36.47</v>
      </c>
      <c r="BG423" s="309">
        <f t="shared" si="947"/>
        <v>41.59</v>
      </c>
      <c r="BH423" s="309">
        <f t="shared" si="947"/>
        <v>47.34</v>
      </c>
      <c r="BI423" s="772">
        <f t="shared" si="947"/>
        <v>47.34</v>
      </c>
      <c r="BJ423" s="309">
        <f>IF(INDEX(MO_SNA_IsHistoricalPeriod,1,COLUMN())=FALSE,MO.LastPrice,INDEX(MO_SPT_StockEoP,1,COLUMN()))</f>
        <v>39.4</v>
      </c>
      <c r="BK423" s="309">
        <f>IF(INDEX(MO_SNA_IsHistoricalPeriod,1,COLUMN())=FALSE,MO.LastPrice,INDEX(MO_SPT_StockEoP,1,COLUMN()))</f>
        <v>36.950000000000003</v>
      </c>
      <c r="BL423" s="511">
        <f>IF(INDEX(MO_SNA_IsHistoricalPeriod,1,COLUMN())=FALSE,MO.LastPrice,INDEX(MO_SPT_StockEoP,1,COLUMN()))</f>
        <v>34.909999999999997</v>
      </c>
      <c r="BM423" s="309" t="e">
        <f t="shared" si="947"/>
        <v>#REF!</v>
      </c>
      <c r="BN423" s="772" t="e">
        <f t="shared" si="947"/>
        <v>#REF!</v>
      </c>
      <c r="BO423" s="309" t="e">
        <f t="shared" si="947"/>
        <v>#REF!</v>
      </c>
      <c r="BP423" s="309" t="e">
        <f t="shared" si="947"/>
        <v>#REF!</v>
      </c>
      <c r="BQ423" s="309" t="e">
        <f t="shared" si="947"/>
        <v>#REF!</v>
      </c>
      <c r="BR423" s="309" t="e">
        <f t="shared" si="947"/>
        <v>#REF!</v>
      </c>
      <c r="BS423" s="772" t="e">
        <f t="shared" si="947"/>
        <v>#REF!</v>
      </c>
      <c r="BT423" s="772" t="e">
        <f t="shared" si="947"/>
        <v>#REF!</v>
      </c>
      <c r="BU423" s="772" t="e">
        <f t="shared" si="947"/>
        <v>#REF!</v>
      </c>
      <c r="BV423" s="772" t="e">
        <f t="shared" si="947"/>
        <v>#REF!</v>
      </c>
      <c r="BW423" s="128"/>
    </row>
    <row r="424" spans="1:75" s="460" customFormat="1" hidden="1" outlineLevel="1">
      <c r="A424" s="165" t="str">
        <f>"Average FX Rate, "&amp;HP.TradeCurrency&amp;"/"&amp;MO.ReportCurrency</f>
        <v>Average FX Rate, USD/USD</v>
      </c>
      <c r="B424" s="166"/>
      <c r="C424" s="773"/>
      <c r="D424" s="773"/>
      <c r="E424" s="773"/>
      <c r="F424" s="773" t="e">
        <f t="shared" ref="F424:AH424" si="948">IF(INDEX(MO_SPT_FXAverage,1,COLUMN())=0,1,INDEX(MO_SPT_FXAverage,1,COLUMN()))</f>
        <v>#REF!</v>
      </c>
      <c r="G424" s="310" t="e">
        <f t="shared" si="948"/>
        <v>#REF!</v>
      </c>
      <c r="H424" s="310" t="e">
        <f t="shared" si="948"/>
        <v>#REF!</v>
      </c>
      <c r="I424" s="310" t="e">
        <f t="shared" si="948"/>
        <v>#REF!</v>
      </c>
      <c r="J424" s="310" t="e">
        <f t="shared" si="948"/>
        <v>#REF!</v>
      </c>
      <c r="K424" s="773" t="e">
        <f t="shared" si="948"/>
        <v>#REF!</v>
      </c>
      <c r="L424" s="310" t="e">
        <f t="shared" si="948"/>
        <v>#REF!</v>
      </c>
      <c r="M424" s="310" t="e">
        <f t="shared" si="948"/>
        <v>#REF!</v>
      </c>
      <c r="N424" s="310" t="e">
        <f t="shared" si="948"/>
        <v>#REF!</v>
      </c>
      <c r="O424" s="310" t="e">
        <f t="shared" si="948"/>
        <v>#REF!</v>
      </c>
      <c r="P424" s="773" t="e">
        <f t="shared" si="948"/>
        <v>#REF!</v>
      </c>
      <c r="Q424" s="310" t="e">
        <f t="shared" si="948"/>
        <v>#REF!</v>
      </c>
      <c r="R424" s="310" t="e">
        <f t="shared" si="948"/>
        <v>#REF!</v>
      </c>
      <c r="S424" s="310" t="e">
        <f t="shared" si="948"/>
        <v>#REF!</v>
      </c>
      <c r="T424" s="310" t="e">
        <f t="shared" si="948"/>
        <v>#REF!</v>
      </c>
      <c r="U424" s="773" t="e">
        <f t="shared" si="948"/>
        <v>#REF!</v>
      </c>
      <c r="V424" s="310" t="e">
        <f t="shared" si="948"/>
        <v>#REF!</v>
      </c>
      <c r="W424" s="310" t="e">
        <f t="shared" si="948"/>
        <v>#REF!</v>
      </c>
      <c r="X424" s="310" t="e">
        <f t="shared" si="948"/>
        <v>#REF!</v>
      </c>
      <c r="Y424" s="310" t="e">
        <f t="shared" si="948"/>
        <v>#REF!</v>
      </c>
      <c r="Z424" s="725" t="e">
        <f t="shared" si="948"/>
        <v>#REF!</v>
      </c>
      <c r="AA424" s="310" t="e">
        <f t="shared" si="948"/>
        <v>#REF!</v>
      </c>
      <c r="AB424" s="310" t="e">
        <f t="shared" si="948"/>
        <v>#REF!</v>
      </c>
      <c r="AC424" s="310" t="e">
        <f t="shared" si="948"/>
        <v>#REF!</v>
      </c>
      <c r="AD424" s="310" t="e">
        <f t="shared" si="948"/>
        <v>#REF!</v>
      </c>
      <c r="AE424" s="725" t="e">
        <f t="shared" si="948"/>
        <v>#REF!</v>
      </c>
      <c r="AF424" s="310" t="e">
        <f t="shared" si="948"/>
        <v>#REF!</v>
      </c>
      <c r="AG424" s="310" t="e">
        <f t="shared" si="948"/>
        <v>#REF!</v>
      </c>
      <c r="AH424" s="310" t="e">
        <f t="shared" si="948"/>
        <v>#REF!</v>
      </c>
      <c r="AI424" s="310" t="e">
        <f t="shared" ref="AI424:AQ424" si="949">IF(INDEX(MO_SPT_FXAverage,1,COLUMN())=0,1,INDEX(MO_SPT_FXAverage,1,COLUMN()))</f>
        <v>#REF!</v>
      </c>
      <c r="AJ424" s="725" t="e">
        <f t="shared" si="949"/>
        <v>#REF!</v>
      </c>
      <c r="AK424" s="310" t="e">
        <f t="shared" si="949"/>
        <v>#REF!</v>
      </c>
      <c r="AL424" s="310" t="e">
        <f t="shared" si="949"/>
        <v>#REF!</v>
      </c>
      <c r="AM424" s="310" t="e">
        <f t="shared" si="949"/>
        <v>#REF!</v>
      </c>
      <c r="AN424" s="310" t="e">
        <f t="shared" si="949"/>
        <v>#REF!</v>
      </c>
      <c r="AO424" s="725" t="e">
        <f t="shared" si="949"/>
        <v>#REF!</v>
      </c>
      <c r="AP424" s="310" t="e">
        <f t="shared" si="949"/>
        <v>#REF!</v>
      </c>
      <c r="AQ424" s="310" t="e">
        <f t="shared" si="949"/>
        <v>#REF!</v>
      </c>
      <c r="AR424" s="310" t="e">
        <f t="shared" ref="AR424:AW424" si="950">IF(INDEX(MO_SPT_FXAverage,1,COLUMN())=0,1,INDEX(MO_SPT_FXAverage,1,COLUMN()))</f>
        <v>#REF!</v>
      </c>
      <c r="AS424" s="310" t="e">
        <f t="shared" si="950"/>
        <v>#REF!</v>
      </c>
      <c r="AT424" s="725" t="e">
        <f t="shared" si="950"/>
        <v>#REF!</v>
      </c>
      <c r="AU424" s="310" t="e">
        <f t="shared" si="950"/>
        <v>#REF!</v>
      </c>
      <c r="AV424" s="310" t="e">
        <f t="shared" si="950"/>
        <v>#REF!</v>
      </c>
      <c r="AW424" s="310" t="e">
        <f t="shared" si="950"/>
        <v>#REF!</v>
      </c>
      <c r="AX424" s="310" t="e">
        <f t="shared" ref="AX424:BA424" si="951">IF(INDEX(MO_SPT_FXAverage,1,COLUMN())=0,1,INDEX(MO_SPT_FXAverage,1,COLUMN()))</f>
        <v>#REF!</v>
      </c>
      <c r="AY424" s="725" t="e">
        <f t="shared" si="951"/>
        <v>#REF!</v>
      </c>
      <c r="AZ424" s="310" t="e">
        <f t="shared" si="951"/>
        <v>#REF!</v>
      </c>
      <c r="BA424" s="310" t="e">
        <f t="shared" si="951"/>
        <v>#REF!</v>
      </c>
      <c r="BB424" s="310" t="e">
        <f t="shared" ref="BB424:BN424" si="952">IF(INDEX(MO_SPT_FXAverage,1,COLUMN())=0,1,INDEX(MO_SPT_FXAverage,1,COLUMN()))</f>
        <v>#REF!</v>
      </c>
      <c r="BC424" s="310" t="e">
        <f t="shared" si="952"/>
        <v>#REF!</v>
      </c>
      <c r="BD424" s="725" t="e">
        <f t="shared" si="952"/>
        <v>#REF!</v>
      </c>
      <c r="BE424" s="310" t="e">
        <f t="shared" ref="BE424:BM424" si="953">IF(INDEX(MO_SPT_FXAverage,1,COLUMN())=0,1,INDEX(MO_SPT_FXAverage,1,COLUMN()))</f>
        <v>#REF!</v>
      </c>
      <c r="BF424" s="310" t="e">
        <f t="shared" si="953"/>
        <v>#REF!</v>
      </c>
      <c r="BG424" s="310" t="e">
        <f t="shared" si="953"/>
        <v>#REF!</v>
      </c>
      <c r="BH424" s="310" t="e">
        <f t="shared" si="953"/>
        <v>#REF!</v>
      </c>
      <c r="BI424" s="725" t="e">
        <f t="shared" si="953"/>
        <v>#REF!</v>
      </c>
      <c r="BJ424" s="310" t="e">
        <f>IF(INDEX(MO_SPT_FXAverage,1,COLUMN())=0,1,INDEX(MO_SPT_FXAverage,1,COLUMN()))</f>
        <v>#REF!</v>
      </c>
      <c r="BK424" s="310" t="e">
        <f>IF(INDEX(MO_SPT_FXAverage,1,COLUMN())=0,1,INDEX(MO_SPT_FXAverage,1,COLUMN()))</f>
        <v>#REF!</v>
      </c>
      <c r="BL424" s="512" t="e">
        <f>IF(INDEX(MO_SPT_FXAverage,1,COLUMN())=0,1,INDEX(MO_SPT_FXAverage,1,COLUMN()))</f>
        <v>#REF!</v>
      </c>
      <c r="BM424" s="310" t="e">
        <f t="shared" si="953"/>
        <v>#REF!</v>
      </c>
      <c r="BN424" s="725" t="e">
        <f t="shared" si="952"/>
        <v>#REF!</v>
      </c>
      <c r="BO424" s="310" t="e">
        <f t="shared" ref="BO424:BV424" si="954">IF(INDEX(MO_SPT_FXAverage,1,COLUMN())=0,1,INDEX(MO_SPT_FXAverage,1,COLUMN()))</f>
        <v>#REF!</v>
      </c>
      <c r="BP424" s="310" t="e">
        <f t="shared" si="954"/>
        <v>#REF!</v>
      </c>
      <c r="BQ424" s="310" t="e">
        <f t="shared" si="954"/>
        <v>#REF!</v>
      </c>
      <c r="BR424" s="310" t="e">
        <f t="shared" si="954"/>
        <v>#REF!</v>
      </c>
      <c r="BS424" s="725" t="e">
        <f t="shared" si="954"/>
        <v>#REF!</v>
      </c>
      <c r="BT424" s="725" t="e">
        <f t="shared" si="954"/>
        <v>#REF!</v>
      </c>
      <c r="BU424" s="725" t="e">
        <f t="shared" si="954"/>
        <v>#REF!</v>
      </c>
      <c r="BV424" s="725" t="e">
        <f t="shared" si="954"/>
        <v>#REF!</v>
      </c>
      <c r="BW424" s="162"/>
    </row>
    <row r="425" spans="1:75" s="460" customFormat="1" hidden="1" outlineLevel="1">
      <c r="A425" s="165" t="str">
        <f>"EoP FX Rate, "&amp;HP.TradeCurrency&amp;"/"&amp;MO.ReportCurrency</f>
        <v>EoP FX Rate, USD/USD</v>
      </c>
      <c r="B425" s="166"/>
      <c r="C425" s="773"/>
      <c r="D425" s="773"/>
      <c r="E425" s="773"/>
      <c r="F425" s="773">
        <f t="shared" ref="F425:AH425" si="955">IF(INDEX(MO_SNA_IsHistoricalPeriod,1,COLUMN())=FALSE,HP.MRFX,INDEX(MO_SPT_FXEoP,1,COLUMN()))</f>
        <v>1</v>
      </c>
      <c r="G425" s="310">
        <f t="shared" si="955"/>
        <v>1</v>
      </c>
      <c r="H425" s="310">
        <f t="shared" si="955"/>
        <v>1</v>
      </c>
      <c r="I425" s="310">
        <f t="shared" si="955"/>
        <v>1</v>
      </c>
      <c r="J425" s="310">
        <f t="shared" si="955"/>
        <v>1</v>
      </c>
      <c r="K425" s="773">
        <f t="shared" si="955"/>
        <v>1</v>
      </c>
      <c r="L425" s="310">
        <f t="shared" si="955"/>
        <v>1</v>
      </c>
      <c r="M425" s="310">
        <f t="shared" si="955"/>
        <v>1</v>
      </c>
      <c r="N425" s="310">
        <f t="shared" si="955"/>
        <v>1</v>
      </c>
      <c r="O425" s="310">
        <f t="shared" si="955"/>
        <v>1</v>
      </c>
      <c r="P425" s="773">
        <f t="shared" si="955"/>
        <v>1</v>
      </c>
      <c r="Q425" s="310">
        <f t="shared" si="955"/>
        <v>1</v>
      </c>
      <c r="R425" s="310">
        <f t="shared" si="955"/>
        <v>1</v>
      </c>
      <c r="S425" s="310">
        <f t="shared" si="955"/>
        <v>1</v>
      </c>
      <c r="T425" s="310">
        <f t="shared" si="955"/>
        <v>1</v>
      </c>
      <c r="U425" s="773">
        <f t="shared" si="955"/>
        <v>1</v>
      </c>
      <c r="V425" s="310">
        <f t="shared" si="955"/>
        <v>1</v>
      </c>
      <c r="W425" s="310">
        <f t="shared" si="955"/>
        <v>1</v>
      </c>
      <c r="X425" s="310">
        <f t="shared" si="955"/>
        <v>1</v>
      </c>
      <c r="Y425" s="310">
        <f t="shared" si="955"/>
        <v>1</v>
      </c>
      <c r="Z425" s="725">
        <f t="shared" si="955"/>
        <v>1</v>
      </c>
      <c r="AA425" s="310">
        <f t="shared" si="955"/>
        <v>1</v>
      </c>
      <c r="AB425" s="310">
        <f t="shared" si="955"/>
        <v>1</v>
      </c>
      <c r="AC425" s="310">
        <f t="shared" si="955"/>
        <v>1</v>
      </c>
      <c r="AD425" s="310">
        <f t="shared" si="955"/>
        <v>1</v>
      </c>
      <c r="AE425" s="725">
        <f t="shared" si="955"/>
        <v>1</v>
      </c>
      <c r="AF425" s="310">
        <f t="shared" si="955"/>
        <v>1</v>
      </c>
      <c r="AG425" s="310">
        <f t="shared" si="955"/>
        <v>1</v>
      </c>
      <c r="AH425" s="310">
        <f t="shared" si="955"/>
        <v>1</v>
      </c>
      <c r="AI425" s="310">
        <f t="shared" ref="AI425:AZ425" si="956">IF(INDEX(MO_SNA_IsHistoricalPeriod,1,COLUMN())=FALSE,HP.MRFX,INDEX(MO_SPT_FXEoP,1,COLUMN()))</f>
        <v>1</v>
      </c>
      <c r="AJ425" s="725">
        <f t="shared" si="956"/>
        <v>1</v>
      </c>
      <c r="AK425" s="310">
        <f t="shared" si="956"/>
        <v>1</v>
      </c>
      <c r="AL425" s="310">
        <f t="shared" si="956"/>
        <v>1</v>
      </c>
      <c r="AM425" s="310">
        <f t="shared" si="956"/>
        <v>1</v>
      </c>
      <c r="AN425" s="310">
        <f t="shared" si="956"/>
        <v>1</v>
      </c>
      <c r="AO425" s="725">
        <f t="shared" si="956"/>
        <v>1</v>
      </c>
      <c r="AP425" s="310">
        <f t="shared" si="956"/>
        <v>1</v>
      </c>
      <c r="AQ425" s="310">
        <f t="shared" si="956"/>
        <v>1</v>
      </c>
      <c r="AR425" s="310">
        <f t="shared" si="956"/>
        <v>1</v>
      </c>
      <c r="AS425" s="310">
        <f t="shared" si="956"/>
        <v>1</v>
      </c>
      <c r="AT425" s="725">
        <f t="shared" si="956"/>
        <v>1</v>
      </c>
      <c r="AU425" s="310">
        <f t="shared" si="956"/>
        <v>1</v>
      </c>
      <c r="AV425" s="310">
        <f t="shared" si="956"/>
        <v>1</v>
      </c>
      <c r="AW425" s="310">
        <f t="shared" si="956"/>
        <v>1</v>
      </c>
      <c r="AX425" s="310">
        <f t="shared" si="956"/>
        <v>1</v>
      </c>
      <c r="AY425" s="725">
        <f t="shared" si="956"/>
        <v>1</v>
      </c>
      <c r="AZ425" s="310">
        <f t="shared" si="956"/>
        <v>1</v>
      </c>
      <c r="BA425" s="310">
        <f t="shared" ref="BA425:BD425" si="957">IF(INDEX(MO_SNA_IsHistoricalPeriod,1,COLUMN())=FALSE,HP.MRFX,INDEX(MO_SPT_FXEoP,1,COLUMN()))</f>
        <v>1</v>
      </c>
      <c r="BB425" s="310">
        <f t="shared" si="957"/>
        <v>1</v>
      </c>
      <c r="BC425" s="310">
        <f t="shared" si="957"/>
        <v>1</v>
      </c>
      <c r="BD425" s="725">
        <f t="shared" si="957"/>
        <v>1</v>
      </c>
      <c r="BE425" s="310">
        <f t="shared" ref="BE425:BV425" si="958">IF(INDEX(MO_SNA_IsHistoricalPeriod,1,COLUMN())=FALSE,HP.MRFX,INDEX(MO_SPT_FXEoP,1,COLUMN()))</f>
        <v>1</v>
      </c>
      <c r="BF425" s="310">
        <f t="shared" si="958"/>
        <v>1</v>
      </c>
      <c r="BG425" s="310">
        <f t="shared" si="958"/>
        <v>1</v>
      </c>
      <c r="BH425" s="310">
        <f t="shared" si="958"/>
        <v>1</v>
      </c>
      <c r="BI425" s="725">
        <f t="shared" si="958"/>
        <v>1</v>
      </c>
      <c r="BJ425" s="310">
        <f>IF(INDEX(MO_SNA_IsHistoricalPeriod,1,COLUMN())=FALSE,HP.MRFX,INDEX(MO_SPT_FXEoP,1,COLUMN()))</f>
        <v>1</v>
      </c>
      <c r="BK425" s="310">
        <f>IF(INDEX(MO_SNA_IsHistoricalPeriod,1,COLUMN())=FALSE,HP.MRFX,INDEX(MO_SPT_FXEoP,1,COLUMN()))</f>
        <v>1</v>
      </c>
      <c r="BL425" s="512">
        <f>IF(INDEX(MO_SNA_IsHistoricalPeriod,1,COLUMN())=FALSE,HP.MRFX,INDEX(MO_SPT_FXEoP,1,COLUMN()))</f>
        <v>1</v>
      </c>
      <c r="BM425" s="310">
        <f t="shared" si="958"/>
        <v>1</v>
      </c>
      <c r="BN425" s="725">
        <f t="shared" si="958"/>
        <v>1</v>
      </c>
      <c r="BO425" s="310">
        <f t="shared" si="958"/>
        <v>1</v>
      </c>
      <c r="BP425" s="310">
        <f t="shared" si="958"/>
        <v>1</v>
      </c>
      <c r="BQ425" s="310">
        <f t="shared" si="958"/>
        <v>1</v>
      </c>
      <c r="BR425" s="310">
        <f t="shared" si="958"/>
        <v>1</v>
      </c>
      <c r="BS425" s="725">
        <f t="shared" si="958"/>
        <v>1</v>
      </c>
      <c r="BT425" s="725">
        <f t="shared" si="958"/>
        <v>1</v>
      </c>
      <c r="BU425" s="725">
        <f t="shared" si="958"/>
        <v>1</v>
      </c>
      <c r="BV425" s="725">
        <f t="shared" si="958"/>
        <v>1</v>
      </c>
      <c r="BW425" s="162"/>
    </row>
    <row r="426" spans="1:75" s="476" customFormat="1" hidden="1" outlineLevel="1">
      <c r="A426" s="126" t="str">
        <f>"Stock Price (Trading Cur.) - "&amp;MO.ValuationToggle&amp;", "&amp;HP.TradeCurrency</f>
        <v>Stock Price (Trading Cur.) - EoP, USD</v>
      </c>
      <c r="B426" s="164"/>
      <c r="C426" s="769"/>
      <c r="D426" s="769"/>
      <c r="E426" s="769"/>
      <c r="F426" s="769">
        <f t="shared" ref="F426:AK426" si="959">IF(INDEX(MO_SNA_IsHistoricalPeriod,1,COLUMN())=FALSE,MO.LastPrice,CHOOSE(VLOOKUP(MO.ValuationToggle,tb_ValuationToggle,COLUMNS(tb_ValuationToggle),FALSE),F420,F421,F422,F423))</f>
        <v>18.87</v>
      </c>
      <c r="G426" s="183">
        <f t="shared" si="959"/>
        <v>23.71</v>
      </c>
      <c r="H426" s="183">
        <f t="shared" si="959"/>
        <v>34.770000000000003</v>
      </c>
      <c r="I426" s="183">
        <f t="shared" si="959"/>
        <v>68.05</v>
      </c>
      <c r="J426" s="183">
        <f t="shared" si="959"/>
        <v>66.010000000000005</v>
      </c>
      <c r="K426" s="769">
        <f t="shared" si="959"/>
        <v>66.010000000000005</v>
      </c>
      <c r="L426" s="183">
        <f t="shared" si="959"/>
        <v>76.44</v>
      </c>
      <c r="M426" s="183">
        <f t="shared" si="959"/>
        <v>77.28</v>
      </c>
      <c r="N426" s="183">
        <f t="shared" si="959"/>
        <v>69.540000000000006</v>
      </c>
      <c r="O426" s="183">
        <f t="shared" si="959"/>
        <v>54.24</v>
      </c>
      <c r="P426" s="769">
        <f t="shared" si="959"/>
        <v>54.24</v>
      </c>
      <c r="Q426" s="183">
        <f t="shared" si="959"/>
        <v>47.39</v>
      </c>
      <c r="R426" s="183">
        <f t="shared" si="959"/>
        <v>42.47</v>
      </c>
      <c r="S426" s="183">
        <f t="shared" si="959"/>
        <v>21.14</v>
      </c>
      <c r="T426" s="183">
        <f t="shared" si="959"/>
        <v>28.25</v>
      </c>
      <c r="U426" s="769">
        <f t="shared" si="959"/>
        <v>28.25</v>
      </c>
      <c r="V426" s="183">
        <f t="shared" si="959"/>
        <v>20.43</v>
      </c>
      <c r="W426" s="183">
        <f t="shared" si="959"/>
        <v>29.2</v>
      </c>
      <c r="X426" s="183">
        <f t="shared" si="959"/>
        <v>40.98</v>
      </c>
      <c r="Y426" s="183">
        <f t="shared" si="959"/>
        <v>38.130000000000003</v>
      </c>
      <c r="Z426" s="770">
        <f t="shared" si="959"/>
        <v>38.130000000000003</v>
      </c>
      <c r="AA426" s="183">
        <f t="shared" si="959"/>
        <v>32.520000000000003</v>
      </c>
      <c r="AB426" s="183">
        <f t="shared" si="959"/>
        <v>29.89</v>
      </c>
      <c r="AC426" s="183">
        <f t="shared" si="959"/>
        <v>43.3</v>
      </c>
      <c r="AD426" s="183">
        <f t="shared" si="959"/>
        <v>41.96</v>
      </c>
      <c r="AE426" s="770">
        <f t="shared" si="959"/>
        <v>41.96</v>
      </c>
      <c r="AF426" s="183">
        <f t="shared" si="959"/>
        <v>41.75</v>
      </c>
      <c r="AG426" s="183">
        <f t="shared" si="959"/>
        <v>39.18</v>
      </c>
      <c r="AH426" s="183">
        <f t="shared" si="959"/>
        <v>49.2</v>
      </c>
      <c r="AI426" s="183">
        <f t="shared" si="959"/>
        <v>34.42</v>
      </c>
      <c r="AJ426" s="770">
        <f t="shared" si="959"/>
        <v>34.42</v>
      </c>
      <c r="AK426" s="183">
        <f t="shared" si="959"/>
        <v>34.5</v>
      </c>
      <c r="AL426" s="183">
        <f t="shared" ref="AL426:BN426" si="960">IF(INDEX(MO_SNA_IsHistoricalPeriod,1,COLUMN())=FALSE,MO.LastPrice,CHOOSE(VLOOKUP(MO.ValuationToggle,tb_ValuationToggle,COLUMNS(tb_ValuationToggle),FALSE),AL420,AL421,AL422,AL423))</f>
        <v>34.18</v>
      </c>
      <c r="AM426" s="183">
        <f t="shared" si="960"/>
        <v>34.42</v>
      </c>
      <c r="AN426" s="183">
        <f t="shared" si="960"/>
        <v>34.58</v>
      </c>
      <c r="AO426" s="770">
        <f t="shared" si="960"/>
        <v>34.58</v>
      </c>
      <c r="AP426" s="183">
        <f t="shared" si="960"/>
        <v>17.53</v>
      </c>
      <c r="AQ426" s="183">
        <f t="shared" si="960"/>
        <v>21.47</v>
      </c>
      <c r="AR426" s="183">
        <f t="shared" si="960"/>
        <v>20.07</v>
      </c>
      <c r="AS426" s="183">
        <f t="shared" si="960"/>
        <v>31.64</v>
      </c>
      <c r="AT426" s="770">
        <f t="shared" si="960"/>
        <v>31.64</v>
      </c>
      <c r="AU426" s="183">
        <f t="shared" si="960"/>
        <v>38.57</v>
      </c>
      <c r="AV426" s="183">
        <f t="shared" si="960"/>
        <v>40.369999999999997</v>
      </c>
      <c r="AW426" s="183">
        <f t="shared" si="960"/>
        <v>37.979999999999997</v>
      </c>
      <c r="AX426" s="183">
        <f t="shared" si="960"/>
        <v>36.479999999999997</v>
      </c>
      <c r="AY426" s="770">
        <f t="shared" si="960"/>
        <v>36.479999999999997</v>
      </c>
      <c r="AZ426" s="183">
        <f t="shared" si="960"/>
        <v>34.76</v>
      </c>
      <c r="BA426" s="183">
        <f t="shared" si="960"/>
        <v>28.47</v>
      </c>
      <c r="BB426" s="183">
        <f t="shared" si="960"/>
        <v>33.770000000000003</v>
      </c>
      <c r="BC426" s="183">
        <f t="shared" si="960"/>
        <v>27.34</v>
      </c>
      <c r="BD426" s="770">
        <f t="shared" si="960"/>
        <v>27.34</v>
      </c>
      <c r="BE426" s="183">
        <f t="shared" ref="BE426:BM426" si="961">IF(INDEX(MO_SNA_IsHistoricalPeriod,1,COLUMN())=FALSE,MO.LastPrice,CHOOSE(VLOOKUP(MO.ValuationToggle,tb_ValuationToggle,COLUMNS(tb_ValuationToggle),FALSE),BE420,BE421,BE422,BE423))</f>
        <v>29.98</v>
      </c>
      <c r="BF426" s="183">
        <f t="shared" si="961"/>
        <v>36.47</v>
      </c>
      <c r="BG426" s="183">
        <f t="shared" si="961"/>
        <v>41.59</v>
      </c>
      <c r="BH426" s="183">
        <f t="shared" si="961"/>
        <v>47.34</v>
      </c>
      <c r="BI426" s="770">
        <f t="shared" si="961"/>
        <v>47.34</v>
      </c>
      <c r="BJ426" s="183">
        <f>IF(INDEX(MO_SNA_IsHistoricalPeriod,1,COLUMN())=FALSE,MO.LastPrice,CHOOSE(VLOOKUP(MO.ValuationToggle,tb_ValuationToggle,COLUMNS(tb_ValuationToggle),FALSE),BJ420,BJ421,BJ422,BJ423))</f>
        <v>39.4</v>
      </c>
      <c r="BK426" s="183">
        <f>IF(INDEX(MO_SNA_IsHistoricalPeriod,1,COLUMN())=FALSE,MO.LastPrice,CHOOSE(VLOOKUP(MO.ValuationToggle,tb_ValuationToggle,COLUMNS(tb_ValuationToggle),FALSE),BK420,BK421,BK422,BK423))</f>
        <v>36.950000000000003</v>
      </c>
      <c r="BL426" s="510">
        <f>IF(INDEX(MO_SNA_IsHistoricalPeriod,1,COLUMN())=FALSE,MO.LastPrice,CHOOSE(VLOOKUP(MO.ValuationToggle,tb_ValuationToggle,COLUMNS(tb_ValuationToggle),FALSE),BL420,BL421,BL422,BL423))</f>
        <v>34.909999999999997</v>
      </c>
      <c r="BM426" s="183" t="e">
        <f t="shared" si="961"/>
        <v>#REF!</v>
      </c>
      <c r="BN426" s="770" t="e">
        <f t="shared" si="960"/>
        <v>#REF!</v>
      </c>
      <c r="BO426" s="183" t="e">
        <f t="shared" ref="BO426:BV426" si="962">IF(INDEX(MO_SNA_IsHistoricalPeriod,1,COLUMN())=FALSE,MO.LastPrice,CHOOSE(VLOOKUP(MO.ValuationToggle,tb_ValuationToggle,COLUMNS(tb_ValuationToggle),FALSE),BO420,BO421,BO422,BO423))</f>
        <v>#REF!</v>
      </c>
      <c r="BP426" s="183" t="e">
        <f t="shared" si="962"/>
        <v>#REF!</v>
      </c>
      <c r="BQ426" s="183" t="e">
        <f t="shared" si="962"/>
        <v>#REF!</v>
      </c>
      <c r="BR426" s="183" t="e">
        <f t="shared" si="962"/>
        <v>#REF!</v>
      </c>
      <c r="BS426" s="770" t="e">
        <f t="shared" si="962"/>
        <v>#REF!</v>
      </c>
      <c r="BT426" s="770" t="e">
        <f t="shared" si="962"/>
        <v>#REF!</v>
      </c>
      <c r="BU426" s="770" t="e">
        <f t="shared" si="962"/>
        <v>#REF!</v>
      </c>
      <c r="BV426" s="770" t="e">
        <f t="shared" si="962"/>
        <v>#REF!</v>
      </c>
      <c r="BW426" s="128"/>
    </row>
    <row r="427" spans="1:75" s="439" customFormat="1" hidden="1" outlineLevel="1">
      <c r="A427" s="31"/>
      <c r="B427" s="53"/>
      <c r="C427" s="89"/>
      <c r="D427" s="89"/>
      <c r="E427" s="89"/>
      <c r="F427" s="89"/>
      <c r="G427" s="518"/>
      <c r="H427" s="518"/>
      <c r="I427" s="518"/>
      <c r="J427" s="518"/>
      <c r="K427" s="89"/>
      <c r="L427" s="518"/>
      <c r="M427" s="518"/>
      <c r="N427" s="518"/>
      <c r="O427" s="518"/>
      <c r="P427" s="89"/>
      <c r="Q427" s="518"/>
      <c r="R427" s="518"/>
      <c r="S427" s="518"/>
      <c r="T427" s="518"/>
      <c r="U427" s="89"/>
      <c r="V427" s="518"/>
      <c r="W427" s="518"/>
      <c r="X427" s="518"/>
      <c r="Y427" s="518"/>
      <c r="Z427" s="89"/>
      <c r="AA427" s="518"/>
      <c r="AB427" s="518"/>
      <c r="AC427" s="518"/>
      <c r="AD427" s="518"/>
      <c r="AE427" s="89"/>
      <c r="AF427" s="518"/>
      <c r="AG427" s="518"/>
      <c r="AH427" s="518"/>
      <c r="AI427" s="518"/>
      <c r="AJ427" s="89"/>
      <c r="AK427" s="518"/>
      <c r="AL427" s="518"/>
      <c r="AM427" s="518"/>
      <c r="AN427" s="518"/>
      <c r="AO427" s="89"/>
      <c r="AP427" s="518"/>
      <c r="AQ427" s="518"/>
      <c r="AR427" s="518"/>
      <c r="AS427" s="518"/>
      <c r="AT427" s="89"/>
      <c r="AU427" s="518"/>
      <c r="AV427" s="518"/>
      <c r="AW427" s="518"/>
      <c r="AX427" s="518"/>
      <c r="AY427" s="89"/>
      <c r="AZ427" s="518"/>
      <c r="BA427" s="518"/>
      <c r="BB427" s="518"/>
      <c r="BC427" s="518"/>
      <c r="BD427" s="89"/>
      <c r="BE427" s="518"/>
      <c r="BF427" s="518"/>
      <c r="BG427" s="518"/>
      <c r="BH427" s="518"/>
      <c r="BI427" s="89"/>
      <c r="BJ427" s="518"/>
      <c r="BK427" s="518"/>
      <c r="BL427" s="520"/>
      <c r="BM427" s="518"/>
      <c r="BN427" s="89"/>
      <c r="BO427" s="518"/>
      <c r="BP427" s="518"/>
      <c r="BQ427" s="518"/>
      <c r="BR427" s="518"/>
      <c r="BS427" s="89"/>
      <c r="BT427" s="89"/>
      <c r="BU427" s="89"/>
      <c r="BV427" s="89"/>
      <c r="BW427" s="519"/>
    </row>
    <row r="428" spans="1:75" s="444" customFormat="1" hidden="1" outlineLevel="1">
      <c r="A428" s="40" t="s">
        <v>425</v>
      </c>
      <c r="B428" s="30"/>
      <c r="C428" s="700"/>
      <c r="D428" s="700"/>
      <c r="E428" s="700"/>
      <c r="F428" s="700"/>
      <c r="G428" s="523"/>
      <c r="H428" s="523"/>
      <c r="I428" s="523"/>
      <c r="J428" s="523"/>
      <c r="K428" s="700"/>
      <c r="L428" s="523"/>
      <c r="M428" s="523"/>
      <c r="N428" s="523"/>
      <c r="O428" s="523"/>
      <c r="P428" s="700"/>
      <c r="Q428" s="523"/>
      <c r="R428" s="523"/>
      <c r="S428" s="523"/>
      <c r="T428" s="523"/>
      <c r="U428" s="700"/>
      <c r="V428" s="523"/>
      <c r="W428" s="523"/>
      <c r="X428" s="523"/>
      <c r="Y428" s="523"/>
      <c r="Z428" s="700"/>
      <c r="AA428" s="523"/>
      <c r="AB428" s="523"/>
      <c r="AC428" s="523"/>
      <c r="AD428" s="523"/>
      <c r="AE428" s="700"/>
      <c r="AF428" s="523"/>
      <c r="AG428" s="523"/>
      <c r="AH428" s="523"/>
      <c r="AI428" s="523"/>
      <c r="AJ428" s="700"/>
      <c r="AK428" s="523"/>
      <c r="AL428" s="523"/>
      <c r="AM428" s="523"/>
      <c r="AN428" s="523"/>
      <c r="AO428" s="700"/>
      <c r="AP428" s="523"/>
      <c r="AQ428" s="523"/>
      <c r="AR428" s="523"/>
      <c r="AS428" s="523"/>
      <c r="AT428" s="700"/>
      <c r="AU428" s="523"/>
      <c r="AV428" s="523"/>
      <c r="AW428" s="523"/>
      <c r="AX428" s="523"/>
      <c r="AY428" s="700"/>
      <c r="AZ428" s="523"/>
      <c r="BA428" s="523"/>
      <c r="BB428" s="523"/>
      <c r="BC428" s="523"/>
      <c r="BD428" s="700"/>
      <c r="BE428" s="523"/>
      <c r="BF428" s="523"/>
      <c r="BG428" s="523"/>
      <c r="BH428" s="523"/>
      <c r="BI428" s="700"/>
      <c r="BJ428" s="523"/>
      <c r="BK428" s="523"/>
      <c r="BL428" s="563"/>
      <c r="BM428" s="523"/>
      <c r="BN428" s="700"/>
      <c r="BO428" s="523"/>
      <c r="BP428" s="523"/>
      <c r="BQ428" s="523"/>
      <c r="BR428" s="523"/>
      <c r="BS428" s="700"/>
      <c r="BT428" s="700"/>
      <c r="BU428" s="700"/>
      <c r="BV428" s="700"/>
      <c r="BW428" s="318"/>
    </row>
    <row r="429" spans="1:75" s="439" customFormat="1" hidden="1" outlineLevel="1">
      <c r="A429" s="41" t="s">
        <v>426</v>
      </c>
      <c r="B429" s="53"/>
      <c r="C429" s="89">
        <f t="shared" ref="C429:AH429" si="963">C649</f>
        <v>0</v>
      </c>
      <c r="D429" s="89">
        <f t="shared" si="963"/>
        <v>0</v>
      </c>
      <c r="E429" s="89">
        <f t="shared" si="963"/>
        <v>0</v>
      </c>
      <c r="F429" s="89">
        <f t="shared" si="963"/>
        <v>0</v>
      </c>
      <c r="G429" s="518">
        <f t="shared" si="963"/>
        <v>0</v>
      </c>
      <c r="H429" s="518">
        <f t="shared" si="963"/>
        <v>0</v>
      </c>
      <c r="I429" s="518">
        <f t="shared" si="963"/>
        <v>0</v>
      </c>
      <c r="J429" s="518">
        <f t="shared" si="963"/>
        <v>0</v>
      </c>
      <c r="K429" s="89">
        <f t="shared" si="963"/>
        <v>0</v>
      </c>
      <c r="L429" s="518">
        <f t="shared" si="963"/>
        <v>0</v>
      </c>
      <c r="M429" s="518">
        <f t="shared" si="963"/>
        <v>0</v>
      </c>
      <c r="N429" s="518">
        <f t="shared" si="963"/>
        <v>0</v>
      </c>
      <c r="O429" s="518">
        <f t="shared" si="963"/>
        <v>0</v>
      </c>
      <c r="P429" s="89">
        <f t="shared" si="963"/>
        <v>0</v>
      </c>
      <c r="Q429" s="518">
        <f t="shared" si="963"/>
        <v>0</v>
      </c>
      <c r="R429" s="518">
        <f t="shared" si="963"/>
        <v>0</v>
      </c>
      <c r="S429" s="518">
        <f t="shared" si="963"/>
        <v>0</v>
      </c>
      <c r="T429" s="518">
        <f t="shared" si="963"/>
        <v>0</v>
      </c>
      <c r="U429" s="89">
        <f t="shared" si="963"/>
        <v>0</v>
      </c>
      <c r="V429" s="518">
        <f t="shared" si="963"/>
        <v>0</v>
      </c>
      <c r="W429" s="518">
        <f t="shared" si="963"/>
        <v>0</v>
      </c>
      <c r="X429" s="518">
        <f t="shared" si="963"/>
        <v>0</v>
      </c>
      <c r="Y429" s="518">
        <f t="shared" si="963"/>
        <v>0</v>
      </c>
      <c r="Z429" s="89">
        <f t="shared" si="963"/>
        <v>0</v>
      </c>
      <c r="AA429" s="518">
        <f t="shared" si="963"/>
        <v>0</v>
      </c>
      <c r="AB429" s="518">
        <f t="shared" si="963"/>
        <v>0</v>
      </c>
      <c r="AC429" s="518">
        <f t="shared" si="963"/>
        <v>0</v>
      </c>
      <c r="AD429" s="518">
        <f t="shared" si="963"/>
        <v>0</v>
      </c>
      <c r="AE429" s="89">
        <f t="shared" si="963"/>
        <v>0</v>
      </c>
      <c r="AF429" s="518">
        <f t="shared" si="963"/>
        <v>0</v>
      </c>
      <c r="AG429" s="518">
        <f t="shared" si="963"/>
        <v>0</v>
      </c>
      <c r="AH429" s="518">
        <f t="shared" si="963"/>
        <v>0</v>
      </c>
      <c r="AI429" s="518">
        <f t="shared" ref="AI429:AQ429" si="964">AI649</f>
        <v>0</v>
      </c>
      <c r="AJ429" s="89">
        <f t="shared" si="964"/>
        <v>0</v>
      </c>
      <c r="AK429" s="518">
        <f t="shared" si="964"/>
        <v>0</v>
      </c>
      <c r="AL429" s="518">
        <f t="shared" si="964"/>
        <v>0</v>
      </c>
      <c r="AM429" s="518">
        <f t="shared" si="964"/>
        <v>0</v>
      </c>
      <c r="AN429" s="518">
        <f t="shared" si="964"/>
        <v>0</v>
      </c>
      <c r="AO429" s="89">
        <f t="shared" si="964"/>
        <v>0</v>
      </c>
      <c r="AP429" s="518">
        <f t="shared" si="964"/>
        <v>0</v>
      </c>
      <c r="AQ429" s="518">
        <f t="shared" si="964"/>
        <v>0</v>
      </c>
      <c r="AR429" s="518">
        <f t="shared" ref="AR429:AW429" si="965">AR649</f>
        <v>0</v>
      </c>
      <c r="AS429" s="518">
        <f t="shared" si="965"/>
        <v>0</v>
      </c>
      <c r="AT429" s="89">
        <f t="shared" si="965"/>
        <v>0</v>
      </c>
      <c r="AU429" s="518">
        <f t="shared" si="965"/>
        <v>0</v>
      </c>
      <c r="AV429" s="518">
        <f t="shared" si="965"/>
        <v>0</v>
      </c>
      <c r="AW429" s="518">
        <f t="shared" si="965"/>
        <v>0</v>
      </c>
      <c r="AX429" s="518">
        <f t="shared" ref="AX429:BA429" si="966">AX649</f>
        <v>0</v>
      </c>
      <c r="AY429" s="89">
        <f t="shared" si="966"/>
        <v>0</v>
      </c>
      <c r="AZ429" s="518">
        <f t="shared" si="966"/>
        <v>0</v>
      </c>
      <c r="BA429" s="518">
        <f t="shared" si="966"/>
        <v>0</v>
      </c>
      <c r="BB429" s="518">
        <f t="shared" ref="BB429:BN429" si="967">BB649</f>
        <v>0</v>
      </c>
      <c r="BC429" s="518">
        <f t="shared" si="967"/>
        <v>0</v>
      </c>
      <c r="BD429" s="89">
        <f t="shared" si="967"/>
        <v>0</v>
      </c>
      <c r="BE429" s="518">
        <f t="shared" ref="BE429:BM429" si="968">BE649</f>
        <v>0</v>
      </c>
      <c r="BF429" s="518">
        <f t="shared" si="968"/>
        <v>0</v>
      </c>
      <c r="BG429" s="518">
        <f t="shared" si="968"/>
        <v>0</v>
      </c>
      <c r="BH429" s="518">
        <f t="shared" si="968"/>
        <v>0</v>
      </c>
      <c r="BI429" s="89">
        <f t="shared" si="968"/>
        <v>0</v>
      </c>
      <c r="BJ429" s="518">
        <f>BJ649</f>
        <v>0</v>
      </c>
      <c r="BK429" s="518">
        <f>BK649</f>
        <v>0</v>
      </c>
      <c r="BL429" s="520">
        <f>BL649</f>
        <v>0</v>
      </c>
      <c r="BM429" s="518">
        <f t="shared" si="968"/>
        <v>0</v>
      </c>
      <c r="BN429" s="89">
        <f t="shared" si="967"/>
        <v>0</v>
      </c>
      <c r="BO429" s="518">
        <f t="shared" ref="BO429:BV429" si="969">BO649</f>
        <v>0</v>
      </c>
      <c r="BP429" s="518">
        <f t="shared" si="969"/>
        <v>0</v>
      </c>
      <c r="BQ429" s="518">
        <f t="shared" si="969"/>
        <v>0</v>
      </c>
      <c r="BR429" s="518">
        <f t="shared" si="969"/>
        <v>0</v>
      </c>
      <c r="BS429" s="89">
        <f t="shared" si="969"/>
        <v>0</v>
      </c>
      <c r="BT429" s="89">
        <f t="shared" si="969"/>
        <v>0</v>
      </c>
      <c r="BU429" s="89">
        <f t="shared" si="969"/>
        <v>0</v>
      </c>
      <c r="BV429" s="89">
        <f t="shared" si="969"/>
        <v>0</v>
      </c>
      <c r="BW429" s="519"/>
    </row>
    <row r="430" spans="1:75" s="439" customFormat="1" hidden="1" outlineLevel="1">
      <c r="A430" s="41" t="s">
        <v>427</v>
      </c>
      <c r="B430" s="53"/>
      <c r="C430" s="89">
        <f t="shared" ref="C430:AH430" si="970">C642</f>
        <v>30.876999999999999</v>
      </c>
      <c r="D430" s="89">
        <f t="shared" si="970"/>
        <v>55.246000000000002</v>
      </c>
      <c r="E430" s="89">
        <f t="shared" si="970"/>
        <v>55.435000000000002</v>
      </c>
      <c r="F430" s="89">
        <f t="shared" si="970"/>
        <v>0</v>
      </c>
      <c r="G430" s="518">
        <f t="shared" si="970"/>
        <v>0</v>
      </c>
      <c r="H430" s="518">
        <f t="shared" si="970"/>
        <v>0</v>
      </c>
      <c r="I430" s="518">
        <f t="shared" si="970"/>
        <v>0</v>
      </c>
      <c r="J430" s="518">
        <f t="shared" si="970"/>
        <v>0</v>
      </c>
      <c r="K430" s="89">
        <f t="shared" si="970"/>
        <v>0</v>
      </c>
      <c r="L430" s="518">
        <f t="shared" si="970"/>
        <v>0</v>
      </c>
      <c r="M430" s="518">
        <f t="shared" si="970"/>
        <v>0</v>
      </c>
      <c r="N430" s="518">
        <f t="shared" si="970"/>
        <v>0</v>
      </c>
      <c r="O430" s="518">
        <f t="shared" si="970"/>
        <v>0</v>
      </c>
      <c r="P430" s="89">
        <f t="shared" si="970"/>
        <v>0</v>
      </c>
      <c r="Q430" s="518">
        <f t="shared" si="970"/>
        <v>0</v>
      </c>
      <c r="R430" s="518">
        <f t="shared" si="970"/>
        <v>0</v>
      </c>
      <c r="S430" s="518">
        <f t="shared" si="970"/>
        <v>0</v>
      </c>
      <c r="T430" s="518">
        <f t="shared" si="970"/>
        <v>0</v>
      </c>
      <c r="U430" s="89">
        <f t="shared" si="970"/>
        <v>0</v>
      </c>
      <c r="V430" s="518">
        <f t="shared" si="970"/>
        <v>0</v>
      </c>
      <c r="W430" s="518">
        <f t="shared" si="970"/>
        <v>0</v>
      </c>
      <c r="X430" s="518">
        <f t="shared" si="970"/>
        <v>0</v>
      </c>
      <c r="Y430" s="518">
        <f t="shared" si="970"/>
        <v>0</v>
      </c>
      <c r="Z430" s="89">
        <f t="shared" si="970"/>
        <v>0</v>
      </c>
      <c r="AA430" s="518">
        <f t="shared" si="970"/>
        <v>0</v>
      </c>
      <c r="AB430" s="518">
        <f t="shared" si="970"/>
        <v>0</v>
      </c>
      <c r="AC430" s="518">
        <f t="shared" si="970"/>
        <v>0</v>
      </c>
      <c r="AD430" s="518">
        <f t="shared" si="970"/>
        <v>0</v>
      </c>
      <c r="AE430" s="89">
        <f t="shared" si="970"/>
        <v>0</v>
      </c>
      <c r="AF430" s="518">
        <f t="shared" si="970"/>
        <v>0</v>
      </c>
      <c r="AG430" s="518">
        <f t="shared" si="970"/>
        <v>0</v>
      </c>
      <c r="AH430" s="518">
        <f t="shared" si="970"/>
        <v>0</v>
      </c>
      <c r="AI430" s="518">
        <f t="shared" ref="AI430:AQ430" si="971">AI642</f>
        <v>0</v>
      </c>
      <c r="AJ430" s="89">
        <f t="shared" si="971"/>
        <v>0</v>
      </c>
      <c r="AK430" s="518">
        <f t="shared" si="971"/>
        <v>0</v>
      </c>
      <c r="AL430" s="518">
        <f t="shared" si="971"/>
        <v>0</v>
      </c>
      <c r="AM430" s="518">
        <f t="shared" si="971"/>
        <v>0</v>
      </c>
      <c r="AN430" s="518">
        <f t="shared" si="971"/>
        <v>0</v>
      </c>
      <c r="AO430" s="89">
        <f t="shared" si="971"/>
        <v>0</v>
      </c>
      <c r="AP430" s="518">
        <f t="shared" si="971"/>
        <v>0</v>
      </c>
      <c r="AQ430" s="518">
        <f t="shared" si="971"/>
        <v>0</v>
      </c>
      <c r="AR430" s="518">
        <f t="shared" ref="AR430:AW430" si="972">AR642</f>
        <v>0</v>
      </c>
      <c r="AS430" s="518">
        <f t="shared" si="972"/>
        <v>0</v>
      </c>
      <c r="AT430" s="89">
        <f t="shared" si="972"/>
        <v>0</v>
      </c>
      <c r="AU430" s="518">
        <f t="shared" si="972"/>
        <v>0</v>
      </c>
      <c r="AV430" s="518">
        <f t="shared" si="972"/>
        <v>0</v>
      </c>
      <c r="AW430" s="518">
        <f t="shared" si="972"/>
        <v>0</v>
      </c>
      <c r="AX430" s="518">
        <f t="shared" ref="AX430:BA430" si="973">AX642</f>
        <v>0</v>
      </c>
      <c r="AY430" s="89">
        <f t="shared" si="973"/>
        <v>0</v>
      </c>
      <c r="AZ430" s="518">
        <f t="shared" si="973"/>
        <v>0</v>
      </c>
      <c r="BA430" s="518">
        <f t="shared" si="973"/>
        <v>0</v>
      </c>
      <c r="BB430" s="518">
        <f t="shared" ref="BB430:BN430" si="974">BB642</f>
        <v>0</v>
      </c>
      <c r="BC430" s="518">
        <f t="shared" si="974"/>
        <v>0</v>
      </c>
      <c r="BD430" s="89">
        <f t="shared" si="974"/>
        <v>0</v>
      </c>
      <c r="BE430" s="518">
        <f t="shared" ref="BE430:BM430" si="975">BE642</f>
        <v>0</v>
      </c>
      <c r="BF430" s="518">
        <f t="shared" si="975"/>
        <v>0</v>
      </c>
      <c r="BG430" s="518">
        <f t="shared" si="975"/>
        <v>0</v>
      </c>
      <c r="BH430" s="518">
        <f t="shared" si="975"/>
        <v>0</v>
      </c>
      <c r="BI430" s="89">
        <f t="shared" si="975"/>
        <v>0</v>
      </c>
      <c r="BJ430" s="518">
        <f>BJ642</f>
        <v>0</v>
      </c>
      <c r="BK430" s="518">
        <f>BK642</f>
        <v>0</v>
      </c>
      <c r="BL430" s="520">
        <f>BL642</f>
        <v>0</v>
      </c>
      <c r="BM430" s="518">
        <f t="shared" si="975"/>
        <v>0</v>
      </c>
      <c r="BN430" s="89">
        <f t="shared" si="974"/>
        <v>0</v>
      </c>
      <c r="BO430" s="518">
        <f t="shared" ref="BO430:BV430" si="976">BO642</f>
        <v>0</v>
      </c>
      <c r="BP430" s="518">
        <f t="shared" si="976"/>
        <v>0</v>
      </c>
      <c r="BQ430" s="518">
        <f t="shared" si="976"/>
        <v>0</v>
      </c>
      <c r="BR430" s="518">
        <f t="shared" si="976"/>
        <v>0</v>
      </c>
      <c r="BS430" s="89">
        <f t="shared" si="976"/>
        <v>0</v>
      </c>
      <c r="BT430" s="89">
        <f t="shared" si="976"/>
        <v>0</v>
      </c>
      <c r="BU430" s="89">
        <f t="shared" si="976"/>
        <v>0</v>
      </c>
      <c r="BV430" s="89">
        <f t="shared" si="976"/>
        <v>0</v>
      </c>
      <c r="BW430" s="519"/>
    </row>
    <row r="431" spans="1:75" s="439" customFormat="1" hidden="1" outlineLevel="1">
      <c r="A431" s="41" t="s">
        <v>428</v>
      </c>
      <c r="B431" s="53"/>
      <c r="C431" s="89"/>
      <c r="D431" s="89"/>
      <c r="E431" s="89"/>
      <c r="F431" s="89"/>
      <c r="G431" s="518"/>
      <c r="H431" s="518"/>
      <c r="I431" s="518"/>
      <c r="J431" s="518"/>
      <c r="K431" s="89"/>
      <c r="L431" s="518"/>
      <c r="M431" s="518"/>
      <c r="N431" s="518"/>
      <c r="O431" s="518"/>
      <c r="P431" s="89"/>
      <c r="Q431" s="518"/>
      <c r="R431" s="518"/>
      <c r="S431" s="518"/>
      <c r="T431" s="518"/>
      <c r="U431" s="89"/>
      <c r="V431" s="518"/>
      <c r="W431" s="518"/>
      <c r="X431" s="518"/>
      <c r="Y431" s="518"/>
      <c r="Z431" s="89"/>
      <c r="AA431" s="518"/>
      <c r="AB431" s="518"/>
      <c r="AC431" s="518"/>
      <c r="AD431" s="518"/>
      <c r="AE431" s="89"/>
      <c r="AF431" s="518"/>
      <c r="AG431" s="518"/>
      <c r="AH431" s="518"/>
      <c r="AI431" s="518"/>
      <c r="AJ431" s="89"/>
      <c r="AK431" s="518"/>
      <c r="AL431" s="518"/>
      <c r="AM431" s="518"/>
      <c r="AN431" s="518"/>
      <c r="AO431" s="89"/>
      <c r="AP431" s="518"/>
      <c r="AQ431" s="518"/>
      <c r="AR431" s="518"/>
      <c r="AS431" s="518"/>
      <c r="AT431" s="89"/>
      <c r="AU431" s="518"/>
      <c r="AV431" s="518"/>
      <c r="AW431" s="518"/>
      <c r="AX431" s="518"/>
      <c r="AY431" s="89"/>
      <c r="AZ431" s="518"/>
      <c r="BA431" s="518"/>
      <c r="BB431" s="518"/>
      <c r="BC431" s="518"/>
      <c r="BD431" s="89"/>
      <c r="BE431" s="518"/>
      <c r="BF431" s="518"/>
      <c r="BG431" s="518"/>
      <c r="BH431" s="518"/>
      <c r="BI431" s="89"/>
      <c r="BJ431" s="518"/>
      <c r="BK431" s="518"/>
      <c r="BL431" s="520"/>
      <c r="BM431" s="518"/>
      <c r="BN431" s="89"/>
      <c r="BO431" s="518"/>
      <c r="BP431" s="518"/>
      <c r="BQ431" s="518"/>
      <c r="BR431" s="518"/>
      <c r="BS431" s="89"/>
      <c r="BT431" s="89"/>
      <c r="BU431" s="89"/>
      <c r="BV431" s="89"/>
      <c r="BW431" s="519"/>
    </row>
    <row r="432" spans="1:75" s="439" customFormat="1" collapsed="1">
      <c r="A432" s="41"/>
      <c r="B432" s="53"/>
      <c r="C432" s="89"/>
      <c r="D432" s="89"/>
      <c r="E432" s="89"/>
      <c r="F432" s="89"/>
      <c r="G432" s="518"/>
      <c r="H432" s="518"/>
      <c r="I432" s="518"/>
      <c r="J432" s="518"/>
      <c r="K432" s="89"/>
      <c r="L432" s="518"/>
      <c r="M432" s="518"/>
      <c r="N432" s="518"/>
      <c r="O432" s="518"/>
      <c r="P432" s="89"/>
      <c r="Q432" s="518"/>
      <c r="R432" s="518"/>
      <c r="S432" s="518"/>
      <c r="T432" s="518"/>
      <c r="U432" s="89"/>
      <c r="V432" s="518"/>
      <c r="W432" s="518"/>
      <c r="X432" s="518"/>
      <c r="Y432" s="518"/>
      <c r="Z432" s="89"/>
      <c r="AA432" s="518"/>
      <c r="AB432" s="518"/>
      <c r="AC432" s="518"/>
      <c r="AD432" s="518"/>
      <c r="AE432" s="89"/>
      <c r="AF432" s="518"/>
      <c r="AG432" s="518"/>
      <c r="AH432" s="518"/>
      <c r="AI432" s="518"/>
      <c r="AJ432" s="89"/>
      <c r="AK432" s="518"/>
      <c r="AL432" s="518"/>
      <c r="AM432" s="518"/>
      <c r="AN432" s="518"/>
      <c r="AO432" s="89"/>
      <c r="AP432" s="518"/>
      <c r="AQ432" s="518"/>
      <c r="AR432" s="518"/>
      <c r="AS432" s="518"/>
      <c r="AT432" s="89"/>
      <c r="AU432" s="518"/>
      <c r="AV432" s="518"/>
      <c r="AW432" s="518"/>
      <c r="AX432" s="518"/>
      <c r="AY432" s="89"/>
      <c r="AZ432" s="518"/>
      <c r="BA432" s="518"/>
      <c r="BB432" s="518"/>
      <c r="BC432" s="518"/>
      <c r="BD432" s="89"/>
      <c r="BE432" s="518"/>
      <c r="BF432" s="518"/>
      <c r="BG432" s="518"/>
      <c r="BH432" s="518"/>
      <c r="BI432" s="89"/>
      <c r="BJ432" s="518"/>
      <c r="BK432" s="518"/>
      <c r="BL432" s="520"/>
      <c r="BM432" s="518"/>
      <c r="BN432" s="89"/>
      <c r="BO432" s="518"/>
      <c r="BP432" s="518"/>
      <c r="BQ432" s="518"/>
      <c r="BR432" s="518"/>
      <c r="BS432" s="89"/>
      <c r="BT432" s="89"/>
      <c r="BU432" s="89"/>
      <c r="BV432" s="89"/>
      <c r="BW432" s="519"/>
    </row>
    <row r="433" spans="1:75" s="444" customFormat="1">
      <c r="A433" s="517" t="s">
        <v>429</v>
      </c>
      <c r="B433" s="517"/>
      <c r="C433" s="517"/>
      <c r="D433" s="517"/>
      <c r="E433" s="517"/>
      <c r="F433" s="517"/>
      <c r="G433" s="517"/>
      <c r="H433" s="517"/>
      <c r="I433" s="517"/>
      <c r="J433" s="517"/>
      <c r="K433" s="517"/>
      <c r="L433" s="517"/>
      <c r="M433" s="517"/>
      <c r="N433" s="517"/>
      <c r="O433" s="517"/>
      <c r="P433" s="517"/>
      <c r="Q433" s="517"/>
      <c r="R433" s="517"/>
      <c r="S433" s="517"/>
      <c r="T433" s="517"/>
      <c r="U433" s="517"/>
      <c r="V433" s="517"/>
      <c r="W433" s="517"/>
      <c r="X433" s="517"/>
      <c r="Y433" s="517"/>
      <c r="Z433" s="517"/>
      <c r="AA433" s="517"/>
      <c r="AB433" s="517"/>
      <c r="AC433" s="517"/>
      <c r="AD433" s="517"/>
      <c r="AE433" s="517"/>
      <c r="AF433" s="517"/>
      <c r="AG433" s="517"/>
      <c r="AH433" s="517"/>
      <c r="AI433" s="517"/>
      <c r="AJ433" s="517"/>
      <c r="AK433" s="517"/>
      <c r="AL433" s="517"/>
      <c r="AM433" s="517"/>
      <c r="AN433" s="517"/>
      <c r="AO433" s="517"/>
      <c r="AP433" s="517"/>
      <c r="AQ433" s="517"/>
      <c r="AR433" s="517"/>
      <c r="AS433" s="517"/>
      <c r="AT433" s="517"/>
      <c r="AU433" s="517"/>
      <c r="AV433" s="517"/>
      <c r="AW433" s="517"/>
      <c r="AX433" s="517"/>
      <c r="AY433" s="517"/>
      <c r="AZ433" s="517"/>
      <c r="BA433" s="517"/>
      <c r="BB433" s="517"/>
      <c r="BC433" s="517"/>
      <c r="BD433" s="517"/>
      <c r="BE433" s="517"/>
      <c r="BF433" s="517"/>
      <c r="BG433" s="517"/>
      <c r="BH433" s="517"/>
      <c r="BI433" s="517"/>
      <c r="BJ433" s="517"/>
      <c r="BK433" s="517"/>
      <c r="BL433" s="562"/>
      <c r="BM433" s="517"/>
      <c r="BN433" s="517"/>
      <c r="BO433" s="517"/>
      <c r="BP433" s="517"/>
      <c r="BQ433" s="517"/>
      <c r="BR433" s="517"/>
      <c r="BS433" s="517"/>
      <c r="BT433" s="517"/>
      <c r="BU433" s="517"/>
      <c r="BV433" s="517"/>
      <c r="BW433" s="318"/>
    </row>
    <row r="434" spans="1:75" s="444" customFormat="1" outlineLevel="1">
      <c r="A434" s="28" t="s">
        <v>430</v>
      </c>
      <c r="B434" s="30"/>
      <c r="C434" s="700"/>
      <c r="D434" s="700"/>
      <c r="E434" s="700"/>
      <c r="F434" s="700"/>
      <c r="G434" s="523"/>
      <c r="H434" s="523"/>
      <c r="I434" s="523"/>
      <c r="J434" s="523"/>
      <c r="K434" s="700"/>
      <c r="L434" s="523"/>
      <c r="M434" s="523"/>
      <c r="N434" s="523"/>
      <c r="O434" s="523"/>
      <c r="P434" s="700"/>
      <c r="Q434" s="523"/>
      <c r="R434" s="523"/>
      <c r="S434" s="523"/>
      <c r="T434" s="523"/>
      <c r="U434" s="700"/>
      <c r="V434" s="523"/>
      <c r="W434" s="523"/>
      <c r="X434" s="523"/>
      <c r="Y434" s="523"/>
      <c r="Z434" s="700"/>
      <c r="AA434" s="523"/>
      <c r="AB434" s="523"/>
      <c r="AC434" s="523"/>
      <c r="AD434" s="523"/>
      <c r="AE434" s="700"/>
      <c r="AF434" s="523"/>
      <c r="AG434" s="523"/>
      <c r="AH434" s="523"/>
      <c r="AI434" s="523"/>
      <c r="AJ434" s="700"/>
      <c r="AK434" s="523"/>
      <c r="AL434" s="523"/>
      <c r="AM434" s="523"/>
      <c r="AN434" s="523"/>
      <c r="AO434" s="700"/>
      <c r="AP434" s="523"/>
      <c r="AQ434" s="523"/>
      <c r="AR434" s="523"/>
      <c r="AS434" s="523"/>
      <c r="AT434" s="700"/>
      <c r="AU434" s="523"/>
      <c r="AV434" s="523"/>
      <c r="AW434" s="523"/>
      <c r="AX434" s="523"/>
      <c r="AY434" s="700"/>
      <c r="AZ434" s="523"/>
      <c r="BA434" s="523"/>
      <c r="BB434" s="523"/>
      <c r="BC434" s="523"/>
      <c r="BD434" s="700"/>
      <c r="BE434" s="523"/>
      <c r="BF434" s="523"/>
      <c r="BG434" s="523"/>
      <c r="BH434" s="523"/>
      <c r="BI434" s="700"/>
      <c r="BJ434" s="523"/>
      <c r="BK434" s="523"/>
      <c r="BL434" s="563"/>
      <c r="BM434" s="523"/>
      <c r="BN434" s="700"/>
      <c r="BO434" s="523"/>
      <c r="BP434" s="523"/>
      <c r="BQ434" s="523"/>
      <c r="BR434" s="523"/>
      <c r="BS434" s="700"/>
      <c r="BT434" s="700"/>
      <c r="BU434" s="700"/>
      <c r="BV434" s="700"/>
      <c r="BW434" s="318"/>
    </row>
    <row r="435" spans="1:75" s="439" customFormat="1" outlineLevel="1">
      <c r="A435" s="31" t="s">
        <v>431</v>
      </c>
      <c r="B435" s="53"/>
      <c r="C435" s="675">
        <v>-2.3079999999999998</v>
      </c>
      <c r="D435" s="675">
        <v>-9.5660000000000007</v>
      </c>
      <c r="E435" s="675">
        <v>-16.667999999999999</v>
      </c>
      <c r="F435" s="675">
        <v>-19.113</v>
      </c>
      <c r="G435" s="609">
        <v>-4.7990000000000004</v>
      </c>
      <c r="H435" s="609">
        <v>-5.6769999999999996</v>
      </c>
      <c r="I435" s="609">
        <v>-7.9989999999999997</v>
      </c>
      <c r="J435" s="518">
        <f>K435</f>
        <v>-10.068</v>
      </c>
      <c r="K435" s="675">
        <v>-10.068</v>
      </c>
      <c r="L435" s="609">
        <v>-2.6349999999999998</v>
      </c>
      <c r="M435" s="609">
        <v>0.108</v>
      </c>
      <c r="N435" s="609">
        <v>3.7450000000000001</v>
      </c>
      <c r="O435" s="518">
        <f>P435</f>
        <v>36.472999999999999</v>
      </c>
      <c r="P435" s="675">
        <v>36.472999999999999</v>
      </c>
      <c r="Q435" s="609">
        <v>-1.284</v>
      </c>
      <c r="R435" s="609">
        <v>-2.589</v>
      </c>
      <c r="S435" s="609">
        <v>-10.670999999999999</v>
      </c>
      <c r="T435" s="518">
        <f>U435</f>
        <v>-32.9</v>
      </c>
      <c r="U435" s="675">
        <v>-32.9</v>
      </c>
      <c r="V435" s="609">
        <v>-15.452</v>
      </c>
      <c r="W435" s="609">
        <v>-15.003</v>
      </c>
      <c r="X435" s="609">
        <v>-12.933</v>
      </c>
      <c r="Y435" s="518">
        <f>Z435</f>
        <v>-4.67</v>
      </c>
      <c r="Z435" s="675">
        <v>-4.67</v>
      </c>
      <c r="AA435" s="609">
        <v>-4.0259999999999998</v>
      </c>
      <c r="AB435" s="609">
        <v>3.8780000000000001</v>
      </c>
      <c r="AC435" s="609">
        <v>11.874000000000001</v>
      </c>
      <c r="AD435" s="518">
        <f>AE435</f>
        <v>152.995</v>
      </c>
      <c r="AE435" s="675">
        <v>152.995</v>
      </c>
      <c r="AF435" s="609">
        <v>-2.286</v>
      </c>
      <c r="AG435" s="609">
        <v>8.4179999999999993</v>
      </c>
      <c r="AH435" s="609">
        <v>23.404</v>
      </c>
      <c r="AI435" s="518">
        <f>AJ435</f>
        <v>55.35</v>
      </c>
      <c r="AJ435" s="675">
        <v>55.35</v>
      </c>
      <c r="AK435" s="609">
        <v>1.365</v>
      </c>
      <c r="AL435" s="609">
        <v>13.667999999999999</v>
      </c>
      <c r="AM435" s="609">
        <v>23.728999999999999</v>
      </c>
      <c r="AN435" s="518">
        <f t="shared" ref="AN435:AN451" si="977">AO435</f>
        <v>40.881</v>
      </c>
      <c r="AO435" s="675">
        <v>40.881</v>
      </c>
      <c r="AP435" s="609">
        <v>-15.503</v>
      </c>
      <c r="AQ435" s="609">
        <v>-39.493000000000002</v>
      </c>
      <c r="AR435" s="609">
        <v>-40.512999999999998</v>
      </c>
      <c r="AS435" s="518">
        <f t="shared" ref="AS435:AS451" si="978">AT435</f>
        <v>-19.423999999999999</v>
      </c>
      <c r="AT435" s="675">
        <v>-19.423999999999999</v>
      </c>
      <c r="AU435" s="609">
        <v>-5.7960000000000003</v>
      </c>
      <c r="AV435" s="609">
        <v>-1.5840000000000001</v>
      </c>
      <c r="AW435" s="609">
        <v>16.481000000000002</v>
      </c>
      <c r="AX435" s="518">
        <f t="shared" ref="AX435:AX449" si="979">AY435</f>
        <v>39.670999999999999</v>
      </c>
      <c r="AY435" s="675">
        <v>39.670999999999999</v>
      </c>
      <c r="AZ435" s="609">
        <v>-0.91500000000000004</v>
      </c>
      <c r="BA435" s="609">
        <v>7.0940000000000003</v>
      </c>
      <c r="BB435" s="609">
        <v>16.202000000000002</v>
      </c>
      <c r="BC435" s="518">
        <f t="shared" ref="BC435:BC446" si="980">BD435</f>
        <v>36.347000000000001</v>
      </c>
      <c r="BD435" s="675">
        <v>36.347000000000001</v>
      </c>
      <c r="BE435" s="609">
        <v>-1.1779999999999999</v>
      </c>
      <c r="BF435" s="609">
        <v>13.551</v>
      </c>
      <c r="BG435" s="609">
        <v>71.766999999999996</v>
      </c>
      <c r="BH435" s="518">
        <f t="shared" ref="BH435:BH451" si="981">BI435</f>
        <v>99.173000000000002</v>
      </c>
      <c r="BI435" s="675">
        <v>99.173000000000002</v>
      </c>
      <c r="BJ435" s="609">
        <v>14.154</v>
      </c>
      <c r="BK435" s="609">
        <v>52.19</v>
      </c>
      <c r="BL435" s="610">
        <v>90.63</v>
      </c>
      <c r="BM435" s="518"/>
      <c r="BN435" s="89"/>
      <c r="BO435" s="518"/>
      <c r="BP435" s="518"/>
      <c r="BQ435" s="518"/>
      <c r="BR435" s="518"/>
      <c r="BS435" s="89"/>
      <c r="BT435" s="89"/>
      <c r="BU435" s="89"/>
      <c r="BV435" s="89"/>
      <c r="BW435" s="519"/>
    </row>
    <row r="436" spans="1:75" s="439" customFormat="1" outlineLevel="1">
      <c r="A436" s="31" t="s">
        <v>237</v>
      </c>
      <c r="B436" s="53"/>
      <c r="C436" s="675">
        <v>1.2010000000000001</v>
      </c>
      <c r="D436" s="675">
        <v>2.3340000000000001</v>
      </c>
      <c r="E436" s="675">
        <v>4.2380000000000004</v>
      </c>
      <c r="F436" s="675">
        <v>7.2229999999999999</v>
      </c>
      <c r="G436" s="609">
        <v>2.4780000000000002</v>
      </c>
      <c r="H436" s="609">
        <v>5.1150000000000002</v>
      </c>
      <c r="I436" s="609">
        <v>7.931</v>
      </c>
      <c r="J436" s="518">
        <f>K436</f>
        <v>11.455</v>
      </c>
      <c r="K436" s="675">
        <v>11.455</v>
      </c>
      <c r="L436" s="609">
        <v>3.661</v>
      </c>
      <c r="M436" s="609">
        <v>7.6950000000000003</v>
      </c>
      <c r="N436" s="609">
        <v>12.298999999999999</v>
      </c>
      <c r="O436" s="518">
        <f>P436</f>
        <v>17.59</v>
      </c>
      <c r="P436" s="675">
        <v>17.59</v>
      </c>
      <c r="Q436" s="609">
        <v>6.8949999999999996</v>
      </c>
      <c r="R436" s="609">
        <v>14.061999999999999</v>
      </c>
      <c r="S436" s="609">
        <v>21.623999999999999</v>
      </c>
      <c r="T436" s="518">
        <f>U436</f>
        <v>29.603999999999999</v>
      </c>
      <c r="U436" s="675">
        <v>29.603999999999999</v>
      </c>
      <c r="V436" s="609">
        <v>8.1890000000000001</v>
      </c>
      <c r="W436" s="609">
        <v>16.753</v>
      </c>
      <c r="X436" s="609">
        <v>25.911999999999999</v>
      </c>
      <c r="Y436" s="518">
        <f>Z436</f>
        <v>35.345999999999997</v>
      </c>
      <c r="Z436" s="675">
        <v>35.345999999999997</v>
      </c>
      <c r="AA436" s="609">
        <v>10.151</v>
      </c>
      <c r="AB436" s="609">
        <v>20.812999999999999</v>
      </c>
      <c r="AC436" s="609">
        <v>31.47</v>
      </c>
      <c r="AD436" s="518">
        <f>AE436</f>
        <v>41.198</v>
      </c>
      <c r="AE436" s="675">
        <v>41.198</v>
      </c>
      <c r="AF436" s="609">
        <v>10.028</v>
      </c>
      <c r="AG436" s="609">
        <v>20.536999999999999</v>
      </c>
      <c r="AH436" s="609">
        <v>31.25</v>
      </c>
      <c r="AI436" s="518">
        <f>AJ436</f>
        <v>42.807000000000002</v>
      </c>
      <c r="AJ436" s="675">
        <v>42.807000000000002</v>
      </c>
      <c r="AK436" s="609">
        <v>11.875999999999999</v>
      </c>
      <c r="AL436" s="609">
        <v>24.116</v>
      </c>
      <c r="AM436" s="609">
        <v>36.506999999999998</v>
      </c>
      <c r="AN436" s="518">
        <f t="shared" si="977"/>
        <v>49.356000000000002</v>
      </c>
      <c r="AO436" s="675">
        <v>49.356000000000002</v>
      </c>
      <c r="AP436" s="609">
        <v>12.358000000000001</v>
      </c>
      <c r="AQ436" s="609">
        <v>24.94</v>
      </c>
      <c r="AR436" s="609">
        <v>37.484000000000002</v>
      </c>
      <c r="AS436" s="518">
        <f t="shared" si="978"/>
        <v>50.609000000000002</v>
      </c>
      <c r="AT436" s="675">
        <v>50.609000000000002</v>
      </c>
      <c r="AU436" s="609">
        <v>13.083</v>
      </c>
      <c r="AV436" s="609">
        <v>25.916</v>
      </c>
      <c r="AW436" s="609">
        <v>38.542999999999999</v>
      </c>
      <c r="AX436" s="518">
        <f t="shared" si="979"/>
        <v>55.683</v>
      </c>
      <c r="AY436" s="675">
        <v>55.683</v>
      </c>
      <c r="AZ436" s="609">
        <v>11.49</v>
      </c>
      <c r="BA436" s="609">
        <v>22.748000000000001</v>
      </c>
      <c r="BB436" s="609">
        <v>34.164999999999999</v>
      </c>
      <c r="BC436" s="518">
        <f t="shared" si="980"/>
        <v>44.851999999999997</v>
      </c>
      <c r="BD436" s="675">
        <v>44.851999999999997</v>
      </c>
      <c r="BE436" s="609">
        <v>10.805</v>
      </c>
      <c r="BF436" s="609">
        <v>21.42</v>
      </c>
      <c r="BG436" s="609">
        <v>31.881</v>
      </c>
      <c r="BH436" s="518">
        <f t="shared" si="981"/>
        <v>42.183999999999997</v>
      </c>
      <c r="BI436" s="675">
        <v>42.183999999999997</v>
      </c>
      <c r="BJ436" s="609">
        <v>9.93</v>
      </c>
      <c r="BK436" s="609">
        <v>19.515000000000001</v>
      </c>
      <c r="BL436" s="610">
        <v>28.841000000000001</v>
      </c>
      <c r="BM436" s="518"/>
      <c r="BN436" s="89"/>
      <c r="BO436" s="518"/>
      <c r="BP436" s="518"/>
      <c r="BQ436" s="518"/>
      <c r="BR436" s="518"/>
      <c r="BS436" s="89"/>
      <c r="BT436" s="89"/>
      <c r="BU436" s="89"/>
      <c r="BV436" s="89"/>
      <c r="BW436" s="519"/>
    </row>
    <row r="437" spans="1:75" s="439" customFormat="1" outlineLevel="1">
      <c r="A437" s="31" t="s">
        <v>432</v>
      </c>
      <c r="B437" s="53"/>
      <c r="C437" s="675">
        <v>6.9000000000000006E-2</v>
      </c>
      <c r="D437" s="675">
        <v>0.40799999999999997</v>
      </c>
      <c r="E437" s="675">
        <v>0.627</v>
      </c>
      <c r="F437" s="675">
        <v>1.913</v>
      </c>
      <c r="G437" s="609">
        <v>0.55100000000000005</v>
      </c>
      <c r="H437" s="609">
        <v>1.3009999999999999</v>
      </c>
      <c r="I437" s="609">
        <v>2.1779999999999999</v>
      </c>
      <c r="J437" s="518">
        <f>K437</f>
        <v>3.3039999999999998</v>
      </c>
      <c r="K437" s="675">
        <v>3.3039999999999998</v>
      </c>
      <c r="L437" s="609">
        <v>1.1859999999999999</v>
      </c>
      <c r="M437" s="609">
        <v>2.581</v>
      </c>
      <c r="N437" s="609">
        <v>3.8940000000000001</v>
      </c>
      <c r="O437" s="518">
        <f>P437</f>
        <v>7.2380000000000004</v>
      </c>
      <c r="P437" s="675">
        <v>7.2380000000000004</v>
      </c>
      <c r="Q437" s="609">
        <v>3.4340000000000002</v>
      </c>
      <c r="R437" s="609">
        <v>6.0759999999999996</v>
      </c>
      <c r="S437" s="609">
        <v>10.401</v>
      </c>
      <c r="T437" s="518">
        <f>U437</f>
        <v>16.788</v>
      </c>
      <c r="U437" s="675">
        <v>16.788</v>
      </c>
      <c r="V437" s="609">
        <v>5.0910000000000002</v>
      </c>
      <c r="W437" s="609">
        <v>7.4249999999999998</v>
      </c>
      <c r="X437" s="609">
        <v>12.138999999999999</v>
      </c>
      <c r="Y437" s="518">
        <f>Z437</f>
        <v>17.260999999999999</v>
      </c>
      <c r="Z437" s="675">
        <v>17.260999999999999</v>
      </c>
      <c r="AA437" s="609">
        <v>5.9009999999999998</v>
      </c>
      <c r="AB437" s="609">
        <v>10.792</v>
      </c>
      <c r="AC437" s="609">
        <v>15.239000000000001</v>
      </c>
      <c r="AD437" s="518">
        <f>AE437</f>
        <v>20.917000000000002</v>
      </c>
      <c r="AE437" s="675">
        <v>20.917000000000002</v>
      </c>
      <c r="AF437" s="609">
        <v>8.1430000000000007</v>
      </c>
      <c r="AG437" s="609">
        <v>14.608000000000001</v>
      </c>
      <c r="AH437" s="609">
        <v>19.285</v>
      </c>
      <c r="AI437" s="518">
        <f>AJ437</f>
        <v>24.515000000000001</v>
      </c>
      <c r="AJ437" s="675">
        <v>24.515000000000001</v>
      </c>
      <c r="AK437" s="609">
        <v>4.2640000000000002</v>
      </c>
      <c r="AL437" s="609">
        <v>8.7159999999999993</v>
      </c>
      <c r="AM437" s="609">
        <v>15.259</v>
      </c>
      <c r="AN437" s="518">
        <f t="shared" si="977"/>
        <v>22.542999999999999</v>
      </c>
      <c r="AO437" s="675">
        <v>22.542999999999999</v>
      </c>
      <c r="AP437" s="609">
        <v>15.933</v>
      </c>
      <c r="AQ437" s="609">
        <v>21.896999999999998</v>
      </c>
      <c r="AR437" s="609">
        <v>26.802</v>
      </c>
      <c r="AS437" s="518">
        <f t="shared" si="978"/>
        <v>32.265000000000001</v>
      </c>
      <c r="AT437" s="675">
        <v>32.265000000000001</v>
      </c>
      <c r="AU437" s="609">
        <v>3.2890000000000001</v>
      </c>
      <c r="AV437" s="609">
        <v>7.24</v>
      </c>
      <c r="AW437" s="609">
        <v>9.8339999999999996</v>
      </c>
      <c r="AX437" s="518">
        <f t="shared" si="979"/>
        <v>14.574</v>
      </c>
      <c r="AY437" s="675">
        <v>14.574</v>
      </c>
      <c r="AZ437" s="609">
        <v>7.5620000000000003</v>
      </c>
      <c r="BA437" s="609">
        <v>12.676</v>
      </c>
      <c r="BB437" s="609">
        <v>18.248999999999999</v>
      </c>
      <c r="BC437" s="518">
        <f t="shared" si="980"/>
        <v>25.006</v>
      </c>
      <c r="BD437" s="675">
        <v>25.006</v>
      </c>
      <c r="BE437" s="609">
        <v>6.7839999999999998</v>
      </c>
      <c r="BF437" s="609">
        <v>14.635999999999999</v>
      </c>
      <c r="BG437" s="609">
        <v>26.664000000000001</v>
      </c>
      <c r="BH437" s="518">
        <f t="shared" si="981"/>
        <v>40.701999999999998</v>
      </c>
      <c r="BI437" s="675">
        <v>40.701999999999998</v>
      </c>
      <c r="BJ437" s="609">
        <v>11.645</v>
      </c>
      <c r="BK437" s="609">
        <v>23.957000000000001</v>
      </c>
      <c r="BL437" s="610">
        <v>35.110999999999997</v>
      </c>
      <c r="BM437" s="518"/>
      <c r="BN437" s="89"/>
      <c r="BO437" s="518"/>
      <c r="BP437" s="518"/>
      <c r="BQ437" s="518"/>
      <c r="BR437" s="518"/>
      <c r="BS437" s="89"/>
      <c r="BT437" s="89"/>
      <c r="BU437" s="89"/>
      <c r="BV437" s="89"/>
      <c r="BW437" s="519"/>
    </row>
    <row r="438" spans="1:75" s="439" customFormat="1" outlineLevel="1">
      <c r="A438" s="31" t="s">
        <v>261</v>
      </c>
      <c r="B438" s="53"/>
      <c r="C438" s="675">
        <v>0.55700000000000005</v>
      </c>
      <c r="D438" s="675">
        <v>1.431</v>
      </c>
      <c r="E438" s="675">
        <v>4.8769999999999998</v>
      </c>
      <c r="F438" s="675">
        <v>14.878</v>
      </c>
      <c r="G438" s="609">
        <v>5.16</v>
      </c>
      <c r="H438" s="609">
        <v>10.872999999999999</v>
      </c>
      <c r="I438" s="609">
        <v>17.888000000000002</v>
      </c>
      <c r="J438" s="518">
        <f>K438</f>
        <v>26.677</v>
      </c>
      <c r="K438" s="675">
        <v>26.677</v>
      </c>
      <c r="L438" s="609">
        <v>9.4559999999999995</v>
      </c>
      <c r="M438" s="609">
        <v>19.539000000000001</v>
      </c>
      <c r="N438" s="609">
        <v>30.457000000000001</v>
      </c>
      <c r="O438" s="518">
        <f>P438</f>
        <v>42.273000000000003</v>
      </c>
      <c r="P438" s="675">
        <v>42.273000000000003</v>
      </c>
      <c r="Q438" s="609">
        <v>13.670999999999999</v>
      </c>
      <c r="R438" s="609">
        <v>29.187000000000001</v>
      </c>
      <c r="S438" s="609">
        <v>44.87</v>
      </c>
      <c r="T438" s="518">
        <f>U438</f>
        <v>60.841999999999999</v>
      </c>
      <c r="U438" s="675">
        <v>60.841999999999999</v>
      </c>
      <c r="V438" s="609">
        <v>19.11</v>
      </c>
      <c r="W438" s="609">
        <v>39.835999999999999</v>
      </c>
      <c r="X438" s="609">
        <v>62.396000000000001</v>
      </c>
      <c r="Y438" s="518">
        <f>Z438</f>
        <v>86.260999999999996</v>
      </c>
      <c r="Z438" s="675">
        <v>86.260999999999996</v>
      </c>
      <c r="AA438" s="609">
        <v>24.334</v>
      </c>
      <c r="AB438" s="609">
        <v>49.698999999999998</v>
      </c>
      <c r="AC438" s="609">
        <v>75.007000000000005</v>
      </c>
      <c r="AD438" s="518">
        <f>AE438</f>
        <v>100.41500000000001</v>
      </c>
      <c r="AE438" s="675">
        <v>100.41500000000001</v>
      </c>
      <c r="AF438" s="609">
        <v>27.734000000000002</v>
      </c>
      <c r="AG438" s="609">
        <v>56.539000000000001</v>
      </c>
      <c r="AH438" s="609">
        <v>85.731999999999999</v>
      </c>
      <c r="AI438" s="518">
        <f>AJ438</f>
        <v>114.386</v>
      </c>
      <c r="AJ438" s="675">
        <v>114.386</v>
      </c>
      <c r="AK438" s="609">
        <v>31.318999999999999</v>
      </c>
      <c r="AL438" s="609">
        <v>61.77</v>
      </c>
      <c r="AM438" s="609">
        <v>91.006</v>
      </c>
      <c r="AN438" s="518">
        <f t="shared" si="977"/>
        <v>121.512</v>
      </c>
      <c r="AO438" s="675">
        <v>121.512</v>
      </c>
      <c r="AP438" s="609">
        <v>31.75</v>
      </c>
      <c r="AQ438" s="609">
        <v>62.335000000000001</v>
      </c>
      <c r="AR438" s="609">
        <v>92.59</v>
      </c>
      <c r="AS438" s="518">
        <f t="shared" si="978"/>
        <v>124.574</v>
      </c>
      <c r="AT438" s="675">
        <v>124.574</v>
      </c>
      <c r="AU438" s="609">
        <v>39.244999999999997</v>
      </c>
      <c r="AV438" s="609">
        <v>80.103999999999999</v>
      </c>
      <c r="AW438" s="609">
        <v>116.54600000000001</v>
      </c>
      <c r="AX438" s="518">
        <f t="shared" si="979"/>
        <v>151.679</v>
      </c>
      <c r="AY438" s="675">
        <v>151.679</v>
      </c>
      <c r="AZ438" s="609">
        <v>41.06</v>
      </c>
      <c r="BA438" s="609">
        <v>81.120999999999995</v>
      </c>
      <c r="BB438" s="609">
        <v>119.753</v>
      </c>
      <c r="BC438" s="518">
        <f t="shared" si="980"/>
        <v>156.09</v>
      </c>
      <c r="BD438" s="675">
        <v>156.09</v>
      </c>
      <c r="BE438" s="609">
        <v>46.256999999999998</v>
      </c>
      <c r="BF438" s="609">
        <v>89.837000000000003</v>
      </c>
      <c r="BG438" s="609">
        <v>133.304</v>
      </c>
      <c r="BH438" s="518">
        <f t="shared" si="981"/>
        <v>173.45099999999999</v>
      </c>
      <c r="BI438" s="675">
        <v>173.45099999999999</v>
      </c>
      <c r="BJ438" s="609">
        <v>42.71</v>
      </c>
      <c r="BK438" s="609">
        <v>83.924000000000007</v>
      </c>
      <c r="BL438" s="610">
        <v>123.396</v>
      </c>
      <c r="BM438" s="518"/>
      <c r="BN438" s="89"/>
      <c r="BO438" s="518"/>
      <c r="BP438" s="518"/>
      <c r="BQ438" s="518"/>
      <c r="BR438" s="518"/>
      <c r="BS438" s="89"/>
      <c r="BT438" s="89"/>
      <c r="BU438" s="89"/>
      <c r="BV438" s="89"/>
      <c r="BW438" s="519"/>
    </row>
    <row r="439" spans="1:75" s="439" customFormat="1" outlineLevel="1">
      <c r="A439" s="31" t="s">
        <v>240</v>
      </c>
      <c r="B439" s="53"/>
      <c r="C439" s="89"/>
      <c r="D439" s="675">
        <v>0</v>
      </c>
      <c r="E439" s="675">
        <v>5.9279999999999999</v>
      </c>
      <c r="F439" s="89"/>
      <c r="G439" s="518"/>
      <c r="H439" s="518"/>
      <c r="I439" s="518"/>
      <c r="J439" s="518">
        <f>K439</f>
        <v>0</v>
      </c>
      <c r="K439" s="89"/>
      <c r="L439" s="518"/>
      <c r="M439" s="518"/>
      <c r="N439" s="518"/>
      <c r="O439" s="518">
        <f>P439</f>
        <v>0</v>
      </c>
      <c r="P439" s="89"/>
      <c r="Q439" s="518"/>
      <c r="R439" s="518"/>
      <c r="S439" s="518"/>
      <c r="T439" s="518">
        <f>U439</f>
        <v>0</v>
      </c>
      <c r="U439" s="89"/>
      <c r="V439" s="518"/>
      <c r="W439" s="518"/>
      <c r="X439" s="518"/>
      <c r="Y439" s="518">
        <f>Z439</f>
        <v>0</v>
      </c>
      <c r="Z439" s="89"/>
      <c r="AA439" s="518"/>
      <c r="AB439" s="518"/>
      <c r="AC439" s="518"/>
      <c r="AD439" s="518">
        <f>AE439</f>
        <v>0</v>
      </c>
      <c r="AE439" s="89"/>
      <c r="AF439" s="518"/>
      <c r="AG439" s="518"/>
      <c r="AH439" s="518"/>
      <c r="AI439" s="518">
        <f>AJ439</f>
        <v>0</v>
      </c>
      <c r="AJ439" s="89"/>
      <c r="AK439" s="518"/>
      <c r="AL439" s="518"/>
      <c r="AM439" s="518"/>
      <c r="AN439" s="518">
        <f t="shared" si="977"/>
        <v>0</v>
      </c>
      <c r="AO439" s="89"/>
      <c r="AP439" s="518"/>
      <c r="AQ439" s="518"/>
      <c r="AR439" s="518"/>
      <c r="AS439" s="518">
        <f t="shared" si="978"/>
        <v>0</v>
      </c>
      <c r="AT439" s="89"/>
      <c r="AU439" s="518"/>
      <c r="AV439" s="518"/>
      <c r="AW439" s="518"/>
      <c r="AX439" s="518">
        <f t="shared" si="979"/>
        <v>0</v>
      </c>
      <c r="AY439" s="89"/>
      <c r="AZ439" s="518"/>
      <c r="BA439" s="518"/>
      <c r="BB439" s="518"/>
      <c r="BC439" s="518">
        <f t="shared" si="980"/>
        <v>0</v>
      </c>
      <c r="BD439" s="89"/>
      <c r="BE439" s="518"/>
      <c r="BF439" s="518"/>
      <c r="BG439" s="518"/>
      <c r="BH439" s="518">
        <f t="shared" si="981"/>
        <v>0</v>
      </c>
      <c r="BI439" s="89"/>
      <c r="BJ439" s="518"/>
      <c r="BK439" s="518"/>
      <c r="BL439" s="520"/>
      <c r="BM439" s="518"/>
      <c r="BN439" s="89"/>
      <c r="BO439" s="518"/>
      <c r="BP439" s="518"/>
      <c r="BQ439" s="518"/>
      <c r="BR439" s="518"/>
      <c r="BS439" s="89"/>
      <c r="BT439" s="89"/>
      <c r="BU439" s="89"/>
      <c r="BV439" s="89"/>
      <c r="BW439" s="519"/>
    </row>
    <row r="440" spans="1:75" s="439" customFormat="1" outlineLevel="1">
      <c r="A440" s="31" t="s">
        <v>433</v>
      </c>
      <c r="B440" s="53"/>
      <c r="C440" s="89"/>
      <c r="D440" s="89"/>
      <c r="E440" s="89"/>
      <c r="F440" s="89"/>
      <c r="G440" s="518"/>
      <c r="H440" s="518"/>
      <c r="I440" s="518"/>
      <c r="J440" s="518"/>
      <c r="K440" s="89"/>
      <c r="L440" s="518"/>
      <c r="M440" s="518"/>
      <c r="N440" s="518"/>
      <c r="O440" s="518"/>
      <c r="P440" s="89"/>
      <c r="Q440" s="518"/>
      <c r="R440" s="518"/>
      <c r="S440" s="518"/>
      <c r="T440" s="518"/>
      <c r="U440" s="89"/>
      <c r="V440" s="518"/>
      <c r="W440" s="518"/>
      <c r="X440" s="518"/>
      <c r="Y440" s="518"/>
      <c r="Z440" s="89"/>
      <c r="AA440" s="518"/>
      <c r="AB440" s="518"/>
      <c r="AC440" s="518"/>
      <c r="AD440" s="518"/>
      <c r="AE440" s="89"/>
      <c r="AF440" s="518"/>
      <c r="AG440" s="518"/>
      <c r="AH440" s="518"/>
      <c r="AI440" s="518"/>
      <c r="AJ440" s="89"/>
      <c r="AK440" s="609">
        <v>9.7509999999999994</v>
      </c>
      <c r="AL440" s="609">
        <v>21.433</v>
      </c>
      <c r="AM440" s="609">
        <v>31.379000000000001</v>
      </c>
      <c r="AN440" s="518">
        <f t="shared" si="977"/>
        <v>41.365000000000002</v>
      </c>
      <c r="AO440" s="675">
        <v>41.365000000000002</v>
      </c>
      <c r="AP440" s="609">
        <v>10.378</v>
      </c>
      <c r="AQ440" s="609">
        <v>20.984000000000002</v>
      </c>
      <c r="AR440" s="609">
        <v>31.545000000000002</v>
      </c>
      <c r="AS440" s="518">
        <f t="shared" si="978"/>
        <v>42.234999999999999</v>
      </c>
      <c r="AT440" s="675">
        <v>42.234999999999999</v>
      </c>
      <c r="AU440" s="609">
        <v>10.779</v>
      </c>
      <c r="AV440" s="609">
        <v>20.712</v>
      </c>
      <c r="AW440" s="609">
        <v>30.675999999999998</v>
      </c>
      <c r="AX440" s="518">
        <f t="shared" si="979"/>
        <v>39.338999999999999</v>
      </c>
      <c r="AY440" s="675">
        <v>39.338999999999999</v>
      </c>
      <c r="AZ440" s="609">
        <v>8.4529999999999994</v>
      </c>
      <c r="BA440" s="609">
        <v>16.87</v>
      </c>
      <c r="BB440" s="609">
        <v>24.962</v>
      </c>
      <c r="BC440" s="518">
        <f t="shared" si="980"/>
        <v>32.81</v>
      </c>
      <c r="BD440" s="675">
        <v>32.81</v>
      </c>
      <c r="BE440" s="609">
        <v>7.899</v>
      </c>
      <c r="BF440" s="609">
        <v>15.699</v>
      </c>
      <c r="BG440" s="609">
        <v>22.847999999999999</v>
      </c>
      <c r="BH440" s="518">
        <f t="shared" si="981"/>
        <v>28.084</v>
      </c>
      <c r="BI440" s="675">
        <v>28.084</v>
      </c>
      <c r="BJ440" s="609">
        <v>3.8610000000000002</v>
      </c>
      <c r="BK440" s="609">
        <v>7.6619999999999999</v>
      </c>
      <c r="BL440" s="610">
        <v>11.363</v>
      </c>
      <c r="BM440" s="518"/>
      <c r="BN440" s="89"/>
      <c r="BO440" s="518"/>
      <c r="BP440" s="518"/>
      <c r="BQ440" s="518"/>
      <c r="BR440" s="518"/>
      <c r="BS440" s="89"/>
      <c r="BT440" s="89"/>
      <c r="BU440" s="89"/>
      <c r="BV440" s="89"/>
      <c r="BW440" s="519"/>
    </row>
    <row r="441" spans="1:75" s="439" customFormat="1" outlineLevel="1">
      <c r="A441" s="31" t="s">
        <v>434</v>
      </c>
      <c r="B441" s="53"/>
      <c r="C441" s="89"/>
      <c r="D441" s="89"/>
      <c r="E441" s="89"/>
      <c r="F441" s="89"/>
      <c r="G441" s="518"/>
      <c r="H441" s="518"/>
      <c r="I441" s="518"/>
      <c r="J441" s="518">
        <f>K441</f>
        <v>0</v>
      </c>
      <c r="K441" s="89"/>
      <c r="L441" s="518"/>
      <c r="M441" s="518"/>
      <c r="N441" s="518"/>
      <c r="O441" s="518">
        <f>P441</f>
        <v>-28.196999999999999</v>
      </c>
      <c r="P441" s="675">
        <v>-28.196999999999999</v>
      </c>
      <c r="Q441" s="518"/>
      <c r="R441" s="518"/>
      <c r="S441" s="518"/>
      <c r="T441" s="518">
        <f>U441</f>
        <v>20.341000000000001</v>
      </c>
      <c r="U441" s="675">
        <v>20.341000000000001</v>
      </c>
      <c r="V441" s="518"/>
      <c r="W441" s="518"/>
      <c r="X441" s="518"/>
      <c r="Y441" s="518">
        <f t="shared" ref="Y441:Y447" si="982">Z441</f>
        <v>1.351</v>
      </c>
      <c r="Z441" s="675">
        <v>1.351</v>
      </c>
      <c r="AA441" s="518"/>
      <c r="AB441" s="518"/>
      <c r="AC441" s="518"/>
      <c r="AD441" s="518">
        <f t="shared" ref="AD441:AD451" si="983">AE441</f>
        <v>0</v>
      </c>
      <c r="AE441" s="89"/>
      <c r="AF441" s="518"/>
      <c r="AG441" s="518"/>
      <c r="AH441" s="518"/>
      <c r="AI441" s="518">
        <f t="shared" ref="AI441:AI451" si="984">AJ441</f>
        <v>-16.632000000000001</v>
      </c>
      <c r="AJ441" s="675">
        <v>-16.632000000000001</v>
      </c>
      <c r="AK441" s="518"/>
      <c r="AL441" s="518"/>
      <c r="AM441" s="518"/>
      <c r="AN441" s="518">
        <f t="shared" si="977"/>
        <v>0</v>
      </c>
      <c r="AO441" s="89"/>
      <c r="AP441" s="518"/>
      <c r="AQ441" s="518"/>
      <c r="AR441" s="518"/>
      <c r="AS441" s="518">
        <f t="shared" si="978"/>
        <v>0</v>
      </c>
      <c r="AT441" s="89"/>
      <c r="AU441" s="518"/>
      <c r="AV441" s="518"/>
      <c r="AW441" s="518"/>
      <c r="AX441" s="518">
        <f t="shared" si="979"/>
        <v>0</v>
      </c>
      <c r="AY441" s="89"/>
      <c r="AZ441" s="518"/>
      <c r="BA441" s="518"/>
      <c r="BB441" s="518"/>
      <c r="BC441" s="518">
        <f t="shared" si="980"/>
        <v>0</v>
      </c>
      <c r="BD441" s="89"/>
      <c r="BE441" s="518"/>
      <c r="BF441" s="518"/>
      <c r="BG441" s="518"/>
      <c r="BH441" s="518">
        <f t="shared" si="981"/>
        <v>0</v>
      </c>
      <c r="BI441" s="89"/>
      <c r="BJ441" s="518"/>
      <c r="BK441" s="518"/>
      <c r="BL441" s="520"/>
      <c r="BM441" s="518"/>
      <c r="BN441" s="89"/>
      <c r="BO441" s="518"/>
      <c r="BP441" s="518"/>
      <c r="BQ441" s="518"/>
      <c r="BR441" s="518"/>
      <c r="BS441" s="89"/>
      <c r="BT441" s="89"/>
      <c r="BU441" s="89"/>
      <c r="BV441" s="89"/>
      <c r="BW441" s="519"/>
    </row>
    <row r="442" spans="1:75" s="439" customFormat="1" outlineLevel="1">
      <c r="A442" s="31" t="s">
        <v>435</v>
      </c>
      <c r="B442" s="53"/>
      <c r="C442" s="89"/>
      <c r="D442" s="675">
        <v>2.1000000000000001E-2</v>
      </c>
      <c r="E442" s="675">
        <v>1.2999999999999999E-2</v>
      </c>
      <c r="F442" s="675">
        <v>6.4000000000000001E-2</v>
      </c>
      <c r="G442" s="609">
        <v>0.05</v>
      </c>
      <c r="H442" s="609">
        <v>9.4E-2</v>
      </c>
      <c r="I442" s="609">
        <v>0.188</v>
      </c>
      <c r="J442" s="518">
        <f>K442</f>
        <v>0.159</v>
      </c>
      <c r="K442" s="675">
        <v>0.159</v>
      </c>
      <c r="L442" s="518"/>
      <c r="M442" s="609">
        <v>-5.0000000000000001E-3</v>
      </c>
      <c r="N442" s="609">
        <v>-5.0000000000000001E-3</v>
      </c>
      <c r="O442" s="518">
        <f>P442</f>
        <v>4.0000000000000001E-3</v>
      </c>
      <c r="P442" s="675">
        <v>4.0000000000000001E-3</v>
      </c>
      <c r="Q442" s="609">
        <v>5.1999999999999998E-2</v>
      </c>
      <c r="R442" s="609">
        <v>0.14399999999999999</v>
      </c>
      <c r="S442" s="609">
        <v>0.13</v>
      </c>
      <c r="T442" s="518">
        <f>U442</f>
        <v>0.21299999999999999</v>
      </c>
      <c r="U442" s="675">
        <v>0.21299999999999999</v>
      </c>
      <c r="V442" s="609">
        <v>0.104</v>
      </c>
      <c r="W442" s="609">
        <v>0.121</v>
      </c>
      <c r="X442" s="609">
        <v>0.23200000000000001</v>
      </c>
      <c r="Y442" s="518">
        <f t="shared" si="982"/>
        <v>0.27700000000000002</v>
      </c>
      <c r="Z442" s="675">
        <v>0.27700000000000002</v>
      </c>
      <c r="AA442" s="518"/>
      <c r="AB442" s="518"/>
      <c r="AC442" s="518"/>
      <c r="AD442" s="518">
        <f t="shared" si="983"/>
        <v>0</v>
      </c>
      <c r="AE442" s="89"/>
      <c r="AF442" s="518"/>
      <c r="AG442" s="518"/>
      <c r="AH442" s="518"/>
      <c r="AI442" s="518">
        <f t="shared" si="984"/>
        <v>0</v>
      </c>
      <c r="AJ442" s="89"/>
      <c r="AK442" s="518"/>
      <c r="AL442" s="518"/>
      <c r="AM442" s="518"/>
      <c r="AN442" s="518">
        <f t="shared" si="977"/>
        <v>0</v>
      </c>
      <c r="AO442" s="89"/>
      <c r="AP442" s="518"/>
      <c r="AQ442" s="518"/>
      <c r="AR442" s="518"/>
      <c r="AS442" s="518">
        <f t="shared" si="978"/>
        <v>0</v>
      </c>
      <c r="AT442" s="89"/>
      <c r="AU442" s="518"/>
      <c r="AV442" s="518"/>
      <c r="AW442" s="518"/>
      <c r="AX442" s="518">
        <f t="shared" si="979"/>
        <v>0</v>
      </c>
      <c r="AY442" s="89"/>
      <c r="AZ442" s="518"/>
      <c r="BA442" s="518"/>
      <c r="BB442" s="518"/>
      <c r="BC442" s="518">
        <f t="shared" si="980"/>
        <v>0</v>
      </c>
      <c r="BD442" s="89"/>
      <c r="BE442" s="518"/>
      <c r="BF442" s="518"/>
      <c r="BG442" s="518"/>
      <c r="BH442" s="518">
        <f t="shared" si="981"/>
        <v>0</v>
      </c>
      <c r="BI442" s="89"/>
      <c r="BJ442" s="518"/>
      <c r="BK442" s="518"/>
      <c r="BL442" s="520"/>
      <c r="BM442" s="518"/>
      <c r="BN442" s="89"/>
      <c r="BO442" s="518"/>
      <c r="BP442" s="518"/>
      <c r="BQ442" s="518"/>
      <c r="BR442" s="518"/>
      <c r="BS442" s="89"/>
      <c r="BT442" s="89"/>
      <c r="BU442" s="89"/>
      <c r="BV442" s="89"/>
      <c r="BW442" s="519"/>
    </row>
    <row r="443" spans="1:75" s="439" customFormat="1" outlineLevel="1">
      <c r="A443" s="31" t="s">
        <v>436</v>
      </c>
      <c r="B443" s="53"/>
      <c r="C443" s="89"/>
      <c r="D443" s="89"/>
      <c r="E443" s="89"/>
      <c r="F443" s="89"/>
      <c r="G443" s="518"/>
      <c r="H443" s="518"/>
      <c r="I443" s="518"/>
      <c r="J443" s="518">
        <f>K443</f>
        <v>0</v>
      </c>
      <c r="K443" s="89"/>
      <c r="L443" s="518"/>
      <c r="M443" s="609">
        <v>9.2999999999999999E-2</v>
      </c>
      <c r="N443" s="609">
        <v>0.214</v>
      </c>
      <c r="O443" s="518">
        <f>P443</f>
        <v>0.34899999999999998</v>
      </c>
      <c r="P443" s="675">
        <v>0.34899999999999998</v>
      </c>
      <c r="Q443" s="609">
        <v>-0.11700000000000001</v>
      </c>
      <c r="R443" s="609">
        <v>0.48099999999999998</v>
      </c>
      <c r="S443" s="609">
        <v>0.82699999999999996</v>
      </c>
      <c r="T443" s="518">
        <f>U443</f>
        <v>1.19</v>
      </c>
      <c r="U443" s="675">
        <v>1.19</v>
      </c>
      <c r="V443" s="609">
        <v>0.376</v>
      </c>
      <c r="W443" s="609">
        <v>0.76300000000000001</v>
      </c>
      <c r="X443" s="609">
        <v>1.0820000000000001</v>
      </c>
      <c r="Y443" s="518">
        <f t="shared" si="982"/>
        <v>1.3480000000000001</v>
      </c>
      <c r="Z443" s="675">
        <v>1.3480000000000001</v>
      </c>
      <c r="AA443" s="518"/>
      <c r="AB443" s="518"/>
      <c r="AC443" s="518"/>
      <c r="AD443" s="518">
        <f t="shared" si="983"/>
        <v>0</v>
      </c>
      <c r="AE443" s="89"/>
      <c r="AF443" s="518"/>
      <c r="AG443" s="518"/>
      <c r="AH443" s="518"/>
      <c r="AI443" s="518">
        <f t="shared" si="984"/>
        <v>0</v>
      </c>
      <c r="AJ443" s="89"/>
      <c r="AK443" s="518"/>
      <c r="AL443" s="518"/>
      <c r="AM443" s="518"/>
      <c r="AN443" s="518">
        <f t="shared" si="977"/>
        <v>0</v>
      </c>
      <c r="AO443" s="89"/>
      <c r="AP443" s="518"/>
      <c r="AQ443" s="518"/>
      <c r="AR443" s="518"/>
      <c r="AS443" s="518">
        <f t="shared" si="978"/>
        <v>0</v>
      </c>
      <c r="AT443" s="89"/>
      <c r="AU443" s="518"/>
      <c r="AV443" s="518"/>
      <c r="AW443" s="518"/>
      <c r="AX443" s="518">
        <f t="shared" si="979"/>
        <v>0</v>
      </c>
      <c r="AY443" s="89"/>
      <c r="AZ443" s="518"/>
      <c r="BA443" s="518"/>
      <c r="BB443" s="518"/>
      <c r="BC443" s="518">
        <f t="shared" si="980"/>
        <v>0</v>
      </c>
      <c r="BD443" s="89"/>
      <c r="BE443" s="518"/>
      <c r="BF443" s="518"/>
      <c r="BG443" s="518"/>
      <c r="BH443" s="518">
        <f t="shared" si="981"/>
        <v>0</v>
      </c>
      <c r="BI443" s="89"/>
      <c r="BJ443" s="518"/>
      <c r="BK443" s="518"/>
      <c r="BL443" s="520"/>
      <c r="BM443" s="518"/>
      <c r="BN443" s="89"/>
      <c r="BO443" s="518"/>
      <c r="BP443" s="518"/>
      <c r="BQ443" s="518"/>
      <c r="BR443" s="518"/>
      <c r="BS443" s="89"/>
      <c r="BT443" s="89"/>
      <c r="BU443" s="89"/>
      <c r="BV443" s="89"/>
      <c r="BW443" s="519"/>
    </row>
    <row r="444" spans="1:75" s="439" customFormat="1" outlineLevel="1">
      <c r="A444" s="31" t="s">
        <v>437</v>
      </c>
      <c r="B444" s="53"/>
      <c r="C444" s="89"/>
      <c r="D444" s="89"/>
      <c r="E444" s="89"/>
      <c r="F444" s="89"/>
      <c r="G444" s="518"/>
      <c r="H444" s="518"/>
      <c r="I444" s="518"/>
      <c r="J444" s="518">
        <f>K444</f>
        <v>-0.35299999999999998</v>
      </c>
      <c r="K444" s="675">
        <v>-0.35299999999999998</v>
      </c>
      <c r="L444" s="609">
        <v>-3.9E-2</v>
      </c>
      <c r="M444" s="609">
        <v>-0.46</v>
      </c>
      <c r="N444" s="609">
        <v>-0.89900000000000002</v>
      </c>
      <c r="O444" s="518">
        <f>P444</f>
        <v>-1.8340000000000001</v>
      </c>
      <c r="P444" s="675">
        <v>-1.8340000000000001</v>
      </c>
      <c r="Q444" s="609">
        <v>-0.81499999999999995</v>
      </c>
      <c r="R444" s="609">
        <v>-3.952</v>
      </c>
      <c r="S444" s="609">
        <v>-4.298</v>
      </c>
      <c r="T444" s="518">
        <f>U444</f>
        <v>-6.5830000000000002</v>
      </c>
      <c r="U444" s="675">
        <v>-6.5830000000000002</v>
      </c>
      <c r="V444" s="518"/>
      <c r="W444" s="609">
        <v>0</v>
      </c>
      <c r="X444" s="518"/>
      <c r="Y444" s="518">
        <f t="shared" si="982"/>
        <v>0</v>
      </c>
      <c r="Z444" s="89"/>
      <c r="AA444" s="518"/>
      <c r="AB444" s="518"/>
      <c r="AC444" s="518"/>
      <c r="AD444" s="518">
        <f t="shared" si="983"/>
        <v>0</v>
      </c>
      <c r="AE444" s="89"/>
      <c r="AF444" s="518"/>
      <c r="AG444" s="518"/>
      <c r="AH444" s="518"/>
      <c r="AI444" s="518">
        <f t="shared" si="984"/>
        <v>0</v>
      </c>
      <c r="AJ444" s="89"/>
      <c r="AK444" s="518"/>
      <c r="AL444" s="518"/>
      <c r="AM444" s="518"/>
      <c r="AN444" s="518">
        <f t="shared" si="977"/>
        <v>0</v>
      </c>
      <c r="AO444" s="89"/>
      <c r="AP444" s="518"/>
      <c r="AQ444" s="518"/>
      <c r="AR444" s="518"/>
      <c r="AS444" s="518">
        <f t="shared" si="978"/>
        <v>0</v>
      </c>
      <c r="AT444" s="89"/>
      <c r="AU444" s="518"/>
      <c r="AV444" s="518"/>
      <c r="AW444" s="518"/>
      <c r="AX444" s="518">
        <f t="shared" si="979"/>
        <v>0</v>
      </c>
      <c r="AY444" s="89"/>
      <c r="AZ444" s="518"/>
      <c r="BA444" s="518"/>
      <c r="BB444" s="518"/>
      <c r="BC444" s="518">
        <f t="shared" si="980"/>
        <v>0</v>
      </c>
      <c r="BD444" s="89"/>
      <c r="BE444" s="518"/>
      <c r="BF444" s="518"/>
      <c r="BG444" s="518"/>
      <c r="BH444" s="518">
        <f t="shared" si="981"/>
        <v>0</v>
      </c>
      <c r="BI444" s="89"/>
      <c r="BJ444" s="518"/>
      <c r="BK444" s="518"/>
      <c r="BL444" s="520"/>
      <c r="BM444" s="518"/>
      <c r="BN444" s="89"/>
      <c r="BO444" s="518"/>
      <c r="BP444" s="518"/>
      <c r="BQ444" s="518"/>
      <c r="BR444" s="518"/>
      <c r="BS444" s="89"/>
      <c r="BT444" s="89"/>
      <c r="BU444" s="89"/>
      <c r="BV444" s="89"/>
      <c r="BW444" s="519"/>
    </row>
    <row r="445" spans="1:75" s="439" customFormat="1" outlineLevel="1">
      <c r="A445" s="2" t="s">
        <v>438</v>
      </c>
      <c r="B445" s="53"/>
      <c r="C445" s="89"/>
      <c r="D445" s="89"/>
      <c r="E445" s="89"/>
      <c r="F445" s="89"/>
      <c r="G445" s="518"/>
      <c r="H445" s="518"/>
      <c r="I445" s="518"/>
      <c r="J445" s="518"/>
      <c r="K445" s="89"/>
      <c r="L445" s="518"/>
      <c r="M445" s="518"/>
      <c r="N445" s="518"/>
      <c r="O445" s="518"/>
      <c r="P445" s="89"/>
      <c r="Q445" s="518"/>
      <c r="R445" s="518"/>
      <c r="S445" s="518"/>
      <c r="T445" s="518"/>
      <c r="U445" s="89"/>
      <c r="V445" s="518"/>
      <c r="W445" s="518"/>
      <c r="X445" s="518"/>
      <c r="Y445" s="519">
        <f t="shared" si="982"/>
        <v>0</v>
      </c>
      <c r="Z445" s="89"/>
      <c r="AA445" s="518"/>
      <c r="AB445" s="518"/>
      <c r="AC445" s="518"/>
      <c r="AD445" s="519">
        <f t="shared" si="983"/>
        <v>0</v>
      </c>
      <c r="AE445" s="89"/>
      <c r="AF445" s="518"/>
      <c r="AG445" s="518"/>
      <c r="AH445" s="518"/>
      <c r="AI445" s="519">
        <f t="shared" si="984"/>
        <v>0</v>
      </c>
      <c r="AJ445" s="89"/>
      <c r="AK445" s="609">
        <v>-1.2589999999999999</v>
      </c>
      <c r="AL445" s="609">
        <v>-1.9119999999999999</v>
      </c>
      <c r="AM445" s="609">
        <v>-0.67300000000000004</v>
      </c>
      <c r="AN445" s="519">
        <f t="shared" si="977"/>
        <v>-2.7989999999999999</v>
      </c>
      <c r="AO445" s="675">
        <v>-2.7989999999999999</v>
      </c>
      <c r="AP445" s="609">
        <v>-7.45</v>
      </c>
      <c r="AQ445" s="609">
        <v>-14.263</v>
      </c>
      <c r="AR445" s="609">
        <v>-6.5049999999999999</v>
      </c>
      <c r="AS445" s="519">
        <f t="shared" si="978"/>
        <v>-11.180999999999999</v>
      </c>
      <c r="AT445" s="675">
        <v>-11.180999999999999</v>
      </c>
      <c r="AU445" s="609">
        <v>-2.4060000000000001</v>
      </c>
      <c r="AV445" s="609">
        <v>-7.7549999999999999</v>
      </c>
      <c r="AW445" s="609">
        <v>-6.4</v>
      </c>
      <c r="AX445" s="519">
        <f t="shared" si="979"/>
        <v>-9.19</v>
      </c>
      <c r="AY445" s="675">
        <v>-9.19</v>
      </c>
      <c r="AZ445" s="609">
        <v>-11.074</v>
      </c>
      <c r="BA445" s="609">
        <v>-24.114000000000001</v>
      </c>
      <c r="BB445" s="609">
        <v>-41.161999999999999</v>
      </c>
      <c r="BC445" s="519">
        <f t="shared" si="980"/>
        <v>-56.621000000000002</v>
      </c>
      <c r="BD445" s="675">
        <v>-56.621000000000002</v>
      </c>
      <c r="BE445" s="609">
        <v>-19.861999999999998</v>
      </c>
      <c r="BF445" s="609">
        <v>-42.148000000000003</v>
      </c>
      <c r="BG445" s="609">
        <v>-8.8450000000000006</v>
      </c>
      <c r="BH445" s="519">
        <f t="shared" si="981"/>
        <v>-22.15</v>
      </c>
      <c r="BI445" s="675">
        <v>-22.15</v>
      </c>
      <c r="BJ445" s="609">
        <v>-1.976</v>
      </c>
      <c r="BK445" s="609">
        <v>-2.109</v>
      </c>
      <c r="BL445" s="610">
        <v>-17.408000000000001</v>
      </c>
      <c r="BM445" s="518"/>
      <c r="BN445" s="89"/>
      <c r="BO445" s="518"/>
      <c r="BP445" s="518"/>
      <c r="BQ445" s="518"/>
      <c r="BR445" s="518"/>
      <c r="BS445" s="89"/>
      <c r="BT445" s="89"/>
      <c r="BU445" s="89"/>
      <c r="BV445" s="89"/>
      <c r="BW445" s="519"/>
    </row>
    <row r="446" spans="1:75" s="439" customFormat="1" outlineLevel="1">
      <c r="A446" s="2" t="s">
        <v>439</v>
      </c>
      <c r="B446" s="53"/>
      <c r="C446" s="89"/>
      <c r="D446" s="89"/>
      <c r="E446" s="89"/>
      <c r="F446" s="89"/>
      <c r="G446" s="518"/>
      <c r="H446" s="518"/>
      <c r="I446" s="518"/>
      <c r="J446" s="518"/>
      <c r="K446" s="89"/>
      <c r="L446" s="518"/>
      <c r="M446" s="518"/>
      <c r="N446" s="518"/>
      <c r="O446" s="518"/>
      <c r="P446" s="89"/>
      <c r="Q446" s="518"/>
      <c r="R446" s="518"/>
      <c r="S446" s="518"/>
      <c r="T446" s="518"/>
      <c r="U446" s="89"/>
      <c r="V446" s="518"/>
      <c r="W446" s="518"/>
      <c r="X446" s="518"/>
      <c r="Y446" s="518"/>
      <c r="Z446" s="89"/>
      <c r="AA446" s="518"/>
      <c r="AB446" s="518"/>
      <c r="AC446" s="518"/>
      <c r="AD446" s="518"/>
      <c r="AE446" s="89"/>
      <c r="AF446" s="518"/>
      <c r="AG446" s="518"/>
      <c r="AH446" s="518"/>
      <c r="AI446" s="518"/>
      <c r="AJ446" s="89"/>
      <c r="AK446" s="518"/>
      <c r="AL446" s="518"/>
      <c r="AM446" s="518"/>
      <c r="AN446" s="518"/>
      <c r="AO446" s="89"/>
      <c r="AP446" s="518"/>
      <c r="AQ446" s="518"/>
      <c r="AR446" s="518"/>
      <c r="AS446" s="518"/>
      <c r="AT446" s="89"/>
      <c r="AU446" s="518"/>
      <c r="AV446" s="518"/>
      <c r="AW446" s="518"/>
      <c r="AX446" s="518"/>
      <c r="AY446" s="89"/>
      <c r="AZ446" s="609">
        <v>4.0389999999999997</v>
      </c>
      <c r="BA446" s="609">
        <v>8.4130000000000003</v>
      </c>
      <c r="BB446" s="609">
        <v>13.477</v>
      </c>
      <c r="BC446" s="518">
        <f t="shared" si="980"/>
        <v>18.827000000000002</v>
      </c>
      <c r="BD446" s="675">
        <v>18.827000000000002</v>
      </c>
      <c r="BE446" s="609">
        <v>5.7380000000000004</v>
      </c>
      <c r="BF446" s="609">
        <v>11.715999999999999</v>
      </c>
      <c r="BG446" s="609">
        <v>17.818000000000001</v>
      </c>
      <c r="BH446" s="518">
        <f t="shared" si="981"/>
        <v>24.035</v>
      </c>
      <c r="BI446" s="675">
        <v>24.035</v>
      </c>
      <c r="BJ446" s="609">
        <v>6.1509999999999998</v>
      </c>
      <c r="BK446" s="609">
        <v>12.321</v>
      </c>
      <c r="BL446" s="610">
        <v>18.603999999999999</v>
      </c>
      <c r="BM446" s="518"/>
      <c r="BN446" s="89"/>
      <c r="BO446" s="518"/>
      <c r="BP446" s="518"/>
      <c r="BQ446" s="518"/>
      <c r="BR446" s="518"/>
      <c r="BS446" s="89"/>
      <c r="BT446" s="89"/>
      <c r="BU446" s="89"/>
      <c r="BV446" s="89"/>
      <c r="BW446" s="519"/>
    </row>
    <row r="447" spans="1:75" s="439" customFormat="1" outlineLevel="1">
      <c r="A447" s="31" t="s">
        <v>440</v>
      </c>
      <c r="B447" s="53"/>
      <c r="C447" s="89"/>
      <c r="D447" s="89"/>
      <c r="E447" s="89"/>
      <c r="F447" s="89"/>
      <c r="G447" s="518"/>
      <c r="H447" s="518"/>
      <c r="I447" s="518"/>
      <c r="J447" s="518">
        <f>K447</f>
        <v>0</v>
      </c>
      <c r="K447" s="89"/>
      <c r="L447" s="518"/>
      <c r="M447" s="518"/>
      <c r="N447" s="609">
        <v>-2E-3</v>
      </c>
      <c r="O447" s="518">
        <f>P447</f>
        <v>0</v>
      </c>
      <c r="P447" s="89"/>
      <c r="Q447" s="518"/>
      <c r="R447" s="518"/>
      <c r="S447" s="609">
        <v>-2E-3</v>
      </c>
      <c r="T447" s="518">
        <f>U447</f>
        <v>-4.0000000000000001E-3</v>
      </c>
      <c r="U447" s="675">
        <v>-4.0000000000000001E-3</v>
      </c>
      <c r="V447" s="518"/>
      <c r="W447" s="518"/>
      <c r="X447" s="518"/>
      <c r="Y447" s="518">
        <f t="shared" si="982"/>
        <v>0</v>
      </c>
      <c r="Z447" s="89"/>
      <c r="AA447" s="518"/>
      <c r="AB447" s="518"/>
      <c r="AC447" s="518"/>
      <c r="AD447" s="518">
        <f t="shared" si="983"/>
        <v>0</v>
      </c>
      <c r="AE447" s="89"/>
      <c r="AF447" s="518"/>
      <c r="AG447" s="518"/>
      <c r="AH447" s="518"/>
      <c r="AI447" s="518">
        <f t="shared" si="984"/>
        <v>0</v>
      </c>
      <c r="AJ447" s="89"/>
      <c r="AK447" s="518"/>
      <c r="AL447" s="518"/>
      <c r="AM447" s="518"/>
      <c r="AN447" s="518">
        <f t="shared" si="977"/>
        <v>0</v>
      </c>
      <c r="AO447" s="89"/>
      <c r="AP447" s="518"/>
      <c r="AQ447" s="518"/>
      <c r="AR447" s="518"/>
      <c r="AS447" s="518">
        <f t="shared" si="978"/>
        <v>0</v>
      </c>
      <c r="AT447" s="89"/>
      <c r="AU447" s="518"/>
      <c r="AV447" s="518"/>
      <c r="AW447" s="518"/>
      <c r="AX447" s="518">
        <f t="shared" si="979"/>
        <v>0</v>
      </c>
      <c r="AY447" s="89"/>
      <c r="AZ447" s="518"/>
      <c r="BA447" s="518"/>
      <c r="BB447" s="518"/>
      <c r="BC447" s="518">
        <f>BD447</f>
        <v>0</v>
      </c>
      <c r="BD447" s="89"/>
      <c r="BE447" s="518"/>
      <c r="BF447" s="518"/>
      <c r="BG447" s="518"/>
      <c r="BH447" s="518">
        <f t="shared" si="981"/>
        <v>0</v>
      </c>
      <c r="BI447" s="89"/>
      <c r="BJ447" s="518"/>
      <c r="BK447" s="518"/>
      <c r="BL447" s="520"/>
      <c r="BM447" s="518"/>
      <c r="BN447" s="89"/>
      <c r="BO447" s="518"/>
      <c r="BP447" s="518"/>
      <c r="BQ447" s="518"/>
      <c r="BR447" s="518"/>
      <c r="BS447" s="89"/>
      <c r="BT447" s="89"/>
      <c r="BU447" s="89"/>
      <c r="BV447" s="89"/>
      <c r="BW447" s="519"/>
    </row>
    <row r="448" spans="1:75" s="439" customFormat="1" outlineLevel="1">
      <c r="A448" s="31" t="s">
        <v>265</v>
      </c>
      <c r="B448" s="53"/>
      <c r="C448" s="89"/>
      <c r="D448" s="89"/>
      <c r="E448" s="89"/>
      <c r="F448" s="89"/>
      <c r="G448" s="518"/>
      <c r="H448" s="518"/>
      <c r="I448" s="518"/>
      <c r="J448" s="518"/>
      <c r="K448" s="89"/>
      <c r="L448" s="518"/>
      <c r="M448" s="518"/>
      <c r="N448" s="518"/>
      <c r="O448" s="518"/>
      <c r="P448" s="89"/>
      <c r="Q448" s="518"/>
      <c r="R448" s="518"/>
      <c r="S448" s="518"/>
      <c r="T448" s="518"/>
      <c r="U448" s="89"/>
      <c r="V448" s="518"/>
      <c r="W448" s="518"/>
      <c r="X448" s="518"/>
      <c r="Y448" s="518"/>
      <c r="Z448" s="89"/>
      <c r="AA448" s="518"/>
      <c r="AB448" s="518"/>
      <c r="AC448" s="518"/>
      <c r="AD448" s="518"/>
      <c r="AE448" s="89"/>
      <c r="AF448" s="518"/>
      <c r="AG448" s="518"/>
      <c r="AH448" s="518"/>
      <c r="AI448" s="518"/>
      <c r="AJ448" s="89"/>
      <c r="AK448" s="518"/>
      <c r="AL448" s="518"/>
      <c r="AM448" s="518"/>
      <c r="AN448" s="518"/>
      <c r="AO448" s="89"/>
      <c r="AP448" s="518"/>
      <c r="AQ448" s="518"/>
      <c r="AR448" s="518"/>
      <c r="AS448" s="518"/>
      <c r="AT448" s="89"/>
      <c r="AU448" s="518"/>
      <c r="AV448" s="609">
        <v>11.164</v>
      </c>
      <c r="AW448" s="609">
        <v>11.164</v>
      </c>
      <c r="AX448" s="518">
        <f t="shared" si="979"/>
        <v>11.164</v>
      </c>
      <c r="AY448" s="675">
        <v>11.164</v>
      </c>
      <c r="AZ448" s="518"/>
      <c r="BA448" s="518"/>
      <c r="BB448" s="609">
        <v>10.464</v>
      </c>
      <c r="BC448" s="518">
        <f>BD448</f>
        <v>10.464</v>
      </c>
      <c r="BD448" s="675">
        <v>10.464</v>
      </c>
      <c r="BE448" s="609">
        <v>3.5550000000000002</v>
      </c>
      <c r="BF448" s="609">
        <v>3.5550000000000002</v>
      </c>
      <c r="BG448" s="609">
        <v>3.5550000000000002</v>
      </c>
      <c r="BH448" s="518">
        <f t="shared" si="981"/>
        <v>23.562999999999999</v>
      </c>
      <c r="BI448" s="675">
        <v>23.562999999999999</v>
      </c>
      <c r="BJ448" s="609">
        <v>0</v>
      </c>
      <c r="BK448" s="518"/>
      <c r="BL448" s="610">
        <v>5.9139999999999997</v>
      </c>
      <c r="BM448" s="518"/>
      <c r="BN448" s="89"/>
      <c r="BO448" s="518"/>
      <c r="BP448" s="518"/>
      <c r="BQ448" s="518"/>
      <c r="BR448" s="518"/>
      <c r="BS448" s="89"/>
      <c r="BT448" s="89"/>
      <c r="BU448" s="89"/>
      <c r="BV448" s="89"/>
      <c r="BW448" s="519"/>
    </row>
    <row r="449" spans="1:75" s="439" customFormat="1" outlineLevel="1">
      <c r="A449" s="31" t="s">
        <v>441</v>
      </c>
      <c r="B449" s="53"/>
      <c r="C449" s="89"/>
      <c r="D449" s="89"/>
      <c r="E449" s="89"/>
      <c r="F449" s="89"/>
      <c r="G449" s="518"/>
      <c r="H449" s="518"/>
      <c r="I449" s="518"/>
      <c r="J449" s="518"/>
      <c r="K449" s="89"/>
      <c r="L449" s="518"/>
      <c r="M449" s="518"/>
      <c r="N449" s="518"/>
      <c r="O449" s="518"/>
      <c r="P449" s="89"/>
      <c r="Q449" s="518"/>
      <c r="R449" s="518"/>
      <c r="S449" s="518"/>
      <c r="T449" s="518"/>
      <c r="U449" s="89"/>
      <c r="V449" s="518"/>
      <c r="W449" s="518"/>
      <c r="X449" s="518"/>
      <c r="Y449" s="518"/>
      <c r="Z449" s="89"/>
      <c r="AA449" s="518"/>
      <c r="AB449" s="518"/>
      <c r="AC449" s="518"/>
      <c r="AD449" s="518"/>
      <c r="AE449" s="89"/>
      <c r="AF449" s="518"/>
      <c r="AG449" s="518"/>
      <c r="AH449" s="518"/>
      <c r="AI449" s="518"/>
      <c r="AJ449" s="89"/>
      <c r="AK449" s="518"/>
      <c r="AL449" s="518"/>
      <c r="AM449" s="518"/>
      <c r="AN449" s="518"/>
      <c r="AO449" s="89"/>
      <c r="AP449" s="518"/>
      <c r="AQ449" s="518"/>
      <c r="AR449" s="518"/>
      <c r="AS449" s="518"/>
      <c r="AT449" s="89"/>
      <c r="AU449" s="518"/>
      <c r="AV449" s="518"/>
      <c r="AW449" s="518"/>
      <c r="AX449" s="518">
        <f t="shared" si="979"/>
        <v>-11.484999999999999</v>
      </c>
      <c r="AY449" s="675">
        <v>-11.484999999999999</v>
      </c>
      <c r="AZ449" s="518"/>
      <c r="BA449" s="518"/>
      <c r="BB449" s="518"/>
      <c r="BC449" s="518">
        <f>BD449</f>
        <v>0</v>
      </c>
      <c r="BD449" s="675">
        <v>0</v>
      </c>
      <c r="BE449" s="518"/>
      <c r="BF449" s="518"/>
      <c r="BG449" s="518"/>
      <c r="BH449" s="518">
        <f t="shared" si="981"/>
        <v>0</v>
      </c>
      <c r="BI449" s="89"/>
      <c r="BJ449" s="518"/>
      <c r="BK449" s="518"/>
      <c r="BL449" s="520"/>
      <c r="BM449" s="518"/>
      <c r="BN449" s="89"/>
      <c r="BO449" s="518"/>
      <c r="BP449" s="518"/>
      <c r="BQ449" s="518"/>
      <c r="BR449" s="518"/>
      <c r="BS449" s="89"/>
      <c r="BT449" s="89"/>
      <c r="BU449" s="89"/>
      <c r="BV449" s="89"/>
      <c r="BW449" s="519"/>
    </row>
    <row r="450" spans="1:75" s="439" customFormat="1" outlineLevel="1">
      <c r="A450" s="31" t="s">
        <v>263</v>
      </c>
      <c r="B450" s="53"/>
      <c r="C450" s="89"/>
      <c r="D450" s="89"/>
      <c r="E450" s="89"/>
      <c r="F450" s="89"/>
      <c r="G450" s="518"/>
      <c r="H450" s="518"/>
      <c r="I450" s="518"/>
      <c r="J450" s="518"/>
      <c r="K450" s="89"/>
      <c r="L450" s="518"/>
      <c r="M450" s="518"/>
      <c r="N450" s="518"/>
      <c r="O450" s="518"/>
      <c r="P450" s="89"/>
      <c r="Q450" s="518"/>
      <c r="R450" s="518"/>
      <c r="S450" s="518"/>
      <c r="T450" s="518"/>
      <c r="U450" s="89"/>
      <c r="V450" s="518"/>
      <c r="W450" s="518"/>
      <c r="X450" s="518"/>
      <c r="Y450" s="518"/>
      <c r="Z450" s="89"/>
      <c r="AA450" s="518"/>
      <c r="AB450" s="518"/>
      <c r="AC450" s="518"/>
      <c r="AD450" s="518">
        <f t="shared" si="983"/>
        <v>-163.697</v>
      </c>
      <c r="AE450" s="675">
        <v>-163.697</v>
      </c>
      <c r="AF450" s="518"/>
      <c r="AG450" s="518"/>
      <c r="AH450" s="518"/>
      <c r="AI450" s="518">
        <f t="shared" si="984"/>
        <v>0</v>
      </c>
      <c r="AJ450" s="675">
        <v>0</v>
      </c>
      <c r="AK450" s="518"/>
      <c r="AL450" s="518"/>
      <c r="AM450" s="518"/>
      <c r="AN450" s="518">
        <f t="shared" si="977"/>
        <v>0</v>
      </c>
      <c r="AO450" s="89"/>
      <c r="AP450" s="518"/>
      <c r="AQ450" s="518"/>
      <c r="AR450" s="518"/>
      <c r="AS450" s="518">
        <f t="shared" si="978"/>
        <v>0</v>
      </c>
      <c r="AT450" s="89"/>
      <c r="AU450" s="518"/>
      <c r="AV450" s="518"/>
      <c r="AW450" s="518"/>
      <c r="AX450" s="518">
        <f>AY450</f>
        <v>0</v>
      </c>
      <c r="AY450" s="89"/>
      <c r="AZ450" s="518"/>
      <c r="BA450" s="518"/>
      <c r="BB450" s="518"/>
      <c r="BC450" s="518">
        <f>BD450</f>
        <v>0</v>
      </c>
      <c r="BD450" s="89"/>
      <c r="BE450" s="518"/>
      <c r="BF450" s="518"/>
      <c r="BG450" s="518"/>
      <c r="BH450" s="518">
        <f t="shared" si="981"/>
        <v>0</v>
      </c>
      <c r="BI450" s="89"/>
      <c r="BJ450" s="518"/>
      <c r="BK450" s="518"/>
      <c r="BL450" s="520"/>
      <c r="BM450" s="518"/>
      <c r="BN450" s="89"/>
      <c r="BO450" s="518"/>
      <c r="BP450" s="518"/>
      <c r="BQ450" s="518"/>
      <c r="BR450" s="518"/>
      <c r="BS450" s="89"/>
      <c r="BT450" s="89"/>
      <c r="BU450" s="89"/>
      <c r="BV450" s="89"/>
      <c r="BW450" s="519"/>
    </row>
    <row r="451" spans="1:75" s="439" customFormat="1" outlineLevel="1">
      <c r="A451" s="31" t="s">
        <v>286</v>
      </c>
      <c r="B451" s="53"/>
      <c r="C451" s="89"/>
      <c r="D451" s="89"/>
      <c r="E451" s="89"/>
      <c r="F451" s="89"/>
      <c r="G451" s="518"/>
      <c r="H451" s="518"/>
      <c r="I451" s="518"/>
      <c r="J451" s="518"/>
      <c r="K451" s="89"/>
      <c r="L451" s="518"/>
      <c r="M451" s="518"/>
      <c r="N451" s="518"/>
      <c r="O451" s="518"/>
      <c r="P451" s="89"/>
      <c r="Q451" s="518"/>
      <c r="R451" s="518"/>
      <c r="S451" s="518"/>
      <c r="T451" s="518"/>
      <c r="U451" s="89"/>
      <c r="V451" s="518"/>
      <c r="W451" s="518"/>
      <c r="X451" s="518"/>
      <c r="Y451" s="518"/>
      <c r="Z451" s="89"/>
      <c r="AA451" s="609">
        <v>0.253</v>
      </c>
      <c r="AB451" s="609">
        <v>0.26700000000000002</v>
      </c>
      <c r="AC451" s="609">
        <v>0.28000000000000003</v>
      </c>
      <c r="AD451" s="518">
        <f t="shared" si="983"/>
        <v>0.29299999999999998</v>
      </c>
      <c r="AE451" s="675">
        <v>0.29299999999999998</v>
      </c>
      <c r="AF451" s="609">
        <v>-0.91300000000000003</v>
      </c>
      <c r="AG451" s="609">
        <v>-1.911</v>
      </c>
      <c r="AH451" s="609">
        <v>-2.7930000000000001</v>
      </c>
      <c r="AI451" s="518">
        <f t="shared" si="984"/>
        <v>-3.9780000000000002</v>
      </c>
      <c r="AJ451" s="675">
        <v>-3.9780000000000002</v>
      </c>
      <c r="AK451" s="611">
        <v>-1.159</v>
      </c>
      <c r="AL451" s="609">
        <v>-1.6319999999999999</v>
      </c>
      <c r="AM451" s="609">
        <v>-2.5590000000000002</v>
      </c>
      <c r="AN451" s="518">
        <f t="shared" si="977"/>
        <v>-2.9969999999999999</v>
      </c>
      <c r="AO451" s="675">
        <v>-2.9969999999999999</v>
      </c>
      <c r="AP451" s="611">
        <v>-0.28699999999999998</v>
      </c>
      <c r="AQ451" s="609">
        <v>0.876</v>
      </c>
      <c r="AR451" s="609">
        <v>1.3160000000000001</v>
      </c>
      <c r="AS451" s="518">
        <f t="shared" si="978"/>
        <v>2.1930000000000001</v>
      </c>
      <c r="AT451" s="675">
        <v>2.1930000000000001</v>
      </c>
      <c r="AU451" s="611">
        <v>1.4E-2</v>
      </c>
      <c r="AV451" s="609">
        <v>0.38600000000000001</v>
      </c>
      <c r="AW451" s="609">
        <v>0.10299999999999999</v>
      </c>
      <c r="AX451" s="518">
        <f>AY451</f>
        <v>0.39200000000000002</v>
      </c>
      <c r="AY451" s="675">
        <v>0.39200000000000002</v>
      </c>
      <c r="AZ451" s="611">
        <v>0.248</v>
      </c>
      <c r="BA451" s="609">
        <v>0.71699999999999997</v>
      </c>
      <c r="BB451" s="609">
        <v>1.2909999999999999</v>
      </c>
      <c r="BC451" s="518">
        <f>BD451</f>
        <v>1.036</v>
      </c>
      <c r="BD451" s="675">
        <v>1.036</v>
      </c>
      <c r="BE451" s="611">
        <v>0.57599999999999996</v>
      </c>
      <c r="BF451" s="609">
        <v>-6.4000000000000001E-2</v>
      </c>
      <c r="BG451" s="609">
        <v>-0.22900000000000001</v>
      </c>
      <c r="BH451" s="518">
        <f t="shared" si="981"/>
        <v>-0.41</v>
      </c>
      <c r="BI451" s="675">
        <v>-0.41</v>
      </c>
      <c r="BJ451" s="611">
        <v>0.161</v>
      </c>
      <c r="BK451" s="609">
        <v>-2.9950000000000001</v>
      </c>
      <c r="BL451" s="610">
        <v>-2.7170000000000001</v>
      </c>
      <c r="BM451" s="518"/>
      <c r="BN451" s="89"/>
      <c r="BO451" s="518"/>
      <c r="BP451" s="518"/>
      <c r="BQ451" s="518"/>
      <c r="BR451" s="518"/>
      <c r="BS451" s="89"/>
      <c r="BT451" s="89"/>
      <c r="BU451" s="89"/>
      <c r="BV451" s="89"/>
      <c r="BW451" s="519"/>
    </row>
    <row r="452" spans="1:75" s="444" customFormat="1" outlineLevel="1">
      <c r="A452" s="18" t="s">
        <v>442</v>
      </c>
      <c r="B452" s="49"/>
      <c r="C452" s="676">
        <f t="shared" ref="C452:AH452" si="985">SUM(C435:C451)</f>
        <v>-0.48099999999999976</v>
      </c>
      <c r="D452" s="676">
        <f t="shared" si="985"/>
        <v>-5.3720000000000008</v>
      </c>
      <c r="E452" s="676">
        <f t="shared" si="985"/>
        <v>-0.98499999999999932</v>
      </c>
      <c r="F452" s="676">
        <f t="shared" si="985"/>
        <v>4.9649999999999999</v>
      </c>
      <c r="G452" s="560">
        <f t="shared" si="985"/>
        <v>3.44</v>
      </c>
      <c r="H452" s="560">
        <f t="shared" si="985"/>
        <v>11.706</v>
      </c>
      <c r="I452" s="560">
        <f t="shared" si="985"/>
        <v>20.186</v>
      </c>
      <c r="J452" s="560">
        <f t="shared" si="985"/>
        <v>31.173999999999999</v>
      </c>
      <c r="K452" s="676">
        <f t="shared" si="985"/>
        <v>31.173999999999999</v>
      </c>
      <c r="L452" s="560">
        <f t="shared" si="985"/>
        <v>11.629</v>
      </c>
      <c r="M452" s="560">
        <f t="shared" si="985"/>
        <v>29.551000000000002</v>
      </c>
      <c r="N452" s="560">
        <f t="shared" si="985"/>
        <v>49.702999999999996</v>
      </c>
      <c r="O452" s="560">
        <f t="shared" si="985"/>
        <v>73.896000000000015</v>
      </c>
      <c r="P452" s="676">
        <f t="shared" si="985"/>
        <v>73.896000000000015</v>
      </c>
      <c r="Q452" s="560">
        <f t="shared" si="985"/>
        <v>21.835999999999999</v>
      </c>
      <c r="R452" s="560">
        <f t="shared" si="985"/>
        <v>43.409000000000006</v>
      </c>
      <c r="S452" s="560">
        <f t="shared" si="985"/>
        <v>62.880999999999979</v>
      </c>
      <c r="T452" s="560">
        <f t="shared" si="985"/>
        <v>89.491</v>
      </c>
      <c r="U452" s="676">
        <f t="shared" si="985"/>
        <v>89.491</v>
      </c>
      <c r="V452" s="560">
        <f t="shared" si="985"/>
        <v>17.417999999999999</v>
      </c>
      <c r="W452" s="560">
        <f t="shared" si="985"/>
        <v>49.894999999999996</v>
      </c>
      <c r="X452" s="560">
        <f t="shared" si="985"/>
        <v>88.827999999999989</v>
      </c>
      <c r="Y452" s="560">
        <f t="shared" si="985"/>
        <v>137.17399999999998</v>
      </c>
      <c r="Z452" s="676">
        <f t="shared" si="985"/>
        <v>137.17399999999998</v>
      </c>
      <c r="AA452" s="560">
        <f t="shared" si="985"/>
        <v>36.613</v>
      </c>
      <c r="AB452" s="560">
        <f t="shared" si="985"/>
        <v>85.448999999999984</v>
      </c>
      <c r="AC452" s="560">
        <f t="shared" si="985"/>
        <v>133.87</v>
      </c>
      <c r="AD452" s="560">
        <f t="shared" si="985"/>
        <v>152.12100000000004</v>
      </c>
      <c r="AE452" s="676">
        <f t="shared" si="985"/>
        <v>152.12100000000004</v>
      </c>
      <c r="AF452" s="560">
        <f t="shared" si="985"/>
        <v>42.706000000000003</v>
      </c>
      <c r="AG452" s="560">
        <f t="shared" si="985"/>
        <v>98.191000000000003</v>
      </c>
      <c r="AH452" s="560">
        <f t="shared" si="985"/>
        <v>156.87799999999999</v>
      </c>
      <c r="AI452" s="560">
        <f t="shared" ref="AI452:AQ452" si="986">SUM(AI435:AI451)</f>
        <v>216.44799999999998</v>
      </c>
      <c r="AJ452" s="676">
        <f t="shared" si="986"/>
        <v>216.44799999999998</v>
      </c>
      <c r="AK452" s="560">
        <f t="shared" si="986"/>
        <v>56.156999999999996</v>
      </c>
      <c r="AL452" s="560">
        <f t="shared" si="986"/>
        <v>126.15899999999999</v>
      </c>
      <c r="AM452" s="560">
        <f t="shared" si="986"/>
        <v>194.648</v>
      </c>
      <c r="AN452" s="560">
        <f t="shared" si="986"/>
        <v>269.86099999999999</v>
      </c>
      <c r="AO452" s="676">
        <f t="shared" si="986"/>
        <v>269.86099999999999</v>
      </c>
      <c r="AP452" s="560">
        <f t="shared" si="986"/>
        <v>47.178999999999995</v>
      </c>
      <c r="AQ452" s="560">
        <f t="shared" si="986"/>
        <v>77.27600000000001</v>
      </c>
      <c r="AR452" s="560">
        <f t="shared" ref="AR452:AW452" si="987">SUM(AR435:AR451)</f>
        <v>142.71900000000002</v>
      </c>
      <c r="AS452" s="560">
        <f t="shared" si="987"/>
        <v>221.27100000000002</v>
      </c>
      <c r="AT452" s="676">
        <f t="shared" si="987"/>
        <v>221.27100000000002</v>
      </c>
      <c r="AU452" s="560">
        <f t="shared" si="987"/>
        <v>58.207999999999998</v>
      </c>
      <c r="AV452" s="560">
        <f t="shared" si="987"/>
        <v>136.18299999999999</v>
      </c>
      <c r="AW452" s="560">
        <f t="shared" si="987"/>
        <v>216.94699999999997</v>
      </c>
      <c r="AX452" s="560">
        <f t="shared" ref="AX452:BA452" si="988">SUM(AX435:AX451)</f>
        <v>291.82699999999994</v>
      </c>
      <c r="AY452" s="676">
        <f t="shared" si="988"/>
        <v>291.82699999999994</v>
      </c>
      <c r="AZ452" s="560">
        <f t="shared" si="988"/>
        <v>60.863000000000007</v>
      </c>
      <c r="BA452" s="560">
        <f t="shared" si="988"/>
        <v>125.52499999999998</v>
      </c>
      <c r="BB452" s="560">
        <f t="shared" ref="BB452:BD452" si="989">SUM(BB435:BB451)</f>
        <v>197.40099999999998</v>
      </c>
      <c r="BC452" s="560">
        <f t="shared" si="989"/>
        <v>268.81100000000004</v>
      </c>
      <c r="BD452" s="676">
        <f t="shared" si="989"/>
        <v>268.81100000000004</v>
      </c>
      <c r="BE452" s="560">
        <f t="shared" ref="BE452:BI452" si="990">SUM(BE435:BE451)</f>
        <v>60.573999999999998</v>
      </c>
      <c r="BF452" s="560">
        <f t="shared" si="990"/>
        <v>128.20200000000003</v>
      </c>
      <c r="BG452" s="560">
        <f t="shared" si="990"/>
        <v>298.76299999999998</v>
      </c>
      <c r="BH452" s="560">
        <f t="shared" si="990"/>
        <v>408.63200000000001</v>
      </c>
      <c r="BI452" s="676">
        <f t="shared" si="990"/>
        <v>408.63200000000001</v>
      </c>
      <c r="BJ452" s="560">
        <f>SUM(BJ435:BJ451)</f>
        <v>86.635999999999996</v>
      </c>
      <c r="BK452" s="560">
        <f>SUM(BK435:BK451)</f>
        <v>194.465</v>
      </c>
      <c r="BL452" s="561">
        <f>SUM(BL435:BL451)</f>
        <v>293.73399999999998</v>
      </c>
      <c r="BM452" s="560"/>
      <c r="BN452" s="676"/>
      <c r="BO452" s="560"/>
      <c r="BP452" s="560"/>
      <c r="BQ452" s="560"/>
      <c r="BR452" s="560"/>
      <c r="BS452" s="676"/>
      <c r="BT452" s="676"/>
      <c r="BU452" s="676"/>
      <c r="BV452" s="676"/>
      <c r="BW452" s="318"/>
    </row>
    <row r="453" spans="1:75" s="439" customFormat="1" outlineLevel="1">
      <c r="A453" s="31" t="s">
        <v>443</v>
      </c>
      <c r="B453" s="53"/>
      <c r="C453" s="675">
        <v>-0.84599999999999997</v>
      </c>
      <c r="D453" s="675">
        <v>-4.7839999999999998</v>
      </c>
      <c r="E453" s="675">
        <v>-2.274</v>
      </c>
      <c r="F453" s="675">
        <v>-4.1180000000000003</v>
      </c>
      <c r="G453" s="609">
        <v>-1.204</v>
      </c>
      <c r="H453" s="609">
        <v>-4.4039999999999999</v>
      </c>
      <c r="I453" s="609">
        <v>-7.5570000000000004</v>
      </c>
      <c r="J453" s="518">
        <f>K453</f>
        <v>-12.843</v>
      </c>
      <c r="K453" s="675">
        <v>-12.843</v>
      </c>
      <c r="L453" s="609">
        <v>-1.2490000000000001</v>
      </c>
      <c r="M453" s="609">
        <v>-6.7160000000000002</v>
      </c>
      <c r="N453" s="609">
        <v>-13.772</v>
      </c>
      <c r="O453" s="518">
        <f>P453</f>
        <v>-21.291</v>
      </c>
      <c r="P453" s="675">
        <v>-21.291</v>
      </c>
      <c r="Q453" s="609">
        <v>-2.85</v>
      </c>
      <c r="R453" s="609">
        <v>-7.8550000000000004</v>
      </c>
      <c r="S453" s="609">
        <v>-17.773</v>
      </c>
      <c r="T453" s="518">
        <f>U453</f>
        <v>-25.279</v>
      </c>
      <c r="U453" s="675">
        <v>-25.279</v>
      </c>
      <c r="V453" s="609">
        <v>-5.2350000000000003</v>
      </c>
      <c r="W453" s="609">
        <v>-13.237</v>
      </c>
      <c r="X453" s="609">
        <v>-24.167000000000002</v>
      </c>
      <c r="Y453" s="518">
        <f>Z453</f>
        <v>-31.623999999999999</v>
      </c>
      <c r="Z453" s="675">
        <v>-31.623999999999999</v>
      </c>
      <c r="AA453" s="609">
        <v>-4.4580000000000002</v>
      </c>
      <c r="AB453" s="609">
        <v>-9.6609999999999996</v>
      </c>
      <c r="AC453" s="609">
        <v>-19.809999999999999</v>
      </c>
      <c r="AD453" s="518">
        <f>AE453</f>
        <v>-36.146000000000001</v>
      </c>
      <c r="AE453" s="675">
        <v>-36.146000000000001</v>
      </c>
      <c r="AF453" s="609">
        <v>-6.9950000000000001</v>
      </c>
      <c r="AG453" s="609">
        <v>-15.208</v>
      </c>
      <c r="AH453" s="609">
        <v>-24.956</v>
      </c>
      <c r="AI453" s="518">
        <f>AJ453</f>
        <v>-35.664000000000001</v>
      </c>
      <c r="AJ453" s="675">
        <v>-35.664000000000001</v>
      </c>
      <c r="AK453" s="609">
        <v>-6.26</v>
      </c>
      <c r="AL453" s="609">
        <v>-17.143000000000001</v>
      </c>
      <c r="AM453" s="609">
        <v>-29.395</v>
      </c>
      <c r="AN453" s="518">
        <f>AO453</f>
        <v>-42.07</v>
      </c>
      <c r="AO453" s="675">
        <v>-42.07</v>
      </c>
      <c r="AP453" s="609">
        <v>5.024</v>
      </c>
      <c r="AQ453" s="609">
        <v>12.91</v>
      </c>
      <c r="AR453" s="609">
        <v>-4.7830000000000004</v>
      </c>
      <c r="AS453" s="518">
        <f>AT453</f>
        <v>-13.833</v>
      </c>
      <c r="AT453" s="675">
        <v>-13.833</v>
      </c>
      <c r="AU453" s="609">
        <v>-3.6389999999999998</v>
      </c>
      <c r="AV453" s="609">
        <v>-20.382000000000001</v>
      </c>
      <c r="AW453" s="609">
        <v>-27.279</v>
      </c>
      <c r="AX453" s="518">
        <f>AY453</f>
        <v>-33.534999999999997</v>
      </c>
      <c r="AY453" s="675">
        <v>-33.534999999999997</v>
      </c>
      <c r="AZ453" s="609">
        <v>-11.968</v>
      </c>
      <c r="BA453" s="609">
        <v>-30.013999999999999</v>
      </c>
      <c r="BB453" s="609">
        <v>-38.130000000000003</v>
      </c>
      <c r="BC453" s="518">
        <f>BD453</f>
        <v>-49.555</v>
      </c>
      <c r="BD453" s="675">
        <v>-49.555</v>
      </c>
      <c r="BE453" s="609">
        <v>-15.282999999999999</v>
      </c>
      <c r="BF453" s="609">
        <v>-34.389000000000003</v>
      </c>
      <c r="BG453" s="609">
        <v>-54.395000000000003</v>
      </c>
      <c r="BH453" s="518">
        <f>BI453</f>
        <v>-54.947000000000003</v>
      </c>
      <c r="BI453" s="675">
        <v>-54.947000000000003</v>
      </c>
      <c r="BJ453" s="609">
        <v>-13.183</v>
      </c>
      <c r="BK453" s="609">
        <v>-31.678999999999998</v>
      </c>
      <c r="BL453" s="610">
        <v>-44.094999999999999</v>
      </c>
      <c r="BM453" s="518"/>
      <c r="BN453" s="89"/>
      <c r="BO453" s="518"/>
      <c r="BP453" s="518"/>
      <c r="BQ453" s="518"/>
      <c r="BR453" s="518"/>
      <c r="BS453" s="89"/>
      <c r="BT453" s="89"/>
      <c r="BU453" s="89"/>
      <c r="BV453" s="89"/>
      <c r="BW453" s="519"/>
    </row>
    <row r="454" spans="1:75" s="439" customFormat="1" outlineLevel="1">
      <c r="A454" s="31" t="s">
        <v>444</v>
      </c>
      <c r="B454" s="53"/>
      <c r="C454" s="675">
        <v>-0.40500000000000003</v>
      </c>
      <c r="D454" s="675">
        <v>-1.121</v>
      </c>
      <c r="E454" s="675">
        <v>-1.099</v>
      </c>
      <c r="F454" s="675">
        <v>-2.552</v>
      </c>
      <c r="G454" s="609">
        <v>-1.5149999999999999</v>
      </c>
      <c r="H454" s="609">
        <v>-2.3180000000000001</v>
      </c>
      <c r="I454" s="609">
        <v>-3.02</v>
      </c>
      <c r="J454" s="518">
        <f>K454</f>
        <v>-1.5720000000000001</v>
      </c>
      <c r="K454" s="675">
        <v>-1.5720000000000001</v>
      </c>
      <c r="L454" s="609">
        <v>-5.9279999999999999</v>
      </c>
      <c r="M454" s="609">
        <v>-5.98</v>
      </c>
      <c r="N454" s="609">
        <v>-7.3380000000000001</v>
      </c>
      <c r="O454" s="518">
        <f>P454</f>
        <v>-4.0110000000000001</v>
      </c>
      <c r="P454" s="675">
        <v>-4.0110000000000001</v>
      </c>
      <c r="Q454" s="609">
        <v>-6.0449999999999999</v>
      </c>
      <c r="R454" s="609">
        <v>-7.0789999999999997</v>
      </c>
      <c r="S454" s="609">
        <v>-15.057</v>
      </c>
      <c r="T454" s="518">
        <f>U454</f>
        <v>-22.702999999999999</v>
      </c>
      <c r="U454" s="675">
        <v>-22.702999999999999</v>
      </c>
      <c r="V454" s="609">
        <v>2.8839999999999999</v>
      </c>
      <c r="W454" s="609">
        <v>3.492</v>
      </c>
      <c r="X454" s="609">
        <v>3.6379999999999999</v>
      </c>
      <c r="Y454" s="518">
        <f>Z454</f>
        <v>5.6870000000000003</v>
      </c>
      <c r="Z454" s="675">
        <v>5.6870000000000003</v>
      </c>
      <c r="AA454" s="609">
        <v>-1.653</v>
      </c>
      <c r="AB454" s="609">
        <v>-1.421</v>
      </c>
      <c r="AC454" s="609">
        <v>-2.077</v>
      </c>
      <c r="AD454" s="518">
        <f>AE454</f>
        <v>-1.3620000000000001</v>
      </c>
      <c r="AE454" s="675">
        <v>-1.3620000000000001</v>
      </c>
      <c r="AF454" s="609">
        <v>-5.0739999999999998</v>
      </c>
      <c r="AG454" s="609">
        <v>-6.9240000000000004</v>
      </c>
      <c r="AH454" s="609">
        <v>-2.085</v>
      </c>
      <c r="AI454" s="518">
        <f>AJ454</f>
        <v>-0.77300000000000002</v>
      </c>
      <c r="AJ454" s="675">
        <v>-0.77300000000000002</v>
      </c>
      <c r="AK454" s="609">
        <v>-5.2919999999999998</v>
      </c>
      <c r="AL454" s="609">
        <v>-5.335</v>
      </c>
      <c r="AM454" s="609">
        <v>-2.3119999999999998</v>
      </c>
      <c r="AN454" s="518">
        <f>AO454</f>
        <v>-1.349</v>
      </c>
      <c r="AO454" s="675">
        <v>-1.349</v>
      </c>
      <c r="AP454" s="609">
        <v>-4.1180000000000003</v>
      </c>
      <c r="AQ454" s="609">
        <v>0.60399999999999998</v>
      </c>
      <c r="AR454" s="609">
        <v>1.552</v>
      </c>
      <c r="AS454" s="518">
        <f>AT454</f>
        <v>0.16400000000000001</v>
      </c>
      <c r="AT454" s="675">
        <v>0.16400000000000001</v>
      </c>
      <c r="AU454" s="609">
        <v>3.8919999999999999</v>
      </c>
      <c r="AV454" s="609">
        <v>8.7999999999999995E-2</v>
      </c>
      <c r="AW454" s="609">
        <v>-4.2610000000000001</v>
      </c>
      <c r="AX454" s="518">
        <f>AY454</f>
        <v>-34.633000000000003</v>
      </c>
      <c r="AY454" s="675">
        <v>-34.633000000000003</v>
      </c>
      <c r="AZ454" s="609">
        <v>-7.4939999999999998</v>
      </c>
      <c r="BA454" s="609">
        <v>-22.149000000000001</v>
      </c>
      <c r="BB454" s="609">
        <v>-39.92</v>
      </c>
      <c r="BC454" s="518">
        <f>BD454</f>
        <v>-36.031999999999996</v>
      </c>
      <c r="BD454" s="675">
        <v>-36.031999999999996</v>
      </c>
      <c r="BE454" s="609">
        <v>20.709</v>
      </c>
      <c r="BF454" s="609">
        <v>12.156000000000001</v>
      </c>
      <c r="BG454" s="609">
        <v>3.101</v>
      </c>
      <c r="BH454" s="518">
        <f>BI454</f>
        <v>-5.1230000000000002</v>
      </c>
      <c r="BI454" s="675">
        <v>-5.1230000000000002</v>
      </c>
      <c r="BJ454" s="609">
        <v>-5.056</v>
      </c>
      <c r="BK454" s="609">
        <v>-14.914</v>
      </c>
      <c r="BL454" s="610">
        <v>-14.302</v>
      </c>
      <c r="BM454" s="518"/>
      <c r="BN454" s="89"/>
      <c r="BO454" s="518"/>
      <c r="BP454" s="518"/>
      <c r="BQ454" s="518"/>
      <c r="BR454" s="518"/>
      <c r="BS454" s="89"/>
      <c r="BT454" s="89"/>
      <c r="BU454" s="89"/>
      <c r="BV454" s="89"/>
      <c r="BW454" s="519"/>
    </row>
    <row r="455" spans="1:75" s="439" customFormat="1" outlineLevel="1">
      <c r="A455" s="31" t="s">
        <v>445</v>
      </c>
      <c r="B455" s="53"/>
      <c r="C455" s="675">
        <v>0.61499999999999999</v>
      </c>
      <c r="D455" s="675">
        <v>2.9239999999999999</v>
      </c>
      <c r="E455" s="675">
        <v>3.9750000000000001</v>
      </c>
      <c r="F455" s="675">
        <v>2.0489999999999999</v>
      </c>
      <c r="G455" s="609">
        <v>-1.1759999999999999</v>
      </c>
      <c r="H455" s="609">
        <v>0.215</v>
      </c>
      <c r="I455" s="609">
        <v>3.1789999999999998</v>
      </c>
      <c r="J455" s="518">
        <f>K455</f>
        <v>4.9710000000000001</v>
      </c>
      <c r="K455" s="675">
        <v>4.9710000000000001</v>
      </c>
      <c r="L455" s="609">
        <v>5.3090000000000002</v>
      </c>
      <c r="M455" s="609">
        <v>3.5670000000000002</v>
      </c>
      <c r="N455" s="609">
        <v>10.898999999999999</v>
      </c>
      <c r="O455" s="518">
        <f>P455</f>
        <v>8.9269999999999996</v>
      </c>
      <c r="P455" s="675">
        <v>8.9269999999999996</v>
      </c>
      <c r="Q455" s="609">
        <v>12.010999999999999</v>
      </c>
      <c r="R455" s="609">
        <v>15.616</v>
      </c>
      <c r="S455" s="609">
        <v>23.904</v>
      </c>
      <c r="T455" s="518">
        <f>U455</f>
        <v>15.894</v>
      </c>
      <c r="U455" s="675">
        <v>15.894</v>
      </c>
      <c r="V455" s="609">
        <v>8.7690000000000001</v>
      </c>
      <c r="W455" s="609">
        <v>5.9550000000000001</v>
      </c>
      <c r="X455" s="609">
        <v>13.193</v>
      </c>
      <c r="Y455" s="518">
        <f>Z455</f>
        <v>15.278</v>
      </c>
      <c r="Z455" s="675">
        <v>15.278</v>
      </c>
      <c r="AA455" s="609">
        <v>10.459</v>
      </c>
      <c r="AB455" s="609">
        <v>1.472</v>
      </c>
      <c r="AC455" s="609">
        <v>15.628</v>
      </c>
      <c r="AD455" s="518">
        <f>AE455</f>
        <v>53.033999999999999</v>
      </c>
      <c r="AE455" s="675">
        <v>53.033999999999999</v>
      </c>
      <c r="AF455" s="609">
        <v>7.6520000000000001</v>
      </c>
      <c r="AG455" s="609">
        <v>-15.324999999999999</v>
      </c>
      <c r="AH455" s="609">
        <v>-13.647</v>
      </c>
      <c r="AI455" s="518">
        <f>AJ455</f>
        <v>-19.824000000000002</v>
      </c>
      <c r="AJ455" s="675">
        <v>-19.824000000000002</v>
      </c>
      <c r="AK455" s="609">
        <v>6.3719999999999999</v>
      </c>
      <c r="AL455" s="609">
        <v>14.464</v>
      </c>
      <c r="AM455" s="609">
        <v>17.329000000000001</v>
      </c>
      <c r="AN455" s="518">
        <f>AO455</f>
        <v>20.148</v>
      </c>
      <c r="AO455" s="675">
        <v>20.148</v>
      </c>
      <c r="AP455" s="609">
        <v>-6.6630000000000003</v>
      </c>
      <c r="AQ455" s="609">
        <v>-11.021000000000001</v>
      </c>
      <c r="AR455" s="609">
        <v>23.181000000000001</v>
      </c>
      <c r="AS455" s="518">
        <f>AT455</f>
        <v>15.382</v>
      </c>
      <c r="AT455" s="675">
        <v>15.382</v>
      </c>
      <c r="AU455" s="609">
        <v>-6.8710000000000004</v>
      </c>
      <c r="AV455" s="609">
        <v>15.707000000000001</v>
      </c>
      <c r="AW455" s="609">
        <v>15.218999999999999</v>
      </c>
      <c r="AX455" s="518">
        <f>AY455</f>
        <v>30.004000000000001</v>
      </c>
      <c r="AY455" s="675">
        <v>30.004000000000001</v>
      </c>
      <c r="AZ455" s="609">
        <v>-9.4920000000000009</v>
      </c>
      <c r="BA455" s="609">
        <v>24.683</v>
      </c>
      <c r="BB455" s="609">
        <v>58.412999999999997</v>
      </c>
      <c r="BC455" s="518">
        <f>BD455</f>
        <v>49.142000000000003</v>
      </c>
      <c r="BD455" s="675">
        <v>49.142000000000003</v>
      </c>
      <c r="BE455" s="609">
        <v>18.640999999999998</v>
      </c>
      <c r="BF455" s="609">
        <v>37.225000000000001</v>
      </c>
      <c r="BG455" s="609">
        <v>9.8960000000000008</v>
      </c>
      <c r="BH455" s="518">
        <f>BI455</f>
        <v>-2.548</v>
      </c>
      <c r="BI455" s="675">
        <v>-2.548</v>
      </c>
      <c r="BJ455" s="609">
        <v>14.170999999999999</v>
      </c>
      <c r="BK455" s="609">
        <v>-15.894</v>
      </c>
      <c r="BL455" s="610">
        <v>8.8379999999999992</v>
      </c>
      <c r="BM455" s="518"/>
      <c r="BN455" s="89"/>
      <c r="BO455" s="518"/>
      <c r="BP455" s="518"/>
      <c r="BQ455" s="518"/>
      <c r="BR455" s="518"/>
      <c r="BS455" s="89"/>
      <c r="BT455" s="89"/>
      <c r="BU455" s="89"/>
      <c r="BV455" s="89"/>
      <c r="BW455" s="519"/>
    </row>
    <row r="456" spans="1:75" s="439" customFormat="1" outlineLevel="1">
      <c r="A456" s="31" t="s">
        <v>446</v>
      </c>
      <c r="B456" s="53"/>
      <c r="C456" s="89"/>
      <c r="D456" s="89"/>
      <c r="E456" s="89"/>
      <c r="F456" s="89"/>
      <c r="G456" s="518"/>
      <c r="H456" s="518"/>
      <c r="I456" s="518"/>
      <c r="J456" s="518"/>
      <c r="K456" s="89"/>
      <c r="L456" s="518"/>
      <c r="M456" s="518"/>
      <c r="N456" s="518"/>
      <c r="O456" s="518"/>
      <c r="P456" s="89"/>
      <c r="Q456" s="518"/>
      <c r="R456" s="518"/>
      <c r="S456" s="518"/>
      <c r="T456" s="518"/>
      <c r="U456" s="89"/>
      <c r="V456" s="518"/>
      <c r="W456" s="518"/>
      <c r="X456" s="518"/>
      <c r="Y456" s="518"/>
      <c r="Z456" s="89"/>
      <c r="AA456" s="518"/>
      <c r="AB456" s="518"/>
      <c r="AC456" s="518"/>
      <c r="AD456" s="518"/>
      <c r="AE456" s="89"/>
      <c r="AF456" s="518"/>
      <c r="AG456" s="518"/>
      <c r="AH456" s="518"/>
      <c r="AI456" s="518"/>
      <c r="AJ456" s="89"/>
      <c r="AK456" s="609">
        <v>-9.9480000000000004</v>
      </c>
      <c r="AL456" s="609">
        <v>-20.298999999999999</v>
      </c>
      <c r="AM456" s="609">
        <v>-31.001999999999999</v>
      </c>
      <c r="AN456" s="518">
        <f>AO456</f>
        <v>-41.808</v>
      </c>
      <c r="AO456" s="675">
        <v>-41.808</v>
      </c>
      <c r="AP456" s="609">
        <v>-0.63600000000000001</v>
      </c>
      <c r="AQ456" s="609">
        <v>-22.52</v>
      </c>
      <c r="AR456" s="609">
        <v>-34.283999999999999</v>
      </c>
      <c r="AS456" s="518">
        <f>AT456</f>
        <v>-46.283000000000001</v>
      </c>
      <c r="AT456" s="675">
        <v>-46.283000000000001</v>
      </c>
      <c r="AU456" s="609">
        <v>7.3410000000000002</v>
      </c>
      <c r="AV456" s="609">
        <v>-22.489000000000001</v>
      </c>
      <c r="AW456" s="609">
        <v>-32.890999999999998</v>
      </c>
      <c r="AX456" s="518">
        <f>AY456</f>
        <v>-41.008000000000003</v>
      </c>
      <c r="AY456" s="675">
        <v>-41.008000000000003</v>
      </c>
      <c r="AZ456" s="609">
        <v>27.994</v>
      </c>
      <c r="BA456" s="609">
        <v>-19.812999999999999</v>
      </c>
      <c r="BB456" s="609">
        <v>-29.928000000000001</v>
      </c>
      <c r="BC456" s="518">
        <f>BD456</f>
        <v>-40.057000000000002</v>
      </c>
      <c r="BD456" s="675">
        <v>-40.057000000000002</v>
      </c>
      <c r="BE456" s="609">
        <v>-10.397</v>
      </c>
      <c r="BF456" s="609">
        <v>-20.943000000000001</v>
      </c>
      <c r="BG456" s="609">
        <v>-30.254999999999999</v>
      </c>
      <c r="BH456" s="518">
        <f>BI456</f>
        <v>-39.734000000000002</v>
      </c>
      <c r="BI456" s="675">
        <v>-39.734000000000002</v>
      </c>
      <c r="BJ456" s="609">
        <v>-9.7129999999999992</v>
      </c>
      <c r="BK456" s="609">
        <v>-19.434000000000001</v>
      </c>
      <c r="BL456" s="610">
        <v>-29.332999999999998</v>
      </c>
      <c r="BM456" s="518"/>
      <c r="BN456" s="89"/>
      <c r="BO456" s="518"/>
      <c r="BP456" s="518"/>
      <c r="BQ456" s="518"/>
      <c r="BR456" s="518"/>
      <c r="BS456" s="89"/>
      <c r="BT456" s="89"/>
      <c r="BU456" s="89"/>
      <c r="BV456" s="89"/>
      <c r="BW456" s="519"/>
    </row>
    <row r="457" spans="1:75" s="439" customFormat="1" outlineLevel="1">
      <c r="A457" s="31" t="s">
        <v>447</v>
      </c>
      <c r="B457" s="53"/>
      <c r="C457" s="675">
        <v>0.48399999999999999</v>
      </c>
      <c r="D457" s="675">
        <v>0.54200000000000004</v>
      </c>
      <c r="E457" s="675">
        <v>0.63300000000000001</v>
      </c>
      <c r="F457" s="675">
        <v>-0.443</v>
      </c>
      <c r="G457" s="609">
        <v>0.28100000000000003</v>
      </c>
      <c r="H457" s="609">
        <v>-8.5000000000000006E-2</v>
      </c>
      <c r="I457" s="609">
        <v>-0.68</v>
      </c>
      <c r="J457" s="518">
        <f>K457</f>
        <v>-0.29799999999999999</v>
      </c>
      <c r="K457" s="675">
        <v>-0.29799999999999999</v>
      </c>
      <c r="L457" s="609">
        <v>-0.438</v>
      </c>
      <c r="M457" s="609">
        <v>-0.433</v>
      </c>
      <c r="N457" s="609">
        <v>-0.45300000000000001</v>
      </c>
      <c r="O457" s="518">
        <f>P457</f>
        <v>0.41099999999999998</v>
      </c>
      <c r="P457" s="675">
        <v>0.41099999999999998</v>
      </c>
      <c r="Q457" s="609">
        <v>0.68300000000000005</v>
      </c>
      <c r="R457" s="609">
        <v>-0.42599999999999999</v>
      </c>
      <c r="S457" s="609">
        <v>-0.42799999999999999</v>
      </c>
      <c r="T457" s="518">
        <f>U457</f>
        <v>-4.1000000000000002E-2</v>
      </c>
      <c r="U457" s="675">
        <v>-4.1000000000000002E-2</v>
      </c>
      <c r="V457" s="609">
        <v>4.2999999999999997E-2</v>
      </c>
      <c r="W457" s="609">
        <v>0.40500000000000003</v>
      </c>
      <c r="X457" s="609">
        <v>0.29499999999999998</v>
      </c>
      <c r="Y457" s="518">
        <f>Z457</f>
        <v>0.38500000000000001</v>
      </c>
      <c r="Z457" s="675">
        <v>0.38500000000000001</v>
      </c>
      <c r="AA457" s="609">
        <v>0.27400000000000002</v>
      </c>
      <c r="AB457" s="609">
        <v>0.48399999999999999</v>
      </c>
      <c r="AC457" s="609">
        <v>0.35</v>
      </c>
      <c r="AD457" s="518">
        <f>AE457</f>
        <v>0</v>
      </c>
      <c r="AE457" s="675">
        <v>0</v>
      </c>
      <c r="AF457" s="609">
        <v>7.0000000000000001E-3</v>
      </c>
      <c r="AG457" s="609">
        <v>0.20300000000000001</v>
      </c>
      <c r="AH457" s="609">
        <v>-7.4999999999999997E-2</v>
      </c>
      <c r="AI457" s="518">
        <f>AJ457</f>
        <v>0</v>
      </c>
      <c r="AJ457" s="675">
        <v>0</v>
      </c>
      <c r="AK457" s="521"/>
      <c r="AL457" s="518"/>
      <c r="AM457" s="518"/>
      <c r="AN457" s="518">
        <f>AO457</f>
        <v>0</v>
      </c>
      <c r="AO457" s="89"/>
      <c r="AP457" s="521"/>
      <c r="AQ457" s="518"/>
      <c r="AR457" s="518"/>
      <c r="AS457" s="518">
        <f>AT457</f>
        <v>0</v>
      </c>
      <c r="AT457" s="89"/>
      <c r="AU457" s="521"/>
      <c r="AV457" s="518"/>
      <c r="AW457" s="518"/>
      <c r="AX457" s="518">
        <f>AY457</f>
        <v>0</v>
      </c>
      <c r="AY457" s="89"/>
      <c r="AZ457" s="521"/>
      <c r="BA457" s="518"/>
      <c r="BB457" s="518"/>
      <c r="BC457" s="518">
        <f>BD457</f>
        <v>0</v>
      </c>
      <c r="BD457" s="89"/>
      <c r="BE457" s="521"/>
      <c r="BF457" s="518"/>
      <c r="BG457" s="518"/>
      <c r="BH457" s="518">
        <f>BI457</f>
        <v>0</v>
      </c>
      <c r="BI457" s="89"/>
      <c r="BJ457" s="521"/>
      <c r="BK457" s="518"/>
      <c r="BL457" s="520"/>
      <c r="BM457" s="518"/>
      <c r="BN457" s="89"/>
      <c r="BO457" s="518"/>
      <c r="BP457" s="518"/>
      <c r="BQ457" s="518"/>
      <c r="BR457" s="518"/>
      <c r="BS457" s="89"/>
      <c r="BT457" s="89"/>
      <c r="BU457" s="89"/>
      <c r="BV457" s="89"/>
      <c r="BW457" s="519"/>
    </row>
    <row r="458" spans="1:75" s="444" customFormat="1" outlineLevel="1">
      <c r="A458" s="18" t="s">
        <v>448</v>
      </c>
      <c r="B458" s="49"/>
      <c r="C458" s="676">
        <f t="shared" ref="C458:AH458" si="991">SUM(C452:C457)</f>
        <v>-0.63299999999999979</v>
      </c>
      <c r="D458" s="676">
        <f t="shared" si="991"/>
        <v>-7.8110000000000017</v>
      </c>
      <c r="E458" s="676">
        <f t="shared" si="991"/>
        <v>0.25000000000000044</v>
      </c>
      <c r="F458" s="676">
        <f t="shared" si="991"/>
        <v>-9.9000000000000588E-2</v>
      </c>
      <c r="G458" s="560">
        <f t="shared" si="991"/>
        <v>-0.17400000000000004</v>
      </c>
      <c r="H458" s="560">
        <f t="shared" si="991"/>
        <v>5.1139999999999999</v>
      </c>
      <c r="I458" s="560">
        <f t="shared" si="991"/>
        <v>12.108000000000001</v>
      </c>
      <c r="J458" s="560">
        <f t="shared" si="991"/>
        <v>21.432000000000002</v>
      </c>
      <c r="K458" s="676">
        <f t="shared" si="991"/>
        <v>21.432000000000002</v>
      </c>
      <c r="L458" s="560">
        <f t="shared" si="991"/>
        <v>9.3229999999999986</v>
      </c>
      <c r="M458" s="560">
        <f t="shared" si="991"/>
        <v>19.989000000000001</v>
      </c>
      <c r="N458" s="560">
        <f t="shared" si="991"/>
        <v>39.038999999999994</v>
      </c>
      <c r="O458" s="560">
        <f t="shared" si="991"/>
        <v>57.932000000000016</v>
      </c>
      <c r="P458" s="676">
        <f t="shared" si="991"/>
        <v>57.932000000000016</v>
      </c>
      <c r="Q458" s="560">
        <f t="shared" si="991"/>
        <v>25.634999999999998</v>
      </c>
      <c r="R458" s="560">
        <f t="shared" si="991"/>
        <v>43.664999999999999</v>
      </c>
      <c r="S458" s="560">
        <f t="shared" si="991"/>
        <v>53.526999999999973</v>
      </c>
      <c r="T458" s="560">
        <f t="shared" si="991"/>
        <v>57.362000000000002</v>
      </c>
      <c r="U458" s="676">
        <f t="shared" si="991"/>
        <v>57.362000000000002</v>
      </c>
      <c r="V458" s="560">
        <f t="shared" si="991"/>
        <v>23.878999999999998</v>
      </c>
      <c r="W458" s="560">
        <f t="shared" si="991"/>
        <v>46.509999999999991</v>
      </c>
      <c r="X458" s="560">
        <f t="shared" si="991"/>
        <v>81.786999999999992</v>
      </c>
      <c r="Y458" s="560">
        <f t="shared" si="991"/>
        <v>126.89999999999999</v>
      </c>
      <c r="Z458" s="676">
        <f t="shared" si="991"/>
        <v>126.89999999999999</v>
      </c>
      <c r="AA458" s="560">
        <f t="shared" si="991"/>
        <v>41.234999999999999</v>
      </c>
      <c r="AB458" s="560">
        <f t="shared" si="991"/>
        <v>76.322999999999965</v>
      </c>
      <c r="AC458" s="560">
        <f t="shared" si="991"/>
        <v>127.961</v>
      </c>
      <c r="AD458" s="560">
        <f t="shared" si="991"/>
        <v>167.64700000000005</v>
      </c>
      <c r="AE458" s="676">
        <f t="shared" si="991"/>
        <v>167.64700000000005</v>
      </c>
      <c r="AF458" s="560">
        <f t="shared" si="991"/>
        <v>38.296000000000006</v>
      </c>
      <c r="AG458" s="560">
        <f t="shared" si="991"/>
        <v>60.936999999999998</v>
      </c>
      <c r="AH458" s="560">
        <f t="shared" si="991"/>
        <v>116.11499999999998</v>
      </c>
      <c r="AI458" s="560">
        <f t="shared" ref="AI458:AQ458" si="992">SUM(AI452:AI457)</f>
        <v>160.18699999999998</v>
      </c>
      <c r="AJ458" s="676">
        <f t="shared" si="992"/>
        <v>160.18699999999998</v>
      </c>
      <c r="AK458" s="560">
        <f t="shared" si="992"/>
        <v>41.028999999999996</v>
      </c>
      <c r="AL458" s="560">
        <f t="shared" si="992"/>
        <v>97.846000000000004</v>
      </c>
      <c r="AM458" s="560">
        <f t="shared" si="992"/>
        <v>149.26799999999997</v>
      </c>
      <c r="AN458" s="560">
        <f t="shared" si="992"/>
        <v>204.78200000000001</v>
      </c>
      <c r="AO458" s="676">
        <f t="shared" si="992"/>
        <v>204.78200000000001</v>
      </c>
      <c r="AP458" s="560">
        <f t="shared" si="992"/>
        <v>40.785999999999994</v>
      </c>
      <c r="AQ458" s="560">
        <f t="shared" si="992"/>
        <v>57.249000000000009</v>
      </c>
      <c r="AR458" s="560">
        <f t="shared" ref="AR458:AW458" si="993">SUM(AR452:AR457)</f>
        <v>128.38500000000005</v>
      </c>
      <c r="AS458" s="560">
        <f t="shared" si="993"/>
        <v>176.70100000000002</v>
      </c>
      <c r="AT458" s="676">
        <f t="shared" si="993"/>
        <v>176.70100000000002</v>
      </c>
      <c r="AU458" s="560">
        <f t="shared" si="993"/>
        <v>58.930999999999997</v>
      </c>
      <c r="AV458" s="560">
        <f t="shared" si="993"/>
        <v>109.10699999999997</v>
      </c>
      <c r="AW458" s="560">
        <f t="shared" si="993"/>
        <v>167.73499999999999</v>
      </c>
      <c r="AX458" s="560">
        <f t="shared" ref="AX458:BA458" si="994">SUM(AX452:AX457)</f>
        <v>212.65499999999989</v>
      </c>
      <c r="AY458" s="676">
        <f t="shared" si="994"/>
        <v>212.65499999999989</v>
      </c>
      <c r="AZ458" s="560">
        <f t="shared" si="994"/>
        <v>59.903000000000006</v>
      </c>
      <c r="BA458" s="560">
        <f t="shared" si="994"/>
        <v>78.231999999999985</v>
      </c>
      <c r="BB458" s="560">
        <f t="shared" ref="BB458:BD458" si="995">SUM(BB452:BB457)</f>
        <v>147.83599999999998</v>
      </c>
      <c r="BC458" s="560">
        <f t="shared" si="995"/>
        <v>192.30900000000003</v>
      </c>
      <c r="BD458" s="676">
        <f t="shared" si="995"/>
        <v>192.30900000000003</v>
      </c>
      <c r="BE458" s="560">
        <f t="shared" ref="BE458:BI458" si="996">SUM(BE452:BE457)</f>
        <v>74.243999999999986</v>
      </c>
      <c r="BF458" s="560">
        <f t="shared" si="996"/>
        <v>122.25100000000002</v>
      </c>
      <c r="BG458" s="560">
        <f t="shared" si="996"/>
        <v>227.10999999999996</v>
      </c>
      <c r="BH458" s="560">
        <f t="shared" si="996"/>
        <v>306.28000000000003</v>
      </c>
      <c r="BI458" s="676">
        <f t="shared" si="996"/>
        <v>306.28000000000003</v>
      </c>
      <c r="BJ458" s="560">
        <f>SUM(BJ452:BJ457)</f>
        <v>72.855000000000018</v>
      </c>
      <c r="BK458" s="560">
        <f>SUM(BK452:BK457)</f>
        <v>112.54400000000001</v>
      </c>
      <c r="BL458" s="561">
        <f>SUM(BL452:BL457)</f>
        <v>214.84199999999998</v>
      </c>
      <c r="BM458" s="560"/>
      <c r="BN458" s="676"/>
      <c r="BO458" s="560"/>
      <c r="BP458" s="560"/>
      <c r="BQ458" s="560"/>
      <c r="BR458" s="560"/>
      <c r="BS458" s="676"/>
      <c r="BT458" s="676"/>
      <c r="BU458" s="676"/>
      <c r="BV458" s="676"/>
      <c r="BW458" s="318"/>
    </row>
    <row r="459" spans="1:75" s="444" customFormat="1" outlineLevel="1">
      <c r="A459" s="28"/>
      <c r="B459" s="30"/>
      <c r="C459" s="700"/>
      <c r="D459" s="700"/>
      <c r="E459" s="700"/>
      <c r="F459" s="700"/>
      <c r="G459" s="523"/>
      <c r="H459" s="523"/>
      <c r="I459" s="523"/>
      <c r="J459" s="523"/>
      <c r="K459" s="700"/>
      <c r="L459" s="523"/>
      <c r="M459" s="523"/>
      <c r="N459" s="523"/>
      <c r="O459" s="523"/>
      <c r="P459" s="700"/>
      <c r="Q459" s="523"/>
      <c r="R459" s="523"/>
      <c r="S459" s="523"/>
      <c r="T459" s="523"/>
      <c r="U459" s="700"/>
      <c r="V459" s="523"/>
      <c r="W459" s="523"/>
      <c r="X459" s="523"/>
      <c r="Y459" s="523"/>
      <c r="Z459" s="700"/>
      <c r="AA459" s="523"/>
      <c r="AB459" s="523"/>
      <c r="AC459" s="523"/>
      <c r="AD459" s="523"/>
      <c r="AE459" s="700"/>
      <c r="AF459" s="523"/>
      <c r="AG459" s="523"/>
      <c r="AH459" s="523"/>
      <c r="AI459" s="523"/>
      <c r="AJ459" s="700"/>
      <c r="AK459" s="523"/>
      <c r="AL459" s="523"/>
      <c r="AM459" s="523"/>
      <c r="AN459" s="523"/>
      <c r="AO459" s="700"/>
      <c r="AP459" s="523"/>
      <c r="AQ459" s="523"/>
      <c r="AR459" s="523"/>
      <c r="AS459" s="523"/>
      <c r="AT459" s="700"/>
      <c r="AU459" s="523"/>
      <c r="AV459" s="523"/>
      <c r="AW459" s="523"/>
      <c r="AX459" s="523"/>
      <c r="AY459" s="700"/>
      <c r="AZ459" s="523"/>
      <c r="BA459" s="523"/>
      <c r="BB459" s="523"/>
      <c r="BC459" s="523"/>
      <c r="BD459" s="700"/>
      <c r="BE459" s="523"/>
      <c r="BF459" s="523"/>
      <c r="BG459" s="523"/>
      <c r="BH459" s="523"/>
      <c r="BI459" s="700"/>
      <c r="BJ459" s="523"/>
      <c r="BK459" s="523"/>
      <c r="BL459" s="563"/>
      <c r="BM459" s="523"/>
      <c r="BN459" s="700"/>
      <c r="BO459" s="523"/>
      <c r="BP459" s="523"/>
      <c r="BQ459" s="523"/>
      <c r="BR459" s="523"/>
      <c r="BS459" s="700"/>
      <c r="BT459" s="700"/>
      <c r="BU459" s="700"/>
      <c r="BV459" s="700"/>
      <c r="BW459" s="318"/>
    </row>
    <row r="460" spans="1:75" s="444" customFormat="1" outlineLevel="1">
      <c r="A460" s="28" t="s">
        <v>449</v>
      </c>
      <c r="B460" s="30"/>
      <c r="C460" s="700"/>
      <c r="D460" s="700"/>
      <c r="E460" s="700"/>
      <c r="F460" s="700"/>
      <c r="G460" s="523"/>
      <c r="H460" s="523"/>
      <c r="I460" s="523"/>
      <c r="J460" s="523"/>
      <c r="K460" s="700"/>
      <c r="L460" s="523"/>
      <c r="M460" s="523"/>
      <c r="N460" s="523"/>
      <c r="O460" s="523"/>
      <c r="P460" s="700"/>
      <c r="Q460" s="523"/>
      <c r="R460" s="523"/>
      <c r="S460" s="523"/>
      <c r="T460" s="523"/>
      <c r="U460" s="700"/>
      <c r="V460" s="523"/>
      <c r="W460" s="523"/>
      <c r="X460" s="523"/>
      <c r="Y460" s="523"/>
      <c r="Z460" s="700"/>
      <c r="AA460" s="523"/>
      <c r="AB460" s="523"/>
      <c r="AC460" s="523"/>
      <c r="AD460" s="523"/>
      <c r="AE460" s="700"/>
      <c r="AF460" s="523"/>
      <c r="AG460" s="523"/>
      <c r="AH460" s="523"/>
      <c r="AI460" s="523"/>
      <c r="AJ460" s="700"/>
      <c r="AK460" s="523"/>
      <c r="AL460" s="523"/>
      <c r="AM460" s="523"/>
      <c r="AN460" s="523"/>
      <c r="AO460" s="700"/>
      <c r="AP460" s="523"/>
      <c r="AQ460" s="523"/>
      <c r="AR460" s="523"/>
      <c r="AS460" s="523"/>
      <c r="AT460" s="700"/>
      <c r="AU460" s="523"/>
      <c r="AV460" s="523"/>
      <c r="AW460" s="523"/>
      <c r="AX460" s="523"/>
      <c r="AY460" s="700"/>
      <c r="AZ460" s="523"/>
      <c r="BA460" s="523"/>
      <c r="BB460" s="523"/>
      <c r="BC460" s="523"/>
      <c r="BD460" s="700"/>
      <c r="BE460" s="523"/>
      <c r="BF460" s="523"/>
      <c r="BG460" s="523"/>
      <c r="BH460" s="523"/>
      <c r="BI460" s="700"/>
      <c r="BJ460" s="523"/>
      <c r="BK460" s="523"/>
      <c r="BL460" s="563"/>
      <c r="BM460" s="523"/>
      <c r="BN460" s="700"/>
      <c r="BO460" s="523"/>
      <c r="BP460" s="523"/>
      <c r="BQ460" s="523"/>
      <c r="BR460" s="523"/>
      <c r="BS460" s="700"/>
      <c r="BT460" s="700"/>
      <c r="BU460" s="700"/>
      <c r="BV460" s="700"/>
      <c r="BW460" s="318"/>
    </row>
    <row r="461" spans="1:75" s="439" customFormat="1" outlineLevel="1">
      <c r="A461" s="31" t="s">
        <v>450</v>
      </c>
      <c r="B461" s="53"/>
      <c r="C461" s="89"/>
      <c r="D461" s="675">
        <v>0</v>
      </c>
      <c r="E461" s="89"/>
      <c r="F461" s="675">
        <v>-24.125</v>
      </c>
      <c r="G461" s="518"/>
      <c r="H461" s="518"/>
      <c r="I461" s="609">
        <v>-2.0569999999999999</v>
      </c>
      <c r="J461" s="518">
        <f>K461</f>
        <v>-2.0569999999999999</v>
      </c>
      <c r="K461" s="675">
        <v>-2.0569999999999999</v>
      </c>
      <c r="L461" s="518"/>
      <c r="M461" s="518"/>
      <c r="N461" s="518"/>
      <c r="O461" s="518">
        <f>P461</f>
        <v>-14.34</v>
      </c>
      <c r="P461" s="675">
        <v>-14.34</v>
      </c>
      <c r="Q461" s="609">
        <v>-71.546000000000006</v>
      </c>
      <c r="R461" s="609">
        <v>-73.421999999999997</v>
      </c>
      <c r="S461" s="609">
        <v>-73.421999999999997</v>
      </c>
      <c r="T461" s="518">
        <f>U461</f>
        <v>-73.421999999999997</v>
      </c>
      <c r="U461" s="675">
        <v>-73.421999999999997</v>
      </c>
      <c r="V461" s="518"/>
      <c r="W461" s="609">
        <v>0</v>
      </c>
      <c r="X461" s="609">
        <v>0</v>
      </c>
      <c r="Y461" s="518">
        <f t="shared" ref="Y461:Y468" si="997">Z461</f>
        <v>0</v>
      </c>
      <c r="Z461" s="89"/>
      <c r="AA461" s="609">
        <v>-30.832999999999998</v>
      </c>
      <c r="AB461" s="609">
        <v>-50.543999999999997</v>
      </c>
      <c r="AC461" s="609">
        <v>-50.543999999999997</v>
      </c>
      <c r="AD461" s="518">
        <f t="shared" ref="AD461:AD470" si="998">AE461</f>
        <v>-50.543999999999997</v>
      </c>
      <c r="AE461" s="675">
        <v>-50.543999999999997</v>
      </c>
      <c r="AF461" s="518"/>
      <c r="AG461" s="518"/>
      <c r="AH461" s="518"/>
      <c r="AI461" s="518">
        <f t="shared" ref="AI461:AI470" si="999">AJ461</f>
        <v>0</v>
      </c>
      <c r="AJ461" s="89"/>
      <c r="AK461" s="518"/>
      <c r="AL461" s="518"/>
      <c r="AM461" s="518"/>
      <c r="AN461" s="518">
        <f t="shared" ref="AN461:AN470" si="1000">AO461</f>
        <v>0</v>
      </c>
      <c r="AO461" s="89"/>
      <c r="AP461" s="518"/>
      <c r="AQ461" s="518"/>
      <c r="AR461" s="518"/>
      <c r="AS461" s="518">
        <f t="shared" ref="AS461:AS472" si="1001">AT461</f>
        <v>0</v>
      </c>
      <c r="AT461" s="89"/>
      <c r="AU461" s="518"/>
      <c r="AV461" s="518"/>
      <c r="AW461" s="518"/>
      <c r="AX461" s="518">
        <f t="shared" ref="AX461:AX475" si="1002">AY461</f>
        <v>0</v>
      </c>
      <c r="AY461" s="89"/>
      <c r="AZ461" s="518"/>
      <c r="BA461" s="518"/>
      <c r="BB461" s="518"/>
      <c r="BC461" s="518">
        <f t="shared" ref="BC461:BC475" si="1003">BD461</f>
        <v>0</v>
      </c>
      <c r="BD461" s="89"/>
      <c r="BE461" s="518"/>
      <c r="BF461" s="518"/>
      <c r="BG461" s="518"/>
      <c r="BH461" s="518">
        <f t="shared" ref="BH461:BH475" si="1004">BI461</f>
        <v>0</v>
      </c>
      <c r="BI461" s="89"/>
      <c r="BJ461" s="518"/>
      <c r="BK461" s="518"/>
      <c r="BL461" s="520"/>
      <c r="BM461" s="518"/>
      <c r="BN461" s="89"/>
      <c r="BO461" s="518"/>
      <c r="BP461" s="518"/>
      <c r="BQ461" s="518"/>
      <c r="BR461" s="518"/>
      <c r="BS461" s="89"/>
      <c r="BT461" s="89"/>
      <c r="BU461" s="89"/>
      <c r="BV461" s="89"/>
      <c r="BW461" s="519"/>
    </row>
    <row r="462" spans="1:75" s="439" customFormat="1" outlineLevel="1">
      <c r="A462" s="31" t="s">
        <v>451</v>
      </c>
      <c r="B462" s="53"/>
      <c r="C462" s="675">
        <v>-0.622</v>
      </c>
      <c r="D462" s="675">
        <v>-3.5710000000000002</v>
      </c>
      <c r="E462" s="675">
        <v>-4.798</v>
      </c>
      <c r="F462" s="675">
        <v>-7.524</v>
      </c>
      <c r="G462" s="609">
        <v>-0.94299999999999995</v>
      </c>
      <c r="H462" s="609">
        <v>-4.9660000000000002</v>
      </c>
      <c r="I462" s="609">
        <v>-9.5470000000000006</v>
      </c>
      <c r="J462" s="518">
        <f>K462</f>
        <v>-16.242999999999999</v>
      </c>
      <c r="K462" s="675">
        <v>-16.242999999999999</v>
      </c>
      <c r="L462" s="609">
        <v>-4.2460000000000004</v>
      </c>
      <c r="M462" s="609">
        <v>-7.2119999999999997</v>
      </c>
      <c r="N462" s="609">
        <v>-12.743</v>
      </c>
      <c r="O462" s="518">
        <f>P462</f>
        <v>-29.053999999999998</v>
      </c>
      <c r="P462" s="675">
        <v>-29.053999999999998</v>
      </c>
      <c r="Q462" s="609">
        <v>-10.881</v>
      </c>
      <c r="R462" s="609">
        <v>-18.059000000000001</v>
      </c>
      <c r="S462" s="609">
        <v>-25.358000000000001</v>
      </c>
      <c r="T462" s="518">
        <f>U462</f>
        <v>-31.126999999999999</v>
      </c>
      <c r="U462" s="675">
        <v>-31.126999999999999</v>
      </c>
      <c r="V462" s="609">
        <v>-7.6449999999999996</v>
      </c>
      <c r="W462" s="609">
        <v>-12.438000000000001</v>
      </c>
      <c r="X462" s="609">
        <v>-17.797999999999998</v>
      </c>
      <c r="Y462" s="518">
        <f t="shared" si="997"/>
        <v>-22.994</v>
      </c>
      <c r="Z462" s="675">
        <v>-22.994</v>
      </c>
      <c r="AA462" s="609">
        <v>-2.452</v>
      </c>
      <c r="AB462" s="609">
        <v>-4.0789999999999997</v>
      </c>
      <c r="AC462" s="609">
        <v>-7.8920000000000003</v>
      </c>
      <c r="AD462" s="518">
        <f t="shared" si="998"/>
        <v>-15.598000000000001</v>
      </c>
      <c r="AE462" s="675">
        <v>-15.598000000000001</v>
      </c>
      <c r="AF462" s="609">
        <v>-10.927</v>
      </c>
      <c r="AG462" s="609">
        <v>-15.018000000000001</v>
      </c>
      <c r="AH462" s="609">
        <v>-18.699000000000002</v>
      </c>
      <c r="AI462" s="518">
        <f t="shared" si="999"/>
        <v>-24.849</v>
      </c>
      <c r="AJ462" s="675">
        <v>-24.849</v>
      </c>
      <c r="AK462" s="609">
        <v>-8.9909999999999997</v>
      </c>
      <c r="AL462" s="518"/>
      <c r="AM462" s="518"/>
      <c r="AN462" s="518">
        <f t="shared" si="1000"/>
        <v>0</v>
      </c>
      <c r="AO462" s="89"/>
      <c r="AP462" s="609">
        <v>-7.0529999999999999</v>
      </c>
      <c r="AQ462" s="609">
        <v>-17.004000000000001</v>
      </c>
      <c r="AR462" s="609">
        <v>-24.071999999999999</v>
      </c>
      <c r="AS462" s="518">
        <f t="shared" si="1001"/>
        <v>-32.002000000000002</v>
      </c>
      <c r="AT462" s="675">
        <v>-32.002000000000002</v>
      </c>
      <c r="AU462" s="609">
        <v>-6.0049999999999999</v>
      </c>
      <c r="AV462" s="609">
        <v>-13.286</v>
      </c>
      <c r="AW462" s="609">
        <v>-21.6</v>
      </c>
      <c r="AX462" s="518">
        <f t="shared" si="1002"/>
        <v>-28.282</v>
      </c>
      <c r="AY462" s="675">
        <v>-28.282</v>
      </c>
      <c r="AZ462" s="609">
        <v>-6.6360000000000001</v>
      </c>
      <c r="BA462" s="609">
        <v>-14.497999999999999</v>
      </c>
      <c r="BB462" s="609">
        <v>-20.103999999999999</v>
      </c>
      <c r="BC462" s="518">
        <f t="shared" si="1003"/>
        <v>-31.978999999999999</v>
      </c>
      <c r="BD462" s="675">
        <v>-31.978999999999999</v>
      </c>
      <c r="BE462" s="609">
        <v>-7.5179999999999998</v>
      </c>
      <c r="BF462" s="609">
        <v>-15.153</v>
      </c>
      <c r="BG462" s="609">
        <v>-20.85</v>
      </c>
      <c r="BH462" s="518">
        <f t="shared" si="1004"/>
        <v>-26.847000000000001</v>
      </c>
      <c r="BI462" s="675">
        <v>-26.847000000000001</v>
      </c>
      <c r="BJ462" s="609">
        <v>-6.9870000000000001</v>
      </c>
      <c r="BK462" s="609">
        <v>-16.574000000000002</v>
      </c>
      <c r="BL462" s="610">
        <v>-26.337</v>
      </c>
      <c r="BM462" s="518"/>
      <c r="BN462" s="89"/>
      <c r="BO462" s="518"/>
      <c r="BP462" s="518"/>
      <c r="BQ462" s="518"/>
      <c r="BR462" s="518"/>
      <c r="BS462" s="89"/>
      <c r="BT462" s="89"/>
      <c r="BU462" s="89"/>
      <c r="BV462" s="89"/>
      <c r="BW462" s="519"/>
    </row>
    <row r="463" spans="1:75" s="439" customFormat="1" outlineLevel="1">
      <c r="A463" s="31" t="s">
        <v>452</v>
      </c>
      <c r="B463" s="53"/>
      <c r="C463" s="675">
        <v>-0.95499999999999996</v>
      </c>
      <c r="D463" s="675">
        <v>-1.2290000000000001</v>
      </c>
      <c r="E463" s="675">
        <v>-2.5059999999999998</v>
      </c>
      <c r="F463" s="675">
        <v>-2.93</v>
      </c>
      <c r="G463" s="609">
        <v>-0.96899999999999997</v>
      </c>
      <c r="H463" s="609">
        <v>-2.1389999999999998</v>
      </c>
      <c r="I463" s="609">
        <v>-3.2650000000000001</v>
      </c>
      <c r="J463" s="518">
        <f>K463</f>
        <v>-4.8559999999999999</v>
      </c>
      <c r="K463" s="675">
        <v>-4.8559999999999999</v>
      </c>
      <c r="L463" s="609">
        <v>-1.5920000000000001</v>
      </c>
      <c r="M463" s="609">
        <v>-4.327</v>
      </c>
      <c r="N463" s="609">
        <v>-7.9690000000000003</v>
      </c>
      <c r="O463" s="518">
        <f>P463</f>
        <v>-11.349</v>
      </c>
      <c r="P463" s="675">
        <v>-11.349</v>
      </c>
      <c r="Q463" s="609">
        <v>-3.1960000000000002</v>
      </c>
      <c r="R463" s="609">
        <v>-6.0119999999999996</v>
      </c>
      <c r="S463" s="609">
        <v>-8.6579999999999995</v>
      </c>
      <c r="T463" s="518">
        <f>U463</f>
        <v>-11.734</v>
      </c>
      <c r="U463" s="675">
        <v>-11.734</v>
      </c>
      <c r="V463" s="609">
        <v>-3.125</v>
      </c>
      <c r="W463" s="609">
        <v>-6.9930000000000003</v>
      </c>
      <c r="X463" s="609">
        <v>-10.596</v>
      </c>
      <c r="Y463" s="518">
        <f t="shared" si="997"/>
        <v>-14.191000000000001</v>
      </c>
      <c r="Z463" s="675">
        <v>-14.191000000000001</v>
      </c>
      <c r="AA463" s="609">
        <v>-4.2080000000000002</v>
      </c>
      <c r="AB463" s="609">
        <v>-8.0299999999999994</v>
      </c>
      <c r="AC463" s="609">
        <v>-12.236000000000001</v>
      </c>
      <c r="AD463" s="518">
        <f t="shared" si="998"/>
        <v>-14.647</v>
      </c>
      <c r="AE463" s="675">
        <v>-14.647</v>
      </c>
      <c r="AF463" s="609">
        <v>-4.6980000000000004</v>
      </c>
      <c r="AG463" s="609">
        <v>-10.138999999999999</v>
      </c>
      <c r="AH463" s="609">
        <v>-15.238</v>
      </c>
      <c r="AI463" s="518">
        <f t="shared" si="999"/>
        <v>-20.123000000000001</v>
      </c>
      <c r="AJ463" s="675">
        <v>-20.123000000000001</v>
      </c>
      <c r="AK463" s="518"/>
      <c r="AL463" s="609">
        <v>-19.213999999999999</v>
      </c>
      <c r="AM463" s="609">
        <v>-29.95</v>
      </c>
      <c r="AN463" s="518">
        <f t="shared" si="1000"/>
        <v>-37.521999999999998</v>
      </c>
      <c r="AO463" s="675">
        <v>-37.521999999999998</v>
      </c>
      <c r="AP463" s="518"/>
      <c r="AQ463" s="518"/>
      <c r="AR463" s="518"/>
      <c r="AS463" s="518">
        <f t="shared" si="1001"/>
        <v>0</v>
      </c>
      <c r="AT463" s="89"/>
      <c r="AU463" s="518"/>
      <c r="AV463" s="518"/>
      <c r="AW463" s="518"/>
      <c r="AX463" s="518">
        <f t="shared" si="1002"/>
        <v>0</v>
      </c>
      <c r="AY463" s="89"/>
      <c r="AZ463" s="518"/>
      <c r="BA463" s="518"/>
      <c r="BB463" s="518"/>
      <c r="BC463" s="518">
        <f t="shared" si="1003"/>
        <v>0</v>
      </c>
      <c r="BD463" s="89"/>
      <c r="BE463" s="518"/>
      <c r="BF463" s="518"/>
      <c r="BG463" s="518"/>
      <c r="BH463" s="518">
        <f t="shared" si="1004"/>
        <v>0</v>
      </c>
      <c r="BI463" s="89"/>
      <c r="BJ463" s="518"/>
      <c r="BK463" s="518"/>
      <c r="BL463" s="520"/>
      <c r="BM463" s="518"/>
      <c r="BN463" s="89"/>
      <c r="BO463" s="518"/>
      <c r="BP463" s="518"/>
      <c r="BQ463" s="518"/>
      <c r="BR463" s="518"/>
      <c r="BS463" s="89"/>
      <c r="BT463" s="89"/>
      <c r="BU463" s="89"/>
      <c r="BV463" s="89"/>
      <c r="BW463" s="519"/>
    </row>
    <row r="464" spans="1:75" s="439" customFormat="1" outlineLevel="1">
      <c r="A464" s="31" t="s">
        <v>453</v>
      </c>
      <c r="B464" s="53"/>
      <c r="C464" s="675">
        <v>0.104</v>
      </c>
      <c r="D464" s="675">
        <v>0</v>
      </c>
      <c r="E464" s="675">
        <v>-0.14899999999999999</v>
      </c>
      <c r="F464" s="675">
        <v>-6.0129999999999999</v>
      </c>
      <c r="G464" s="518"/>
      <c r="H464" s="609">
        <v>-1.768</v>
      </c>
      <c r="I464" s="609">
        <v>-1.768</v>
      </c>
      <c r="J464" s="518">
        <f>K464</f>
        <v>3.1760000000000002</v>
      </c>
      <c r="K464" s="675">
        <v>3.1760000000000002</v>
      </c>
      <c r="L464" s="609">
        <v>-0.39700000000000002</v>
      </c>
      <c r="M464" s="609">
        <v>-0.39700000000000002</v>
      </c>
      <c r="N464" s="609">
        <v>-9.7560000000000002</v>
      </c>
      <c r="O464" s="518">
        <f>P464</f>
        <v>-14.763999999999999</v>
      </c>
      <c r="P464" s="675">
        <v>-14.763999999999999</v>
      </c>
      <c r="Q464" s="609">
        <v>-5.0000000000000001E-3</v>
      </c>
      <c r="R464" s="609">
        <v>1.6719999999999999</v>
      </c>
      <c r="S464" s="609">
        <v>1.6639999999999999</v>
      </c>
      <c r="T464" s="518">
        <f>U464</f>
        <v>1.4039999999999999</v>
      </c>
      <c r="U464" s="675">
        <v>1.4039999999999999</v>
      </c>
      <c r="V464" s="609">
        <v>-0.82</v>
      </c>
      <c r="W464" s="609">
        <v>-0.82</v>
      </c>
      <c r="X464" s="609">
        <v>-0.82499999999999996</v>
      </c>
      <c r="Y464" s="518">
        <f t="shared" si="997"/>
        <v>-0.83099999999999996</v>
      </c>
      <c r="Z464" s="675">
        <v>-0.83099999999999996</v>
      </c>
      <c r="AA464" s="609">
        <v>2.9000000000000001E-2</v>
      </c>
      <c r="AB464" s="609">
        <v>5.8000000000000003E-2</v>
      </c>
      <c r="AC464" s="518"/>
      <c r="AD464" s="518">
        <f t="shared" si="998"/>
        <v>0</v>
      </c>
      <c r="AE464" s="89"/>
      <c r="AF464" s="518"/>
      <c r="AG464" s="518"/>
      <c r="AH464" s="518"/>
      <c r="AI464" s="518">
        <f t="shared" si="999"/>
        <v>0</v>
      </c>
      <c r="AJ464" s="89"/>
      <c r="AK464" s="518"/>
      <c r="AL464" s="609">
        <v>28.75</v>
      </c>
      <c r="AM464" s="609">
        <v>28.75</v>
      </c>
      <c r="AN464" s="518">
        <f t="shared" si="1000"/>
        <v>28.75</v>
      </c>
      <c r="AO464" s="675">
        <v>28.75</v>
      </c>
      <c r="AP464" s="518"/>
      <c r="AQ464" s="518"/>
      <c r="AR464" s="518"/>
      <c r="AS464" s="518">
        <f t="shared" si="1001"/>
        <v>0</v>
      </c>
      <c r="AT464" s="89"/>
      <c r="AU464" s="518"/>
      <c r="AV464" s="518"/>
      <c r="AW464" s="518"/>
      <c r="AX464" s="518">
        <f t="shared" si="1002"/>
        <v>0</v>
      </c>
      <c r="AY464" s="89"/>
      <c r="AZ464" s="518"/>
      <c r="BA464" s="518"/>
      <c r="BB464" s="518"/>
      <c r="BC464" s="518">
        <f t="shared" si="1003"/>
        <v>0</v>
      </c>
      <c r="BD464" s="89"/>
      <c r="BE464" s="518"/>
      <c r="BF464" s="518"/>
      <c r="BG464" s="518"/>
      <c r="BH464" s="518">
        <f t="shared" si="1004"/>
        <v>0</v>
      </c>
      <c r="BI464" s="89"/>
      <c r="BJ464" s="518"/>
      <c r="BK464" s="518"/>
      <c r="BL464" s="520"/>
      <c r="BM464" s="518"/>
      <c r="BN464" s="89"/>
      <c r="BO464" s="518"/>
      <c r="BP464" s="518"/>
      <c r="BQ464" s="518"/>
      <c r="BR464" s="518"/>
      <c r="BS464" s="89"/>
      <c r="BT464" s="89"/>
      <c r="BU464" s="89"/>
      <c r="BV464" s="89"/>
      <c r="BW464" s="519"/>
    </row>
    <row r="465" spans="1:75" s="439" customFormat="1" outlineLevel="1">
      <c r="A465" s="31" t="s">
        <v>454</v>
      </c>
      <c r="B465" s="53"/>
      <c r="C465" s="675">
        <v>-4.2999999999999997E-2</v>
      </c>
      <c r="D465" s="89"/>
      <c r="E465" s="89"/>
      <c r="F465" s="89"/>
      <c r="G465" s="518"/>
      <c r="H465" s="518"/>
      <c r="I465" s="518"/>
      <c r="J465" s="518">
        <f>K465</f>
        <v>0</v>
      </c>
      <c r="K465" s="89"/>
      <c r="L465" s="518"/>
      <c r="M465" s="518"/>
      <c r="N465" s="609">
        <v>-1.3340000000000001</v>
      </c>
      <c r="O465" s="518">
        <f>P465</f>
        <v>-1.724</v>
      </c>
      <c r="P465" s="675">
        <v>-1.724</v>
      </c>
      <c r="Q465" s="609">
        <v>-0.314</v>
      </c>
      <c r="R465" s="609">
        <v>-0.314</v>
      </c>
      <c r="S465" s="609">
        <v>-0.64700000000000002</v>
      </c>
      <c r="T465" s="518">
        <f>U465</f>
        <v>-0.64700000000000002</v>
      </c>
      <c r="U465" s="675">
        <v>-0.64700000000000002</v>
      </c>
      <c r="V465" s="518"/>
      <c r="W465" s="609">
        <v>-0.16200000000000001</v>
      </c>
      <c r="X465" s="609">
        <v>-0.17899999999999999</v>
      </c>
      <c r="Y465" s="518">
        <f t="shared" si="997"/>
        <v>-0.17899999999999999</v>
      </c>
      <c r="Z465" s="675">
        <v>-0.17899999999999999</v>
      </c>
      <c r="AA465" s="518"/>
      <c r="AB465" s="518"/>
      <c r="AC465" s="518"/>
      <c r="AD465" s="518">
        <f t="shared" si="998"/>
        <v>0</v>
      </c>
      <c r="AE465" s="89"/>
      <c r="AF465" s="518"/>
      <c r="AG465" s="518"/>
      <c r="AH465" s="518"/>
      <c r="AI465" s="518">
        <f t="shared" si="999"/>
        <v>0</v>
      </c>
      <c r="AJ465" s="89"/>
      <c r="AK465" s="518"/>
      <c r="AL465" s="518"/>
      <c r="AM465" s="518"/>
      <c r="AN465" s="518">
        <f t="shared" si="1000"/>
        <v>0</v>
      </c>
      <c r="AO465" s="89"/>
      <c r="AP465" s="518"/>
      <c r="AQ465" s="518"/>
      <c r="AR465" s="518"/>
      <c r="AS465" s="518">
        <f t="shared" si="1001"/>
        <v>-6.1289999999999996</v>
      </c>
      <c r="AT465" s="675">
        <v>-6.1289999999999996</v>
      </c>
      <c r="AU465" s="518"/>
      <c r="AV465" s="518"/>
      <c r="AW465" s="518"/>
      <c r="AX465" s="518">
        <f t="shared" si="1002"/>
        <v>0</v>
      </c>
      <c r="AY465" s="89"/>
      <c r="AZ465" s="518"/>
      <c r="BA465" s="518"/>
      <c r="BB465" s="518"/>
      <c r="BC465" s="518">
        <f t="shared" si="1003"/>
        <v>0</v>
      </c>
      <c r="BD465" s="89"/>
      <c r="BE465" s="518"/>
      <c r="BF465" s="518"/>
      <c r="BG465" s="518"/>
      <c r="BH465" s="518">
        <f t="shared" si="1004"/>
        <v>0</v>
      </c>
      <c r="BI465" s="89"/>
      <c r="BJ465" s="518"/>
      <c r="BK465" s="518"/>
      <c r="BL465" s="520"/>
      <c r="BM465" s="518"/>
      <c r="BN465" s="89"/>
      <c r="BO465" s="518"/>
      <c r="BP465" s="518"/>
      <c r="BQ465" s="518"/>
      <c r="BR465" s="518"/>
      <c r="BS465" s="89"/>
      <c r="BT465" s="89"/>
      <c r="BU465" s="89"/>
      <c r="BV465" s="89"/>
      <c r="BW465" s="519"/>
    </row>
    <row r="466" spans="1:75" s="439" customFormat="1" outlineLevel="1">
      <c r="A466" s="31" t="s">
        <v>455</v>
      </c>
      <c r="B466" s="53"/>
      <c r="C466" s="89"/>
      <c r="D466" s="89"/>
      <c r="E466" s="89"/>
      <c r="F466" s="89"/>
      <c r="G466" s="518"/>
      <c r="H466" s="518"/>
      <c r="I466" s="518"/>
      <c r="J466" s="518"/>
      <c r="K466" s="89"/>
      <c r="L466" s="518"/>
      <c r="M466" s="518"/>
      <c r="N466" s="518"/>
      <c r="O466" s="518"/>
      <c r="P466" s="89"/>
      <c r="Q466" s="518"/>
      <c r="R466" s="518"/>
      <c r="S466" s="518"/>
      <c r="T466" s="518"/>
      <c r="U466" s="89"/>
      <c r="V466" s="518"/>
      <c r="W466" s="518"/>
      <c r="X466" s="609">
        <v>-8</v>
      </c>
      <c r="Y466" s="518">
        <f t="shared" si="997"/>
        <v>-8</v>
      </c>
      <c r="Z466" s="675">
        <v>-8</v>
      </c>
      <c r="AA466" s="518"/>
      <c r="AB466" s="518"/>
      <c r="AC466" s="518"/>
      <c r="AD466" s="518">
        <f t="shared" si="998"/>
        <v>0</v>
      </c>
      <c r="AE466" s="89"/>
      <c r="AF466" s="518"/>
      <c r="AG466" s="518"/>
      <c r="AH466" s="518"/>
      <c r="AI466" s="518">
        <f t="shared" si="999"/>
        <v>0</v>
      </c>
      <c r="AJ466" s="89"/>
      <c r="AK466" s="518"/>
      <c r="AL466" s="518"/>
      <c r="AM466" s="518"/>
      <c r="AN466" s="518">
        <f t="shared" si="1000"/>
        <v>0</v>
      </c>
      <c r="AO466" s="89"/>
      <c r="AP466" s="518"/>
      <c r="AQ466" s="518"/>
      <c r="AR466" s="518"/>
      <c r="AS466" s="518">
        <f t="shared" si="1001"/>
        <v>0</v>
      </c>
      <c r="AT466" s="89"/>
      <c r="AU466" s="518"/>
      <c r="AV466" s="518"/>
      <c r="AW466" s="518"/>
      <c r="AX466" s="518">
        <f t="shared" si="1002"/>
        <v>0</v>
      </c>
      <c r="AY466" s="89"/>
      <c r="AZ466" s="518"/>
      <c r="BA466" s="518"/>
      <c r="BB466" s="518"/>
      <c r="BC466" s="518">
        <f t="shared" si="1003"/>
        <v>0</v>
      </c>
      <c r="BD466" s="89"/>
      <c r="BE466" s="518"/>
      <c r="BF466" s="518"/>
      <c r="BG466" s="518"/>
      <c r="BH466" s="518">
        <f t="shared" si="1004"/>
        <v>0</v>
      </c>
      <c r="BI466" s="89"/>
      <c r="BJ466" s="518"/>
      <c r="BK466" s="518"/>
      <c r="BL466" s="520"/>
      <c r="BM466" s="518"/>
      <c r="BN466" s="89"/>
      <c r="BO466" s="518"/>
      <c r="BP466" s="518"/>
      <c r="BQ466" s="518"/>
      <c r="BR466" s="518"/>
      <c r="BS466" s="89"/>
      <c r="BT466" s="89"/>
      <c r="BU466" s="89"/>
      <c r="BV466" s="89"/>
      <c r="BW466" s="519"/>
    </row>
    <row r="467" spans="1:75" s="439" customFormat="1" outlineLevel="1">
      <c r="A467" s="31" t="s">
        <v>456</v>
      </c>
      <c r="B467" s="53"/>
      <c r="C467" s="89"/>
      <c r="D467" s="89"/>
      <c r="E467" s="89"/>
      <c r="F467" s="89"/>
      <c r="G467" s="518"/>
      <c r="H467" s="518"/>
      <c r="I467" s="518"/>
      <c r="J467" s="518">
        <f>K467</f>
        <v>0</v>
      </c>
      <c r="K467" s="89"/>
      <c r="L467" s="518"/>
      <c r="M467" s="609">
        <v>1.4E-2</v>
      </c>
      <c r="N467" s="609">
        <v>1.4E-2</v>
      </c>
      <c r="O467" s="518">
        <f>P467</f>
        <v>1.4E-2</v>
      </c>
      <c r="P467" s="675">
        <v>1.4E-2</v>
      </c>
      <c r="Q467" s="609">
        <v>9.7000000000000003E-2</v>
      </c>
      <c r="R467" s="609">
        <v>0.109</v>
      </c>
      <c r="S467" s="609">
        <v>0.109</v>
      </c>
      <c r="T467" s="518">
        <f>U467</f>
        <v>0.13400000000000001</v>
      </c>
      <c r="U467" s="675">
        <v>0.13400000000000001</v>
      </c>
      <c r="V467" s="518"/>
      <c r="W467" s="609">
        <v>3.4000000000000002E-2</v>
      </c>
      <c r="X467" s="609">
        <v>7.6999999999999999E-2</v>
      </c>
      <c r="Y467" s="518">
        <f t="shared" si="997"/>
        <v>8.7999999999999995E-2</v>
      </c>
      <c r="Z467" s="675">
        <v>8.7999999999999995E-2</v>
      </c>
      <c r="AA467" s="518"/>
      <c r="AB467" s="518"/>
      <c r="AC467" s="518"/>
      <c r="AD467" s="518">
        <f t="shared" si="998"/>
        <v>0</v>
      </c>
      <c r="AE467" s="89"/>
      <c r="AF467" s="518"/>
      <c r="AG467" s="518"/>
      <c r="AH467" s="518"/>
      <c r="AI467" s="518">
        <f t="shared" si="999"/>
        <v>0</v>
      </c>
      <c r="AJ467" s="89"/>
      <c r="AK467" s="518"/>
      <c r="AL467" s="518"/>
      <c r="AM467" s="518"/>
      <c r="AN467" s="518">
        <f t="shared" si="1000"/>
        <v>0</v>
      </c>
      <c r="AO467" s="89"/>
      <c r="AP467" s="518"/>
      <c r="AQ467" s="518"/>
      <c r="AR467" s="518"/>
      <c r="AS467" s="518">
        <f t="shared" si="1001"/>
        <v>0</v>
      </c>
      <c r="AT467" s="89"/>
      <c r="AU467" s="518"/>
      <c r="AV467" s="518"/>
      <c r="AW467" s="518"/>
      <c r="AX467" s="518">
        <f t="shared" si="1002"/>
        <v>0</v>
      </c>
      <c r="AY467" s="89"/>
      <c r="AZ467" s="518"/>
      <c r="BA467" s="518"/>
      <c r="BB467" s="518"/>
      <c r="BC467" s="518">
        <f t="shared" si="1003"/>
        <v>0</v>
      </c>
      <c r="BD467" s="89"/>
      <c r="BE467" s="518"/>
      <c r="BF467" s="518"/>
      <c r="BG467" s="518"/>
      <c r="BH467" s="518">
        <f t="shared" si="1004"/>
        <v>0</v>
      </c>
      <c r="BI467" s="89"/>
      <c r="BJ467" s="518"/>
      <c r="BK467" s="518"/>
      <c r="BL467" s="520"/>
      <c r="BM467" s="518"/>
      <c r="BN467" s="89"/>
      <c r="BO467" s="518"/>
      <c r="BP467" s="518"/>
      <c r="BQ467" s="518"/>
      <c r="BR467" s="518"/>
      <c r="BS467" s="89"/>
      <c r="BT467" s="89"/>
      <c r="BU467" s="89"/>
      <c r="BV467" s="89"/>
      <c r="BW467" s="519"/>
    </row>
    <row r="468" spans="1:75" s="439" customFormat="1" outlineLevel="1">
      <c r="A468" s="31" t="s">
        <v>457</v>
      </c>
      <c r="B468" s="53"/>
      <c r="C468" s="89"/>
      <c r="D468" s="89"/>
      <c r="E468" s="89"/>
      <c r="F468" s="89"/>
      <c r="G468" s="518"/>
      <c r="H468" s="609">
        <v>1.153</v>
      </c>
      <c r="I468" s="609">
        <v>1.153</v>
      </c>
      <c r="J468" s="518">
        <f>K468</f>
        <v>1.153</v>
      </c>
      <c r="K468" s="675">
        <v>1.153</v>
      </c>
      <c r="L468" s="518"/>
      <c r="M468" s="518"/>
      <c r="N468" s="518"/>
      <c r="O468" s="518">
        <f>P468</f>
        <v>0</v>
      </c>
      <c r="P468" s="89"/>
      <c r="Q468" s="518"/>
      <c r="R468" s="518"/>
      <c r="S468" s="518"/>
      <c r="T468" s="518">
        <f>U468</f>
        <v>0</v>
      </c>
      <c r="U468" s="89"/>
      <c r="V468" s="518"/>
      <c r="W468" s="518"/>
      <c r="X468" s="518"/>
      <c r="Y468" s="518">
        <f t="shared" si="997"/>
        <v>0</v>
      </c>
      <c r="Z468" s="89"/>
      <c r="AA468" s="518"/>
      <c r="AB468" s="518"/>
      <c r="AC468" s="518"/>
      <c r="AD468" s="518">
        <f t="shared" si="998"/>
        <v>0</v>
      </c>
      <c r="AE468" s="89"/>
      <c r="AF468" s="518"/>
      <c r="AG468" s="518"/>
      <c r="AH468" s="518"/>
      <c r="AI468" s="518">
        <f t="shared" si="999"/>
        <v>0</v>
      </c>
      <c r="AJ468" s="89"/>
      <c r="AK468" s="518"/>
      <c r="AL468" s="518"/>
      <c r="AM468" s="518"/>
      <c r="AN468" s="518">
        <f t="shared" si="1000"/>
        <v>0</v>
      </c>
      <c r="AO468" s="89"/>
      <c r="AP468" s="518"/>
      <c r="AQ468" s="518"/>
      <c r="AR468" s="518"/>
      <c r="AS468" s="518">
        <f t="shared" si="1001"/>
        <v>0</v>
      </c>
      <c r="AT468" s="89"/>
      <c r="AU468" s="518"/>
      <c r="AV468" s="518"/>
      <c r="AW468" s="518"/>
      <c r="AX468" s="518">
        <f t="shared" si="1002"/>
        <v>0</v>
      </c>
      <c r="AY468" s="89"/>
      <c r="AZ468" s="518"/>
      <c r="BA468" s="518"/>
      <c r="BB468" s="518"/>
      <c r="BC468" s="518">
        <f t="shared" si="1003"/>
        <v>0</v>
      </c>
      <c r="BD468" s="89"/>
      <c r="BE468" s="518"/>
      <c r="BF468" s="518"/>
      <c r="BG468" s="518"/>
      <c r="BH468" s="518">
        <f t="shared" si="1004"/>
        <v>0</v>
      </c>
      <c r="BI468" s="89"/>
      <c r="BJ468" s="518"/>
      <c r="BK468" s="518"/>
      <c r="BL468" s="520"/>
      <c r="BM468" s="518"/>
      <c r="BN468" s="89"/>
      <c r="BO468" s="518"/>
      <c r="BP468" s="518"/>
      <c r="BQ468" s="518"/>
      <c r="BR468" s="518"/>
      <c r="BS468" s="89"/>
      <c r="BT468" s="89"/>
      <c r="BU468" s="89"/>
      <c r="BV468" s="89"/>
      <c r="BW468" s="519"/>
    </row>
    <row r="469" spans="1:75" s="439" customFormat="1" outlineLevel="1">
      <c r="A469" s="31" t="s">
        <v>458</v>
      </c>
      <c r="B469" s="53"/>
      <c r="C469" s="89"/>
      <c r="D469" s="89"/>
      <c r="E469" s="89"/>
      <c r="F469" s="89"/>
      <c r="G469" s="518"/>
      <c r="H469" s="518"/>
      <c r="I469" s="518"/>
      <c r="J469" s="518"/>
      <c r="K469" s="89"/>
      <c r="L469" s="518"/>
      <c r="M469" s="518"/>
      <c r="N469" s="518"/>
      <c r="O469" s="518"/>
      <c r="P469" s="89"/>
      <c r="Q469" s="518"/>
      <c r="R469" s="518"/>
      <c r="S469" s="518"/>
      <c r="T469" s="518"/>
      <c r="U469" s="89"/>
      <c r="V469" s="518"/>
      <c r="W469" s="518"/>
      <c r="X469" s="518"/>
      <c r="Y469" s="518"/>
      <c r="Z469" s="89"/>
      <c r="AA469" s="518"/>
      <c r="AB469" s="518"/>
      <c r="AC469" s="609">
        <v>6.9000000000000006E-2</v>
      </c>
      <c r="AD469" s="518">
        <f t="shared" si="998"/>
        <v>0.157</v>
      </c>
      <c r="AE469" s="675">
        <v>0.157</v>
      </c>
      <c r="AF469" s="609">
        <v>2.7E-2</v>
      </c>
      <c r="AG469" s="609">
        <v>3.4000000000000002E-2</v>
      </c>
      <c r="AH469" s="609">
        <v>6.4000000000000001E-2</v>
      </c>
      <c r="AI469" s="518">
        <f t="shared" si="999"/>
        <v>0.245</v>
      </c>
      <c r="AJ469" s="675">
        <v>0.245</v>
      </c>
      <c r="AK469" s="609">
        <v>0.215</v>
      </c>
      <c r="AL469" s="609">
        <v>0.27600000000000002</v>
      </c>
      <c r="AM469" s="609">
        <v>0.38300000000000001</v>
      </c>
      <c r="AN469" s="518">
        <f t="shared" si="1000"/>
        <v>0.46100000000000002</v>
      </c>
      <c r="AO469" s="675">
        <v>0.46100000000000002</v>
      </c>
      <c r="AP469" s="609">
        <v>0.29499999999999998</v>
      </c>
      <c r="AQ469" s="609">
        <v>0.32800000000000001</v>
      </c>
      <c r="AR469" s="609">
        <v>0.32900000000000001</v>
      </c>
      <c r="AS469" s="518">
        <f t="shared" si="1001"/>
        <v>0.33300000000000002</v>
      </c>
      <c r="AT469" s="675">
        <v>0.33300000000000002</v>
      </c>
      <c r="AU469" s="609">
        <v>2.9000000000000001E-2</v>
      </c>
      <c r="AV469" s="609">
        <v>0.09</v>
      </c>
      <c r="AW469" s="609">
        <v>0.34100000000000003</v>
      </c>
      <c r="AX469" s="518">
        <f t="shared" si="1002"/>
        <v>0.63200000000000001</v>
      </c>
      <c r="AY469" s="675">
        <v>0.63200000000000001</v>
      </c>
      <c r="AZ469" s="609">
        <v>6.0999999999999999E-2</v>
      </c>
      <c r="BA469" s="609">
        <v>1.9E-2</v>
      </c>
      <c r="BB469" s="609">
        <v>4.2999999999999997E-2</v>
      </c>
      <c r="BC469" s="518">
        <f t="shared" si="1003"/>
        <v>9.4E-2</v>
      </c>
      <c r="BD469" s="675">
        <v>9.4E-2</v>
      </c>
      <c r="BE469" s="609">
        <v>0.04</v>
      </c>
      <c r="BF469" s="609">
        <v>0.14599999999999999</v>
      </c>
      <c r="BG469" s="609">
        <v>0.16</v>
      </c>
      <c r="BH469" s="518">
        <f t="shared" si="1004"/>
        <v>0.19500000000000001</v>
      </c>
      <c r="BI469" s="675">
        <v>0.19500000000000001</v>
      </c>
      <c r="BJ469" s="609">
        <v>0.109</v>
      </c>
      <c r="BK469" s="609">
        <v>0.23400000000000001</v>
      </c>
      <c r="BL469" s="610">
        <v>0.26800000000000002</v>
      </c>
      <c r="BM469" s="518"/>
      <c r="BN469" s="89"/>
      <c r="BO469" s="518"/>
      <c r="BP469" s="518"/>
      <c r="BQ469" s="518"/>
      <c r="BR469" s="518"/>
      <c r="BS469" s="89"/>
      <c r="BT469" s="89"/>
      <c r="BU469" s="89"/>
      <c r="BV469" s="89"/>
      <c r="BW469" s="519"/>
    </row>
    <row r="470" spans="1:75" s="439" customFormat="1" outlineLevel="1">
      <c r="A470" s="31" t="s">
        <v>459</v>
      </c>
      <c r="B470" s="53"/>
      <c r="C470" s="89"/>
      <c r="D470" s="89"/>
      <c r="E470" s="89"/>
      <c r="F470" s="89"/>
      <c r="G470" s="518"/>
      <c r="H470" s="518"/>
      <c r="I470" s="518"/>
      <c r="J470" s="518"/>
      <c r="K470" s="89"/>
      <c r="L470" s="518"/>
      <c r="M470" s="518"/>
      <c r="N470" s="518"/>
      <c r="O470" s="518"/>
      <c r="P470" s="89"/>
      <c r="Q470" s="518"/>
      <c r="R470" s="518"/>
      <c r="S470" s="518"/>
      <c r="T470" s="518"/>
      <c r="U470" s="89"/>
      <c r="V470" s="518"/>
      <c r="W470" s="518"/>
      <c r="X470" s="518"/>
      <c r="Y470" s="518"/>
      <c r="Z470" s="89"/>
      <c r="AA470" s="518"/>
      <c r="AB470" s="518"/>
      <c r="AC470" s="518"/>
      <c r="AD470" s="518">
        <f t="shared" si="998"/>
        <v>252.66300000000001</v>
      </c>
      <c r="AE470" s="675">
        <v>252.66300000000001</v>
      </c>
      <c r="AF470" s="518"/>
      <c r="AG470" s="518"/>
      <c r="AH470" s="518"/>
      <c r="AI470" s="518">
        <f t="shared" si="999"/>
        <v>0</v>
      </c>
      <c r="AJ470" s="675">
        <v>0</v>
      </c>
      <c r="AK470" s="518"/>
      <c r="AL470" s="518"/>
      <c r="AM470" s="518"/>
      <c r="AN470" s="518">
        <f t="shared" si="1000"/>
        <v>0</v>
      </c>
      <c r="AO470" s="89"/>
      <c r="AP470" s="518"/>
      <c r="AQ470" s="518"/>
      <c r="AR470" s="518"/>
      <c r="AS470" s="518">
        <f t="shared" si="1001"/>
        <v>0</v>
      </c>
      <c r="AT470" s="89"/>
      <c r="AU470" s="518"/>
      <c r="AV470" s="518"/>
      <c r="AW470" s="518"/>
      <c r="AX470" s="518">
        <f t="shared" si="1002"/>
        <v>0</v>
      </c>
      <c r="AY470" s="89"/>
      <c r="AZ470" s="518"/>
      <c r="BA470" s="518"/>
      <c r="BB470" s="518"/>
      <c r="BC470" s="518">
        <f t="shared" si="1003"/>
        <v>0</v>
      </c>
      <c r="BD470" s="89"/>
      <c r="BE470" s="518"/>
      <c r="BF470" s="518"/>
      <c r="BG470" s="518"/>
      <c r="BH470" s="518">
        <f t="shared" si="1004"/>
        <v>0</v>
      </c>
      <c r="BI470" s="89"/>
      <c r="BJ470" s="518"/>
      <c r="BK470" s="518"/>
      <c r="BL470" s="520"/>
      <c r="BM470" s="518"/>
      <c r="BN470" s="89"/>
      <c r="BO470" s="518"/>
      <c r="BP470" s="518"/>
      <c r="BQ470" s="518"/>
      <c r="BR470" s="518"/>
      <c r="BS470" s="89"/>
      <c r="BT470" s="89"/>
      <c r="BU470" s="89"/>
      <c r="BV470" s="89"/>
      <c r="BW470" s="519"/>
    </row>
    <row r="471" spans="1:75" s="439" customFormat="1" outlineLevel="1">
      <c r="A471" s="31" t="s">
        <v>460</v>
      </c>
      <c r="B471" s="53"/>
      <c r="C471" s="89"/>
      <c r="D471" s="89"/>
      <c r="E471" s="89"/>
      <c r="F471" s="89"/>
      <c r="G471" s="518"/>
      <c r="H471" s="518"/>
      <c r="I471" s="518"/>
      <c r="J471" s="518"/>
      <c r="K471" s="89"/>
      <c r="L471" s="518"/>
      <c r="M471" s="518"/>
      <c r="N471" s="518"/>
      <c r="O471" s="518"/>
      <c r="P471" s="89"/>
      <c r="Q471" s="518"/>
      <c r="R471" s="518"/>
      <c r="S471" s="518"/>
      <c r="T471" s="518"/>
      <c r="U471" s="89"/>
      <c r="V471" s="518"/>
      <c r="W471" s="518"/>
      <c r="X471" s="518"/>
      <c r="Y471" s="518"/>
      <c r="Z471" s="89"/>
      <c r="AA471" s="518"/>
      <c r="AB471" s="518"/>
      <c r="AC471" s="518"/>
      <c r="AD471" s="518"/>
      <c r="AE471" s="89"/>
      <c r="AF471" s="518"/>
      <c r="AG471" s="518"/>
      <c r="AH471" s="518"/>
      <c r="AI471" s="518"/>
      <c r="AJ471" s="89"/>
      <c r="AK471" s="518"/>
      <c r="AL471" s="518"/>
      <c r="AM471" s="518"/>
      <c r="AN471" s="518"/>
      <c r="AO471" s="89"/>
      <c r="AP471" s="518"/>
      <c r="AQ471" s="518"/>
      <c r="AR471" s="518"/>
      <c r="AS471" s="518">
        <f t="shared" si="1001"/>
        <v>-10</v>
      </c>
      <c r="AT471" s="675">
        <v>-10</v>
      </c>
      <c r="AU471" s="518"/>
      <c r="AV471" s="518"/>
      <c r="AW471" s="518"/>
      <c r="AX471" s="518">
        <f t="shared" si="1002"/>
        <v>0</v>
      </c>
      <c r="AY471" s="89"/>
      <c r="AZ471" s="518"/>
      <c r="BA471" s="518"/>
      <c r="BB471" s="518"/>
      <c r="BC471" s="518">
        <f t="shared" si="1003"/>
        <v>0</v>
      </c>
      <c r="BD471" s="89"/>
      <c r="BE471" s="518"/>
      <c r="BF471" s="518"/>
      <c r="BG471" s="518"/>
      <c r="BH471" s="518">
        <f t="shared" si="1004"/>
        <v>0</v>
      </c>
      <c r="BI471" s="89"/>
      <c r="BJ471" s="609">
        <v>-2.5</v>
      </c>
      <c r="BK471" s="609">
        <v>-2.5</v>
      </c>
      <c r="BL471" s="610">
        <v>-2.5</v>
      </c>
      <c r="BM471" s="518"/>
      <c r="BN471" s="89"/>
      <c r="BO471" s="518"/>
      <c r="BP471" s="518"/>
      <c r="BQ471" s="518"/>
      <c r="BR471" s="518"/>
      <c r="BS471" s="89"/>
      <c r="BT471" s="89"/>
      <c r="BU471" s="89"/>
      <c r="BV471" s="89"/>
      <c r="BW471" s="519"/>
    </row>
    <row r="472" spans="1:75" s="439" customFormat="1" outlineLevel="1">
      <c r="A472" s="31" t="s">
        <v>461</v>
      </c>
      <c r="B472" s="53"/>
      <c r="C472" s="89"/>
      <c r="D472" s="89"/>
      <c r="E472" s="89"/>
      <c r="F472" s="89"/>
      <c r="G472" s="518"/>
      <c r="H472" s="518"/>
      <c r="I472" s="518"/>
      <c r="J472" s="518"/>
      <c r="K472" s="89"/>
      <c r="L472" s="518"/>
      <c r="M472" s="518"/>
      <c r="N472" s="518"/>
      <c r="O472" s="518"/>
      <c r="P472" s="89"/>
      <c r="Q472" s="518"/>
      <c r="R472" s="518"/>
      <c r="S472" s="518"/>
      <c r="T472" s="518"/>
      <c r="U472" s="89"/>
      <c r="V472" s="518"/>
      <c r="W472" s="518"/>
      <c r="X472" s="518"/>
      <c r="Y472" s="518"/>
      <c r="Z472" s="89"/>
      <c r="AA472" s="518"/>
      <c r="AB472" s="518"/>
      <c r="AC472" s="518"/>
      <c r="AD472" s="518"/>
      <c r="AE472" s="89"/>
      <c r="AF472" s="518"/>
      <c r="AG472" s="518"/>
      <c r="AH472" s="518"/>
      <c r="AI472" s="518"/>
      <c r="AJ472" s="89"/>
      <c r="AK472" s="518"/>
      <c r="AL472" s="518"/>
      <c r="AM472" s="518"/>
      <c r="AN472" s="518"/>
      <c r="AO472" s="89"/>
      <c r="AP472" s="609">
        <v>164.215</v>
      </c>
      <c r="AQ472" s="609">
        <v>290.39499999999998</v>
      </c>
      <c r="AR472" s="609">
        <v>290.39499999999998</v>
      </c>
      <c r="AS472" s="518">
        <f t="shared" si="1001"/>
        <v>290.39499999999998</v>
      </c>
      <c r="AT472" s="675">
        <v>290.39499999999998</v>
      </c>
      <c r="AU472" s="518"/>
      <c r="AV472" s="518"/>
      <c r="AW472" s="518"/>
      <c r="AX472" s="518">
        <f t="shared" si="1002"/>
        <v>0</v>
      </c>
      <c r="AY472" s="89"/>
      <c r="AZ472" s="518"/>
      <c r="BA472" s="518"/>
      <c r="BB472" s="609">
        <v>1.649</v>
      </c>
      <c r="BC472" s="518">
        <f t="shared" si="1003"/>
        <v>32.820999999999998</v>
      </c>
      <c r="BD472" s="675">
        <v>32.820999999999998</v>
      </c>
      <c r="BE472" s="609">
        <v>23.355</v>
      </c>
      <c r="BF472" s="609">
        <v>50.613</v>
      </c>
      <c r="BG472" s="609">
        <v>89.613</v>
      </c>
      <c r="BH472" s="518">
        <f t="shared" si="1004"/>
        <v>117.916</v>
      </c>
      <c r="BI472" s="675">
        <v>117.916</v>
      </c>
      <c r="BJ472" s="609">
        <v>25.395</v>
      </c>
      <c r="BK472" s="609">
        <v>49.094999999999999</v>
      </c>
      <c r="BL472" s="610">
        <v>83.38</v>
      </c>
      <c r="BM472" s="518"/>
      <c r="BN472" s="89"/>
      <c r="BO472" s="518"/>
      <c r="BP472" s="518"/>
      <c r="BQ472" s="518"/>
      <c r="BR472" s="518"/>
      <c r="BS472" s="89"/>
      <c r="BT472" s="89"/>
      <c r="BU472" s="89"/>
      <c r="BV472" s="89"/>
      <c r="BW472" s="519"/>
    </row>
    <row r="473" spans="1:75" s="439" customFormat="1" outlineLevel="1">
      <c r="A473" s="31" t="s">
        <v>462</v>
      </c>
      <c r="B473" s="53"/>
      <c r="C473" s="675">
        <v>-1</v>
      </c>
      <c r="D473" s="89"/>
      <c r="E473" s="89"/>
      <c r="F473" s="89"/>
      <c r="G473" s="518"/>
      <c r="H473" s="518"/>
      <c r="I473" s="518"/>
      <c r="J473" s="518">
        <f>K473</f>
        <v>0</v>
      </c>
      <c r="K473" s="89"/>
      <c r="L473" s="518"/>
      <c r="M473" s="609">
        <v>-122.226</v>
      </c>
      <c r="N473" s="609">
        <v>-148.35900000000001</v>
      </c>
      <c r="O473" s="518">
        <f>P473</f>
        <v>-210.459</v>
      </c>
      <c r="P473" s="675">
        <v>-210.459</v>
      </c>
      <c r="Q473" s="609">
        <v>-36.119999999999997</v>
      </c>
      <c r="R473" s="609">
        <v>-93.914000000000001</v>
      </c>
      <c r="S473" s="609">
        <v>-172.71700000000001</v>
      </c>
      <c r="T473" s="518">
        <f>U473</f>
        <v>-246.16</v>
      </c>
      <c r="U473" s="675">
        <v>-246.16</v>
      </c>
      <c r="V473" s="609">
        <v>-92.100999999999999</v>
      </c>
      <c r="W473" s="609">
        <v>-161.85400000000001</v>
      </c>
      <c r="X473" s="609">
        <v>-221.77099999999999</v>
      </c>
      <c r="Y473" s="518">
        <f>Z473</f>
        <v>-274.96499999999997</v>
      </c>
      <c r="Z473" s="675">
        <v>-274.96499999999997</v>
      </c>
      <c r="AA473" s="609">
        <v>-73.971000000000004</v>
      </c>
      <c r="AB473" s="609">
        <v>-124.855</v>
      </c>
      <c r="AC473" s="609">
        <v>-179.55699999999999</v>
      </c>
      <c r="AD473" s="518">
        <f>AE473</f>
        <v>-354.89499999999998</v>
      </c>
      <c r="AE473" s="675">
        <v>-354.89499999999998</v>
      </c>
      <c r="AF473" s="609">
        <v>-280.89299999999997</v>
      </c>
      <c r="AG473" s="609">
        <v>-403.32400000000001</v>
      </c>
      <c r="AH473" s="609">
        <v>-572.78800000000001</v>
      </c>
      <c r="AI473" s="518">
        <f>AJ473</f>
        <v>-751.23699999999997</v>
      </c>
      <c r="AJ473" s="675">
        <v>-751.23699999999997</v>
      </c>
      <c r="AK473" s="609">
        <v>-157.56700000000001</v>
      </c>
      <c r="AL473" s="609">
        <v>-289.10000000000002</v>
      </c>
      <c r="AM473" s="609">
        <v>-396.64800000000002</v>
      </c>
      <c r="AN473" s="518">
        <f>AO473</f>
        <v>-541.45100000000002</v>
      </c>
      <c r="AO473" s="675">
        <v>-541.45100000000002</v>
      </c>
      <c r="AP473" s="609">
        <v>-87.438000000000002</v>
      </c>
      <c r="AQ473" s="609">
        <v>-87.438000000000002</v>
      </c>
      <c r="AR473" s="609">
        <v>-87.438000000000002</v>
      </c>
      <c r="AS473" s="518">
        <f>AT473</f>
        <v>-87.438000000000002</v>
      </c>
      <c r="AT473" s="675">
        <v>-87.438000000000002</v>
      </c>
      <c r="AU473" s="518"/>
      <c r="AV473" s="518"/>
      <c r="AW473" s="518"/>
      <c r="AX473" s="518">
        <f t="shared" si="1002"/>
        <v>0</v>
      </c>
      <c r="AY473" s="89"/>
      <c r="AZ473" s="518"/>
      <c r="BA473" s="518"/>
      <c r="BB473" s="609">
        <v>-92.894999999999996</v>
      </c>
      <c r="BC473" s="518">
        <f t="shared" si="1003"/>
        <v>-127.08</v>
      </c>
      <c r="BD473" s="675">
        <v>-127.08</v>
      </c>
      <c r="BE473" s="609">
        <v>-53.156999999999996</v>
      </c>
      <c r="BF473" s="609">
        <v>-82.491</v>
      </c>
      <c r="BG473" s="609">
        <v>-115.38800000000001</v>
      </c>
      <c r="BH473" s="518">
        <f t="shared" si="1004"/>
        <v>-148.44800000000001</v>
      </c>
      <c r="BI473" s="675">
        <v>-148.44800000000001</v>
      </c>
      <c r="BJ473" s="609">
        <v>-22.419</v>
      </c>
      <c r="BK473" s="609">
        <v>-53.301000000000002</v>
      </c>
      <c r="BL473" s="610">
        <v>-89.251000000000005</v>
      </c>
      <c r="BM473" s="518"/>
      <c r="BN473" s="89"/>
      <c r="BO473" s="518"/>
      <c r="BP473" s="518"/>
      <c r="BQ473" s="518"/>
      <c r="BR473" s="518"/>
      <c r="BS473" s="89"/>
      <c r="BT473" s="89"/>
      <c r="BU473" s="89"/>
      <c r="BV473" s="89"/>
      <c r="BW473" s="519"/>
    </row>
    <row r="474" spans="1:75" s="439" customFormat="1" outlineLevel="1">
      <c r="A474" s="31" t="s">
        <v>463</v>
      </c>
      <c r="B474" s="53"/>
      <c r="C474" s="89"/>
      <c r="D474" s="89"/>
      <c r="E474" s="89"/>
      <c r="F474" s="89"/>
      <c r="G474" s="518"/>
      <c r="H474" s="518"/>
      <c r="I474" s="518"/>
      <c r="J474" s="518"/>
      <c r="K474" s="89"/>
      <c r="L474" s="518"/>
      <c r="M474" s="518"/>
      <c r="N474" s="518"/>
      <c r="O474" s="518"/>
      <c r="P474" s="89"/>
      <c r="Q474" s="518"/>
      <c r="R474" s="518"/>
      <c r="S474" s="518"/>
      <c r="T474" s="518"/>
      <c r="U474" s="89"/>
      <c r="V474" s="518"/>
      <c r="W474" s="518"/>
      <c r="X474" s="518"/>
      <c r="Y474" s="518"/>
      <c r="Z474" s="89"/>
      <c r="AA474" s="518"/>
      <c r="AB474" s="518"/>
      <c r="AC474" s="518"/>
      <c r="AD474" s="518"/>
      <c r="AE474" s="89"/>
      <c r="AF474" s="518"/>
      <c r="AG474" s="518"/>
      <c r="AH474" s="518"/>
      <c r="AI474" s="518">
        <f>AJ474</f>
        <v>17.895</v>
      </c>
      <c r="AJ474" s="675">
        <v>17.895</v>
      </c>
      <c r="AK474" s="518"/>
      <c r="AL474" s="518"/>
      <c r="AM474" s="518"/>
      <c r="AN474" s="518">
        <f>AO474</f>
        <v>0</v>
      </c>
      <c r="AO474" s="675">
        <v>0</v>
      </c>
      <c r="AP474" s="518"/>
      <c r="AQ474" s="518"/>
      <c r="AR474" s="518"/>
      <c r="AS474" s="518">
        <f>AT474</f>
        <v>0</v>
      </c>
      <c r="AT474" s="89"/>
      <c r="AU474" s="518"/>
      <c r="AV474" s="518"/>
      <c r="AW474" s="518"/>
      <c r="AX474" s="518">
        <f t="shared" si="1002"/>
        <v>0</v>
      </c>
      <c r="AY474" s="89"/>
      <c r="AZ474" s="518"/>
      <c r="BA474" s="518"/>
      <c r="BB474" s="518"/>
      <c r="BC474" s="518">
        <f t="shared" si="1003"/>
        <v>0</v>
      </c>
      <c r="BD474" s="89"/>
      <c r="BE474" s="518"/>
      <c r="BF474" s="518"/>
      <c r="BG474" s="518"/>
      <c r="BH474" s="518">
        <f t="shared" si="1004"/>
        <v>0</v>
      </c>
      <c r="BI474" s="89"/>
      <c r="BJ474" s="518"/>
      <c r="BK474" s="518"/>
      <c r="BL474" s="520"/>
      <c r="BM474" s="518"/>
      <c r="BN474" s="89"/>
      <c r="BO474" s="518"/>
      <c r="BP474" s="518"/>
      <c r="BQ474" s="518"/>
      <c r="BR474" s="518"/>
      <c r="BS474" s="89"/>
      <c r="BT474" s="89"/>
      <c r="BU474" s="89"/>
      <c r="BV474" s="89"/>
      <c r="BW474" s="519"/>
    </row>
    <row r="475" spans="1:75" s="439" customFormat="1" outlineLevel="1">
      <c r="A475" s="31" t="s">
        <v>464</v>
      </c>
      <c r="B475" s="53"/>
      <c r="C475" s="675">
        <v>3.2909999999999999</v>
      </c>
      <c r="D475" s="89"/>
      <c r="E475" s="89"/>
      <c r="F475" s="89"/>
      <c r="G475" s="518"/>
      <c r="H475" s="518"/>
      <c r="I475" s="518"/>
      <c r="J475" s="518">
        <f>K475</f>
        <v>0</v>
      </c>
      <c r="K475" s="89"/>
      <c r="L475" s="518"/>
      <c r="M475" s="518"/>
      <c r="N475" s="609">
        <v>21</v>
      </c>
      <c r="O475" s="518">
        <f>P475</f>
        <v>53.002000000000002</v>
      </c>
      <c r="P475" s="675">
        <v>53.002000000000002</v>
      </c>
      <c r="Q475" s="609">
        <v>18.25</v>
      </c>
      <c r="R475" s="609">
        <v>63.87</v>
      </c>
      <c r="S475" s="609">
        <v>131.87</v>
      </c>
      <c r="T475" s="518">
        <f>U475</f>
        <v>202.87</v>
      </c>
      <c r="U475" s="675">
        <v>202.87</v>
      </c>
      <c r="V475" s="609">
        <v>90.5</v>
      </c>
      <c r="W475" s="609">
        <v>152.5</v>
      </c>
      <c r="X475" s="609">
        <v>212.5</v>
      </c>
      <c r="Y475" s="518">
        <f>Z475</f>
        <v>265.5</v>
      </c>
      <c r="Z475" s="675">
        <v>265.5</v>
      </c>
      <c r="AA475" s="609">
        <v>68</v>
      </c>
      <c r="AB475" s="609">
        <v>140</v>
      </c>
      <c r="AC475" s="609">
        <v>191</v>
      </c>
      <c r="AD475" s="518">
        <f>AE475</f>
        <v>264</v>
      </c>
      <c r="AE475" s="675">
        <v>264</v>
      </c>
      <c r="AF475" s="609">
        <v>143</v>
      </c>
      <c r="AG475" s="609">
        <v>290</v>
      </c>
      <c r="AH475" s="609">
        <v>460.8</v>
      </c>
      <c r="AI475" s="518">
        <f>AJ475</f>
        <v>613.70000000000005</v>
      </c>
      <c r="AJ475" s="675">
        <v>613.70000000000005</v>
      </c>
      <c r="AK475" s="611">
        <v>201.49700000000001</v>
      </c>
      <c r="AL475" s="609">
        <v>397.197</v>
      </c>
      <c r="AM475" s="609">
        <v>530.59699999999998</v>
      </c>
      <c r="AN475" s="518">
        <f>AO475</f>
        <v>674.09699999999998</v>
      </c>
      <c r="AO475" s="675">
        <v>674.09699999999998</v>
      </c>
      <c r="AP475" s="611">
        <v>93.2</v>
      </c>
      <c r="AQ475" s="609">
        <v>93.2</v>
      </c>
      <c r="AR475" s="609">
        <v>93.2</v>
      </c>
      <c r="AS475" s="518">
        <f>AT475</f>
        <v>93.2</v>
      </c>
      <c r="AT475" s="675">
        <v>93.2</v>
      </c>
      <c r="AU475" s="521"/>
      <c r="AV475" s="518"/>
      <c r="AW475" s="518"/>
      <c r="AX475" s="518">
        <f t="shared" si="1002"/>
        <v>0</v>
      </c>
      <c r="AY475" s="89"/>
      <c r="AZ475" s="521"/>
      <c r="BA475" s="518"/>
      <c r="BB475" s="518"/>
      <c r="BC475" s="518">
        <f t="shared" si="1003"/>
        <v>0</v>
      </c>
      <c r="BD475" s="89"/>
      <c r="BE475" s="521"/>
      <c r="BF475" s="518"/>
      <c r="BG475" s="518"/>
      <c r="BH475" s="518">
        <f t="shared" si="1004"/>
        <v>2.5</v>
      </c>
      <c r="BI475" s="675">
        <v>2.5</v>
      </c>
      <c r="BJ475" s="521"/>
      <c r="BK475" s="518"/>
      <c r="BL475" s="520"/>
      <c r="BM475" s="518"/>
      <c r="BN475" s="89"/>
      <c r="BO475" s="518"/>
      <c r="BP475" s="518"/>
      <c r="BQ475" s="518"/>
      <c r="BR475" s="518"/>
      <c r="BS475" s="89"/>
      <c r="BT475" s="89"/>
      <c r="BU475" s="89"/>
      <c r="BV475" s="89"/>
      <c r="BW475" s="519"/>
    </row>
    <row r="476" spans="1:75" s="444" customFormat="1" outlineLevel="1">
      <c r="A476" s="18" t="s">
        <v>465</v>
      </c>
      <c r="B476" s="49"/>
      <c r="C476" s="676">
        <f t="shared" ref="C476:AH476" si="1005">SUM(C461:C475)</f>
        <v>0.77499999999999991</v>
      </c>
      <c r="D476" s="676">
        <f t="shared" si="1005"/>
        <v>-4.8000000000000007</v>
      </c>
      <c r="E476" s="676">
        <f t="shared" si="1005"/>
        <v>-7.4530000000000003</v>
      </c>
      <c r="F476" s="676">
        <f t="shared" si="1005"/>
        <v>-40.591999999999999</v>
      </c>
      <c r="G476" s="560">
        <f t="shared" si="1005"/>
        <v>-1.9119999999999999</v>
      </c>
      <c r="H476" s="560">
        <f t="shared" si="1005"/>
        <v>-7.7200000000000006</v>
      </c>
      <c r="I476" s="560">
        <f t="shared" si="1005"/>
        <v>-15.484</v>
      </c>
      <c r="J476" s="560">
        <f t="shared" si="1005"/>
        <v>-18.826999999999998</v>
      </c>
      <c r="K476" s="676">
        <f t="shared" si="1005"/>
        <v>-18.826999999999998</v>
      </c>
      <c r="L476" s="560">
        <f t="shared" si="1005"/>
        <v>-6.2350000000000012</v>
      </c>
      <c r="M476" s="560">
        <f t="shared" si="1005"/>
        <v>-134.148</v>
      </c>
      <c r="N476" s="560">
        <f t="shared" si="1005"/>
        <v>-159.14700000000002</v>
      </c>
      <c r="O476" s="560">
        <f t="shared" si="1005"/>
        <v>-228.67399999999998</v>
      </c>
      <c r="P476" s="676">
        <f t="shared" si="1005"/>
        <v>-228.67399999999998</v>
      </c>
      <c r="Q476" s="560">
        <f t="shared" si="1005"/>
        <v>-103.715</v>
      </c>
      <c r="R476" s="560">
        <f t="shared" si="1005"/>
        <v>-126.07</v>
      </c>
      <c r="S476" s="560">
        <f t="shared" si="1005"/>
        <v>-147.15899999999999</v>
      </c>
      <c r="T476" s="560">
        <f t="shared" si="1005"/>
        <v>-158.68200000000002</v>
      </c>
      <c r="U476" s="676">
        <f t="shared" si="1005"/>
        <v>-158.68200000000002</v>
      </c>
      <c r="V476" s="560">
        <f t="shared" si="1005"/>
        <v>-13.191000000000003</v>
      </c>
      <c r="W476" s="560">
        <f t="shared" si="1005"/>
        <v>-29.733000000000004</v>
      </c>
      <c r="X476" s="560">
        <f t="shared" si="1005"/>
        <v>-46.591999999999985</v>
      </c>
      <c r="Y476" s="560">
        <f t="shared" si="1005"/>
        <v>-55.572000000000003</v>
      </c>
      <c r="Z476" s="676">
        <f t="shared" si="1005"/>
        <v>-55.572000000000003</v>
      </c>
      <c r="AA476" s="560">
        <f t="shared" si="1005"/>
        <v>-43.435000000000002</v>
      </c>
      <c r="AB476" s="560">
        <f t="shared" si="1005"/>
        <v>-47.449999999999989</v>
      </c>
      <c r="AC476" s="560">
        <f t="shared" si="1005"/>
        <v>-59.159999999999968</v>
      </c>
      <c r="AD476" s="560">
        <f t="shared" si="1005"/>
        <v>81.136000000000024</v>
      </c>
      <c r="AE476" s="676">
        <f t="shared" si="1005"/>
        <v>81.136000000000024</v>
      </c>
      <c r="AF476" s="560">
        <f t="shared" si="1005"/>
        <v>-153.49099999999999</v>
      </c>
      <c r="AG476" s="560">
        <f t="shared" si="1005"/>
        <v>-138.447</v>
      </c>
      <c r="AH476" s="560">
        <f t="shared" si="1005"/>
        <v>-145.86100000000005</v>
      </c>
      <c r="AI476" s="560">
        <f t="shared" ref="AI476:AQ476" si="1006">SUM(AI461:AI475)</f>
        <v>-164.36899999999991</v>
      </c>
      <c r="AJ476" s="676">
        <f t="shared" si="1006"/>
        <v>-164.36899999999991</v>
      </c>
      <c r="AK476" s="560">
        <f t="shared" si="1006"/>
        <v>35.153999999999996</v>
      </c>
      <c r="AL476" s="560">
        <f t="shared" si="1006"/>
        <v>117.90899999999999</v>
      </c>
      <c r="AM476" s="560">
        <f t="shared" si="1006"/>
        <v>133.13199999999995</v>
      </c>
      <c r="AN476" s="560">
        <f t="shared" si="1006"/>
        <v>124.33499999999992</v>
      </c>
      <c r="AO476" s="676">
        <f t="shared" si="1006"/>
        <v>124.33499999999992</v>
      </c>
      <c r="AP476" s="560">
        <f t="shared" si="1006"/>
        <v>163.21899999999999</v>
      </c>
      <c r="AQ476" s="560">
        <f t="shared" si="1006"/>
        <v>279.48099999999999</v>
      </c>
      <c r="AR476" s="560">
        <f t="shared" ref="AR476:AW476" si="1007">SUM(AR461:AR475)</f>
        <v>272.41399999999999</v>
      </c>
      <c r="AS476" s="560">
        <f t="shared" si="1007"/>
        <v>248.35899999999998</v>
      </c>
      <c r="AT476" s="676">
        <f t="shared" si="1007"/>
        <v>248.35899999999998</v>
      </c>
      <c r="AU476" s="560">
        <f t="shared" si="1007"/>
        <v>-5.976</v>
      </c>
      <c r="AV476" s="560">
        <f t="shared" si="1007"/>
        <v>-13.196</v>
      </c>
      <c r="AW476" s="560">
        <f t="shared" si="1007"/>
        <v>-21.259</v>
      </c>
      <c r="AX476" s="560">
        <f t="shared" ref="AX476:BA476" si="1008">SUM(AX461:AX475)</f>
        <v>-27.65</v>
      </c>
      <c r="AY476" s="676">
        <f t="shared" si="1008"/>
        <v>-27.65</v>
      </c>
      <c r="AZ476" s="560">
        <f t="shared" si="1008"/>
        <v>-6.5750000000000002</v>
      </c>
      <c r="BA476" s="560">
        <f t="shared" si="1008"/>
        <v>-14.478999999999999</v>
      </c>
      <c r="BB476" s="560">
        <f t="shared" ref="BB476:BD476" si="1009">SUM(BB461:BB475)</f>
        <v>-111.30699999999999</v>
      </c>
      <c r="BC476" s="560">
        <f t="shared" si="1009"/>
        <v>-126.14400000000001</v>
      </c>
      <c r="BD476" s="676">
        <f t="shared" si="1009"/>
        <v>-126.14400000000001</v>
      </c>
      <c r="BE476" s="560">
        <f t="shared" ref="BE476:BI476" si="1010">SUM(BE461:BE475)</f>
        <v>-37.279999999999994</v>
      </c>
      <c r="BF476" s="560">
        <f t="shared" si="1010"/>
        <v>-46.884999999999998</v>
      </c>
      <c r="BG476" s="560">
        <f t="shared" si="1010"/>
        <v>-46.465000000000003</v>
      </c>
      <c r="BH476" s="560">
        <f t="shared" si="1010"/>
        <v>-54.684000000000012</v>
      </c>
      <c r="BI476" s="676">
        <f t="shared" si="1010"/>
        <v>-54.684000000000012</v>
      </c>
      <c r="BJ476" s="560">
        <f>SUM(BJ461:BJ475)</f>
        <v>-6.402000000000001</v>
      </c>
      <c r="BK476" s="560">
        <f>SUM(BK461:BK475)</f>
        <v>-23.046000000000003</v>
      </c>
      <c r="BL476" s="561">
        <f>SUM(BL461:BL475)</f>
        <v>-34.440000000000012</v>
      </c>
      <c r="BM476" s="560"/>
      <c r="BN476" s="676"/>
      <c r="BO476" s="560"/>
      <c r="BP476" s="560"/>
      <c r="BQ476" s="560"/>
      <c r="BR476" s="560"/>
      <c r="BS476" s="676"/>
      <c r="BT476" s="676"/>
      <c r="BU476" s="676"/>
      <c r="BV476" s="676"/>
      <c r="BW476" s="318"/>
    </row>
    <row r="477" spans="1:75" s="444" customFormat="1" outlineLevel="1">
      <c r="A477" s="28"/>
      <c r="B477" s="30"/>
      <c r="C477" s="700"/>
      <c r="D477" s="700"/>
      <c r="E477" s="700"/>
      <c r="F477" s="700"/>
      <c r="G477" s="523"/>
      <c r="H477" s="523"/>
      <c r="I477" s="523"/>
      <c r="J477" s="523"/>
      <c r="K477" s="700"/>
      <c r="L477" s="523"/>
      <c r="M477" s="523"/>
      <c r="N477" s="523"/>
      <c r="O477" s="523"/>
      <c r="P477" s="700"/>
      <c r="Q477" s="523"/>
      <c r="R477" s="523"/>
      <c r="S477" s="523"/>
      <c r="T477" s="523"/>
      <c r="U477" s="700"/>
      <c r="V477" s="523"/>
      <c r="W477" s="523"/>
      <c r="X477" s="523"/>
      <c r="Y477" s="523"/>
      <c r="Z477" s="700"/>
      <c r="AA477" s="523"/>
      <c r="AB477" s="523"/>
      <c r="AC477" s="523"/>
      <c r="AD477" s="523"/>
      <c r="AE477" s="700"/>
      <c r="AF477" s="523"/>
      <c r="AG477" s="523"/>
      <c r="AH477" s="523"/>
      <c r="AI477" s="523"/>
      <c r="AJ477" s="700"/>
      <c r="AK477" s="523"/>
      <c r="AL477" s="523"/>
      <c r="AM477" s="523"/>
      <c r="AN477" s="523"/>
      <c r="AO477" s="700"/>
      <c r="AP477" s="523"/>
      <c r="AQ477" s="523"/>
      <c r="AR477" s="523"/>
      <c r="AS477" s="523"/>
      <c r="AT477" s="700"/>
      <c r="AU477" s="523"/>
      <c r="AV477" s="523"/>
      <c r="AW477" s="523"/>
      <c r="AX477" s="523"/>
      <c r="AY477" s="700"/>
      <c r="AZ477" s="523"/>
      <c r="BA477" s="523"/>
      <c r="BB477" s="523"/>
      <c r="BC477" s="523"/>
      <c r="BD477" s="700"/>
      <c r="BE477" s="523"/>
      <c r="BF477" s="523"/>
      <c r="BG477" s="523"/>
      <c r="BH477" s="523"/>
      <c r="BI477" s="700"/>
      <c r="BJ477" s="523"/>
      <c r="BK477" s="523"/>
      <c r="BL477" s="563"/>
      <c r="BM477" s="523"/>
      <c r="BN477" s="700"/>
      <c r="BO477" s="523"/>
      <c r="BP477" s="523"/>
      <c r="BQ477" s="523"/>
      <c r="BR477" s="523"/>
      <c r="BS477" s="700"/>
      <c r="BT477" s="700"/>
      <c r="BU477" s="700"/>
      <c r="BV477" s="700"/>
      <c r="BW477" s="318"/>
    </row>
    <row r="478" spans="1:75" s="444" customFormat="1" outlineLevel="1">
      <c r="A478" s="28" t="s">
        <v>466</v>
      </c>
      <c r="B478" s="30"/>
      <c r="C478" s="700"/>
      <c r="D478" s="700"/>
      <c r="E478" s="700"/>
      <c r="F478" s="700"/>
      <c r="G478" s="523"/>
      <c r="H478" s="523"/>
      <c r="I478" s="523"/>
      <c r="J478" s="523"/>
      <c r="K478" s="700"/>
      <c r="L478" s="523"/>
      <c r="M478" s="523"/>
      <c r="N478" s="523"/>
      <c r="O478" s="523"/>
      <c r="P478" s="700"/>
      <c r="Q478" s="523"/>
      <c r="R478" s="523"/>
      <c r="S478" s="523"/>
      <c r="T478" s="523"/>
      <c r="U478" s="700"/>
      <c r="V478" s="523"/>
      <c r="W478" s="523"/>
      <c r="X478" s="523"/>
      <c r="Y478" s="523"/>
      <c r="Z478" s="700"/>
      <c r="AA478" s="523"/>
      <c r="AB478" s="523"/>
      <c r="AC478" s="523"/>
      <c r="AD478" s="523"/>
      <c r="AE478" s="700"/>
      <c r="AF478" s="523"/>
      <c r="AG478" s="523"/>
      <c r="AH478" s="523"/>
      <c r="AI478" s="523"/>
      <c r="AJ478" s="700"/>
      <c r="AK478" s="523"/>
      <c r="AL478" s="523"/>
      <c r="AM478" s="523"/>
      <c r="AN478" s="523"/>
      <c r="AO478" s="700"/>
      <c r="AP478" s="523"/>
      <c r="AQ478" s="523"/>
      <c r="AR478" s="523"/>
      <c r="AS478" s="523"/>
      <c r="AT478" s="700"/>
      <c r="AU478" s="523"/>
      <c r="AV478" s="523"/>
      <c r="AW478" s="523"/>
      <c r="AX478" s="523"/>
      <c r="AY478" s="700"/>
      <c r="AZ478" s="523"/>
      <c r="BA478" s="523"/>
      <c r="BB478" s="523"/>
      <c r="BC478" s="523"/>
      <c r="BD478" s="700"/>
      <c r="BE478" s="523"/>
      <c r="BF478" s="523"/>
      <c r="BG478" s="523"/>
      <c r="BH478" s="523"/>
      <c r="BI478" s="700"/>
      <c r="BJ478" s="523"/>
      <c r="BK478" s="523"/>
      <c r="BL478" s="563"/>
      <c r="BM478" s="523"/>
      <c r="BN478" s="700"/>
      <c r="BO478" s="523"/>
      <c r="BP478" s="523"/>
      <c r="BQ478" s="523"/>
      <c r="BR478" s="523"/>
      <c r="BS478" s="700"/>
      <c r="BT478" s="700"/>
      <c r="BU478" s="700"/>
      <c r="BV478" s="700"/>
      <c r="BW478" s="318"/>
    </row>
    <row r="479" spans="1:75" s="439" customFormat="1" outlineLevel="1">
      <c r="A479" s="31" t="s">
        <v>467</v>
      </c>
      <c r="B479" s="53"/>
      <c r="C479" s="89"/>
      <c r="D479" s="89"/>
      <c r="E479" s="89"/>
      <c r="F479" s="89"/>
      <c r="G479" s="609">
        <v>1.657</v>
      </c>
      <c r="H479" s="609">
        <v>4.6040000000000001</v>
      </c>
      <c r="I479" s="609">
        <v>9.702</v>
      </c>
      <c r="J479" s="518">
        <f t="shared" ref="J479:J490" si="1011">K479</f>
        <v>0</v>
      </c>
      <c r="K479" s="89"/>
      <c r="L479" s="609">
        <v>6.7350000000000003</v>
      </c>
      <c r="M479" s="609">
        <v>10.840999999999999</v>
      </c>
      <c r="N479" s="609">
        <v>17.315999999999999</v>
      </c>
      <c r="O479" s="518">
        <f t="shared" ref="O479:O490" si="1012">P479</f>
        <v>0</v>
      </c>
      <c r="P479" s="89"/>
      <c r="Q479" s="609">
        <v>3.3980000000000001</v>
      </c>
      <c r="R479" s="609">
        <v>8.5340000000000007</v>
      </c>
      <c r="S479" s="609">
        <v>9.8889999999999993</v>
      </c>
      <c r="T479" s="518">
        <f t="shared" ref="T479:T490" si="1013">U479</f>
        <v>12.255000000000001</v>
      </c>
      <c r="U479" s="675">
        <v>12.255000000000001</v>
      </c>
      <c r="V479" s="609">
        <v>1.0449999999999999</v>
      </c>
      <c r="W479" s="518"/>
      <c r="X479" s="518"/>
      <c r="Y479" s="518">
        <f>Z479</f>
        <v>0</v>
      </c>
      <c r="Z479" s="89"/>
      <c r="AA479" s="518"/>
      <c r="AB479" s="518"/>
      <c r="AC479" s="518"/>
      <c r="AD479" s="518">
        <f t="shared" ref="AD479:AD490" si="1014">AE479</f>
        <v>0</v>
      </c>
      <c r="AE479" s="89"/>
      <c r="AF479" s="518"/>
      <c r="AG479" s="518"/>
      <c r="AH479" s="518"/>
      <c r="AI479" s="518">
        <f t="shared" ref="AI479:AI490" si="1015">AJ479</f>
        <v>0</v>
      </c>
      <c r="AJ479" s="89"/>
      <c r="AK479" s="518"/>
      <c r="AL479" s="518"/>
      <c r="AM479" s="518"/>
      <c r="AN479" s="518">
        <f t="shared" ref="AN479:AN490" si="1016">AO479</f>
        <v>0</v>
      </c>
      <c r="AO479" s="89"/>
      <c r="AP479" s="518"/>
      <c r="AQ479" s="518"/>
      <c r="AR479" s="518"/>
      <c r="AS479" s="518">
        <f t="shared" ref="AS479:AS491" si="1017">AT479</f>
        <v>0</v>
      </c>
      <c r="AT479" s="89"/>
      <c r="AU479" s="518"/>
      <c r="AV479" s="518"/>
      <c r="AW479" s="518"/>
      <c r="AX479" s="518">
        <f t="shared" ref="AX479:AX491" si="1018">AY479</f>
        <v>0</v>
      </c>
      <c r="AY479" s="89"/>
      <c r="AZ479" s="518"/>
      <c r="BA479" s="518"/>
      <c r="BB479" s="518"/>
      <c r="BC479" s="518">
        <f t="shared" ref="BC479:BC491" si="1019">BD479</f>
        <v>0</v>
      </c>
      <c r="BD479" s="89"/>
      <c r="BE479" s="518"/>
      <c r="BF479" s="518"/>
      <c r="BG479" s="518"/>
      <c r="BH479" s="518">
        <f t="shared" ref="BH479:BH491" si="1020">BI479</f>
        <v>0</v>
      </c>
      <c r="BI479" s="89"/>
      <c r="BJ479" s="518"/>
      <c r="BK479" s="518"/>
      <c r="BL479" s="520"/>
      <c r="BM479" s="518"/>
      <c r="BN479" s="89"/>
      <c r="BO479" s="518"/>
      <c r="BP479" s="518"/>
      <c r="BQ479" s="518"/>
      <c r="BR479" s="518"/>
      <c r="BS479" s="89"/>
      <c r="BT479" s="89"/>
      <c r="BU479" s="89"/>
      <c r="BV479" s="89"/>
      <c r="BW479" s="519"/>
    </row>
    <row r="480" spans="1:75" s="439" customFormat="1" outlineLevel="1">
      <c r="A480" s="31" t="s">
        <v>468</v>
      </c>
      <c r="B480" s="53"/>
      <c r="C480" s="89"/>
      <c r="D480" s="89"/>
      <c r="E480" s="89"/>
      <c r="F480" s="675">
        <v>114.006</v>
      </c>
      <c r="G480" s="518"/>
      <c r="H480" s="518"/>
      <c r="I480" s="518"/>
      <c r="J480" s="518">
        <f t="shared" si="1011"/>
        <v>0</v>
      </c>
      <c r="K480" s="89"/>
      <c r="L480" s="518"/>
      <c r="M480" s="518"/>
      <c r="N480" s="518"/>
      <c r="O480" s="518">
        <f t="shared" si="1012"/>
        <v>0</v>
      </c>
      <c r="P480" s="89"/>
      <c r="Q480" s="518"/>
      <c r="R480" s="518"/>
      <c r="S480" s="518"/>
      <c r="T480" s="518">
        <f t="shared" si="1013"/>
        <v>0</v>
      </c>
      <c r="U480" s="89"/>
      <c r="V480" s="518"/>
      <c r="W480" s="518"/>
      <c r="X480" s="518"/>
      <c r="Y480" s="518"/>
      <c r="Z480" s="89"/>
      <c r="AA480" s="518"/>
      <c r="AB480" s="518"/>
      <c r="AC480" s="518"/>
      <c r="AD480" s="518">
        <f t="shared" si="1014"/>
        <v>0</v>
      </c>
      <c r="AE480" s="89"/>
      <c r="AF480" s="518"/>
      <c r="AG480" s="518"/>
      <c r="AH480" s="518"/>
      <c r="AI480" s="518">
        <f t="shared" si="1015"/>
        <v>0</v>
      </c>
      <c r="AJ480" s="89"/>
      <c r="AK480" s="518"/>
      <c r="AL480" s="518"/>
      <c r="AM480" s="518"/>
      <c r="AN480" s="518">
        <f t="shared" si="1016"/>
        <v>0</v>
      </c>
      <c r="AO480" s="89"/>
      <c r="AP480" s="518"/>
      <c r="AQ480" s="518"/>
      <c r="AR480" s="518"/>
      <c r="AS480" s="518">
        <f t="shared" si="1017"/>
        <v>0</v>
      </c>
      <c r="AT480" s="89"/>
      <c r="AU480" s="518"/>
      <c r="AV480" s="518"/>
      <c r="AW480" s="518"/>
      <c r="AX480" s="518">
        <f t="shared" si="1018"/>
        <v>0</v>
      </c>
      <c r="AY480" s="89"/>
      <c r="AZ480" s="518"/>
      <c r="BA480" s="518"/>
      <c r="BB480" s="518"/>
      <c r="BC480" s="518">
        <f t="shared" si="1019"/>
        <v>0</v>
      </c>
      <c r="BD480" s="89"/>
      <c r="BE480" s="518"/>
      <c r="BF480" s="518"/>
      <c r="BG480" s="518"/>
      <c r="BH480" s="518">
        <f t="shared" si="1020"/>
        <v>0</v>
      </c>
      <c r="BI480" s="89"/>
      <c r="BJ480" s="518"/>
      <c r="BK480" s="518"/>
      <c r="BL480" s="520"/>
      <c r="BM480" s="518"/>
      <c r="BN480" s="89"/>
      <c r="BO480" s="518"/>
      <c r="BP480" s="518"/>
      <c r="BQ480" s="518"/>
      <c r="BR480" s="518"/>
      <c r="BS480" s="89"/>
      <c r="BT480" s="89"/>
      <c r="BU480" s="89"/>
      <c r="BV480" s="89"/>
      <c r="BW480" s="519"/>
    </row>
    <row r="481" spans="1:75" s="439" customFormat="1" outlineLevel="1">
      <c r="A481" s="31" t="s">
        <v>469</v>
      </c>
      <c r="B481" s="53"/>
      <c r="C481" s="89"/>
      <c r="D481" s="89"/>
      <c r="E481" s="89"/>
      <c r="F481" s="89"/>
      <c r="G481" s="518"/>
      <c r="H481" s="518"/>
      <c r="I481" s="518"/>
      <c r="J481" s="518">
        <f t="shared" si="1011"/>
        <v>276.52699999999999</v>
      </c>
      <c r="K481" s="675">
        <v>276.52699999999999</v>
      </c>
      <c r="L481" s="518"/>
      <c r="M481" s="518"/>
      <c r="N481" s="518"/>
      <c r="O481" s="518">
        <f t="shared" si="1012"/>
        <v>0</v>
      </c>
      <c r="P481" s="89"/>
      <c r="Q481" s="518"/>
      <c r="R481" s="518"/>
      <c r="S481" s="518"/>
      <c r="T481" s="518">
        <f t="shared" si="1013"/>
        <v>0</v>
      </c>
      <c r="U481" s="89"/>
      <c r="V481" s="518"/>
      <c r="W481" s="518"/>
      <c r="X481" s="518"/>
      <c r="Y481" s="518">
        <f>Z481</f>
        <v>0</v>
      </c>
      <c r="Z481" s="89"/>
      <c r="AA481" s="518"/>
      <c r="AB481" s="518"/>
      <c r="AC481" s="518"/>
      <c r="AD481" s="518">
        <f t="shared" si="1014"/>
        <v>0</v>
      </c>
      <c r="AE481" s="89"/>
      <c r="AF481" s="518"/>
      <c r="AG481" s="518"/>
      <c r="AH481" s="518"/>
      <c r="AI481" s="518">
        <f t="shared" si="1015"/>
        <v>0</v>
      </c>
      <c r="AJ481" s="89"/>
      <c r="AK481" s="518"/>
      <c r="AL481" s="518"/>
      <c r="AM481" s="518"/>
      <c r="AN481" s="518">
        <f t="shared" si="1016"/>
        <v>0</v>
      </c>
      <c r="AO481" s="89"/>
      <c r="AP481" s="518"/>
      <c r="AQ481" s="518"/>
      <c r="AR481" s="518"/>
      <c r="AS481" s="518">
        <f t="shared" si="1017"/>
        <v>0</v>
      </c>
      <c r="AT481" s="89"/>
      <c r="AU481" s="518"/>
      <c r="AV481" s="518"/>
      <c r="AW481" s="518"/>
      <c r="AX481" s="518">
        <f t="shared" si="1018"/>
        <v>0</v>
      </c>
      <c r="AY481" s="89"/>
      <c r="AZ481" s="518"/>
      <c r="BA481" s="518"/>
      <c r="BB481" s="518"/>
      <c r="BC481" s="518">
        <f t="shared" si="1019"/>
        <v>0</v>
      </c>
      <c r="BD481" s="89"/>
      <c r="BE481" s="518"/>
      <c r="BF481" s="518"/>
      <c r="BG481" s="518"/>
      <c r="BH481" s="518">
        <f t="shared" si="1020"/>
        <v>0</v>
      </c>
      <c r="BI481" s="89"/>
      <c r="BJ481" s="518"/>
      <c r="BK481" s="518"/>
      <c r="BL481" s="520"/>
      <c r="BM481" s="518"/>
      <c r="BN481" s="89"/>
      <c r="BO481" s="518"/>
      <c r="BP481" s="518"/>
      <c r="BQ481" s="518"/>
      <c r="BR481" s="518"/>
      <c r="BS481" s="89"/>
      <c r="BT481" s="89"/>
      <c r="BU481" s="89"/>
      <c r="BV481" s="89"/>
      <c r="BW481" s="519"/>
    </row>
    <row r="482" spans="1:75" s="439" customFormat="1" outlineLevel="1">
      <c r="A482" s="31" t="s">
        <v>470</v>
      </c>
      <c r="B482" s="53"/>
      <c r="C482" s="89"/>
      <c r="D482" s="89"/>
      <c r="E482" s="675">
        <v>-0.45600000000000002</v>
      </c>
      <c r="F482" s="675">
        <v>-2.2000000000000002</v>
      </c>
      <c r="G482" s="518"/>
      <c r="H482" s="518"/>
      <c r="I482" s="518"/>
      <c r="J482" s="518">
        <f t="shared" si="1011"/>
        <v>0</v>
      </c>
      <c r="K482" s="89"/>
      <c r="L482" s="518"/>
      <c r="M482" s="518"/>
      <c r="N482" s="518"/>
      <c r="O482" s="518">
        <f t="shared" si="1012"/>
        <v>0</v>
      </c>
      <c r="P482" s="89"/>
      <c r="Q482" s="518"/>
      <c r="R482" s="518"/>
      <c r="S482" s="518"/>
      <c r="T482" s="518">
        <f t="shared" si="1013"/>
        <v>0</v>
      </c>
      <c r="U482" s="89"/>
      <c r="V482" s="518"/>
      <c r="W482" s="518"/>
      <c r="X482" s="518"/>
      <c r="Y482" s="518"/>
      <c r="Z482" s="89"/>
      <c r="AA482" s="518"/>
      <c r="AB482" s="518"/>
      <c r="AC482" s="518"/>
      <c r="AD482" s="518">
        <f t="shared" si="1014"/>
        <v>0</v>
      </c>
      <c r="AE482" s="89"/>
      <c r="AF482" s="518"/>
      <c r="AG482" s="518"/>
      <c r="AH482" s="518"/>
      <c r="AI482" s="518">
        <f t="shared" si="1015"/>
        <v>0</v>
      </c>
      <c r="AJ482" s="89"/>
      <c r="AK482" s="518"/>
      <c r="AL482" s="518"/>
      <c r="AM482" s="518"/>
      <c r="AN482" s="518">
        <f t="shared" si="1016"/>
        <v>0</v>
      </c>
      <c r="AO482" s="89"/>
      <c r="AP482" s="518"/>
      <c r="AQ482" s="518"/>
      <c r="AR482" s="518"/>
      <c r="AS482" s="518">
        <f t="shared" si="1017"/>
        <v>0</v>
      </c>
      <c r="AT482" s="89"/>
      <c r="AU482" s="518"/>
      <c r="AV482" s="518"/>
      <c r="AW482" s="518"/>
      <c r="AX482" s="518">
        <f t="shared" si="1018"/>
        <v>0</v>
      </c>
      <c r="AY482" s="89"/>
      <c r="AZ482" s="518"/>
      <c r="BA482" s="518"/>
      <c r="BB482" s="518"/>
      <c r="BC482" s="518">
        <f t="shared" si="1019"/>
        <v>0</v>
      </c>
      <c r="BD482" s="89"/>
      <c r="BE482" s="518"/>
      <c r="BF482" s="518"/>
      <c r="BG482" s="518"/>
      <c r="BH482" s="518">
        <f t="shared" si="1020"/>
        <v>0</v>
      </c>
      <c r="BI482" s="89"/>
      <c r="BJ482" s="518"/>
      <c r="BK482" s="518"/>
      <c r="BL482" s="520"/>
      <c r="BM482" s="518"/>
      <c r="BN482" s="89"/>
      <c r="BO482" s="518"/>
      <c r="BP482" s="518"/>
      <c r="BQ482" s="518"/>
      <c r="BR482" s="518"/>
      <c r="BS482" s="89"/>
      <c r="BT482" s="89"/>
      <c r="BU482" s="89"/>
      <c r="BV482" s="89"/>
      <c r="BW482" s="519"/>
    </row>
    <row r="483" spans="1:75" s="439" customFormat="1" outlineLevel="1">
      <c r="A483" s="31" t="s">
        <v>471</v>
      </c>
      <c r="B483" s="53"/>
      <c r="C483" s="675">
        <v>4.5999999999999999E-2</v>
      </c>
      <c r="D483" s="675">
        <v>0.439</v>
      </c>
      <c r="E483" s="675">
        <v>2.0379999999999998</v>
      </c>
      <c r="F483" s="675">
        <v>3.6749999999999998</v>
      </c>
      <c r="G483" s="518"/>
      <c r="H483" s="518"/>
      <c r="I483" s="518"/>
      <c r="J483" s="518">
        <f t="shared" si="1011"/>
        <v>13.554</v>
      </c>
      <c r="K483" s="675">
        <v>13.554</v>
      </c>
      <c r="L483" s="518"/>
      <c r="M483" s="518"/>
      <c r="N483" s="518"/>
      <c r="O483" s="518">
        <f t="shared" si="1012"/>
        <v>20.164000000000001</v>
      </c>
      <c r="P483" s="675">
        <v>20.164000000000001</v>
      </c>
      <c r="Q483" s="518"/>
      <c r="R483" s="518"/>
      <c r="S483" s="518"/>
      <c r="T483" s="518">
        <f t="shared" si="1013"/>
        <v>0</v>
      </c>
      <c r="U483" s="89"/>
      <c r="V483" s="518"/>
      <c r="W483" s="518"/>
      <c r="X483" s="518"/>
      <c r="Y483" s="518">
        <f>Z483</f>
        <v>0</v>
      </c>
      <c r="Z483" s="89"/>
      <c r="AA483" s="518"/>
      <c r="AB483" s="518"/>
      <c r="AC483" s="518"/>
      <c r="AD483" s="518">
        <f t="shared" si="1014"/>
        <v>0</v>
      </c>
      <c r="AE483" s="89"/>
      <c r="AF483" s="518"/>
      <c r="AG483" s="518"/>
      <c r="AH483" s="518"/>
      <c r="AI483" s="518">
        <f t="shared" si="1015"/>
        <v>0</v>
      </c>
      <c r="AJ483" s="89"/>
      <c r="AK483" s="518"/>
      <c r="AL483" s="518"/>
      <c r="AM483" s="518"/>
      <c r="AN483" s="518">
        <f t="shared" si="1016"/>
        <v>0</v>
      </c>
      <c r="AO483" s="89"/>
      <c r="AP483" s="518"/>
      <c r="AQ483" s="518"/>
      <c r="AR483" s="518"/>
      <c r="AS483" s="518">
        <f t="shared" si="1017"/>
        <v>0</v>
      </c>
      <c r="AT483" s="89"/>
      <c r="AU483" s="518"/>
      <c r="AV483" s="518"/>
      <c r="AW483" s="518"/>
      <c r="AX483" s="518">
        <f t="shared" si="1018"/>
        <v>0</v>
      </c>
      <c r="AY483" s="89"/>
      <c r="AZ483" s="518"/>
      <c r="BA483" s="518"/>
      <c r="BB483" s="518"/>
      <c r="BC483" s="518">
        <f t="shared" si="1019"/>
        <v>0</v>
      </c>
      <c r="BD483" s="89"/>
      <c r="BE483" s="518"/>
      <c r="BF483" s="518"/>
      <c r="BG483" s="518"/>
      <c r="BH483" s="518">
        <f t="shared" si="1020"/>
        <v>0</v>
      </c>
      <c r="BI483" s="89"/>
      <c r="BJ483" s="518"/>
      <c r="BK483" s="518"/>
      <c r="BL483" s="520"/>
      <c r="BM483" s="518"/>
      <c r="BN483" s="89"/>
      <c r="BO483" s="518"/>
      <c r="BP483" s="518"/>
      <c r="BQ483" s="518"/>
      <c r="BR483" s="518"/>
      <c r="BS483" s="89"/>
      <c r="BT483" s="89"/>
      <c r="BU483" s="89"/>
      <c r="BV483" s="89"/>
      <c r="BW483" s="519"/>
    </row>
    <row r="484" spans="1:75" s="439" customFormat="1" outlineLevel="1">
      <c r="A484" s="31" t="s">
        <v>472</v>
      </c>
      <c r="B484" s="53"/>
      <c r="C484" s="675">
        <v>2.5999999999999999E-2</v>
      </c>
      <c r="D484" s="89"/>
      <c r="E484" s="89"/>
      <c r="F484" s="89"/>
      <c r="G484" s="518"/>
      <c r="H484" s="518"/>
      <c r="I484" s="518"/>
      <c r="J484" s="518">
        <f t="shared" si="1011"/>
        <v>1.96</v>
      </c>
      <c r="K484" s="675">
        <v>1.96</v>
      </c>
      <c r="L484" s="518"/>
      <c r="M484" s="609">
        <v>4.0869999999999997</v>
      </c>
      <c r="N484" s="609">
        <v>4.0869999999999997</v>
      </c>
      <c r="O484" s="518">
        <f t="shared" si="1012"/>
        <v>8.8689999999999998</v>
      </c>
      <c r="P484" s="675">
        <v>8.8689999999999998</v>
      </c>
      <c r="Q484" s="518"/>
      <c r="R484" s="609">
        <v>5.0609999999999999</v>
      </c>
      <c r="S484" s="609">
        <v>5.0609999999999999</v>
      </c>
      <c r="T484" s="518">
        <f t="shared" si="1013"/>
        <v>8.9109999999999996</v>
      </c>
      <c r="U484" s="675">
        <v>8.9109999999999996</v>
      </c>
      <c r="V484" s="518"/>
      <c r="W484" s="609">
        <v>7.8550000000000004</v>
      </c>
      <c r="X484" s="609">
        <v>18.055</v>
      </c>
      <c r="Y484" s="518">
        <f>Z484</f>
        <v>29.521999999999998</v>
      </c>
      <c r="Z484" s="675">
        <v>29.521999999999998</v>
      </c>
      <c r="AA484" s="609">
        <v>3.2869999999999999</v>
      </c>
      <c r="AB484" s="609">
        <v>19.353999999999999</v>
      </c>
      <c r="AC484" s="609">
        <v>29.556000000000001</v>
      </c>
      <c r="AD484" s="518">
        <f t="shared" si="1014"/>
        <v>40.917000000000002</v>
      </c>
      <c r="AE484" s="675">
        <v>40.917000000000002</v>
      </c>
      <c r="AF484" s="609">
        <v>5.6820000000000004</v>
      </c>
      <c r="AG484" s="609">
        <v>16.221</v>
      </c>
      <c r="AH484" s="609">
        <v>21.835000000000001</v>
      </c>
      <c r="AI484" s="518">
        <f t="shared" si="1015"/>
        <v>29.779</v>
      </c>
      <c r="AJ484" s="675">
        <v>29.779</v>
      </c>
      <c r="AK484" s="609">
        <v>1.145</v>
      </c>
      <c r="AL484" s="609">
        <v>11.198</v>
      </c>
      <c r="AM484" s="609">
        <v>15.813000000000001</v>
      </c>
      <c r="AN484" s="518">
        <f t="shared" si="1016"/>
        <v>32.262999999999998</v>
      </c>
      <c r="AO484" s="675">
        <v>32.262999999999998</v>
      </c>
      <c r="AP484" s="609">
        <v>2.585</v>
      </c>
      <c r="AQ484" s="609">
        <v>10.808</v>
      </c>
      <c r="AR484" s="609">
        <v>11.62</v>
      </c>
      <c r="AS484" s="518">
        <f t="shared" si="1017"/>
        <v>27.382000000000001</v>
      </c>
      <c r="AT484" s="675">
        <v>27.382000000000001</v>
      </c>
      <c r="AU484" s="609">
        <v>6.0490000000000004</v>
      </c>
      <c r="AV484" s="609">
        <v>15.587</v>
      </c>
      <c r="AW484" s="609">
        <v>16.806999999999999</v>
      </c>
      <c r="AX484" s="518">
        <f t="shared" si="1018"/>
        <v>24.984000000000002</v>
      </c>
      <c r="AY484" s="675">
        <v>24.984000000000002</v>
      </c>
      <c r="AZ484" s="609">
        <v>0.54</v>
      </c>
      <c r="BA484" s="609">
        <v>11.026</v>
      </c>
      <c r="BB484" s="609">
        <v>16.143000000000001</v>
      </c>
      <c r="BC484" s="518">
        <f t="shared" si="1019"/>
        <v>23.497</v>
      </c>
      <c r="BD484" s="675">
        <v>23.497</v>
      </c>
      <c r="BE484" s="609">
        <v>14.647</v>
      </c>
      <c r="BF484" s="609">
        <v>26.094999999999999</v>
      </c>
      <c r="BG484" s="609">
        <v>28.957999999999998</v>
      </c>
      <c r="BH484" s="518">
        <f t="shared" si="1020"/>
        <v>39.51</v>
      </c>
      <c r="BI484" s="675">
        <v>39.51</v>
      </c>
      <c r="BJ484" s="609">
        <v>0.54800000000000004</v>
      </c>
      <c r="BK484" s="609">
        <v>13.436</v>
      </c>
      <c r="BL484" s="610">
        <v>13.436</v>
      </c>
      <c r="BM484" s="518"/>
      <c r="BN484" s="89"/>
      <c r="BO484" s="518"/>
      <c r="BP484" s="518"/>
      <c r="BQ484" s="518"/>
      <c r="BR484" s="518"/>
      <c r="BS484" s="89"/>
      <c r="BT484" s="89"/>
      <c r="BU484" s="89"/>
      <c r="BV484" s="89"/>
      <c r="BW484" s="519"/>
    </row>
    <row r="485" spans="1:75" s="439" customFormat="1" outlineLevel="1">
      <c r="A485" s="31" t="s">
        <v>473</v>
      </c>
      <c r="B485" s="53"/>
      <c r="C485" s="89"/>
      <c r="D485" s="675">
        <v>24.193999999999999</v>
      </c>
      <c r="E485" s="89"/>
      <c r="F485" s="89"/>
      <c r="G485" s="518"/>
      <c r="H485" s="518"/>
      <c r="I485" s="518"/>
      <c r="J485" s="518">
        <f t="shared" si="1011"/>
        <v>0</v>
      </c>
      <c r="K485" s="89"/>
      <c r="L485" s="518"/>
      <c r="M485" s="518"/>
      <c r="N485" s="518"/>
      <c r="O485" s="518">
        <f t="shared" si="1012"/>
        <v>0</v>
      </c>
      <c r="P485" s="89"/>
      <c r="Q485" s="518"/>
      <c r="R485" s="518"/>
      <c r="S485" s="518"/>
      <c r="T485" s="518">
        <f t="shared" si="1013"/>
        <v>0</v>
      </c>
      <c r="U485" s="89"/>
      <c r="V485" s="518"/>
      <c r="W485" s="518"/>
      <c r="X485" s="518"/>
      <c r="Y485" s="518">
        <f>Z485</f>
        <v>0</v>
      </c>
      <c r="Z485" s="89"/>
      <c r="AA485" s="518"/>
      <c r="AB485" s="518"/>
      <c r="AC485" s="518"/>
      <c r="AD485" s="518">
        <f t="shared" si="1014"/>
        <v>0</v>
      </c>
      <c r="AE485" s="89"/>
      <c r="AF485" s="518"/>
      <c r="AG485" s="518"/>
      <c r="AH485" s="518"/>
      <c r="AI485" s="518">
        <f t="shared" si="1015"/>
        <v>0</v>
      </c>
      <c r="AJ485" s="89"/>
      <c r="AK485" s="518"/>
      <c r="AL485" s="518"/>
      <c r="AM485" s="518"/>
      <c r="AN485" s="518">
        <f t="shared" si="1016"/>
        <v>0</v>
      </c>
      <c r="AO485" s="89"/>
      <c r="AP485" s="518"/>
      <c r="AQ485" s="518"/>
      <c r="AR485" s="518"/>
      <c r="AS485" s="518">
        <f t="shared" si="1017"/>
        <v>0</v>
      </c>
      <c r="AT485" s="89"/>
      <c r="AU485" s="518"/>
      <c r="AV485" s="518"/>
      <c r="AW485" s="518"/>
      <c r="AX485" s="518">
        <f t="shared" si="1018"/>
        <v>0</v>
      </c>
      <c r="AY485" s="89"/>
      <c r="AZ485" s="518"/>
      <c r="BA485" s="518"/>
      <c r="BB485" s="518"/>
      <c r="BC485" s="518">
        <f t="shared" si="1019"/>
        <v>0</v>
      </c>
      <c r="BD485" s="89"/>
      <c r="BE485" s="518"/>
      <c r="BF485" s="518"/>
      <c r="BG485" s="518"/>
      <c r="BH485" s="518">
        <f t="shared" si="1020"/>
        <v>0</v>
      </c>
      <c r="BI485" s="89"/>
      <c r="BJ485" s="518"/>
      <c r="BK485" s="518"/>
      <c r="BL485" s="520"/>
      <c r="BM485" s="518"/>
      <c r="BN485" s="89"/>
      <c r="BO485" s="518"/>
      <c r="BP485" s="518"/>
      <c r="BQ485" s="518"/>
      <c r="BR485" s="518"/>
      <c r="BS485" s="89"/>
      <c r="BT485" s="89"/>
      <c r="BU485" s="89"/>
      <c r="BV485" s="89"/>
      <c r="BW485" s="519"/>
    </row>
    <row r="486" spans="1:75" s="439" customFormat="1" outlineLevel="1">
      <c r="A486" s="31" t="s">
        <v>437</v>
      </c>
      <c r="B486" s="53"/>
      <c r="C486" s="89"/>
      <c r="D486" s="89"/>
      <c r="E486" s="89"/>
      <c r="F486" s="89"/>
      <c r="G486" s="518"/>
      <c r="H486" s="518"/>
      <c r="I486" s="518"/>
      <c r="J486" s="518">
        <f t="shared" si="1011"/>
        <v>0.35299999999999998</v>
      </c>
      <c r="K486" s="675">
        <v>0.35299999999999998</v>
      </c>
      <c r="L486" s="609">
        <v>3.9E-2</v>
      </c>
      <c r="M486" s="609">
        <v>0.46</v>
      </c>
      <c r="N486" s="609">
        <v>0.89900000000000002</v>
      </c>
      <c r="O486" s="518">
        <f t="shared" si="1012"/>
        <v>1.8340000000000001</v>
      </c>
      <c r="P486" s="675">
        <v>1.8340000000000001</v>
      </c>
      <c r="Q486" s="609">
        <v>0.81499999999999995</v>
      </c>
      <c r="R486" s="609">
        <v>3.952</v>
      </c>
      <c r="S486" s="609">
        <v>4.298</v>
      </c>
      <c r="T486" s="518">
        <f t="shared" si="1013"/>
        <v>6.5830000000000002</v>
      </c>
      <c r="U486" s="675">
        <v>6.5830000000000002</v>
      </c>
      <c r="V486" s="518"/>
      <c r="W486" s="518"/>
      <c r="X486" s="518"/>
      <c r="Y486" s="518">
        <f>Z486</f>
        <v>0</v>
      </c>
      <c r="Z486" s="89"/>
      <c r="AA486" s="518"/>
      <c r="AB486" s="518"/>
      <c r="AC486" s="518"/>
      <c r="AD486" s="518">
        <f t="shared" si="1014"/>
        <v>-1.1990000000000001</v>
      </c>
      <c r="AE486" s="675">
        <v>-1.1990000000000001</v>
      </c>
      <c r="AF486" s="609">
        <v>-12.347</v>
      </c>
      <c r="AG486" s="609">
        <v>-27.952999999999999</v>
      </c>
      <c r="AH486" s="609">
        <v>-41.081000000000003</v>
      </c>
      <c r="AI486" s="518">
        <f t="shared" si="1015"/>
        <v>-50.143999999999998</v>
      </c>
      <c r="AJ486" s="675">
        <v>-50.143999999999998</v>
      </c>
      <c r="AK486" s="609">
        <v>-12.497</v>
      </c>
      <c r="AL486" s="609">
        <v>-22.605</v>
      </c>
      <c r="AM486" s="609">
        <v>-32.783999999999999</v>
      </c>
      <c r="AN486" s="518">
        <f t="shared" si="1016"/>
        <v>-42.771000000000001</v>
      </c>
      <c r="AO486" s="675">
        <v>-42.771000000000001</v>
      </c>
      <c r="AP486" s="609">
        <v>-11.513999999999999</v>
      </c>
      <c r="AQ486" s="609">
        <v>-12.557</v>
      </c>
      <c r="AR486" s="609">
        <v>-12.557</v>
      </c>
      <c r="AS486" s="518">
        <f t="shared" si="1017"/>
        <v>-23.605</v>
      </c>
      <c r="AT486" s="675">
        <v>-23.605</v>
      </c>
      <c r="AU486" s="609">
        <v>-16.803000000000001</v>
      </c>
      <c r="AV486" s="609">
        <v>-34.823999999999998</v>
      </c>
      <c r="AW486" s="609">
        <v>-49.18</v>
      </c>
      <c r="AX486" s="518">
        <f t="shared" si="1018"/>
        <v>-62.545000000000002</v>
      </c>
      <c r="AY486" s="675">
        <v>-62.545000000000002</v>
      </c>
      <c r="AZ486" s="609">
        <v>-18.486999999999998</v>
      </c>
      <c r="BA486" s="609">
        <v>-32.045999999999999</v>
      </c>
      <c r="BB486" s="609">
        <v>-48.161000000000001</v>
      </c>
      <c r="BC486" s="518">
        <f t="shared" si="1019"/>
        <v>-61.023000000000003</v>
      </c>
      <c r="BD486" s="675">
        <v>-61.023000000000003</v>
      </c>
      <c r="BE486" s="609">
        <v>-19.353999999999999</v>
      </c>
      <c r="BF486" s="609">
        <v>-38.201000000000001</v>
      </c>
      <c r="BG486" s="609">
        <v>-61.142000000000003</v>
      </c>
      <c r="BH486" s="518">
        <f t="shared" si="1020"/>
        <v>-85.18</v>
      </c>
      <c r="BI486" s="675">
        <v>-85.18</v>
      </c>
      <c r="BJ486" s="609">
        <v>-21.882000000000001</v>
      </c>
      <c r="BK486" s="609">
        <v>-41.19</v>
      </c>
      <c r="BL486" s="610">
        <v>-58.043999999999997</v>
      </c>
      <c r="BM486" s="518"/>
      <c r="BN486" s="89"/>
      <c r="BO486" s="518"/>
      <c r="BP486" s="518"/>
      <c r="BQ486" s="518"/>
      <c r="BR486" s="518"/>
      <c r="BS486" s="89"/>
      <c r="BT486" s="89"/>
      <c r="BU486" s="89"/>
      <c r="BV486" s="89"/>
      <c r="BW486" s="519"/>
    </row>
    <row r="487" spans="1:75" s="439" customFormat="1" outlineLevel="1">
      <c r="A487" s="31" t="s">
        <v>474</v>
      </c>
      <c r="B487" s="53"/>
      <c r="C487" s="89"/>
      <c r="D487" s="89"/>
      <c r="E487" s="89"/>
      <c r="F487" s="89"/>
      <c r="G487" s="609">
        <v>-8.1000000000000003E-2</v>
      </c>
      <c r="H487" s="609">
        <v>-0.193</v>
      </c>
      <c r="I487" s="609">
        <v>-0.36799999999999999</v>
      </c>
      <c r="J487" s="518">
        <f t="shared" si="1011"/>
        <v>-0.67400000000000004</v>
      </c>
      <c r="K487" s="675">
        <v>-0.67400000000000004</v>
      </c>
      <c r="L487" s="609">
        <v>-0.36099999999999999</v>
      </c>
      <c r="M487" s="609">
        <v>-0.64200000000000002</v>
      </c>
      <c r="N487" s="609">
        <v>-1.0349999999999999</v>
      </c>
      <c r="O487" s="518">
        <f t="shared" si="1012"/>
        <v>-1.3180000000000001</v>
      </c>
      <c r="P487" s="675">
        <v>-1.3180000000000001</v>
      </c>
      <c r="Q487" s="609">
        <v>-0.16800000000000001</v>
      </c>
      <c r="R487" s="609">
        <v>-0.39600000000000002</v>
      </c>
      <c r="S487" s="609">
        <v>-0.48199999999999998</v>
      </c>
      <c r="T487" s="518">
        <f t="shared" si="1013"/>
        <v>-0.48199999999999998</v>
      </c>
      <c r="U487" s="675">
        <v>-0.48199999999999998</v>
      </c>
      <c r="V487" s="518"/>
      <c r="W487" s="518"/>
      <c r="X487" s="518"/>
      <c r="Y487" s="518">
        <f>Z487</f>
        <v>0</v>
      </c>
      <c r="Z487" s="89"/>
      <c r="AA487" s="518"/>
      <c r="AB487" s="518"/>
      <c r="AC487" s="609">
        <v>-7.7430000000000003</v>
      </c>
      <c r="AD487" s="518">
        <f t="shared" si="1014"/>
        <v>-12.555999999999999</v>
      </c>
      <c r="AE487" s="675">
        <v>-12.555999999999999</v>
      </c>
      <c r="AF487" s="609">
        <v>-33.308999999999997</v>
      </c>
      <c r="AG487" s="609">
        <v>-65.789000000000001</v>
      </c>
      <c r="AH487" s="609">
        <v>-71.992999999999995</v>
      </c>
      <c r="AI487" s="518">
        <f t="shared" si="1015"/>
        <v>-187.38200000000001</v>
      </c>
      <c r="AJ487" s="675">
        <v>-187.38200000000001</v>
      </c>
      <c r="AK487" s="609">
        <v>-102.126</v>
      </c>
      <c r="AL487" s="609">
        <v>-397.613</v>
      </c>
      <c r="AM487" s="609">
        <v>-474.99299999999999</v>
      </c>
      <c r="AN487" s="518">
        <f t="shared" si="1016"/>
        <v>-481.01100000000002</v>
      </c>
      <c r="AO487" s="675">
        <v>-481.01100000000002</v>
      </c>
      <c r="AP487" s="609">
        <v>0</v>
      </c>
      <c r="AQ487" s="609">
        <v>0</v>
      </c>
      <c r="AR487" s="518"/>
      <c r="AS487" s="518">
        <f t="shared" si="1017"/>
        <v>-24.396000000000001</v>
      </c>
      <c r="AT487" s="675">
        <v>-24.396000000000001</v>
      </c>
      <c r="AU487" s="609">
        <v>-49.527999999999999</v>
      </c>
      <c r="AV487" s="609">
        <v>-114.157</v>
      </c>
      <c r="AW487" s="609">
        <v>-177.83199999999999</v>
      </c>
      <c r="AX487" s="518">
        <f t="shared" si="1018"/>
        <v>-262.928</v>
      </c>
      <c r="AY487" s="675">
        <v>-262.928</v>
      </c>
      <c r="AZ487" s="609">
        <v>-50.006</v>
      </c>
      <c r="BA487" s="609">
        <v>-100.006</v>
      </c>
      <c r="BB487" s="609">
        <v>-150.006</v>
      </c>
      <c r="BC487" s="518">
        <f t="shared" si="1019"/>
        <v>-200.006</v>
      </c>
      <c r="BD487" s="675">
        <v>-200.006</v>
      </c>
      <c r="BE487" s="609">
        <v>-49.999000000000002</v>
      </c>
      <c r="BF487" s="609">
        <v>-100</v>
      </c>
      <c r="BG487" s="609">
        <v>-149.999</v>
      </c>
      <c r="BH487" s="518">
        <f t="shared" si="1020"/>
        <v>-199.999</v>
      </c>
      <c r="BI487" s="675">
        <v>-199.999</v>
      </c>
      <c r="BJ487" s="609">
        <v>-62.5</v>
      </c>
      <c r="BK487" s="609">
        <v>-122.657</v>
      </c>
      <c r="BL487" s="610">
        <v>-188.399</v>
      </c>
      <c r="BM487" s="518"/>
      <c r="BN487" s="89"/>
      <c r="BO487" s="518"/>
      <c r="BP487" s="518"/>
      <c r="BQ487" s="518"/>
      <c r="BR487" s="518"/>
      <c r="BS487" s="89"/>
      <c r="BT487" s="89"/>
      <c r="BU487" s="89"/>
      <c r="BV487" s="89"/>
      <c r="BW487" s="519"/>
    </row>
    <row r="488" spans="1:75" s="439" customFormat="1" outlineLevel="1">
      <c r="A488" s="31" t="s">
        <v>475</v>
      </c>
      <c r="B488" s="53"/>
      <c r="C488" s="89"/>
      <c r="D488" s="89"/>
      <c r="E488" s="89"/>
      <c r="F488" s="675">
        <v>-1.3080000000000001</v>
      </c>
      <c r="G488" s="518"/>
      <c r="H488" s="518"/>
      <c r="I488" s="518"/>
      <c r="J488" s="518">
        <f t="shared" si="1011"/>
        <v>0</v>
      </c>
      <c r="K488" s="89"/>
      <c r="L488" s="518"/>
      <c r="M488" s="518"/>
      <c r="N488" s="518"/>
      <c r="O488" s="518">
        <f t="shared" si="1012"/>
        <v>0</v>
      </c>
      <c r="P488" s="89"/>
      <c r="Q488" s="518"/>
      <c r="R488" s="518"/>
      <c r="S488" s="518"/>
      <c r="T488" s="518">
        <f t="shared" si="1013"/>
        <v>-0.82499999999999996</v>
      </c>
      <c r="U488" s="675">
        <v>-0.82499999999999996</v>
      </c>
      <c r="V488" s="518"/>
      <c r="W488" s="518"/>
      <c r="X488" s="518"/>
      <c r="Y488" s="518"/>
      <c r="Z488" s="89"/>
      <c r="AA488" s="518"/>
      <c r="AB488" s="518"/>
      <c r="AC488" s="518"/>
      <c r="AD488" s="518">
        <f t="shared" si="1014"/>
        <v>0</v>
      </c>
      <c r="AE488" s="89"/>
      <c r="AF488" s="518"/>
      <c r="AG488" s="518"/>
      <c r="AH488" s="518"/>
      <c r="AI488" s="518">
        <f t="shared" si="1015"/>
        <v>0</v>
      </c>
      <c r="AJ488" s="89"/>
      <c r="AK488" s="518"/>
      <c r="AL488" s="518"/>
      <c r="AM488" s="518"/>
      <c r="AN488" s="518">
        <f t="shared" si="1016"/>
        <v>0</v>
      </c>
      <c r="AO488" s="89"/>
      <c r="AP488" s="518"/>
      <c r="AQ488" s="518"/>
      <c r="AR488" s="518"/>
      <c r="AS488" s="518">
        <f t="shared" si="1017"/>
        <v>0</v>
      </c>
      <c r="AT488" s="89"/>
      <c r="AU488" s="518"/>
      <c r="AV488" s="518"/>
      <c r="AW488" s="518"/>
      <c r="AX488" s="518">
        <f t="shared" si="1018"/>
        <v>0</v>
      </c>
      <c r="AY488" s="89"/>
      <c r="AZ488" s="518"/>
      <c r="BA488" s="518"/>
      <c r="BB488" s="518"/>
      <c r="BC488" s="518">
        <f t="shared" si="1019"/>
        <v>0</v>
      </c>
      <c r="BD488" s="89"/>
      <c r="BE488" s="518"/>
      <c r="BF488" s="518"/>
      <c r="BG488" s="518"/>
      <c r="BH488" s="518">
        <f t="shared" si="1020"/>
        <v>0</v>
      </c>
      <c r="BI488" s="89"/>
      <c r="BJ488" s="518"/>
      <c r="BK488" s="518"/>
      <c r="BL488" s="520"/>
      <c r="BM488" s="518"/>
      <c r="BN488" s="89"/>
      <c r="BO488" s="518"/>
      <c r="BP488" s="518"/>
      <c r="BQ488" s="518"/>
      <c r="BR488" s="518"/>
      <c r="BS488" s="89"/>
      <c r="BT488" s="89"/>
      <c r="BU488" s="89"/>
      <c r="BV488" s="89"/>
      <c r="BW488" s="519"/>
    </row>
    <row r="489" spans="1:75" s="439" customFormat="1" outlineLevel="1">
      <c r="A489" s="31" t="s">
        <v>476</v>
      </c>
      <c r="B489" s="53"/>
      <c r="C489" s="89"/>
      <c r="D489" s="89"/>
      <c r="E489" s="89"/>
      <c r="F489" s="89"/>
      <c r="G489" s="518"/>
      <c r="H489" s="518"/>
      <c r="I489" s="518"/>
      <c r="J489" s="518"/>
      <c r="K489" s="89"/>
      <c r="L489" s="518"/>
      <c r="M489" s="518"/>
      <c r="N489" s="518"/>
      <c r="O489" s="518"/>
      <c r="P489" s="89"/>
      <c r="Q489" s="518"/>
      <c r="R489" s="518"/>
      <c r="S489" s="518"/>
      <c r="T489" s="518"/>
      <c r="U489" s="89"/>
      <c r="V489" s="518"/>
      <c r="W489" s="518"/>
      <c r="X489" s="518"/>
      <c r="Y489" s="518"/>
      <c r="Z489" s="89"/>
      <c r="AA489" s="518"/>
      <c r="AB489" s="518"/>
      <c r="AC489" s="518"/>
      <c r="AD489" s="518"/>
      <c r="AE489" s="89"/>
      <c r="AF489" s="518"/>
      <c r="AG489" s="518"/>
      <c r="AH489" s="518"/>
      <c r="AI489" s="518"/>
      <c r="AJ489" s="89"/>
      <c r="AK489" s="518"/>
      <c r="AL489" s="518"/>
      <c r="AM489" s="518"/>
      <c r="AN489" s="518"/>
      <c r="AO489" s="89"/>
      <c r="AP489" s="518"/>
      <c r="AQ489" s="518"/>
      <c r="AR489" s="518"/>
      <c r="AS489" s="518"/>
      <c r="AT489" s="89"/>
      <c r="AU489" s="518"/>
      <c r="AV489" s="518"/>
      <c r="AW489" s="518"/>
      <c r="AX489" s="518"/>
      <c r="AY489" s="89"/>
      <c r="AZ489" s="518"/>
      <c r="BA489" s="518"/>
      <c r="BB489" s="518"/>
      <c r="BC489" s="518">
        <f t="shared" si="1019"/>
        <v>0</v>
      </c>
      <c r="BD489" s="89"/>
      <c r="BE489" s="518"/>
      <c r="BF489" s="609">
        <v>-0.79900000000000004</v>
      </c>
      <c r="BG489" s="609">
        <v>-1.0489999999999999</v>
      </c>
      <c r="BH489" s="518">
        <f t="shared" si="1020"/>
        <v>-1.109</v>
      </c>
      <c r="BI489" s="675">
        <v>-1.109</v>
      </c>
      <c r="BJ489" s="518"/>
      <c r="BK489" s="518"/>
      <c r="BL489" s="520"/>
      <c r="BM489" s="518"/>
      <c r="BN489" s="89"/>
      <c r="BO489" s="518"/>
      <c r="BP489" s="518"/>
      <c r="BQ489" s="518"/>
      <c r="BR489" s="518"/>
      <c r="BS489" s="89"/>
      <c r="BT489" s="89"/>
      <c r="BU489" s="89"/>
      <c r="BV489" s="89"/>
      <c r="BW489" s="519"/>
    </row>
    <row r="490" spans="1:75" s="439" customFormat="1" outlineLevel="1">
      <c r="A490" s="31" t="s">
        <v>477</v>
      </c>
      <c r="B490" s="53"/>
      <c r="C490" s="89"/>
      <c r="D490" s="89"/>
      <c r="E490" s="89"/>
      <c r="F490" s="89"/>
      <c r="G490" s="518"/>
      <c r="H490" s="518"/>
      <c r="I490" s="518"/>
      <c r="J490" s="518">
        <f t="shared" si="1011"/>
        <v>0</v>
      </c>
      <c r="K490" s="89"/>
      <c r="L490" s="518"/>
      <c r="M490" s="518"/>
      <c r="N490" s="518"/>
      <c r="O490" s="518">
        <f t="shared" si="1012"/>
        <v>0</v>
      </c>
      <c r="P490" s="89"/>
      <c r="Q490" s="518"/>
      <c r="R490" s="518"/>
      <c r="S490" s="518"/>
      <c r="T490" s="518">
        <f t="shared" si="1013"/>
        <v>0</v>
      </c>
      <c r="U490" s="89"/>
      <c r="V490" s="518"/>
      <c r="W490" s="518"/>
      <c r="X490" s="518"/>
      <c r="Y490" s="518">
        <f>Z490</f>
        <v>0</v>
      </c>
      <c r="Z490" s="89"/>
      <c r="AA490" s="518"/>
      <c r="AB490" s="518"/>
      <c r="AC490" s="518"/>
      <c r="AD490" s="518">
        <f t="shared" si="1014"/>
        <v>0</v>
      </c>
      <c r="AE490" s="89"/>
      <c r="AF490" s="518"/>
      <c r="AG490" s="518"/>
      <c r="AH490" s="518"/>
      <c r="AI490" s="518">
        <f t="shared" si="1015"/>
        <v>0</v>
      </c>
      <c r="AJ490" s="89"/>
      <c r="AK490" s="518"/>
      <c r="AL490" s="518"/>
      <c r="AM490" s="518"/>
      <c r="AN490" s="518">
        <f t="shared" si="1016"/>
        <v>0</v>
      </c>
      <c r="AO490" s="89"/>
      <c r="AP490" s="518"/>
      <c r="AQ490" s="518"/>
      <c r="AR490" s="518"/>
      <c r="AS490" s="518">
        <f t="shared" si="1017"/>
        <v>0</v>
      </c>
      <c r="AT490" s="89"/>
      <c r="AU490" s="518"/>
      <c r="AV490" s="518"/>
      <c r="AW490" s="518"/>
      <c r="AX490" s="518">
        <f t="shared" si="1018"/>
        <v>0</v>
      </c>
      <c r="AY490" s="89"/>
      <c r="AZ490" s="518"/>
      <c r="BA490" s="518"/>
      <c r="BB490" s="518"/>
      <c r="BC490" s="518">
        <f t="shared" si="1019"/>
        <v>0</v>
      </c>
      <c r="BD490" s="89"/>
      <c r="BE490" s="518"/>
      <c r="BF490" s="518"/>
      <c r="BG490" s="518"/>
      <c r="BH490" s="518">
        <f t="shared" si="1020"/>
        <v>0</v>
      </c>
      <c r="BI490" s="89"/>
      <c r="BJ490" s="518"/>
      <c r="BK490" s="518"/>
      <c r="BL490" s="520"/>
      <c r="BM490" s="518"/>
      <c r="BN490" s="89"/>
      <c r="BO490" s="518"/>
      <c r="BP490" s="518"/>
      <c r="BQ490" s="518"/>
      <c r="BR490" s="518"/>
      <c r="BS490" s="89"/>
      <c r="BT490" s="89"/>
      <c r="BU490" s="89"/>
      <c r="BV490" s="89"/>
      <c r="BW490" s="519"/>
    </row>
    <row r="491" spans="1:75" s="439" customFormat="1" outlineLevel="1">
      <c r="A491" s="31" t="s">
        <v>478</v>
      </c>
      <c r="B491" s="53"/>
      <c r="C491" s="89"/>
      <c r="D491" s="89"/>
      <c r="E491" s="89"/>
      <c r="F491" s="89"/>
      <c r="G491" s="518"/>
      <c r="H491" s="518"/>
      <c r="I491" s="518"/>
      <c r="J491" s="518"/>
      <c r="K491" s="89"/>
      <c r="L491" s="518"/>
      <c r="M491" s="518"/>
      <c r="N491" s="518"/>
      <c r="O491" s="518"/>
      <c r="P491" s="89"/>
      <c r="Q491" s="518"/>
      <c r="R491" s="518"/>
      <c r="S491" s="518"/>
      <c r="T491" s="518"/>
      <c r="U491" s="89"/>
      <c r="V491" s="518"/>
      <c r="W491" s="518"/>
      <c r="X491" s="518"/>
      <c r="Y491" s="518"/>
      <c r="Z491" s="89"/>
      <c r="AA491" s="518"/>
      <c r="AB491" s="518"/>
      <c r="AC491" s="518"/>
      <c r="AD491" s="518"/>
      <c r="AE491" s="89"/>
      <c r="AF491" s="518"/>
      <c r="AG491" s="518"/>
      <c r="AH491" s="518"/>
      <c r="AI491" s="518"/>
      <c r="AJ491" s="89"/>
      <c r="AK491" s="518"/>
      <c r="AL491" s="518"/>
      <c r="AM491" s="518"/>
      <c r="AN491" s="518"/>
      <c r="AO491" s="89"/>
      <c r="AP491" s="518"/>
      <c r="AQ491" s="609">
        <v>-0.35599999999999998</v>
      </c>
      <c r="AR491" s="609">
        <v>-0.433</v>
      </c>
      <c r="AS491" s="518">
        <f t="shared" si="1017"/>
        <v>-0.433</v>
      </c>
      <c r="AT491" s="675">
        <v>-0.433</v>
      </c>
      <c r="AU491" s="518"/>
      <c r="AV491" s="518"/>
      <c r="AW491" s="518"/>
      <c r="AX491" s="518">
        <f t="shared" si="1018"/>
        <v>0</v>
      </c>
      <c r="AY491" s="89"/>
      <c r="AZ491" s="518"/>
      <c r="BA491" s="518"/>
      <c r="BB491" s="518"/>
      <c r="BC491" s="518">
        <f t="shared" si="1019"/>
        <v>0</v>
      </c>
      <c r="BD491" s="89"/>
      <c r="BE491" s="518"/>
      <c r="BF491" s="518"/>
      <c r="BG491" s="518"/>
      <c r="BH491" s="518">
        <f t="shared" si="1020"/>
        <v>0</v>
      </c>
      <c r="BI491" s="89"/>
      <c r="BJ491" s="518"/>
      <c r="BK491" s="518"/>
      <c r="BL491" s="520"/>
      <c r="BM491" s="518"/>
      <c r="BN491" s="89"/>
      <c r="BO491" s="518"/>
      <c r="BP491" s="518"/>
      <c r="BQ491" s="518"/>
      <c r="BR491" s="518"/>
      <c r="BS491" s="89"/>
      <c r="BT491" s="89"/>
      <c r="BU491" s="89"/>
      <c r="BV491" s="89"/>
      <c r="BW491" s="519"/>
    </row>
    <row r="492" spans="1:75" s="444" customFormat="1" outlineLevel="1">
      <c r="A492" s="18" t="s">
        <v>479</v>
      </c>
      <c r="B492" s="49"/>
      <c r="C492" s="676">
        <f t="shared" ref="C492:AH492" si="1021">SUM(C479:C491)</f>
        <v>7.1999999999999995E-2</v>
      </c>
      <c r="D492" s="676">
        <f t="shared" si="1021"/>
        <v>24.632999999999999</v>
      </c>
      <c r="E492" s="676">
        <f t="shared" si="1021"/>
        <v>1.5819999999999999</v>
      </c>
      <c r="F492" s="676">
        <f t="shared" si="1021"/>
        <v>114.17299999999999</v>
      </c>
      <c r="G492" s="560">
        <f t="shared" si="1021"/>
        <v>1.5760000000000001</v>
      </c>
      <c r="H492" s="560">
        <f t="shared" si="1021"/>
        <v>4.4110000000000005</v>
      </c>
      <c r="I492" s="560">
        <f t="shared" si="1021"/>
        <v>9.3339999999999996</v>
      </c>
      <c r="J492" s="560">
        <f t="shared" si="1021"/>
        <v>291.71999999999997</v>
      </c>
      <c r="K492" s="676">
        <f t="shared" si="1021"/>
        <v>291.71999999999997</v>
      </c>
      <c r="L492" s="560">
        <f t="shared" si="1021"/>
        <v>6.4130000000000003</v>
      </c>
      <c r="M492" s="560">
        <f t="shared" si="1021"/>
        <v>14.746</v>
      </c>
      <c r="N492" s="560">
        <f t="shared" si="1021"/>
        <v>21.266999999999999</v>
      </c>
      <c r="O492" s="560">
        <f t="shared" si="1021"/>
        <v>29.548999999999999</v>
      </c>
      <c r="P492" s="676">
        <f t="shared" si="1021"/>
        <v>29.548999999999999</v>
      </c>
      <c r="Q492" s="560">
        <f t="shared" si="1021"/>
        <v>4.0449999999999999</v>
      </c>
      <c r="R492" s="560">
        <f t="shared" si="1021"/>
        <v>17.151</v>
      </c>
      <c r="S492" s="560">
        <f t="shared" si="1021"/>
        <v>18.765999999999998</v>
      </c>
      <c r="T492" s="560">
        <f t="shared" si="1021"/>
        <v>26.442000000000004</v>
      </c>
      <c r="U492" s="676">
        <f t="shared" si="1021"/>
        <v>26.442000000000004</v>
      </c>
      <c r="V492" s="560">
        <f t="shared" si="1021"/>
        <v>1.0449999999999999</v>
      </c>
      <c r="W492" s="560">
        <f t="shared" si="1021"/>
        <v>7.8550000000000004</v>
      </c>
      <c r="X492" s="560">
        <f t="shared" si="1021"/>
        <v>18.055</v>
      </c>
      <c r="Y492" s="560">
        <f t="shared" si="1021"/>
        <v>29.521999999999998</v>
      </c>
      <c r="Z492" s="676">
        <f t="shared" si="1021"/>
        <v>29.521999999999998</v>
      </c>
      <c r="AA492" s="560">
        <f t="shared" si="1021"/>
        <v>3.2869999999999999</v>
      </c>
      <c r="AB492" s="560">
        <f t="shared" si="1021"/>
        <v>19.353999999999999</v>
      </c>
      <c r="AC492" s="560">
        <f t="shared" si="1021"/>
        <v>21.813000000000002</v>
      </c>
      <c r="AD492" s="560">
        <f t="shared" si="1021"/>
        <v>27.162000000000006</v>
      </c>
      <c r="AE492" s="676">
        <f t="shared" si="1021"/>
        <v>27.162000000000006</v>
      </c>
      <c r="AF492" s="560">
        <f t="shared" si="1021"/>
        <v>-39.973999999999997</v>
      </c>
      <c r="AG492" s="560">
        <f t="shared" si="1021"/>
        <v>-77.521000000000001</v>
      </c>
      <c r="AH492" s="560">
        <f t="shared" si="1021"/>
        <v>-91.239000000000004</v>
      </c>
      <c r="AI492" s="560">
        <f t="shared" ref="AI492:AQ492" si="1022">SUM(AI479:AI491)</f>
        <v>-207.74700000000001</v>
      </c>
      <c r="AJ492" s="676">
        <f t="shared" si="1022"/>
        <v>-207.74700000000001</v>
      </c>
      <c r="AK492" s="560">
        <f t="shared" si="1022"/>
        <v>-113.47800000000001</v>
      </c>
      <c r="AL492" s="560">
        <f t="shared" si="1022"/>
        <v>-409.02</v>
      </c>
      <c r="AM492" s="560">
        <f t="shared" si="1022"/>
        <v>-491.964</v>
      </c>
      <c r="AN492" s="560">
        <f t="shared" si="1022"/>
        <v>-491.51900000000001</v>
      </c>
      <c r="AO492" s="676">
        <f t="shared" si="1022"/>
        <v>-491.51900000000001</v>
      </c>
      <c r="AP492" s="560">
        <f t="shared" si="1022"/>
        <v>-8.9289999999999985</v>
      </c>
      <c r="AQ492" s="560">
        <f t="shared" si="1022"/>
        <v>-2.1050000000000004</v>
      </c>
      <c r="AR492" s="560">
        <f t="shared" ref="AR492:AW492" si="1023">SUM(AR479:AR491)</f>
        <v>-1.3700000000000012</v>
      </c>
      <c r="AS492" s="560">
        <f t="shared" si="1023"/>
        <v>-21.052</v>
      </c>
      <c r="AT492" s="676">
        <f t="shared" si="1023"/>
        <v>-21.052</v>
      </c>
      <c r="AU492" s="560">
        <f t="shared" si="1023"/>
        <v>-60.281999999999996</v>
      </c>
      <c r="AV492" s="560">
        <f t="shared" si="1023"/>
        <v>-133.39400000000001</v>
      </c>
      <c r="AW492" s="560">
        <f t="shared" si="1023"/>
        <v>-210.20499999999998</v>
      </c>
      <c r="AX492" s="560">
        <f t="shared" ref="AX492:BA492" si="1024">SUM(AX479:AX491)</f>
        <v>-300.48899999999998</v>
      </c>
      <c r="AY492" s="676">
        <f t="shared" si="1024"/>
        <v>-300.48899999999998</v>
      </c>
      <c r="AZ492" s="560">
        <f t="shared" si="1024"/>
        <v>-67.953000000000003</v>
      </c>
      <c r="BA492" s="560">
        <f t="shared" si="1024"/>
        <v>-121.026</v>
      </c>
      <c r="BB492" s="560">
        <f t="shared" ref="BB492:BD492" si="1025">SUM(BB479:BB491)</f>
        <v>-182.024</v>
      </c>
      <c r="BC492" s="560">
        <f t="shared" si="1025"/>
        <v>-237.53200000000001</v>
      </c>
      <c r="BD492" s="676">
        <f t="shared" si="1025"/>
        <v>-237.53200000000001</v>
      </c>
      <c r="BE492" s="560">
        <f t="shared" ref="BE492:BI492" si="1026">SUM(BE479:BE491)</f>
        <v>-54.706000000000003</v>
      </c>
      <c r="BF492" s="560">
        <f t="shared" si="1026"/>
        <v>-112.905</v>
      </c>
      <c r="BG492" s="560">
        <f t="shared" si="1026"/>
        <v>-183.232</v>
      </c>
      <c r="BH492" s="560">
        <f t="shared" si="1026"/>
        <v>-246.77800000000002</v>
      </c>
      <c r="BI492" s="676">
        <f t="shared" si="1026"/>
        <v>-246.77800000000002</v>
      </c>
      <c r="BJ492" s="560">
        <f>SUM(BJ479:BJ491)</f>
        <v>-83.834000000000003</v>
      </c>
      <c r="BK492" s="560">
        <f>SUM(BK479:BK491)</f>
        <v>-150.411</v>
      </c>
      <c r="BL492" s="561">
        <f>SUM(BL479:BL491)</f>
        <v>-233.00700000000001</v>
      </c>
      <c r="BM492" s="560"/>
      <c r="BN492" s="676"/>
      <c r="BO492" s="560"/>
      <c r="BP492" s="560"/>
      <c r="BQ492" s="560"/>
      <c r="BR492" s="560"/>
      <c r="BS492" s="676"/>
      <c r="BT492" s="676"/>
      <c r="BU492" s="676"/>
      <c r="BV492" s="676"/>
      <c r="BW492" s="318"/>
    </row>
    <row r="493" spans="1:75" s="444" customFormat="1" outlineLevel="1">
      <c r="A493" s="28"/>
      <c r="B493" s="30"/>
      <c r="C493" s="700"/>
      <c r="D493" s="700"/>
      <c r="E493" s="700"/>
      <c r="F493" s="700"/>
      <c r="G493" s="523"/>
      <c r="H493" s="523"/>
      <c r="I493" s="523"/>
      <c r="J493" s="523"/>
      <c r="K493" s="700"/>
      <c r="L493" s="523"/>
      <c r="M493" s="523"/>
      <c r="N493" s="523"/>
      <c r="O493" s="523"/>
      <c r="P493" s="700"/>
      <c r="Q493" s="523"/>
      <c r="R493" s="523"/>
      <c r="S493" s="523"/>
      <c r="T493" s="523"/>
      <c r="U493" s="700"/>
      <c r="V493" s="523"/>
      <c r="W493" s="523"/>
      <c r="X493" s="523"/>
      <c r="Y493" s="523"/>
      <c r="Z493" s="700"/>
      <c r="AA493" s="523"/>
      <c r="AB493" s="523"/>
      <c r="AC493" s="523"/>
      <c r="AD493" s="523"/>
      <c r="AE493" s="700"/>
      <c r="AF493" s="523"/>
      <c r="AG493" s="523"/>
      <c r="AH493" s="523"/>
      <c r="AI493" s="523"/>
      <c r="AJ493" s="700"/>
      <c r="AK493" s="523"/>
      <c r="AL493" s="523"/>
      <c r="AM493" s="523"/>
      <c r="AN493" s="523"/>
      <c r="AO493" s="700"/>
      <c r="AP493" s="523"/>
      <c r="AQ493" s="523"/>
      <c r="AR493" s="523"/>
      <c r="AS493" s="523"/>
      <c r="AT493" s="700"/>
      <c r="AU493" s="523"/>
      <c r="AV493" s="523"/>
      <c r="AW493" s="523"/>
      <c r="AX493" s="523"/>
      <c r="AY493" s="700"/>
      <c r="AZ493" s="523"/>
      <c r="BA493" s="523"/>
      <c r="BB493" s="523"/>
      <c r="BC493" s="523"/>
      <c r="BD493" s="700"/>
      <c r="BE493" s="523"/>
      <c r="BF493" s="523"/>
      <c r="BG493" s="523"/>
      <c r="BH493" s="523"/>
      <c r="BI493" s="700"/>
      <c r="BJ493" s="523"/>
      <c r="BK493" s="523"/>
      <c r="BL493" s="563"/>
      <c r="BM493" s="523"/>
      <c r="BN493" s="700"/>
      <c r="BO493" s="523"/>
      <c r="BP493" s="523"/>
      <c r="BQ493" s="523"/>
      <c r="BR493" s="523"/>
      <c r="BS493" s="700"/>
      <c r="BT493" s="700"/>
      <c r="BU493" s="700"/>
      <c r="BV493" s="700"/>
      <c r="BW493" s="318"/>
    </row>
    <row r="494" spans="1:75" s="444" customFormat="1" outlineLevel="1">
      <c r="A494" s="28" t="s">
        <v>480</v>
      </c>
      <c r="B494" s="30"/>
      <c r="C494" s="714">
        <v>-8.9999999999999993E-3</v>
      </c>
      <c r="D494" s="714">
        <v>-2.1999999999999999E-2</v>
      </c>
      <c r="E494" s="714">
        <v>0.28299999999999997</v>
      </c>
      <c r="F494" s="714">
        <v>-9.4E-2</v>
      </c>
      <c r="G494" s="629">
        <v>-0.11600000000000001</v>
      </c>
      <c r="H494" s="629">
        <v>-0.13400000000000001</v>
      </c>
      <c r="I494" s="629">
        <v>0.13200000000000001</v>
      </c>
      <c r="J494" s="523">
        <f>K494</f>
        <v>0.315</v>
      </c>
      <c r="K494" s="714">
        <v>0.315</v>
      </c>
      <c r="L494" s="629">
        <v>5.5E-2</v>
      </c>
      <c r="M494" s="629">
        <v>3.5000000000000003E-2</v>
      </c>
      <c r="N494" s="629">
        <v>-0.35599999999999998</v>
      </c>
      <c r="O494" s="523">
        <f>P494</f>
        <v>-1.2589999999999999</v>
      </c>
      <c r="P494" s="714">
        <v>-1.2589999999999999</v>
      </c>
      <c r="Q494" s="629">
        <v>-0.64800000000000002</v>
      </c>
      <c r="R494" s="629">
        <v>-0.59799999999999998</v>
      </c>
      <c r="S494" s="629">
        <v>-0.63900000000000001</v>
      </c>
      <c r="T494" s="523">
        <f>U494</f>
        <v>-0.82099999999999995</v>
      </c>
      <c r="U494" s="714">
        <v>-0.82099999999999995</v>
      </c>
      <c r="V494" s="629">
        <v>0.159</v>
      </c>
      <c r="W494" s="629">
        <v>0.05</v>
      </c>
      <c r="X494" s="629">
        <v>2.8000000000000001E-2</v>
      </c>
      <c r="Y494" s="523">
        <f>Z494</f>
        <v>-0.26200000000000001</v>
      </c>
      <c r="Z494" s="714">
        <v>-0.26200000000000001</v>
      </c>
      <c r="AA494" s="629">
        <v>0.13800000000000001</v>
      </c>
      <c r="AB494" s="629">
        <v>0.54800000000000004</v>
      </c>
      <c r="AC494" s="629">
        <v>0.86399999999999999</v>
      </c>
      <c r="AD494" s="523">
        <f>AE494</f>
        <v>0.94099999999999995</v>
      </c>
      <c r="AE494" s="714">
        <v>0.94099999999999995</v>
      </c>
      <c r="AF494" s="629">
        <v>-0.1</v>
      </c>
      <c r="AG494" s="629">
        <v>0.20899999999999999</v>
      </c>
      <c r="AH494" s="629">
        <v>0.19700000000000001</v>
      </c>
      <c r="AI494" s="523">
        <f>AJ494</f>
        <v>0.36</v>
      </c>
      <c r="AJ494" s="714">
        <v>0.36</v>
      </c>
      <c r="AK494" s="629">
        <v>-6.5000000000000002E-2</v>
      </c>
      <c r="AL494" s="629">
        <v>-2.4E-2</v>
      </c>
      <c r="AM494" s="629">
        <v>0.25800000000000001</v>
      </c>
      <c r="AN494" s="523">
        <f>AO494</f>
        <v>-0.115</v>
      </c>
      <c r="AO494" s="714">
        <v>-0.115</v>
      </c>
      <c r="AP494" s="629">
        <v>-0.48599999999999999</v>
      </c>
      <c r="AQ494" s="629">
        <v>-0.34</v>
      </c>
      <c r="AR494" s="629">
        <v>-0.13200000000000001</v>
      </c>
      <c r="AS494" s="523">
        <f>AT494</f>
        <v>0.214</v>
      </c>
      <c r="AT494" s="714">
        <v>0.214</v>
      </c>
      <c r="AU494" s="629">
        <v>6.8000000000000005E-2</v>
      </c>
      <c r="AV494" s="629">
        <v>0.19700000000000001</v>
      </c>
      <c r="AW494" s="629">
        <v>-0.13700000000000001</v>
      </c>
      <c r="AX494" s="523">
        <f>AY494</f>
        <v>-0.41499999999999998</v>
      </c>
      <c r="AY494" s="714">
        <v>-0.41499999999999998</v>
      </c>
      <c r="AZ494" s="629">
        <v>-0.10100000000000001</v>
      </c>
      <c r="BA494" s="629">
        <v>-1.1539999999999999</v>
      </c>
      <c r="BB494" s="629">
        <v>-3.03</v>
      </c>
      <c r="BC494" s="523">
        <f>BD494</f>
        <v>-2.1360000000000001</v>
      </c>
      <c r="BD494" s="714">
        <v>-2.1360000000000001</v>
      </c>
      <c r="BE494" s="629">
        <v>0.439</v>
      </c>
      <c r="BF494" s="629">
        <v>1.175</v>
      </c>
      <c r="BG494" s="629">
        <v>0.90300000000000002</v>
      </c>
      <c r="BH494" s="523">
        <f>BI494</f>
        <v>2.0459999999999998</v>
      </c>
      <c r="BI494" s="714">
        <v>2.0459999999999998</v>
      </c>
      <c r="BJ494" s="629">
        <v>-0.48499999999999999</v>
      </c>
      <c r="BK494" s="629">
        <v>-0.29499999999999998</v>
      </c>
      <c r="BL494" s="630">
        <v>0.57999999999999996</v>
      </c>
      <c r="BM494" s="523"/>
      <c r="BN494" s="700"/>
      <c r="BO494" s="523"/>
      <c r="BP494" s="523"/>
      <c r="BQ494" s="523"/>
      <c r="BR494" s="523"/>
      <c r="BS494" s="700"/>
      <c r="BT494" s="700"/>
      <c r="BU494" s="700"/>
      <c r="BV494" s="700"/>
      <c r="BW494" s="318"/>
    </row>
    <row r="495" spans="1:75" s="444" customFormat="1" outlineLevel="1">
      <c r="A495" s="28" t="s">
        <v>481</v>
      </c>
      <c r="B495" s="30"/>
      <c r="C495" s="700">
        <f t="shared" ref="C495:AH495" si="1027">C492+C476+C458+C494</f>
        <v>0.20500000000000007</v>
      </c>
      <c r="D495" s="700">
        <f t="shared" si="1027"/>
        <v>11.999999999999996</v>
      </c>
      <c r="E495" s="700">
        <f t="shared" si="1027"/>
        <v>-5.3380000000000001</v>
      </c>
      <c r="F495" s="700">
        <f t="shared" si="1027"/>
        <v>73.387999999999991</v>
      </c>
      <c r="G495" s="523">
        <f t="shared" si="1027"/>
        <v>-0.62599999999999989</v>
      </c>
      <c r="H495" s="523">
        <f t="shared" si="1027"/>
        <v>1.6709999999999998</v>
      </c>
      <c r="I495" s="523">
        <f t="shared" si="1027"/>
        <v>6.09</v>
      </c>
      <c r="J495" s="523">
        <f t="shared" si="1027"/>
        <v>294.64</v>
      </c>
      <c r="K495" s="700">
        <f t="shared" si="1027"/>
        <v>294.64</v>
      </c>
      <c r="L495" s="523">
        <f t="shared" si="1027"/>
        <v>9.5559999999999974</v>
      </c>
      <c r="M495" s="523">
        <f t="shared" si="1027"/>
        <v>-99.378</v>
      </c>
      <c r="N495" s="523">
        <f t="shared" si="1027"/>
        <v>-99.197000000000031</v>
      </c>
      <c r="O495" s="523">
        <f t="shared" si="1027"/>
        <v>-142.45199999999994</v>
      </c>
      <c r="P495" s="700">
        <f t="shared" si="1027"/>
        <v>-142.45199999999994</v>
      </c>
      <c r="Q495" s="523">
        <f t="shared" si="1027"/>
        <v>-74.682999999999993</v>
      </c>
      <c r="R495" s="523">
        <f t="shared" si="1027"/>
        <v>-65.85199999999999</v>
      </c>
      <c r="S495" s="523">
        <f t="shared" si="1027"/>
        <v>-75.505000000000024</v>
      </c>
      <c r="T495" s="523">
        <f t="shared" si="1027"/>
        <v>-75.699000000000012</v>
      </c>
      <c r="U495" s="700">
        <f t="shared" si="1027"/>
        <v>-75.699000000000012</v>
      </c>
      <c r="V495" s="523">
        <f t="shared" si="1027"/>
        <v>11.891999999999996</v>
      </c>
      <c r="W495" s="523">
        <f t="shared" si="1027"/>
        <v>24.681999999999988</v>
      </c>
      <c r="X495" s="523">
        <f t="shared" si="1027"/>
        <v>53.278000000000006</v>
      </c>
      <c r="Y495" s="523">
        <f t="shared" si="1027"/>
        <v>100.58799999999999</v>
      </c>
      <c r="Z495" s="700">
        <f t="shared" si="1027"/>
        <v>100.58799999999999</v>
      </c>
      <c r="AA495" s="523">
        <f t="shared" si="1027"/>
        <v>1.2249999999999961</v>
      </c>
      <c r="AB495" s="523">
        <f t="shared" si="1027"/>
        <v>48.774999999999977</v>
      </c>
      <c r="AC495" s="523">
        <f t="shared" si="1027"/>
        <v>91.478000000000037</v>
      </c>
      <c r="AD495" s="523">
        <f t="shared" si="1027"/>
        <v>276.88600000000002</v>
      </c>
      <c r="AE495" s="700">
        <f t="shared" si="1027"/>
        <v>276.88600000000002</v>
      </c>
      <c r="AF495" s="523">
        <f t="shared" si="1027"/>
        <v>-155.26899999999998</v>
      </c>
      <c r="AG495" s="523">
        <f t="shared" si="1027"/>
        <v>-154.822</v>
      </c>
      <c r="AH495" s="523">
        <f t="shared" si="1027"/>
        <v>-120.78800000000007</v>
      </c>
      <c r="AI495" s="523">
        <f t="shared" ref="AI495:AQ495" si="1028">AI492+AI476+AI458+AI494</f>
        <v>-211.56899999999993</v>
      </c>
      <c r="AJ495" s="700">
        <f t="shared" si="1028"/>
        <v>-211.56899999999993</v>
      </c>
      <c r="AK495" s="523">
        <f t="shared" si="1028"/>
        <v>-37.360000000000014</v>
      </c>
      <c r="AL495" s="523">
        <f t="shared" si="1028"/>
        <v>-193.28899999999999</v>
      </c>
      <c r="AM495" s="523">
        <f t="shared" si="1028"/>
        <v>-209.30600000000007</v>
      </c>
      <c r="AN495" s="523">
        <f t="shared" si="1028"/>
        <v>-162.51700000000008</v>
      </c>
      <c r="AO495" s="700">
        <f t="shared" si="1028"/>
        <v>-162.51700000000008</v>
      </c>
      <c r="AP495" s="523">
        <f t="shared" si="1028"/>
        <v>194.59</v>
      </c>
      <c r="AQ495" s="523">
        <f t="shared" si="1028"/>
        <v>334.28500000000003</v>
      </c>
      <c r="AR495" s="523">
        <f t="shared" ref="AR495:AW495" si="1029">AR492+AR476+AR458+AR494</f>
        <v>399.29700000000003</v>
      </c>
      <c r="AS495" s="523">
        <f t="shared" si="1029"/>
        <v>404.22200000000004</v>
      </c>
      <c r="AT495" s="700">
        <f t="shared" si="1029"/>
        <v>404.22200000000004</v>
      </c>
      <c r="AU495" s="523">
        <f t="shared" si="1029"/>
        <v>-7.2589999999999986</v>
      </c>
      <c r="AV495" s="523">
        <f t="shared" si="1029"/>
        <v>-37.28600000000003</v>
      </c>
      <c r="AW495" s="523">
        <f t="shared" si="1029"/>
        <v>-63.866000000000014</v>
      </c>
      <c r="AX495" s="523">
        <f t="shared" ref="AX495:BA495" si="1030">AX492+AX476+AX458+AX494</f>
        <v>-115.89900000000007</v>
      </c>
      <c r="AY495" s="700">
        <f t="shared" si="1030"/>
        <v>-115.89900000000007</v>
      </c>
      <c r="AZ495" s="523">
        <f t="shared" si="1030"/>
        <v>-14.726000000000001</v>
      </c>
      <c r="BA495" s="523">
        <f t="shared" si="1030"/>
        <v>-58.427000000000007</v>
      </c>
      <c r="BB495" s="523">
        <f t="shared" ref="BB495:BD495" si="1031">BB492+BB476+BB458+BB494</f>
        <v>-148.52500000000003</v>
      </c>
      <c r="BC495" s="523">
        <f t="shared" si="1031"/>
        <v>-173.50300000000001</v>
      </c>
      <c r="BD495" s="700">
        <f t="shared" si="1031"/>
        <v>-173.50300000000001</v>
      </c>
      <c r="BE495" s="523">
        <f t="shared" ref="BE495:BI495" si="1032">BE492+BE476+BE458+BE494</f>
        <v>-17.303000000000004</v>
      </c>
      <c r="BF495" s="523">
        <f t="shared" si="1032"/>
        <v>-36.363999999999976</v>
      </c>
      <c r="BG495" s="523">
        <f t="shared" si="1032"/>
        <v>-1.6840000000000459</v>
      </c>
      <c r="BH495" s="523">
        <f t="shared" si="1032"/>
        <v>6.863999999999983</v>
      </c>
      <c r="BI495" s="700">
        <f t="shared" si="1032"/>
        <v>6.863999999999983</v>
      </c>
      <c r="BJ495" s="523">
        <f>BJ492+BJ476+BJ458+BJ494</f>
        <v>-17.865999999999985</v>
      </c>
      <c r="BK495" s="523">
        <f>BK492+BK476+BK458+BK494</f>
        <v>-61.207999999999984</v>
      </c>
      <c r="BL495" s="563">
        <f>BL492+BL476+BL458+BL494</f>
        <v>-52.02500000000002</v>
      </c>
      <c r="BM495" s="523"/>
      <c r="BN495" s="700"/>
      <c r="BO495" s="523"/>
      <c r="BP495" s="523"/>
      <c r="BQ495" s="523"/>
      <c r="BR495" s="523"/>
      <c r="BS495" s="700"/>
      <c r="BT495" s="700"/>
      <c r="BU495" s="700"/>
      <c r="BV495" s="700"/>
      <c r="BW495" s="318"/>
    </row>
    <row r="496" spans="1:75" s="444" customFormat="1" outlineLevel="1">
      <c r="A496" s="28"/>
      <c r="B496" s="30"/>
      <c r="C496" s="700"/>
      <c r="D496" s="700"/>
      <c r="E496" s="700"/>
      <c r="F496" s="700"/>
      <c r="G496" s="523"/>
      <c r="H496" s="523"/>
      <c r="I496" s="523"/>
      <c r="J496" s="523"/>
      <c r="K496" s="700"/>
      <c r="L496" s="523"/>
      <c r="M496" s="523"/>
      <c r="N496" s="523"/>
      <c r="O496" s="523"/>
      <c r="P496" s="700"/>
      <c r="Q496" s="523"/>
      <c r="R496" s="523"/>
      <c r="S496" s="523"/>
      <c r="T496" s="523"/>
      <c r="U496" s="700"/>
      <c r="V496" s="523"/>
      <c r="W496" s="523"/>
      <c r="X496" s="523"/>
      <c r="Y496" s="523"/>
      <c r="Z496" s="700"/>
      <c r="AA496" s="523"/>
      <c r="AB496" s="523"/>
      <c r="AC496" s="523"/>
      <c r="AD496" s="523"/>
      <c r="AE496" s="700"/>
      <c r="AF496" s="523"/>
      <c r="AG496" s="523"/>
      <c r="AH496" s="523"/>
      <c r="AI496" s="523"/>
      <c r="AJ496" s="700"/>
      <c r="AK496" s="523"/>
      <c r="AL496" s="523"/>
      <c r="AM496" s="523"/>
      <c r="AN496" s="523"/>
      <c r="AO496" s="700"/>
      <c r="AP496" s="523"/>
      <c r="AQ496" s="523"/>
      <c r="AR496" s="523"/>
      <c r="AS496" s="523"/>
      <c r="AT496" s="700"/>
      <c r="AU496" s="523"/>
      <c r="AV496" s="523"/>
      <c r="AW496" s="523"/>
      <c r="AX496" s="523"/>
      <c r="AY496" s="700"/>
      <c r="AZ496" s="523"/>
      <c r="BA496" s="523"/>
      <c r="BB496" s="523"/>
      <c r="BC496" s="523"/>
      <c r="BD496" s="700"/>
      <c r="BE496" s="523"/>
      <c r="BF496" s="523"/>
      <c r="BG496" s="523"/>
      <c r="BH496" s="523"/>
      <c r="BI496" s="700"/>
      <c r="BJ496" s="523"/>
      <c r="BK496" s="523"/>
      <c r="BL496" s="563"/>
      <c r="BM496" s="523"/>
      <c r="BN496" s="700"/>
      <c r="BO496" s="523"/>
      <c r="BP496" s="523"/>
      <c r="BQ496" s="523"/>
      <c r="BR496" s="523"/>
      <c r="BS496" s="700"/>
      <c r="BT496" s="700"/>
      <c r="BU496" s="700"/>
      <c r="BV496" s="700"/>
      <c r="BW496" s="318"/>
    </row>
    <row r="497" spans="1:75" s="444" customFormat="1" outlineLevel="1">
      <c r="A497" s="28" t="s">
        <v>482</v>
      </c>
      <c r="B497" s="30"/>
      <c r="C497" s="714">
        <v>14.869</v>
      </c>
      <c r="D497" s="714">
        <v>15.074</v>
      </c>
      <c r="E497" s="700">
        <f>D498</f>
        <v>27.073999999999998</v>
      </c>
      <c r="F497" s="700">
        <f>E498</f>
        <v>21.735999999999997</v>
      </c>
      <c r="G497" s="523">
        <f>F498</f>
        <v>95.123999999999995</v>
      </c>
      <c r="H497" s="523">
        <f>G497</f>
        <v>95.123999999999995</v>
      </c>
      <c r="I497" s="523">
        <f>H497</f>
        <v>95.123999999999995</v>
      </c>
      <c r="J497" s="523">
        <f>I497</f>
        <v>95.123999999999995</v>
      </c>
      <c r="K497" s="700">
        <f>J497</f>
        <v>95.123999999999995</v>
      </c>
      <c r="L497" s="523">
        <f>K498</f>
        <v>389.76400000000001</v>
      </c>
      <c r="M497" s="523">
        <f>L497</f>
        <v>389.76400000000001</v>
      </c>
      <c r="N497" s="523">
        <f>M497</f>
        <v>389.76400000000001</v>
      </c>
      <c r="O497" s="523">
        <f>N497</f>
        <v>389.76400000000001</v>
      </c>
      <c r="P497" s="700">
        <f>O497</f>
        <v>389.76400000000001</v>
      </c>
      <c r="Q497" s="523">
        <f>P498</f>
        <v>247.31200000000007</v>
      </c>
      <c r="R497" s="523">
        <f>Q497</f>
        <v>247.31200000000007</v>
      </c>
      <c r="S497" s="523">
        <f>R497</f>
        <v>247.31200000000007</v>
      </c>
      <c r="T497" s="523">
        <f>S497</f>
        <v>247.31200000000007</v>
      </c>
      <c r="U497" s="700">
        <f>T497</f>
        <v>247.31200000000007</v>
      </c>
      <c r="V497" s="523">
        <f>U498</f>
        <v>171.61300000000006</v>
      </c>
      <c r="W497" s="523">
        <f>V497</f>
        <v>171.61300000000006</v>
      </c>
      <c r="X497" s="523">
        <f>W497</f>
        <v>171.61300000000006</v>
      </c>
      <c r="Y497" s="523">
        <f>X497</f>
        <v>171.61300000000006</v>
      </c>
      <c r="Z497" s="700">
        <f>Y497</f>
        <v>171.61300000000006</v>
      </c>
      <c r="AA497" s="629">
        <v>289.51799999999997</v>
      </c>
      <c r="AB497" s="523">
        <f>AA497</f>
        <v>289.51799999999997</v>
      </c>
      <c r="AC497" s="523">
        <f>AB497</f>
        <v>289.51799999999997</v>
      </c>
      <c r="AD497" s="523">
        <f>AC497</f>
        <v>289.51799999999997</v>
      </c>
      <c r="AE497" s="700">
        <f>AD497</f>
        <v>289.51799999999997</v>
      </c>
      <c r="AF497" s="629">
        <v>566.404</v>
      </c>
      <c r="AG497" s="523">
        <f>AF497</f>
        <v>566.404</v>
      </c>
      <c r="AH497" s="523">
        <f>AG497</f>
        <v>566.404</v>
      </c>
      <c r="AI497" s="523">
        <f>AH497</f>
        <v>566.404</v>
      </c>
      <c r="AJ497" s="700">
        <f>AI497</f>
        <v>566.404</v>
      </c>
      <c r="AK497" s="629">
        <v>354.83499999999998</v>
      </c>
      <c r="AL497" s="523">
        <f>AK497</f>
        <v>354.83499999999998</v>
      </c>
      <c r="AM497" s="523">
        <f>AL497</f>
        <v>354.83499999999998</v>
      </c>
      <c r="AN497" s="523">
        <f>AM497</f>
        <v>354.83499999999998</v>
      </c>
      <c r="AO497" s="700">
        <f>AN497</f>
        <v>354.83499999999998</v>
      </c>
      <c r="AP497" s="629">
        <v>192.31800000000001</v>
      </c>
      <c r="AQ497" s="523">
        <f>AP497</f>
        <v>192.31800000000001</v>
      </c>
      <c r="AR497" s="523">
        <f>AQ497</f>
        <v>192.31800000000001</v>
      </c>
      <c r="AS497" s="523">
        <f>AR497</f>
        <v>192.31800000000001</v>
      </c>
      <c r="AT497" s="700">
        <f>AS497</f>
        <v>192.31800000000001</v>
      </c>
      <c r="AU497" s="523">
        <f>AT498</f>
        <v>596.54000000000008</v>
      </c>
      <c r="AV497" s="523">
        <f>AU497</f>
        <v>596.54000000000008</v>
      </c>
      <c r="AW497" s="523">
        <f>AV497</f>
        <v>596.54000000000008</v>
      </c>
      <c r="AX497" s="523">
        <f>AW497</f>
        <v>596.54000000000008</v>
      </c>
      <c r="AY497" s="700">
        <f>AX497</f>
        <v>596.54000000000008</v>
      </c>
      <c r="AZ497" s="523">
        <f>AY498</f>
        <v>480.64100000000002</v>
      </c>
      <c r="BA497" s="523">
        <f>AZ497</f>
        <v>480.64100000000002</v>
      </c>
      <c r="BB497" s="523">
        <f>BA497</f>
        <v>480.64100000000002</v>
      </c>
      <c r="BC497" s="523">
        <f>BB497</f>
        <v>480.64100000000002</v>
      </c>
      <c r="BD497" s="700">
        <f>BC497</f>
        <v>480.64100000000002</v>
      </c>
      <c r="BE497" s="523">
        <f>BD498</f>
        <v>307.13800000000003</v>
      </c>
      <c r="BF497" s="523">
        <f>BE497</f>
        <v>307.13800000000003</v>
      </c>
      <c r="BG497" s="523">
        <f>BF497</f>
        <v>307.13800000000003</v>
      </c>
      <c r="BH497" s="523">
        <f>BG497</f>
        <v>307.13800000000003</v>
      </c>
      <c r="BI497" s="700">
        <f>BH497</f>
        <v>307.13800000000003</v>
      </c>
      <c r="BJ497" s="523">
        <f>BI498</f>
        <v>314.00200000000001</v>
      </c>
      <c r="BK497" s="523">
        <f>BJ497</f>
        <v>314.00200000000001</v>
      </c>
      <c r="BL497" s="563">
        <f>BK497</f>
        <v>314.00200000000001</v>
      </c>
      <c r="BM497" s="523"/>
      <c r="BN497" s="700"/>
      <c r="BO497" s="523"/>
      <c r="BP497" s="523"/>
      <c r="BQ497" s="523"/>
      <c r="BR497" s="523"/>
      <c r="BS497" s="700"/>
      <c r="BT497" s="700"/>
      <c r="BU497" s="700"/>
      <c r="BV497" s="700"/>
      <c r="BW497" s="318"/>
    </row>
    <row r="498" spans="1:75" s="444" customFormat="1" outlineLevel="1">
      <c r="A498" s="28" t="s">
        <v>483</v>
      </c>
      <c r="B498" s="30"/>
      <c r="C498" s="700">
        <f t="shared" ref="C498:AQ498" si="1033">C495+C497</f>
        <v>15.074</v>
      </c>
      <c r="D498" s="700">
        <f t="shared" si="1033"/>
        <v>27.073999999999998</v>
      </c>
      <c r="E498" s="700">
        <f t="shared" si="1033"/>
        <v>21.735999999999997</v>
      </c>
      <c r="F498" s="700">
        <f t="shared" si="1033"/>
        <v>95.123999999999995</v>
      </c>
      <c r="G498" s="523">
        <f t="shared" si="1033"/>
        <v>94.49799999999999</v>
      </c>
      <c r="H498" s="523">
        <f t="shared" si="1033"/>
        <v>96.795000000000002</v>
      </c>
      <c r="I498" s="523">
        <f t="shared" si="1033"/>
        <v>101.214</v>
      </c>
      <c r="J498" s="523">
        <f t="shared" si="1033"/>
        <v>389.76400000000001</v>
      </c>
      <c r="K498" s="700">
        <f t="shared" si="1033"/>
        <v>389.76400000000001</v>
      </c>
      <c r="L498" s="523">
        <f t="shared" si="1033"/>
        <v>399.32</v>
      </c>
      <c r="M498" s="523">
        <f t="shared" si="1033"/>
        <v>290.38600000000002</v>
      </c>
      <c r="N498" s="523">
        <f t="shared" si="1033"/>
        <v>290.56700000000001</v>
      </c>
      <c r="O498" s="523">
        <f t="shared" si="1033"/>
        <v>247.31200000000007</v>
      </c>
      <c r="P498" s="700">
        <f t="shared" si="1033"/>
        <v>247.31200000000007</v>
      </c>
      <c r="Q498" s="523">
        <f t="shared" si="1033"/>
        <v>172.62900000000008</v>
      </c>
      <c r="R498" s="523">
        <f t="shared" si="1033"/>
        <v>181.46000000000009</v>
      </c>
      <c r="S498" s="523">
        <f t="shared" si="1033"/>
        <v>171.80700000000004</v>
      </c>
      <c r="T498" s="523">
        <f t="shared" si="1033"/>
        <v>171.61300000000006</v>
      </c>
      <c r="U498" s="700">
        <f t="shared" si="1033"/>
        <v>171.61300000000006</v>
      </c>
      <c r="V498" s="523">
        <f t="shared" si="1033"/>
        <v>183.50500000000005</v>
      </c>
      <c r="W498" s="523">
        <f t="shared" si="1033"/>
        <v>196.29500000000004</v>
      </c>
      <c r="X498" s="523">
        <f t="shared" si="1033"/>
        <v>224.89100000000008</v>
      </c>
      <c r="Y498" s="523">
        <f t="shared" si="1033"/>
        <v>272.20100000000002</v>
      </c>
      <c r="Z498" s="700">
        <f t="shared" si="1033"/>
        <v>272.20100000000002</v>
      </c>
      <c r="AA498" s="523">
        <f t="shared" si="1033"/>
        <v>290.74299999999999</v>
      </c>
      <c r="AB498" s="523">
        <f t="shared" si="1033"/>
        <v>338.29299999999995</v>
      </c>
      <c r="AC498" s="523">
        <f t="shared" si="1033"/>
        <v>380.99599999999998</v>
      </c>
      <c r="AD498" s="523">
        <f t="shared" si="1033"/>
        <v>566.404</v>
      </c>
      <c r="AE498" s="700">
        <f t="shared" si="1033"/>
        <v>566.404</v>
      </c>
      <c r="AF498" s="523">
        <f t="shared" si="1033"/>
        <v>411.13499999999999</v>
      </c>
      <c r="AG498" s="523">
        <f t="shared" si="1033"/>
        <v>411.58199999999999</v>
      </c>
      <c r="AH498" s="523">
        <f t="shared" si="1033"/>
        <v>445.61599999999993</v>
      </c>
      <c r="AI498" s="523">
        <f t="shared" si="1033"/>
        <v>354.83500000000004</v>
      </c>
      <c r="AJ498" s="700">
        <f t="shared" si="1033"/>
        <v>354.83500000000004</v>
      </c>
      <c r="AK498" s="523">
        <f t="shared" si="1033"/>
        <v>317.47499999999997</v>
      </c>
      <c r="AL498" s="523">
        <f t="shared" si="1033"/>
        <v>161.54599999999999</v>
      </c>
      <c r="AM498" s="523">
        <f t="shared" si="1033"/>
        <v>145.52899999999991</v>
      </c>
      <c r="AN498" s="523">
        <f t="shared" si="1033"/>
        <v>192.3179999999999</v>
      </c>
      <c r="AO498" s="700">
        <f t="shared" si="1033"/>
        <v>192.3179999999999</v>
      </c>
      <c r="AP498" s="523">
        <f t="shared" si="1033"/>
        <v>386.90800000000002</v>
      </c>
      <c r="AQ498" s="523">
        <f t="shared" si="1033"/>
        <v>526.60300000000007</v>
      </c>
      <c r="AR498" s="523">
        <f t="shared" ref="AR498:AW498" si="1034">AR495+AR497</f>
        <v>591.61500000000001</v>
      </c>
      <c r="AS498" s="523">
        <f t="shared" si="1034"/>
        <v>596.54000000000008</v>
      </c>
      <c r="AT498" s="700">
        <f t="shared" si="1034"/>
        <v>596.54000000000008</v>
      </c>
      <c r="AU498" s="523">
        <f t="shared" si="1034"/>
        <v>589.28100000000006</v>
      </c>
      <c r="AV498" s="523">
        <f t="shared" si="1034"/>
        <v>559.25400000000002</v>
      </c>
      <c r="AW498" s="523">
        <f t="shared" si="1034"/>
        <v>532.67400000000009</v>
      </c>
      <c r="AX498" s="523">
        <f t="shared" ref="AX498:BD498" si="1035">AX495+AX497</f>
        <v>480.64100000000002</v>
      </c>
      <c r="AY498" s="700">
        <f t="shared" si="1035"/>
        <v>480.64100000000002</v>
      </c>
      <c r="AZ498" s="523">
        <f t="shared" si="1035"/>
        <v>465.91500000000002</v>
      </c>
      <c r="BA498" s="523">
        <f t="shared" si="1035"/>
        <v>422.214</v>
      </c>
      <c r="BB498" s="523">
        <f t="shared" si="1035"/>
        <v>332.11599999999999</v>
      </c>
      <c r="BC498" s="523">
        <f t="shared" si="1035"/>
        <v>307.13800000000003</v>
      </c>
      <c r="BD498" s="700">
        <f t="shared" si="1035"/>
        <v>307.13800000000003</v>
      </c>
      <c r="BE498" s="523">
        <f t="shared" ref="BE498:BJ498" si="1036">BE495+BE497</f>
        <v>289.83500000000004</v>
      </c>
      <c r="BF498" s="523">
        <f t="shared" si="1036"/>
        <v>270.77400000000006</v>
      </c>
      <c r="BG498" s="523">
        <f t="shared" si="1036"/>
        <v>305.45400000000001</v>
      </c>
      <c r="BH498" s="523">
        <f t="shared" si="1036"/>
        <v>314.00200000000001</v>
      </c>
      <c r="BI498" s="700">
        <f t="shared" si="1036"/>
        <v>314.00200000000001</v>
      </c>
      <c r="BJ498" s="523">
        <f t="shared" si="1036"/>
        <v>296.13600000000002</v>
      </c>
      <c r="BK498" s="523">
        <f>BK495+BK497</f>
        <v>252.79400000000004</v>
      </c>
      <c r="BL498" s="563">
        <f>BL495+BL497</f>
        <v>261.97699999999998</v>
      </c>
      <c r="BM498" s="523"/>
      <c r="BN498" s="700"/>
      <c r="BO498" s="523"/>
      <c r="BP498" s="523"/>
      <c r="BQ498" s="523"/>
      <c r="BR498" s="523"/>
      <c r="BS498" s="700"/>
      <c r="BT498" s="700"/>
      <c r="BU498" s="700"/>
      <c r="BV498" s="700"/>
      <c r="BW498" s="318"/>
    </row>
    <row r="499" spans="1:75" s="444" customFormat="1" outlineLevel="1">
      <c r="A499" s="28"/>
      <c r="B499" s="30"/>
      <c r="C499" s="700"/>
      <c r="D499" s="700"/>
      <c r="E499" s="700"/>
      <c r="F499" s="700"/>
      <c r="G499" s="523"/>
      <c r="H499" s="523"/>
      <c r="I499" s="523"/>
      <c r="J499" s="523"/>
      <c r="K499" s="700"/>
      <c r="L499" s="523"/>
      <c r="M499" s="523"/>
      <c r="N499" s="523"/>
      <c r="O499" s="523"/>
      <c r="P499" s="700"/>
      <c r="Q499" s="523"/>
      <c r="R499" s="523"/>
      <c r="S499" s="523"/>
      <c r="T499" s="523"/>
      <c r="U499" s="700"/>
      <c r="V499" s="523"/>
      <c r="W499" s="523"/>
      <c r="X499" s="523"/>
      <c r="Y499" s="523"/>
      <c r="Z499" s="700"/>
      <c r="AA499" s="523"/>
      <c r="AB499" s="523"/>
      <c r="AC499" s="523"/>
      <c r="AD499" s="523"/>
      <c r="AE499" s="700"/>
      <c r="AF499" s="523"/>
      <c r="AG499" s="523"/>
      <c r="AH499" s="523"/>
      <c r="AI499" s="523"/>
      <c r="AJ499" s="700"/>
      <c r="AK499" s="523"/>
      <c r="AL499" s="523"/>
      <c r="AM499" s="523"/>
      <c r="AN499" s="523"/>
      <c r="AO499" s="700"/>
      <c r="AP499" s="523"/>
      <c r="AQ499" s="523"/>
      <c r="AR499" s="523"/>
      <c r="AS499" s="523"/>
      <c r="AT499" s="700"/>
      <c r="AU499" s="523"/>
      <c r="AV499" s="523"/>
      <c r="AW499" s="523"/>
      <c r="AX499" s="523"/>
      <c r="AY499" s="700"/>
      <c r="AZ499" s="523"/>
      <c r="BA499" s="523"/>
      <c r="BB499" s="523"/>
      <c r="BC499" s="523"/>
      <c r="BD499" s="700"/>
      <c r="BE499" s="523"/>
      <c r="BF499" s="523"/>
      <c r="BG499" s="523"/>
      <c r="BH499" s="523"/>
      <c r="BI499" s="700"/>
      <c r="BJ499" s="523"/>
      <c r="BK499" s="523"/>
      <c r="BL499" s="563"/>
      <c r="BM499" s="523"/>
      <c r="BN499" s="700"/>
      <c r="BO499" s="523"/>
      <c r="BP499" s="523"/>
      <c r="BQ499" s="523"/>
      <c r="BR499" s="523"/>
      <c r="BS499" s="700"/>
      <c r="BT499" s="700"/>
      <c r="BU499" s="700"/>
      <c r="BV499" s="700"/>
      <c r="BW499" s="318"/>
    </row>
    <row r="500" spans="1:75" s="439" customFormat="1" outlineLevel="1">
      <c r="A500" s="23" t="s">
        <v>484</v>
      </c>
      <c r="B500" s="53"/>
      <c r="C500" s="89"/>
      <c r="D500" s="675">
        <v>2.1000000000000001E-2</v>
      </c>
      <c r="E500" s="675">
        <v>9.1999999999999998E-2</v>
      </c>
      <c r="F500" s="675">
        <v>0.11</v>
      </c>
      <c r="G500" s="609">
        <v>1.2999999999999999E-2</v>
      </c>
      <c r="H500" s="609">
        <v>8.3000000000000004E-2</v>
      </c>
      <c r="I500" s="609">
        <v>0.11600000000000001</v>
      </c>
      <c r="J500" s="518">
        <f>K500</f>
        <v>0.29099999999999998</v>
      </c>
      <c r="K500" s="675">
        <v>0.29099999999999998</v>
      </c>
      <c r="L500" s="609">
        <v>0.115</v>
      </c>
      <c r="M500" s="609">
        <v>0.26</v>
      </c>
      <c r="N500" s="609">
        <v>0.48599999999999999</v>
      </c>
      <c r="O500" s="518">
        <f>P500</f>
        <v>1.972</v>
      </c>
      <c r="P500" s="675">
        <v>1.972</v>
      </c>
      <c r="Q500" s="609">
        <v>0.42199999999999999</v>
      </c>
      <c r="R500" s="609">
        <v>-4.0000000000000001E-3</v>
      </c>
      <c r="S500" s="609">
        <v>0.13700000000000001</v>
      </c>
      <c r="T500" s="518">
        <f>U500</f>
        <v>0.35199999999999998</v>
      </c>
      <c r="U500" s="675">
        <v>0.35199999999999998</v>
      </c>
      <c r="V500" s="609">
        <v>0.51600000000000001</v>
      </c>
      <c r="W500" s="609">
        <v>0.57099999999999995</v>
      </c>
      <c r="X500" s="609">
        <v>0.68799999999999994</v>
      </c>
      <c r="Y500" s="518">
        <f>Z500</f>
        <v>0.81299999999999994</v>
      </c>
      <c r="Z500" s="675">
        <v>0.81299999999999994</v>
      </c>
      <c r="AA500" s="609">
        <v>-0.107</v>
      </c>
      <c r="AB500" s="609">
        <v>1E-3</v>
      </c>
      <c r="AC500" s="609">
        <v>8.2000000000000003E-2</v>
      </c>
      <c r="AD500" s="518">
        <f>AE500</f>
        <v>0.53</v>
      </c>
      <c r="AE500" s="675">
        <v>0.53</v>
      </c>
      <c r="AF500" s="609">
        <v>0.20599999999999999</v>
      </c>
      <c r="AG500" s="609">
        <v>28.815000000000001</v>
      </c>
      <c r="AH500" s="609">
        <v>28.82</v>
      </c>
      <c r="AI500" s="518">
        <f>AJ500</f>
        <v>29.158999999999999</v>
      </c>
      <c r="AJ500" s="675">
        <v>29.158999999999999</v>
      </c>
      <c r="AK500" s="609">
        <v>-0.40799999999999997</v>
      </c>
      <c r="AL500" s="609">
        <v>2.843</v>
      </c>
      <c r="AM500" s="609">
        <v>5.702</v>
      </c>
      <c r="AN500" s="518">
        <f>AO500</f>
        <v>6.9119999999999999</v>
      </c>
      <c r="AO500" s="675">
        <v>6.9119999999999999</v>
      </c>
      <c r="AP500" s="609">
        <v>-0.28999999999999998</v>
      </c>
      <c r="AQ500" s="609">
        <v>-0.29799999999999999</v>
      </c>
      <c r="AR500" s="609">
        <v>0.109</v>
      </c>
      <c r="AS500" s="518">
        <f>AT500</f>
        <v>0.214</v>
      </c>
      <c r="AT500" s="675">
        <v>0.214</v>
      </c>
      <c r="AU500" s="609">
        <v>-0.70399999999999996</v>
      </c>
      <c r="AV500" s="609">
        <v>-0.58599999999999997</v>
      </c>
      <c r="AW500" s="609">
        <v>-0.34899999999999998</v>
      </c>
      <c r="AX500" s="518">
        <f>AY500</f>
        <v>2.5230000000000001</v>
      </c>
      <c r="AY500" s="675">
        <v>2.5230000000000001</v>
      </c>
      <c r="AZ500" s="609">
        <v>-1.0049999999999999</v>
      </c>
      <c r="BA500" s="609">
        <v>23.727</v>
      </c>
      <c r="BB500" s="609">
        <v>40.128999999999998</v>
      </c>
      <c r="BC500" s="518">
        <f>BD500</f>
        <v>50.415999999999997</v>
      </c>
      <c r="BD500" s="675">
        <v>50.415999999999997</v>
      </c>
      <c r="BE500" s="609">
        <v>-0.18099999999999999</v>
      </c>
      <c r="BF500" s="609">
        <v>8.2289999999999992</v>
      </c>
      <c r="BG500" s="609">
        <v>8.8000000000000007</v>
      </c>
      <c r="BH500" s="518">
        <f>BI500</f>
        <v>30.625</v>
      </c>
      <c r="BI500" s="675">
        <v>30.625</v>
      </c>
      <c r="BJ500" s="609">
        <v>0.14599999999999999</v>
      </c>
      <c r="BK500" s="609">
        <v>20.364999999999998</v>
      </c>
      <c r="BL500" s="610">
        <v>35.731000000000002</v>
      </c>
      <c r="BM500" s="518"/>
      <c r="BN500" s="89"/>
      <c r="BO500" s="518"/>
      <c r="BP500" s="518"/>
      <c r="BQ500" s="518"/>
      <c r="BR500" s="518"/>
      <c r="BS500" s="89"/>
      <c r="BT500" s="89"/>
      <c r="BU500" s="89"/>
      <c r="BV500" s="89"/>
      <c r="BW500" s="519"/>
    </row>
    <row r="501" spans="1:75" s="444" customFormat="1">
      <c r="A501" s="28"/>
      <c r="B501" s="30"/>
      <c r="C501" s="700"/>
      <c r="D501" s="700"/>
      <c r="E501" s="700"/>
      <c r="F501" s="700"/>
      <c r="G501" s="523"/>
      <c r="H501" s="523"/>
      <c r="I501" s="523"/>
      <c r="J501" s="523"/>
      <c r="K501" s="700"/>
      <c r="L501" s="523"/>
      <c r="M501" s="523"/>
      <c r="N501" s="523"/>
      <c r="O501" s="523"/>
      <c r="P501" s="700"/>
      <c r="Q501" s="523"/>
      <c r="R501" s="523"/>
      <c r="S501" s="523"/>
      <c r="T501" s="523"/>
      <c r="U501" s="700"/>
      <c r="V501" s="523"/>
      <c r="W501" s="523"/>
      <c r="X501" s="523"/>
      <c r="Y501" s="523"/>
      <c r="Z501" s="700"/>
      <c r="AA501" s="523"/>
      <c r="AB501" s="523"/>
      <c r="AC501" s="523"/>
      <c r="AD501" s="523"/>
      <c r="AE501" s="700"/>
      <c r="AF501" s="523"/>
      <c r="AG501" s="523"/>
      <c r="AH501" s="523"/>
      <c r="AI501" s="523"/>
      <c r="AJ501" s="700"/>
      <c r="AK501" s="523"/>
      <c r="AL501" s="523"/>
      <c r="AM501" s="523"/>
      <c r="AN501" s="523"/>
      <c r="AO501" s="700"/>
      <c r="AP501" s="523"/>
      <c r="AQ501" s="523"/>
      <c r="AR501" s="523"/>
      <c r="AS501" s="523"/>
      <c r="AT501" s="700"/>
      <c r="AU501" s="523"/>
      <c r="AV501" s="523"/>
      <c r="AW501" s="523"/>
      <c r="AX501" s="523"/>
      <c r="AY501" s="700"/>
      <c r="AZ501" s="523"/>
      <c r="BA501" s="523"/>
      <c r="BB501" s="523"/>
      <c r="BC501" s="523"/>
      <c r="BD501" s="700"/>
      <c r="BE501" s="523"/>
      <c r="BF501" s="523"/>
      <c r="BG501" s="523"/>
      <c r="BH501" s="523"/>
      <c r="BI501" s="700"/>
      <c r="BJ501" s="523"/>
      <c r="BK501" s="523"/>
      <c r="BL501" s="563"/>
      <c r="BM501" s="523"/>
      <c r="BN501" s="700"/>
      <c r="BO501" s="523"/>
      <c r="BP501" s="523"/>
      <c r="BQ501" s="523"/>
      <c r="BR501" s="523"/>
      <c r="BS501" s="700"/>
      <c r="BT501" s="700"/>
      <c r="BU501" s="700"/>
      <c r="BV501" s="700"/>
      <c r="BW501" s="318"/>
    </row>
    <row r="502" spans="1:75" s="444" customFormat="1">
      <c r="A502" s="517" t="s">
        <v>485</v>
      </c>
      <c r="B502" s="517"/>
      <c r="C502" s="517"/>
      <c r="D502" s="517"/>
      <c r="E502" s="517"/>
      <c r="F502" s="517"/>
      <c r="G502" s="517"/>
      <c r="H502" s="517"/>
      <c r="I502" s="517"/>
      <c r="J502" s="517"/>
      <c r="K502" s="517"/>
      <c r="L502" s="517"/>
      <c r="M502" s="517"/>
      <c r="N502" s="517"/>
      <c r="O502" s="517"/>
      <c r="P502" s="517"/>
      <c r="Q502" s="517"/>
      <c r="R502" s="517"/>
      <c r="S502" s="517"/>
      <c r="T502" s="517"/>
      <c r="U502" s="517"/>
      <c r="V502" s="517"/>
      <c r="W502" s="517"/>
      <c r="X502" s="517"/>
      <c r="Y502" s="517"/>
      <c r="Z502" s="517"/>
      <c r="AA502" s="517"/>
      <c r="AB502" s="517"/>
      <c r="AC502" s="517"/>
      <c r="AD502" s="517"/>
      <c r="AE502" s="517"/>
      <c r="AF502" s="517"/>
      <c r="AG502" s="517"/>
      <c r="AH502" s="517"/>
      <c r="AI502" s="517"/>
      <c r="AJ502" s="517"/>
      <c r="AK502" s="517"/>
      <c r="AL502" s="517"/>
      <c r="AM502" s="517"/>
      <c r="AN502" s="517"/>
      <c r="AO502" s="517"/>
      <c r="AP502" s="517"/>
      <c r="AQ502" s="517"/>
      <c r="AR502" s="517"/>
      <c r="AS502" s="517"/>
      <c r="AT502" s="517"/>
      <c r="AU502" s="517"/>
      <c r="AV502" s="517"/>
      <c r="AW502" s="517"/>
      <c r="AX502" s="517"/>
      <c r="AY502" s="517"/>
      <c r="AZ502" s="517"/>
      <c r="BA502" s="517"/>
      <c r="BB502" s="517"/>
      <c r="BC502" s="517"/>
      <c r="BD502" s="517"/>
      <c r="BE502" s="517"/>
      <c r="BF502" s="517"/>
      <c r="BG502" s="517"/>
      <c r="BH502" s="517"/>
      <c r="BI502" s="517"/>
      <c r="BJ502" s="517"/>
      <c r="BK502" s="517"/>
      <c r="BL502" s="562"/>
      <c r="BM502" s="517"/>
      <c r="BN502" s="517"/>
      <c r="BO502" s="517"/>
      <c r="BP502" s="517"/>
      <c r="BQ502" s="517"/>
      <c r="BR502" s="517"/>
      <c r="BS502" s="517"/>
      <c r="BT502" s="517"/>
      <c r="BU502" s="517"/>
      <c r="BV502" s="517"/>
      <c r="BW502" s="318"/>
    </row>
    <row r="503" spans="1:75" s="444" customFormat="1">
      <c r="A503" s="28" t="str">
        <f t="shared" ref="A503:A513" si="1037">A434</f>
        <v>CFO</v>
      </c>
      <c r="B503" s="30"/>
      <c r="C503" s="700"/>
      <c r="D503" s="700"/>
      <c r="E503" s="700"/>
      <c r="F503" s="700"/>
      <c r="G503" s="523"/>
      <c r="H503" s="523"/>
      <c r="I503" s="523"/>
      <c r="J503" s="523"/>
      <c r="K503" s="700"/>
      <c r="L503" s="523"/>
      <c r="M503" s="523"/>
      <c r="N503" s="523"/>
      <c r="O503" s="523"/>
      <c r="P503" s="700"/>
      <c r="Q503" s="523"/>
      <c r="R503" s="523"/>
      <c r="S503" s="523"/>
      <c r="T503" s="523"/>
      <c r="U503" s="700"/>
      <c r="V503" s="523"/>
      <c r="W503" s="523"/>
      <c r="X503" s="523"/>
      <c r="Y503" s="523"/>
      <c r="Z503" s="700"/>
      <c r="AA503" s="523"/>
      <c r="AB503" s="523"/>
      <c r="AC503" s="523"/>
      <c r="AD503" s="523"/>
      <c r="AE503" s="700"/>
      <c r="AF503" s="523"/>
      <c r="AG503" s="523"/>
      <c r="AH503" s="523"/>
      <c r="AI503" s="523"/>
      <c r="AJ503" s="700"/>
      <c r="AK503" s="523"/>
      <c r="AL503" s="523"/>
      <c r="AM503" s="523"/>
      <c r="AN503" s="523"/>
      <c r="AO503" s="700"/>
      <c r="AP503" s="523"/>
      <c r="AQ503" s="523"/>
      <c r="AR503" s="523"/>
      <c r="AS503" s="523"/>
      <c r="AT503" s="700"/>
      <c r="AU503" s="523"/>
      <c r="AV503" s="523"/>
      <c r="AW503" s="523"/>
      <c r="AX503" s="523"/>
      <c r="AY503" s="700"/>
      <c r="AZ503" s="523"/>
      <c r="BA503" s="523"/>
      <c r="BB503" s="523"/>
      <c r="BC503" s="523"/>
      <c r="BD503" s="700"/>
      <c r="BE503" s="523"/>
      <c r="BF503" s="523"/>
      <c r="BG503" s="523"/>
      <c r="BH503" s="523"/>
      <c r="BI503" s="700"/>
      <c r="BJ503" s="523"/>
      <c r="BK503" s="523"/>
      <c r="BL503" s="563"/>
      <c r="BM503" s="523"/>
      <c r="BN503" s="700"/>
      <c r="BO503" s="523"/>
      <c r="BP503" s="523"/>
      <c r="BQ503" s="523"/>
      <c r="BR503" s="523"/>
      <c r="BS503" s="700"/>
      <c r="BT503" s="700"/>
      <c r="BU503" s="700"/>
      <c r="BV503" s="700"/>
      <c r="BW503" s="318"/>
    </row>
    <row r="504" spans="1:75" s="439" customFormat="1">
      <c r="A504" s="31" t="str">
        <f t="shared" si="1037"/>
        <v>Net loss</v>
      </c>
      <c r="B504" s="53"/>
      <c r="C504" s="89">
        <f t="shared" ref="C504:G513" si="1038">C435</f>
        <v>-2.3079999999999998</v>
      </c>
      <c r="D504" s="89">
        <f t="shared" si="1038"/>
        <v>-9.5660000000000007</v>
      </c>
      <c r="E504" s="89">
        <f t="shared" si="1038"/>
        <v>-16.667999999999999</v>
      </c>
      <c r="F504" s="89">
        <f t="shared" si="1038"/>
        <v>-19.113</v>
      </c>
      <c r="G504" s="518">
        <f t="shared" si="1038"/>
        <v>-4.7990000000000004</v>
      </c>
      <c r="H504" s="518">
        <f t="shared" ref="H504:J520" si="1039">H435-G435</f>
        <v>-0.87799999999999923</v>
      </c>
      <c r="I504" s="518">
        <f t="shared" si="1039"/>
        <v>-2.3220000000000001</v>
      </c>
      <c r="J504" s="518">
        <f t="shared" si="1039"/>
        <v>-2.069</v>
      </c>
      <c r="K504" s="89">
        <f t="shared" ref="K504:L520" si="1040">K435</f>
        <v>-10.068</v>
      </c>
      <c r="L504" s="518">
        <f t="shared" si="1040"/>
        <v>-2.6349999999999998</v>
      </c>
      <c r="M504" s="518">
        <f t="shared" ref="M504:O520" si="1041">M435-L435</f>
        <v>2.7429999999999999</v>
      </c>
      <c r="N504" s="518">
        <f t="shared" si="1041"/>
        <v>3.637</v>
      </c>
      <c r="O504" s="518">
        <f t="shared" si="1041"/>
        <v>32.728000000000002</v>
      </c>
      <c r="P504" s="89">
        <f t="shared" ref="P504:Q520" si="1042">P435</f>
        <v>36.472999999999999</v>
      </c>
      <c r="Q504" s="518">
        <f t="shared" si="1042"/>
        <v>-1.284</v>
      </c>
      <c r="R504" s="518">
        <f t="shared" ref="R504:T520" si="1043">R435-Q435</f>
        <v>-1.3049999999999999</v>
      </c>
      <c r="S504" s="518">
        <f t="shared" si="1043"/>
        <v>-8.081999999999999</v>
      </c>
      <c r="T504" s="518">
        <f t="shared" si="1043"/>
        <v>-22.228999999999999</v>
      </c>
      <c r="U504" s="89">
        <f t="shared" ref="U504:V520" si="1044">U435</f>
        <v>-32.9</v>
      </c>
      <c r="V504" s="518">
        <f t="shared" si="1044"/>
        <v>-15.452</v>
      </c>
      <c r="W504" s="518">
        <f t="shared" ref="W504:Y520" si="1045">W435-V435</f>
        <v>0.44899999999999984</v>
      </c>
      <c r="X504" s="518">
        <f t="shared" si="1045"/>
        <v>2.0700000000000003</v>
      </c>
      <c r="Y504" s="518">
        <f t="shared" si="1045"/>
        <v>8.2629999999999999</v>
      </c>
      <c r="Z504" s="89">
        <f t="shared" ref="Z504:AA520" si="1046">Z435</f>
        <v>-4.67</v>
      </c>
      <c r="AA504" s="518">
        <f t="shared" si="1046"/>
        <v>-4.0259999999999998</v>
      </c>
      <c r="AB504" s="518">
        <f t="shared" ref="AB504:AD520" si="1047">AB435-AA435</f>
        <v>7.9039999999999999</v>
      </c>
      <c r="AC504" s="518">
        <f t="shared" si="1047"/>
        <v>7.9960000000000004</v>
      </c>
      <c r="AD504" s="518">
        <f t="shared" si="1047"/>
        <v>141.12100000000001</v>
      </c>
      <c r="AE504" s="89">
        <f t="shared" ref="AE504:AF520" si="1048">AE435</f>
        <v>152.995</v>
      </c>
      <c r="AF504" s="518">
        <f t="shared" si="1048"/>
        <v>-2.286</v>
      </c>
      <c r="AG504" s="518">
        <f t="shared" ref="AG504:AI520" si="1049">AG435-AF435</f>
        <v>10.703999999999999</v>
      </c>
      <c r="AH504" s="518">
        <f t="shared" si="1049"/>
        <v>14.986000000000001</v>
      </c>
      <c r="AI504" s="518">
        <f t="shared" si="1049"/>
        <v>31.946000000000002</v>
      </c>
      <c r="AJ504" s="89">
        <f t="shared" ref="AJ504:AK520" si="1050">AJ435</f>
        <v>55.35</v>
      </c>
      <c r="AK504" s="518">
        <f t="shared" si="1050"/>
        <v>1.365</v>
      </c>
      <c r="AL504" s="518">
        <f t="shared" ref="AL504:AN520" si="1051">AL435-AK435</f>
        <v>12.302999999999999</v>
      </c>
      <c r="AM504" s="518">
        <f t="shared" si="1051"/>
        <v>10.061</v>
      </c>
      <c r="AN504" s="518">
        <f t="shared" si="1051"/>
        <v>17.152000000000001</v>
      </c>
      <c r="AO504" s="89">
        <f t="shared" ref="AO504:AP520" si="1052">AO435</f>
        <v>40.881</v>
      </c>
      <c r="AP504" s="518">
        <f t="shared" si="1052"/>
        <v>-15.503</v>
      </c>
      <c r="AQ504" s="518">
        <f t="shared" ref="AQ504:AS520" si="1053">AQ435-AP435</f>
        <v>-23.990000000000002</v>
      </c>
      <c r="AR504" s="518">
        <f t="shared" si="1053"/>
        <v>-1.019999999999996</v>
      </c>
      <c r="AS504" s="518">
        <f t="shared" si="1053"/>
        <v>21.088999999999999</v>
      </c>
      <c r="AT504" s="89">
        <f t="shared" ref="AT504:AU520" si="1054">AT435</f>
        <v>-19.423999999999999</v>
      </c>
      <c r="AU504" s="518">
        <f t="shared" si="1054"/>
        <v>-5.7960000000000003</v>
      </c>
      <c r="AV504" s="518">
        <f t="shared" ref="AV504:AX520" si="1055">AV435-AU435</f>
        <v>4.2119999999999997</v>
      </c>
      <c r="AW504" s="518">
        <f t="shared" si="1055"/>
        <v>18.065000000000001</v>
      </c>
      <c r="AX504" s="518">
        <f t="shared" si="1055"/>
        <v>23.189999999999998</v>
      </c>
      <c r="AY504" s="89">
        <f t="shared" ref="AY504:AZ520" si="1056">AY435</f>
        <v>39.670999999999999</v>
      </c>
      <c r="AZ504" s="518">
        <f t="shared" si="1056"/>
        <v>-0.91500000000000004</v>
      </c>
      <c r="BA504" s="518">
        <f t="shared" ref="BA504:BC520" si="1057">BA435-AZ435</f>
        <v>8.0090000000000003</v>
      </c>
      <c r="BB504" s="518">
        <f t="shared" si="1057"/>
        <v>9.1080000000000005</v>
      </c>
      <c r="BC504" s="518">
        <f t="shared" si="1057"/>
        <v>20.145</v>
      </c>
      <c r="BD504" s="89">
        <f t="shared" ref="BD504:BE520" si="1058">BD435</f>
        <v>36.347000000000001</v>
      </c>
      <c r="BE504" s="518">
        <f t="shared" si="1058"/>
        <v>-1.1779999999999999</v>
      </c>
      <c r="BF504" s="518">
        <f t="shared" ref="BF504:BF520" si="1059">BF435-BE435</f>
        <v>14.728999999999999</v>
      </c>
      <c r="BG504" s="518">
        <f t="shared" ref="BG504:BG520" si="1060">BG435-BF435</f>
        <v>58.215999999999994</v>
      </c>
      <c r="BH504" s="518">
        <f t="shared" ref="BH504:BH520" si="1061">BH435-BG435</f>
        <v>27.406000000000006</v>
      </c>
      <c r="BI504" s="89">
        <f t="shared" ref="BI504:BI520" si="1062">BI435</f>
        <v>99.173000000000002</v>
      </c>
      <c r="BJ504" s="518">
        <f t="shared" ref="BJ504:BJ520" si="1063">BJ435</f>
        <v>14.154</v>
      </c>
      <c r="BK504" s="518">
        <f t="shared" ref="BK504:BK520" si="1064">BK435-BJ435</f>
        <v>38.036000000000001</v>
      </c>
      <c r="BL504" s="520">
        <f t="shared" ref="BL504:BL520" si="1065">BL435-BK435</f>
        <v>38.44</v>
      </c>
      <c r="BM504" s="518">
        <f>BM242</f>
        <v>76.496794106590059</v>
      </c>
      <c r="BN504" s="89">
        <f t="shared" ref="BN504:BN520" si="1066">SUM(BJ504,BK504,BL504,BM504)</f>
        <v>167.12679410659007</v>
      </c>
      <c r="BO504" s="518">
        <f>BO242</f>
        <v>44.153267651904059</v>
      </c>
      <c r="BP504" s="518">
        <f>BP242</f>
        <v>68.315275475650594</v>
      </c>
      <c r="BQ504" s="518">
        <f>BQ242</f>
        <v>64.564563349161148</v>
      </c>
      <c r="BR504" s="518">
        <f>BR242</f>
        <v>58.486805268019651</v>
      </c>
      <c r="BS504" s="89">
        <f t="shared" ref="BS504:BS520" si="1067">SUM(BO504,BP504,BQ504,BR504)</f>
        <v>235.51991174473545</v>
      </c>
      <c r="BT504" s="89">
        <f>BT242</f>
        <v>238.88980745145057</v>
      </c>
      <c r="BU504" s="89">
        <f>BU242</f>
        <v>259.90856736275168</v>
      </c>
      <c r="BV504" s="89">
        <f>BV242</f>
        <v>161.32804459374452</v>
      </c>
      <c r="BW504" s="519"/>
    </row>
    <row r="505" spans="1:75" s="439" customFormat="1">
      <c r="A505" s="31" t="str">
        <f t="shared" si="1037"/>
        <v>Depreciation and amortization</v>
      </c>
      <c r="B505" s="53"/>
      <c r="C505" s="89">
        <f t="shared" si="1038"/>
        <v>1.2010000000000001</v>
      </c>
      <c r="D505" s="89">
        <f t="shared" si="1038"/>
        <v>2.3340000000000001</v>
      </c>
      <c r="E505" s="89">
        <f t="shared" si="1038"/>
        <v>4.2380000000000004</v>
      </c>
      <c r="F505" s="89">
        <f t="shared" si="1038"/>
        <v>7.2229999999999999</v>
      </c>
      <c r="G505" s="518">
        <f t="shared" si="1038"/>
        <v>2.4780000000000002</v>
      </c>
      <c r="H505" s="518">
        <f t="shared" si="1039"/>
        <v>2.637</v>
      </c>
      <c r="I505" s="518">
        <f t="shared" si="1039"/>
        <v>2.8159999999999998</v>
      </c>
      <c r="J505" s="518">
        <f t="shared" si="1039"/>
        <v>3.524</v>
      </c>
      <c r="K505" s="89">
        <f t="shared" si="1040"/>
        <v>11.455</v>
      </c>
      <c r="L505" s="518">
        <f t="shared" si="1040"/>
        <v>3.661</v>
      </c>
      <c r="M505" s="518">
        <f t="shared" si="1041"/>
        <v>4.0340000000000007</v>
      </c>
      <c r="N505" s="518">
        <f t="shared" si="1041"/>
        <v>4.6039999999999992</v>
      </c>
      <c r="O505" s="518">
        <f t="shared" si="1041"/>
        <v>5.2910000000000004</v>
      </c>
      <c r="P505" s="89">
        <f t="shared" si="1042"/>
        <v>17.59</v>
      </c>
      <c r="Q505" s="518">
        <f t="shared" si="1042"/>
        <v>6.8949999999999996</v>
      </c>
      <c r="R505" s="518">
        <f t="shared" si="1043"/>
        <v>7.1669999999999998</v>
      </c>
      <c r="S505" s="518">
        <f t="shared" si="1043"/>
        <v>7.5619999999999994</v>
      </c>
      <c r="T505" s="518">
        <f t="shared" si="1043"/>
        <v>7.98</v>
      </c>
      <c r="U505" s="89">
        <f t="shared" si="1044"/>
        <v>29.603999999999999</v>
      </c>
      <c r="V505" s="518">
        <f t="shared" si="1044"/>
        <v>8.1890000000000001</v>
      </c>
      <c r="W505" s="518">
        <f t="shared" si="1045"/>
        <v>8.5640000000000001</v>
      </c>
      <c r="X505" s="518">
        <f t="shared" si="1045"/>
        <v>9.1589999999999989</v>
      </c>
      <c r="Y505" s="518">
        <f t="shared" si="1045"/>
        <v>9.4339999999999975</v>
      </c>
      <c r="Z505" s="89">
        <f t="shared" si="1046"/>
        <v>35.345999999999997</v>
      </c>
      <c r="AA505" s="518">
        <f t="shared" si="1046"/>
        <v>10.151</v>
      </c>
      <c r="AB505" s="518">
        <f t="shared" si="1047"/>
        <v>10.661999999999999</v>
      </c>
      <c r="AC505" s="518">
        <f t="shared" si="1047"/>
        <v>10.657</v>
      </c>
      <c r="AD505" s="518">
        <f t="shared" si="1047"/>
        <v>9.7280000000000015</v>
      </c>
      <c r="AE505" s="89">
        <f t="shared" si="1048"/>
        <v>41.198</v>
      </c>
      <c r="AF505" s="518">
        <f t="shared" si="1048"/>
        <v>10.028</v>
      </c>
      <c r="AG505" s="518">
        <f t="shared" si="1049"/>
        <v>10.508999999999999</v>
      </c>
      <c r="AH505" s="518">
        <f t="shared" si="1049"/>
        <v>10.713000000000001</v>
      </c>
      <c r="AI505" s="518">
        <f t="shared" si="1049"/>
        <v>11.557000000000002</v>
      </c>
      <c r="AJ505" s="89">
        <f t="shared" si="1050"/>
        <v>42.807000000000002</v>
      </c>
      <c r="AK505" s="518">
        <f t="shared" si="1050"/>
        <v>11.875999999999999</v>
      </c>
      <c r="AL505" s="518">
        <f t="shared" si="1051"/>
        <v>12.24</v>
      </c>
      <c r="AM505" s="518">
        <f t="shared" si="1051"/>
        <v>12.390999999999998</v>
      </c>
      <c r="AN505" s="518">
        <f t="shared" si="1051"/>
        <v>12.849000000000004</v>
      </c>
      <c r="AO505" s="89">
        <f t="shared" si="1052"/>
        <v>49.356000000000002</v>
      </c>
      <c r="AP505" s="518">
        <f t="shared" si="1052"/>
        <v>12.358000000000001</v>
      </c>
      <c r="AQ505" s="518">
        <f t="shared" si="1053"/>
        <v>12.582000000000001</v>
      </c>
      <c r="AR505" s="518">
        <f t="shared" si="1053"/>
        <v>12.544</v>
      </c>
      <c r="AS505" s="518">
        <f t="shared" si="1053"/>
        <v>13.125</v>
      </c>
      <c r="AT505" s="89">
        <f t="shared" si="1054"/>
        <v>50.609000000000002</v>
      </c>
      <c r="AU505" s="518">
        <f t="shared" si="1054"/>
        <v>13.083</v>
      </c>
      <c r="AV505" s="518">
        <f t="shared" si="1055"/>
        <v>12.833</v>
      </c>
      <c r="AW505" s="518">
        <f t="shared" si="1055"/>
        <v>12.626999999999999</v>
      </c>
      <c r="AX505" s="518">
        <f t="shared" si="1055"/>
        <v>17.14</v>
      </c>
      <c r="AY505" s="89">
        <f t="shared" si="1056"/>
        <v>55.683</v>
      </c>
      <c r="AZ505" s="518">
        <f t="shared" si="1056"/>
        <v>11.49</v>
      </c>
      <c r="BA505" s="518">
        <f t="shared" si="1057"/>
        <v>11.258000000000001</v>
      </c>
      <c r="BB505" s="518">
        <f t="shared" si="1057"/>
        <v>11.416999999999998</v>
      </c>
      <c r="BC505" s="518">
        <f t="shared" si="1057"/>
        <v>10.686999999999998</v>
      </c>
      <c r="BD505" s="89">
        <f t="shared" si="1058"/>
        <v>44.851999999999997</v>
      </c>
      <c r="BE505" s="518">
        <f t="shared" si="1058"/>
        <v>10.805</v>
      </c>
      <c r="BF505" s="518">
        <f t="shared" si="1059"/>
        <v>10.615000000000002</v>
      </c>
      <c r="BG505" s="518">
        <f t="shared" si="1060"/>
        <v>10.460999999999999</v>
      </c>
      <c r="BH505" s="518">
        <f t="shared" si="1061"/>
        <v>10.302999999999997</v>
      </c>
      <c r="BI505" s="89">
        <f t="shared" si="1062"/>
        <v>42.183999999999997</v>
      </c>
      <c r="BJ505" s="518">
        <f t="shared" si="1063"/>
        <v>9.93</v>
      </c>
      <c r="BK505" s="518">
        <f t="shared" si="1064"/>
        <v>9.5850000000000009</v>
      </c>
      <c r="BL505" s="520">
        <f t="shared" si="1065"/>
        <v>9.3260000000000005</v>
      </c>
      <c r="BM505" s="518">
        <f>BM229</f>
        <v>10.563070491803279</v>
      </c>
      <c r="BN505" s="89">
        <f t="shared" si="1066"/>
        <v>39.404070491803282</v>
      </c>
      <c r="BO505" s="518">
        <f>BO229</f>
        <v>9.4503611183471818</v>
      </c>
      <c r="BP505" s="518">
        <f>BP229</f>
        <v>9.644228431546944</v>
      </c>
      <c r="BQ505" s="518">
        <f>BQ229</f>
        <v>9.8150754784294971</v>
      </c>
      <c r="BR505" s="518">
        <f>BR229</f>
        <v>9.8578734077809695</v>
      </c>
      <c r="BS505" s="89">
        <f t="shared" si="1067"/>
        <v>38.767538436104594</v>
      </c>
      <c r="BT505" s="89">
        <f>BT229</f>
        <v>39.255514549488026</v>
      </c>
      <c r="BU505" s="89">
        <f>BU229</f>
        <v>39.911809422727721</v>
      </c>
      <c r="BV505" s="89">
        <f>BV229</f>
        <v>40.197349037150012</v>
      </c>
      <c r="BW505" s="519"/>
    </row>
    <row r="506" spans="1:75" s="439" customFormat="1">
      <c r="A506" s="31" t="str">
        <f t="shared" si="1037"/>
        <v>Provision for doubtful accounts and sales returns</v>
      </c>
      <c r="B506" s="53"/>
      <c r="C506" s="89">
        <f t="shared" si="1038"/>
        <v>6.9000000000000006E-2</v>
      </c>
      <c r="D506" s="89">
        <f t="shared" si="1038"/>
        <v>0.40799999999999997</v>
      </c>
      <c r="E506" s="89">
        <f t="shared" si="1038"/>
        <v>0.627</v>
      </c>
      <c r="F506" s="89">
        <f t="shared" si="1038"/>
        <v>1.913</v>
      </c>
      <c r="G506" s="518">
        <f t="shared" si="1038"/>
        <v>0.55100000000000005</v>
      </c>
      <c r="H506" s="518">
        <f t="shared" si="1039"/>
        <v>0.74999999999999989</v>
      </c>
      <c r="I506" s="518">
        <f t="shared" si="1039"/>
        <v>0.877</v>
      </c>
      <c r="J506" s="518">
        <f t="shared" si="1039"/>
        <v>1.1259999999999999</v>
      </c>
      <c r="K506" s="89">
        <f t="shared" si="1040"/>
        <v>3.3039999999999998</v>
      </c>
      <c r="L506" s="518">
        <f t="shared" si="1040"/>
        <v>1.1859999999999999</v>
      </c>
      <c r="M506" s="518">
        <f t="shared" si="1041"/>
        <v>1.395</v>
      </c>
      <c r="N506" s="518">
        <f t="shared" si="1041"/>
        <v>1.3130000000000002</v>
      </c>
      <c r="O506" s="518">
        <f t="shared" si="1041"/>
        <v>3.3440000000000003</v>
      </c>
      <c r="P506" s="89">
        <f t="shared" si="1042"/>
        <v>7.2380000000000004</v>
      </c>
      <c r="Q506" s="518">
        <f t="shared" si="1042"/>
        <v>3.4340000000000002</v>
      </c>
      <c r="R506" s="518">
        <f t="shared" si="1043"/>
        <v>2.6419999999999995</v>
      </c>
      <c r="S506" s="518">
        <f t="shared" si="1043"/>
        <v>4.3250000000000002</v>
      </c>
      <c r="T506" s="518">
        <f t="shared" si="1043"/>
        <v>6.3870000000000005</v>
      </c>
      <c r="U506" s="89">
        <f t="shared" si="1044"/>
        <v>16.788</v>
      </c>
      <c r="V506" s="518">
        <f t="shared" si="1044"/>
        <v>5.0910000000000002</v>
      </c>
      <c r="W506" s="518">
        <f t="shared" si="1045"/>
        <v>2.3339999999999996</v>
      </c>
      <c r="X506" s="518">
        <f t="shared" si="1045"/>
        <v>4.7139999999999995</v>
      </c>
      <c r="Y506" s="518">
        <f t="shared" si="1045"/>
        <v>5.1219999999999999</v>
      </c>
      <c r="Z506" s="89">
        <f t="shared" si="1046"/>
        <v>17.260999999999999</v>
      </c>
      <c r="AA506" s="518">
        <f t="shared" si="1046"/>
        <v>5.9009999999999998</v>
      </c>
      <c r="AB506" s="518">
        <f t="shared" si="1047"/>
        <v>4.891</v>
      </c>
      <c r="AC506" s="518">
        <f t="shared" si="1047"/>
        <v>4.447000000000001</v>
      </c>
      <c r="AD506" s="518">
        <f t="shared" si="1047"/>
        <v>5.6780000000000008</v>
      </c>
      <c r="AE506" s="89">
        <f t="shared" si="1048"/>
        <v>20.917000000000002</v>
      </c>
      <c r="AF506" s="518">
        <f t="shared" si="1048"/>
        <v>8.1430000000000007</v>
      </c>
      <c r="AG506" s="518">
        <f t="shared" si="1049"/>
        <v>6.4649999999999999</v>
      </c>
      <c r="AH506" s="518">
        <f t="shared" si="1049"/>
        <v>4.6769999999999996</v>
      </c>
      <c r="AI506" s="518">
        <f t="shared" si="1049"/>
        <v>5.23</v>
      </c>
      <c r="AJ506" s="89">
        <f t="shared" si="1050"/>
        <v>24.515000000000001</v>
      </c>
      <c r="AK506" s="518">
        <f t="shared" si="1050"/>
        <v>4.2640000000000002</v>
      </c>
      <c r="AL506" s="518">
        <f t="shared" si="1051"/>
        <v>4.4519999999999991</v>
      </c>
      <c r="AM506" s="518">
        <f t="shared" si="1051"/>
        <v>6.543000000000001</v>
      </c>
      <c r="AN506" s="518">
        <f t="shared" si="1051"/>
        <v>7.2839999999999989</v>
      </c>
      <c r="AO506" s="89">
        <f t="shared" si="1052"/>
        <v>22.542999999999999</v>
      </c>
      <c r="AP506" s="518">
        <f t="shared" si="1052"/>
        <v>15.933</v>
      </c>
      <c r="AQ506" s="518">
        <f t="shared" si="1053"/>
        <v>5.9639999999999986</v>
      </c>
      <c r="AR506" s="518">
        <f t="shared" si="1053"/>
        <v>4.9050000000000011</v>
      </c>
      <c r="AS506" s="518">
        <f t="shared" si="1053"/>
        <v>5.463000000000001</v>
      </c>
      <c r="AT506" s="89">
        <f t="shared" si="1054"/>
        <v>32.265000000000001</v>
      </c>
      <c r="AU506" s="518">
        <f t="shared" si="1054"/>
        <v>3.2890000000000001</v>
      </c>
      <c r="AV506" s="518">
        <f t="shared" si="1055"/>
        <v>3.9510000000000001</v>
      </c>
      <c r="AW506" s="518">
        <f t="shared" si="1055"/>
        <v>2.5939999999999994</v>
      </c>
      <c r="AX506" s="518">
        <f t="shared" si="1055"/>
        <v>4.74</v>
      </c>
      <c r="AY506" s="89">
        <f t="shared" si="1056"/>
        <v>14.574</v>
      </c>
      <c r="AZ506" s="518">
        <f t="shared" si="1056"/>
        <v>7.5620000000000003</v>
      </c>
      <c r="BA506" s="518">
        <f t="shared" si="1057"/>
        <v>5.1139999999999999</v>
      </c>
      <c r="BB506" s="518">
        <f t="shared" si="1057"/>
        <v>5.5729999999999986</v>
      </c>
      <c r="BC506" s="518">
        <f t="shared" si="1057"/>
        <v>6.7570000000000014</v>
      </c>
      <c r="BD506" s="89">
        <f t="shared" si="1058"/>
        <v>25.006</v>
      </c>
      <c r="BE506" s="518">
        <f t="shared" si="1058"/>
        <v>6.7839999999999998</v>
      </c>
      <c r="BF506" s="518">
        <f t="shared" si="1059"/>
        <v>7.8519999999999994</v>
      </c>
      <c r="BG506" s="518">
        <f t="shared" si="1060"/>
        <v>12.028000000000002</v>
      </c>
      <c r="BH506" s="518">
        <f t="shared" si="1061"/>
        <v>14.037999999999997</v>
      </c>
      <c r="BI506" s="89">
        <f t="shared" si="1062"/>
        <v>40.701999999999998</v>
      </c>
      <c r="BJ506" s="518">
        <f t="shared" si="1063"/>
        <v>11.645</v>
      </c>
      <c r="BK506" s="518">
        <f t="shared" si="1064"/>
        <v>12.312000000000001</v>
      </c>
      <c r="BL506" s="520">
        <f t="shared" si="1065"/>
        <v>11.153999999999996</v>
      </c>
      <c r="BM506" s="518"/>
      <c r="BN506" s="89">
        <f t="shared" si="1066"/>
        <v>35.110999999999997</v>
      </c>
      <c r="BO506" s="518"/>
      <c r="BP506" s="518"/>
      <c r="BQ506" s="518"/>
      <c r="BR506" s="518"/>
      <c r="BS506" s="89">
        <f t="shared" si="1067"/>
        <v>0</v>
      </c>
      <c r="BT506" s="89"/>
      <c r="BU506" s="89"/>
      <c r="BV506" s="89"/>
      <c r="BW506" s="519"/>
    </row>
    <row r="507" spans="1:75" s="439" customFormat="1">
      <c r="A507" s="31" t="str">
        <f t="shared" si="1037"/>
        <v>Stock-based compensation</v>
      </c>
      <c r="B507" s="53"/>
      <c r="C507" s="89">
        <f t="shared" si="1038"/>
        <v>0.55700000000000005</v>
      </c>
      <c r="D507" s="89">
        <f t="shared" si="1038"/>
        <v>1.431</v>
      </c>
      <c r="E507" s="89">
        <f t="shared" si="1038"/>
        <v>4.8769999999999998</v>
      </c>
      <c r="F507" s="89">
        <f t="shared" si="1038"/>
        <v>14.878</v>
      </c>
      <c r="G507" s="518">
        <f t="shared" si="1038"/>
        <v>5.16</v>
      </c>
      <c r="H507" s="518">
        <f t="shared" si="1039"/>
        <v>5.7129999999999992</v>
      </c>
      <c r="I507" s="518">
        <f t="shared" si="1039"/>
        <v>7.0150000000000023</v>
      </c>
      <c r="J507" s="518">
        <f t="shared" si="1039"/>
        <v>8.7889999999999979</v>
      </c>
      <c r="K507" s="89">
        <f t="shared" si="1040"/>
        <v>26.677</v>
      </c>
      <c r="L507" s="518">
        <f t="shared" si="1040"/>
        <v>9.4559999999999995</v>
      </c>
      <c r="M507" s="518">
        <f t="shared" si="1041"/>
        <v>10.083000000000002</v>
      </c>
      <c r="N507" s="518">
        <f t="shared" si="1041"/>
        <v>10.917999999999999</v>
      </c>
      <c r="O507" s="518">
        <f t="shared" si="1041"/>
        <v>11.816000000000003</v>
      </c>
      <c r="P507" s="89">
        <f t="shared" si="1042"/>
        <v>42.273000000000003</v>
      </c>
      <c r="Q507" s="518">
        <f t="shared" si="1042"/>
        <v>13.670999999999999</v>
      </c>
      <c r="R507" s="518">
        <f t="shared" si="1043"/>
        <v>15.516000000000002</v>
      </c>
      <c r="S507" s="518">
        <f t="shared" si="1043"/>
        <v>15.682999999999996</v>
      </c>
      <c r="T507" s="518">
        <f t="shared" si="1043"/>
        <v>15.972000000000001</v>
      </c>
      <c r="U507" s="89">
        <f t="shared" si="1044"/>
        <v>60.841999999999999</v>
      </c>
      <c r="V507" s="518">
        <f t="shared" si="1044"/>
        <v>19.11</v>
      </c>
      <c r="W507" s="518">
        <f t="shared" si="1045"/>
        <v>20.725999999999999</v>
      </c>
      <c r="X507" s="518">
        <f t="shared" si="1045"/>
        <v>22.560000000000002</v>
      </c>
      <c r="Y507" s="518">
        <f t="shared" si="1045"/>
        <v>23.864999999999995</v>
      </c>
      <c r="Z507" s="89">
        <f t="shared" si="1046"/>
        <v>86.260999999999996</v>
      </c>
      <c r="AA507" s="518">
        <f t="shared" si="1046"/>
        <v>24.334</v>
      </c>
      <c r="AB507" s="518">
        <f t="shared" si="1047"/>
        <v>25.364999999999998</v>
      </c>
      <c r="AC507" s="518">
        <f t="shared" si="1047"/>
        <v>25.308000000000007</v>
      </c>
      <c r="AD507" s="518">
        <f t="shared" si="1047"/>
        <v>25.408000000000001</v>
      </c>
      <c r="AE507" s="89">
        <f t="shared" si="1048"/>
        <v>100.41500000000001</v>
      </c>
      <c r="AF507" s="518">
        <f t="shared" si="1048"/>
        <v>27.734000000000002</v>
      </c>
      <c r="AG507" s="518">
        <f t="shared" si="1049"/>
        <v>28.805</v>
      </c>
      <c r="AH507" s="518">
        <f t="shared" si="1049"/>
        <v>29.192999999999998</v>
      </c>
      <c r="AI507" s="518">
        <f t="shared" si="1049"/>
        <v>28.653999999999996</v>
      </c>
      <c r="AJ507" s="89">
        <f t="shared" si="1050"/>
        <v>114.386</v>
      </c>
      <c r="AK507" s="518">
        <f t="shared" si="1050"/>
        <v>31.318999999999999</v>
      </c>
      <c r="AL507" s="518">
        <f t="shared" si="1051"/>
        <v>30.451000000000004</v>
      </c>
      <c r="AM507" s="518">
        <f t="shared" si="1051"/>
        <v>29.235999999999997</v>
      </c>
      <c r="AN507" s="518">
        <f t="shared" si="1051"/>
        <v>30.506</v>
      </c>
      <c r="AO507" s="89">
        <f t="shared" si="1052"/>
        <v>121.512</v>
      </c>
      <c r="AP507" s="518">
        <f t="shared" si="1052"/>
        <v>31.75</v>
      </c>
      <c r="AQ507" s="518">
        <f t="shared" si="1053"/>
        <v>30.585000000000001</v>
      </c>
      <c r="AR507" s="518">
        <f t="shared" si="1053"/>
        <v>30.255000000000003</v>
      </c>
      <c r="AS507" s="518">
        <f t="shared" si="1053"/>
        <v>31.983999999999995</v>
      </c>
      <c r="AT507" s="89">
        <f t="shared" si="1054"/>
        <v>124.574</v>
      </c>
      <c r="AU507" s="518">
        <f t="shared" si="1054"/>
        <v>39.244999999999997</v>
      </c>
      <c r="AV507" s="518">
        <f t="shared" si="1055"/>
        <v>40.859000000000002</v>
      </c>
      <c r="AW507" s="518">
        <f t="shared" si="1055"/>
        <v>36.442000000000007</v>
      </c>
      <c r="AX507" s="518">
        <f t="shared" si="1055"/>
        <v>35.132999999999996</v>
      </c>
      <c r="AY507" s="89">
        <f t="shared" si="1056"/>
        <v>151.679</v>
      </c>
      <c r="AZ507" s="518">
        <f t="shared" si="1056"/>
        <v>41.06</v>
      </c>
      <c r="BA507" s="518">
        <f t="shared" si="1057"/>
        <v>40.060999999999993</v>
      </c>
      <c r="BB507" s="518">
        <f t="shared" si="1057"/>
        <v>38.632000000000005</v>
      </c>
      <c r="BC507" s="518">
        <f t="shared" si="1057"/>
        <v>36.337000000000003</v>
      </c>
      <c r="BD507" s="89">
        <f t="shared" si="1058"/>
        <v>156.09</v>
      </c>
      <c r="BE507" s="518">
        <f t="shared" si="1058"/>
        <v>46.256999999999998</v>
      </c>
      <c r="BF507" s="518">
        <f t="shared" si="1059"/>
        <v>43.580000000000005</v>
      </c>
      <c r="BG507" s="518">
        <f t="shared" si="1060"/>
        <v>43.466999999999999</v>
      </c>
      <c r="BH507" s="518">
        <f t="shared" si="1061"/>
        <v>40.146999999999991</v>
      </c>
      <c r="BI507" s="89">
        <f t="shared" si="1062"/>
        <v>173.45099999999999</v>
      </c>
      <c r="BJ507" s="518">
        <f t="shared" si="1063"/>
        <v>42.71</v>
      </c>
      <c r="BK507" s="518">
        <f t="shared" si="1064"/>
        <v>41.214000000000006</v>
      </c>
      <c r="BL507" s="520">
        <f t="shared" si="1065"/>
        <v>39.471999999999994</v>
      </c>
      <c r="BM507" s="518">
        <f>BM185</f>
        <v>36.5</v>
      </c>
      <c r="BN507" s="89">
        <f t="shared" si="1066"/>
        <v>159.89600000000002</v>
      </c>
      <c r="BO507" s="518">
        <f>BO185</f>
        <v>45</v>
      </c>
      <c r="BP507" s="518">
        <f>BP185</f>
        <v>45</v>
      </c>
      <c r="BQ507" s="518">
        <f>BQ185</f>
        <v>45</v>
      </c>
      <c r="BR507" s="518">
        <f>BR185</f>
        <v>45</v>
      </c>
      <c r="BS507" s="89">
        <f t="shared" si="1067"/>
        <v>180</v>
      </c>
      <c r="BT507" s="89">
        <f>BT185</f>
        <v>180</v>
      </c>
      <c r="BU507" s="89">
        <f>BU185</f>
        <v>180</v>
      </c>
      <c r="BV507" s="89">
        <f>BV185</f>
        <v>180</v>
      </c>
      <c r="BW507" s="519"/>
    </row>
    <row r="508" spans="1:75" s="439" customFormat="1">
      <c r="A508" s="31" t="str">
        <f t="shared" si="1037"/>
        <v>Contribution to The Yelp Foundation</v>
      </c>
      <c r="B508" s="53"/>
      <c r="C508" s="89">
        <f t="shared" si="1038"/>
        <v>0</v>
      </c>
      <c r="D508" s="89">
        <f t="shared" si="1038"/>
        <v>0</v>
      </c>
      <c r="E508" s="89">
        <f t="shared" si="1038"/>
        <v>5.9279999999999999</v>
      </c>
      <c r="F508" s="89">
        <f t="shared" si="1038"/>
        <v>0</v>
      </c>
      <c r="G508" s="518">
        <f t="shared" si="1038"/>
        <v>0</v>
      </c>
      <c r="H508" s="518">
        <f t="shared" si="1039"/>
        <v>0</v>
      </c>
      <c r="I508" s="518">
        <f t="shared" si="1039"/>
        <v>0</v>
      </c>
      <c r="J508" s="518">
        <f t="shared" si="1039"/>
        <v>0</v>
      </c>
      <c r="K508" s="89">
        <f t="shared" si="1040"/>
        <v>0</v>
      </c>
      <c r="L508" s="518">
        <f t="shared" si="1040"/>
        <v>0</v>
      </c>
      <c r="M508" s="518">
        <f t="shared" si="1041"/>
        <v>0</v>
      </c>
      <c r="N508" s="518">
        <f t="shared" si="1041"/>
        <v>0</v>
      </c>
      <c r="O508" s="518">
        <f t="shared" si="1041"/>
        <v>0</v>
      </c>
      <c r="P508" s="89">
        <f t="shared" si="1042"/>
        <v>0</v>
      </c>
      <c r="Q508" s="518">
        <f t="shared" si="1042"/>
        <v>0</v>
      </c>
      <c r="R508" s="518">
        <f t="shared" si="1043"/>
        <v>0</v>
      </c>
      <c r="S508" s="518">
        <f t="shared" si="1043"/>
        <v>0</v>
      </c>
      <c r="T508" s="518">
        <f t="shared" si="1043"/>
        <v>0</v>
      </c>
      <c r="U508" s="89">
        <f t="shared" si="1044"/>
        <v>0</v>
      </c>
      <c r="V508" s="518">
        <f t="shared" si="1044"/>
        <v>0</v>
      </c>
      <c r="W508" s="518">
        <f t="shared" si="1045"/>
        <v>0</v>
      </c>
      <c r="X508" s="518">
        <f t="shared" si="1045"/>
        <v>0</v>
      </c>
      <c r="Y508" s="518">
        <f t="shared" si="1045"/>
        <v>0</v>
      </c>
      <c r="Z508" s="89">
        <f t="shared" si="1046"/>
        <v>0</v>
      </c>
      <c r="AA508" s="518">
        <f t="shared" si="1046"/>
        <v>0</v>
      </c>
      <c r="AB508" s="518">
        <f t="shared" si="1047"/>
        <v>0</v>
      </c>
      <c r="AC508" s="518">
        <f t="shared" si="1047"/>
        <v>0</v>
      </c>
      <c r="AD508" s="518">
        <f t="shared" si="1047"/>
        <v>0</v>
      </c>
      <c r="AE508" s="89">
        <f t="shared" si="1048"/>
        <v>0</v>
      </c>
      <c r="AF508" s="518">
        <f t="shared" si="1048"/>
        <v>0</v>
      </c>
      <c r="AG508" s="518">
        <f t="shared" si="1049"/>
        <v>0</v>
      </c>
      <c r="AH508" s="518">
        <f t="shared" si="1049"/>
        <v>0</v>
      </c>
      <c r="AI508" s="518">
        <f t="shared" si="1049"/>
        <v>0</v>
      </c>
      <c r="AJ508" s="89">
        <f t="shared" si="1050"/>
        <v>0</v>
      </c>
      <c r="AK508" s="518">
        <f t="shared" si="1050"/>
        <v>0</v>
      </c>
      <c r="AL508" s="518">
        <f t="shared" si="1051"/>
        <v>0</v>
      </c>
      <c r="AM508" s="518">
        <f t="shared" si="1051"/>
        <v>0</v>
      </c>
      <c r="AN508" s="518">
        <f t="shared" si="1051"/>
        <v>0</v>
      </c>
      <c r="AO508" s="89">
        <f t="shared" si="1052"/>
        <v>0</v>
      </c>
      <c r="AP508" s="518">
        <f t="shared" si="1052"/>
        <v>0</v>
      </c>
      <c r="AQ508" s="518">
        <f t="shared" si="1053"/>
        <v>0</v>
      </c>
      <c r="AR508" s="518">
        <f t="shared" si="1053"/>
        <v>0</v>
      </c>
      <c r="AS508" s="518">
        <f t="shared" si="1053"/>
        <v>0</v>
      </c>
      <c r="AT508" s="89">
        <f t="shared" si="1054"/>
        <v>0</v>
      </c>
      <c r="AU508" s="518">
        <f t="shared" si="1054"/>
        <v>0</v>
      </c>
      <c r="AV508" s="518">
        <f t="shared" si="1055"/>
        <v>0</v>
      </c>
      <c r="AW508" s="518">
        <f t="shared" si="1055"/>
        <v>0</v>
      </c>
      <c r="AX508" s="518">
        <f t="shared" si="1055"/>
        <v>0</v>
      </c>
      <c r="AY508" s="89">
        <f t="shared" si="1056"/>
        <v>0</v>
      </c>
      <c r="AZ508" s="518">
        <f t="shared" si="1056"/>
        <v>0</v>
      </c>
      <c r="BA508" s="518">
        <f t="shared" si="1057"/>
        <v>0</v>
      </c>
      <c r="BB508" s="518">
        <f t="shared" si="1057"/>
        <v>0</v>
      </c>
      <c r="BC508" s="518">
        <f t="shared" si="1057"/>
        <v>0</v>
      </c>
      <c r="BD508" s="89">
        <f t="shared" si="1058"/>
        <v>0</v>
      </c>
      <c r="BE508" s="518">
        <f t="shared" si="1058"/>
        <v>0</v>
      </c>
      <c r="BF508" s="518">
        <f t="shared" si="1059"/>
        <v>0</v>
      </c>
      <c r="BG508" s="518">
        <f t="shared" si="1060"/>
        <v>0</v>
      </c>
      <c r="BH508" s="518">
        <f t="shared" si="1061"/>
        <v>0</v>
      </c>
      <c r="BI508" s="89">
        <f t="shared" si="1062"/>
        <v>0</v>
      </c>
      <c r="BJ508" s="518">
        <f t="shared" si="1063"/>
        <v>0</v>
      </c>
      <c r="BK508" s="518">
        <f t="shared" si="1064"/>
        <v>0</v>
      </c>
      <c r="BL508" s="520">
        <f t="shared" si="1065"/>
        <v>0</v>
      </c>
      <c r="BM508" s="518"/>
      <c r="BN508" s="89">
        <f t="shared" si="1066"/>
        <v>0</v>
      </c>
      <c r="BO508" s="518"/>
      <c r="BP508" s="518"/>
      <c r="BQ508" s="518"/>
      <c r="BR508" s="518"/>
      <c r="BS508" s="89">
        <f t="shared" si="1067"/>
        <v>0</v>
      </c>
      <c r="BT508" s="89"/>
      <c r="BU508" s="89"/>
      <c r="BV508" s="89"/>
      <c r="BW508" s="519"/>
    </row>
    <row r="509" spans="1:75" s="439" customFormat="1">
      <c r="A509" s="31" t="str">
        <f t="shared" si="1037"/>
        <v>Noncash lease cost</v>
      </c>
      <c r="B509" s="53"/>
      <c r="C509" s="89">
        <f t="shared" si="1038"/>
        <v>0</v>
      </c>
      <c r="D509" s="89">
        <f t="shared" si="1038"/>
        <v>0</v>
      </c>
      <c r="E509" s="89">
        <f t="shared" si="1038"/>
        <v>0</v>
      </c>
      <c r="F509" s="89">
        <f t="shared" si="1038"/>
        <v>0</v>
      </c>
      <c r="G509" s="518">
        <f t="shared" si="1038"/>
        <v>0</v>
      </c>
      <c r="H509" s="518">
        <f t="shared" si="1039"/>
        <v>0</v>
      </c>
      <c r="I509" s="518">
        <f t="shared" si="1039"/>
        <v>0</v>
      </c>
      <c r="J509" s="518">
        <f t="shared" si="1039"/>
        <v>0</v>
      </c>
      <c r="K509" s="89">
        <f t="shared" si="1040"/>
        <v>0</v>
      </c>
      <c r="L509" s="518">
        <f t="shared" si="1040"/>
        <v>0</v>
      </c>
      <c r="M509" s="518">
        <f t="shared" si="1041"/>
        <v>0</v>
      </c>
      <c r="N509" s="518">
        <f t="shared" si="1041"/>
        <v>0</v>
      </c>
      <c r="O509" s="518">
        <f t="shared" si="1041"/>
        <v>0</v>
      </c>
      <c r="P509" s="89">
        <f t="shared" si="1042"/>
        <v>0</v>
      </c>
      <c r="Q509" s="518">
        <f t="shared" si="1042"/>
        <v>0</v>
      </c>
      <c r="R509" s="518">
        <f t="shared" si="1043"/>
        <v>0</v>
      </c>
      <c r="S509" s="518">
        <f t="shared" si="1043"/>
        <v>0</v>
      </c>
      <c r="T509" s="518">
        <f t="shared" si="1043"/>
        <v>0</v>
      </c>
      <c r="U509" s="89">
        <f t="shared" si="1044"/>
        <v>0</v>
      </c>
      <c r="V509" s="518">
        <f t="shared" si="1044"/>
        <v>0</v>
      </c>
      <c r="W509" s="518">
        <f t="shared" si="1045"/>
        <v>0</v>
      </c>
      <c r="X509" s="518">
        <f t="shared" si="1045"/>
        <v>0</v>
      </c>
      <c r="Y509" s="518">
        <f t="shared" si="1045"/>
        <v>0</v>
      </c>
      <c r="Z509" s="89">
        <f t="shared" si="1046"/>
        <v>0</v>
      </c>
      <c r="AA509" s="518">
        <f t="shared" si="1046"/>
        <v>0</v>
      </c>
      <c r="AB509" s="518">
        <f t="shared" si="1047"/>
        <v>0</v>
      </c>
      <c r="AC509" s="518">
        <f t="shared" si="1047"/>
        <v>0</v>
      </c>
      <c r="AD509" s="518">
        <f t="shared" si="1047"/>
        <v>0</v>
      </c>
      <c r="AE509" s="89">
        <f t="shared" si="1048"/>
        <v>0</v>
      </c>
      <c r="AF509" s="518">
        <f t="shared" si="1048"/>
        <v>0</v>
      </c>
      <c r="AG509" s="518">
        <f t="shared" si="1049"/>
        <v>0</v>
      </c>
      <c r="AH509" s="518">
        <f t="shared" si="1049"/>
        <v>0</v>
      </c>
      <c r="AI509" s="518">
        <f t="shared" si="1049"/>
        <v>0</v>
      </c>
      <c r="AJ509" s="89">
        <f t="shared" si="1050"/>
        <v>0</v>
      </c>
      <c r="AK509" s="518">
        <f t="shared" si="1050"/>
        <v>9.7509999999999994</v>
      </c>
      <c r="AL509" s="518">
        <f t="shared" si="1051"/>
        <v>11.682</v>
      </c>
      <c r="AM509" s="518">
        <f t="shared" si="1051"/>
        <v>9.9460000000000015</v>
      </c>
      <c r="AN509" s="518">
        <f t="shared" si="1051"/>
        <v>9.9860000000000007</v>
      </c>
      <c r="AO509" s="89">
        <f t="shared" si="1052"/>
        <v>41.365000000000002</v>
      </c>
      <c r="AP509" s="518">
        <f t="shared" si="1052"/>
        <v>10.378</v>
      </c>
      <c r="AQ509" s="518">
        <f t="shared" si="1053"/>
        <v>10.606000000000002</v>
      </c>
      <c r="AR509" s="518">
        <f t="shared" si="1053"/>
        <v>10.561</v>
      </c>
      <c r="AS509" s="518">
        <f t="shared" si="1053"/>
        <v>10.689999999999998</v>
      </c>
      <c r="AT509" s="89">
        <f t="shared" si="1054"/>
        <v>42.234999999999999</v>
      </c>
      <c r="AU509" s="518">
        <f t="shared" si="1054"/>
        <v>10.779</v>
      </c>
      <c r="AV509" s="518">
        <f t="shared" si="1055"/>
        <v>9.9329999999999998</v>
      </c>
      <c r="AW509" s="518">
        <f t="shared" si="1055"/>
        <v>9.9639999999999986</v>
      </c>
      <c r="AX509" s="518">
        <f t="shared" si="1055"/>
        <v>8.6630000000000003</v>
      </c>
      <c r="AY509" s="89">
        <f t="shared" si="1056"/>
        <v>39.338999999999999</v>
      </c>
      <c r="AZ509" s="518">
        <f t="shared" si="1056"/>
        <v>8.4529999999999994</v>
      </c>
      <c r="BA509" s="518">
        <f t="shared" si="1057"/>
        <v>8.4170000000000016</v>
      </c>
      <c r="BB509" s="518">
        <f t="shared" si="1057"/>
        <v>8.0919999999999987</v>
      </c>
      <c r="BC509" s="518">
        <f t="shared" si="1057"/>
        <v>7.8480000000000025</v>
      </c>
      <c r="BD509" s="89">
        <f t="shared" si="1058"/>
        <v>32.81</v>
      </c>
      <c r="BE509" s="518">
        <f t="shared" si="1058"/>
        <v>7.899</v>
      </c>
      <c r="BF509" s="518">
        <f t="shared" si="1059"/>
        <v>7.8</v>
      </c>
      <c r="BG509" s="518">
        <f t="shared" si="1060"/>
        <v>7.1489999999999991</v>
      </c>
      <c r="BH509" s="518">
        <f t="shared" si="1061"/>
        <v>5.2360000000000007</v>
      </c>
      <c r="BI509" s="89">
        <f t="shared" si="1062"/>
        <v>28.084</v>
      </c>
      <c r="BJ509" s="518">
        <f t="shared" si="1063"/>
        <v>3.8610000000000002</v>
      </c>
      <c r="BK509" s="518">
        <f t="shared" si="1064"/>
        <v>3.8009999999999997</v>
      </c>
      <c r="BL509" s="520">
        <f t="shared" si="1065"/>
        <v>3.7009999999999996</v>
      </c>
      <c r="BM509" s="518"/>
      <c r="BN509" s="89">
        <f t="shared" si="1066"/>
        <v>11.363</v>
      </c>
      <c r="BO509" s="518"/>
      <c r="BP509" s="518"/>
      <c r="BQ509" s="518"/>
      <c r="BR509" s="518"/>
      <c r="BS509" s="89">
        <f t="shared" si="1067"/>
        <v>0</v>
      </c>
      <c r="BT509" s="89"/>
      <c r="BU509" s="89"/>
      <c r="BV509" s="89"/>
      <c r="BW509" s="519"/>
    </row>
    <row r="510" spans="1:75" s="439" customFormat="1">
      <c r="A510" s="31" t="str">
        <f t="shared" si="1037"/>
        <v>Release of valuation allowance</v>
      </c>
      <c r="B510" s="53"/>
      <c r="C510" s="89">
        <f t="shared" si="1038"/>
        <v>0</v>
      </c>
      <c r="D510" s="89">
        <f t="shared" si="1038"/>
        <v>0</v>
      </c>
      <c r="E510" s="89">
        <f t="shared" si="1038"/>
        <v>0</v>
      </c>
      <c r="F510" s="89">
        <f t="shared" si="1038"/>
        <v>0</v>
      </c>
      <c r="G510" s="518">
        <f t="shared" si="1038"/>
        <v>0</v>
      </c>
      <c r="H510" s="518">
        <f t="shared" si="1039"/>
        <v>0</v>
      </c>
      <c r="I510" s="518">
        <f t="shared" si="1039"/>
        <v>0</v>
      </c>
      <c r="J510" s="518">
        <f t="shared" si="1039"/>
        <v>0</v>
      </c>
      <c r="K510" s="89">
        <f t="shared" si="1040"/>
        <v>0</v>
      </c>
      <c r="L510" s="518">
        <f t="shared" si="1040"/>
        <v>0</v>
      </c>
      <c r="M510" s="518">
        <f t="shared" si="1041"/>
        <v>0</v>
      </c>
      <c r="N510" s="518">
        <f t="shared" si="1041"/>
        <v>0</v>
      </c>
      <c r="O510" s="518">
        <f t="shared" si="1041"/>
        <v>-28.196999999999999</v>
      </c>
      <c r="P510" s="89">
        <f t="shared" si="1042"/>
        <v>-28.196999999999999</v>
      </c>
      <c r="Q510" s="518">
        <f t="shared" si="1042"/>
        <v>0</v>
      </c>
      <c r="R510" s="518">
        <f t="shared" si="1043"/>
        <v>0</v>
      </c>
      <c r="S510" s="518">
        <f t="shared" si="1043"/>
        <v>0</v>
      </c>
      <c r="T510" s="518">
        <f t="shared" si="1043"/>
        <v>20.341000000000001</v>
      </c>
      <c r="U510" s="89">
        <f t="shared" si="1044"/>
        <v>20.341000000000001</v>
      </c>
      <c r="V510" s="518">
        <f t="shared" si="1044"/>
        <v>0</v>
      </c>
      <c r="W510" s="518">
        <f t="shared" si="1045"/>
        <v>0</v>
      </c>
      <c r="X510" s="518">
        <f t="shared" si="1045"/>
        <v>0</v>
      </c>
      <c r="Y510" s="518">
        <f t="shared" si="1045"/>
        <v>1.351</v>
      </c>
      <c r="Z510" s="89">
        <f t="shared" si="1046"/>
        <v>1.351</v>
      </c>
      <c r="AA510" s="518">
        <f t="shared" si="1046"/>
        <v>0</v>
      </c>
      <c r="AB510" s="518">
        <f t="shared" si="1047"/>
        <v>0</v>
      </c>
      <c r="AC510" s="518">
        <f t="shared" si="1047"/>
        <v>0</v>
      </c>
      <c r="AD510" s="518">
        <f t="shared" si="1047"/>
        <v>0</v>
      </c>
      <c r="AE510" s="89">
        <f t="shared" si="1048"/>
        <v>0</v>
      </c>
      <c r="AF510" s="518">
        <f t="shared" si="1048"/>
        <v>0</v>
      </c>
      <c r="AG510" s="518">
        <f t="shared" si="1049"/>
        <v>0</v>
      </c>
      <c r="AH510" s="518">
        <f t="shared" si="1049"/>
        <v>0</v>
      </c>
      <c r="AI510" s="518">
        <f t="shared" si="1049"/>
        <v>-16.632000000000001</v>
      </c>
      <c r="AJ510" s="89">
        <f t="shared" si="1050"/>
        <v>-16.632000000000001</v>
      </c>
      <c r="AK510" s="518">
        <f t="shared" si="1050"/>
        <v>0</v>
      </c>
      <c r="AL510" s="518">
        <f t="shared" si="1051"/>
        <v>0</v>
      </c>
      <c r="AM510" s="518">
        <f t="shared" si="1051"/>
        <v>0</v>
      </c>
      <c r="AN510" s="518">
        <f t="shared" si="1051"/>
        <v>0</v>
      </c>
      <c r="AO510" s="89">
        <f t="shared" si="1052"/>
        <v>0</v>
      </c>
      <c r="AP510" s="518">
        <f t="shared" si="1052"/>
        <v>0</v>
      </c>
      <c r="AQ510" s="518">
        <f t="shared" si="1053"/>
        <v>0</v>
      </c>
      <c r="AR510" s="518">
        <f t="shared" si="1053"/>
        <v>0</v>
      </c>
      <c r="AS510" s="518">
        <f t="shared" si="1053"/>
        <v>0</v>
      </c>
      <c r="AT510" s="89">
        <f t="shared" si="1054"/>
        <v>0</v>
      </c>
      <c r="AU510" s="518">
        <f t="shared" si="1054"/>
        <v>0</v>
      </c>
      <c r="AV510" s="518">
        <f t="shared" si="1055"/>
        <v>0</v>
      </c>
      <c r="AW510" s="518">
        <f t="shared" si="1055"/>
        <v>0</v>
      </c>
      <c r="AX510" s="518">
        <f t="shared" si="1055"/>
        <v>0</v>
      </c>
      <c r="AY510" s="89">
        <f t="shared" si="1056"/>
        <v>0</v>
      </c>
      <c r="AZ510" s="518">
        <f t="shared" si="1056"/>
        <v>0</v>
      </c>
      <c r="BA510" s="518">
        <f t="shared" si="1057"/>
        <v>0</v>
      </c>
      <c r="BB510" s="518">
        <f t="shared" si="1057"/>
        <v>0</v>
      </c>
      <c r="BC510" s="518">
        <f t="shared" si="1057"/>
        <v>0</v>
      </c>
      <c r="BD510" s="89">
        <f t="shared" si="1058"/>
        <v>0</v>
      </c>
      <c r="BE510" s="518">
        <f t="shared" si="1058"/>
        <v>0</v>
      </c>
      <c r="BF510" s="518">
        <f t="shared" si="1059"/>
        <v>0</v>
      </c>
      <c r="BG510" s="518">
        <f t="shared" si="1060"/>
        <v>0</v>
      </c>
      <c r="BH510" s="518">
        <f t="shared" si="1061"/>
        <v>0</v>
      </c>
      <c r="BI510" s="89">
        <f t="shared" si="1062"/>
        <v>0</v>
      </c>
      <c r="BJ510" s="518">
        <f t="shared" si="1063"/>
        <v>0</v>
      </c>
      <c r="BK510" s="518">
        <f t="shared" si="1064"/>
        <v>0</v>
      </c>
      <c r="BL510" s="520">
        <f t="shared" si="1065"/>
        <v>0</v>
      </c>
      <c r="BM510" s="518"/>
      <c r="BN510" s="89">
        <f t="shared" si="1066"/>
        <v>0</v>
      </c>
      <c r="BO510" s="518"/>
      <c r="BP510" s="518"/>
      <c r="BQ510" s="518"/>
      <c r="BR510" s="518"/>
      <c r="BS510" s="89">
        <f t="shared" si="1067"/>
        <v>0</v>
      </c>
      <c r="BT510" s="89"/>
      <c r="BU510" s="89"/>
      <c r="BV510" s="89"/>
      <c r="BW510" s="519"/>
    </row>
    <row r="511" spans="1:75" s="439" customFormat="1">
      <c r="A511" s="31" t="str">
        <f t="shared" si="1037"/>
        <v>Loss on disposal of assets and website development costs</v>
      </c>
      <c r="B511" s="53"/>
      <c r="C511" s="89">
        <f t="shared" si="1038"/>
        <v>0</v>
      </c>
      <c r="D511" s="89">
        <f t="shared" si="1038"/>
        <v>2.1000000000000001E-2</v>
      </c>
      <c r="E511" s="89">
        <f t="shared" si="1038"/>
        <v>1.2999999999999999E-2</v>
      </c>
      <c r="F511" s="89">
        <f t="shared" si="1038"/>
        <v>6.4000000000000001E-2</v>
      </c>
      <c r="G511" s="518">
        <f t="shared" si="1038"/>
        <v>0.05</v>
      </c>
      <c r="H511" s="518">
        <f t="shared" si="1039"/>
        <v>4.3999999999999997E-2</v>
      </c>
      <c r="I511" s="518">
        <f t="shared" si="1039"/>
        <v>9.4E-2</v>
      </c>
      <c r="J511" s="518">
        <f t="shared" si="1039"/>
        <v>-2.8999999999999998E-2</v>
      </c>
      <c r="K511" s="89">
        <f t="shared" si="1040"/>
        <v>0.159</v>
      </c>
      <c r="L511" s="518">
        <f t="shared" si="1040"/>
        <v>0</v>
      </c>
      <c r="M511" s="518">
        <f t="shared" si="1041"/>
        <v>-5.0000000000000001E-3</v>
      </c>
      <c r="N511" s="518">
        <f t="shared" si="1041"/>
        <v>0</v>
      </c>
      <c r="O511" s="518">
        <f t="shared" si="1041"/>
        <v>9.0000000000000011E-3</v>
      </c>
      <c r="P511" s="89">
        <f t="shared" si="1042"/>
        <v>4.0000000000000001E-3</v>
      </c>
      <c r="Q511" s="518">
        <f t="shared" si="1042"/>
        <v>5.1999999999999998E-2</v>
      </c>
      <c r="R511" s="518">
        <f t="shared" si="1043"/>
        <v>9.1999999999999998E-2</v>
      </c>
      <c r="S511" s="518">
        <f t="shared" si="1043"/>
        <v>-1.3999999999999985E-2</v>
      </c>
      <c r="T511" s="518">
        <f t="shared" si="1043"/>
        <v>8.299999999999999E-2</v>
      </c>
      <c r="U511" s="89">
        <f t="shared" si="1044"/>
        <v>0.21299999999999999</v>
      </c>
      <c r="V511" s="518">
        <f t="shared" si="1044"/>
        <v>0.104</v>
      </c>
      <c r="W511" s="518">
        <f t="shared" si="1045"/>
        <v>1.7000000000000001E-2</v>
      </c>
      <c r="X511" s="518">
        <f t="shared" si="1045"/>
        <v>0.11100000000000002</v>
      </c>
      <c r="Y511" s="518">
        <f t="shared" si="1045"/>
        <v>4.5000000000000012E-2</v>
      </c>
      <c r="Z511" s="89">
        <f t="shared" si="1046"/>
        <v>0.27700000000000002</v>
      </c>
      <c r="AA511" s="518">
        <f t="shared" si="1046"/>
        <v>0</v>
      </c>
      <c r="AB511" s="518">
        <f t="shared" si="1047"/>
        <v>0</v>
      </c>
      <c r="AC511" s="518">
        <f t="shared" si="1047"/>
        <v>0</v>
      </c>
      <c r="AD511" s="518">
        <f t="shared" si="1047"/>
        <v>0</v>
      </c>
      <c r="AE511" s="89">
        <f t="shared" si="1048"/>
        <v>0</v>
      </c>
      <c r="AF511" s="518">
        <f t="shared" si="1048"/>
        <v>0</v>
      </c>
      <c r="AG511" s="518">
        <f t="shared" si="1049"/>
        <v>0</v>
      </c>
      <c r="AH511" s="518">
        <f t="shared" si="1049"/>
        <v>0</v>
      </c>
      <c r="AI511" s="518">
        <f t="shared" si="1049"/>
        <v>0</v>
      </c>
      <c r="AJ511" s="89">
        <f t="shared" si="1050"/>
        <v>0</v>
      </c>
      <c r="AK511" s="518">
        <f t="shared" si="1050"/>
        <v>0</v>
      </c>
      <c r="AL511" s="518">
        <f t="shared" si="1051"/>
        <v>0</v>
      </c>
      <c r="AM511" s="518">
        <f t="shared" si="1051"/>
        <v>0</v>
      </c>
      <c r="AN511" s="518">
        <f t="shared" si="1051"/>
        <v>0</v>
      </c>
      <c r="AO511" s="89">
        <f t="shared" si="1052"/>
        <v>0</v>
      </c>
      <c r="AP511" s="518">
        <f t="shared" si="1052"/>
        <v>0</v>
      </c>
      <c r="AQ511" s="518">
        <f t="shared" si="1053"/>
        <v>0</v>
      </c>
      <c r="AR511" s="518">
        <f t="shared" si="1053"/>
        <v>0</v>
      </c>
      <c r="AS511" s="518">
        <f t="shared" si="1053"/>
        <v>0</v>
      </c>
      <c r="AT511" s="89">
        <f t="shared" si="1054"/>
        <v>0</v>
      </c>
      <c r="AU511" s="518">
        <f t="shared" si="1054"/>
        <v>0</v>
      </c>
      <c r="AV511" s="518">
        <f t="shared" si="1055"/>
        <v>0</v>
      </c>
      <c r="AW511" s="518">
        <f t="shared" si="1055"/>
        <v>0</v>
      </c>
      <c r="AX511" s="518">
        <f t="shared" si="1055"/>
        <v>0</v>
      </c>
      <c r="AY511" s="89">
        <f t="shared" si="1056"/>
        <v>0</v>
      </c>
      <c r="AZ511" s="518">
        <f t="shared" si="1056"/>
        <v>0</v>
      </c>
      <c r="BA511" s="518">
        <f t="shared" si="1057"/>
        <v>0</v>
      </c>
      <c r="BB511" s="518">
        <f t="shared" si="1057"/>
        <v>0</v>
      </c>
      <c r="BC511" s="518">
        <f t="shared" si="1057"/>
        <v>0</v>
      </c>
      <c r="BD511" s="89">
        <f t="shared" si="1058"/>
        <v>0</v>
      </c>
      <c r="BE511" s="518">
        <f t="shared" si="1058"/>
        <v>0</v>
      </c>
      <c r="BF511" s="518">
        <f t="shared" si="1059"/>
        <v>0</v>
      </c>
      <c r="BG511" s="518">
        <f t="shared" si="1060"/>
        <v>0</v>
      </c>
      <c r="BH511" s="518">
        <f t="shared" si="1061"/>
        <v>0</v>
      </c>
      <c r="BI511" s="89">
        <f t="shared" si="1062"/>
        <v>0</v>
      </c>
      <c r="BJ511" s="518">
        <f t="shared" si="1063"/>
        <v>0</v>
      </c>
      <c r="BK511" s="518">
        <f t="shared" si="1064"/>
        <v>0</v>
      </c>
      <c r="BL511" s="520">
        <f t="shared" si="1065"/>
        <v>0</v>
      </c>
      <c r="BM511" s="518"/>
      <c r="BN511" s="89">
        <f t="shared" si="1066"/>
        <v>0</v>
      </c>
      <c r="BO511" s="518"/>
      <c r="BP511" s="518"/>
      <c r="BQ511" s="518"/>
      <c r="BR511" s="518"/>
      <c r="BS511" s="89">
        <f t="shared" si="1067"/>
        <v>0</v>
      </c>
      <c r="BT511" s="89"/>
      <c r="BU511" s="89"/>
      <c r="BV511" s="89"/>
      <c r="BW511" s="519"/>
    </row>
    <row r="512" spans="1:75" s="439" customFormat="1">
      <c r="A512" s="31" t="str">
        <f t="shared" si="1037"/>
        <v>Premium amortization, net, on securities held-to-maturity</v>
      </c>
      <c r="B512" s="53"/>
      <c r="C512" s="89">
        <f t="shared" si="1038"/>
        <v>0</v>
      </c>
      <c r="D512" s="89">
        <f t="shared" si="1038"/>
        <v>0</v>
      </c>
      <c r="E512" s="89">
        <f t="shared" si="1038"/>
        <v>0</v>
      </c>
      <c r="F512" s="89">
        <f t="shared" si="1038"/>
        <v>0</v>
      </c>
      <c r="G512" s="518">
        <f t="shared" si="1038"/>
        <v>0</v>
      </c>
      <c r="H512" s="518">
        <f t="shared" si="1039"/>
        <v>0</v>
      </c>
      <c r="I512" s="518">
        <f t="shared" si="1039"/>
        <v>0</v>
      </c>
      <c r="J512" s="518">
        <f t="shared" si="1039"/>
        <v>0</v>
      </c>
      <c r="K512" s="89">
        <f t="shared" si="1040"/>
        <v>0</v>
      </c>
      <c r="L512" s="518">
        <f t="shared" si="1040"/>
        <v>0</v>
      </c>
      <c r="M512" s="518">
        <f t="shared" si="1041"/>
        <v>9.2999999999999999E-2</v>
      </c>
      <c r="N512" s="518">
        <f t="shared" si="1041"/>
        <v>0.121</v>
      </c>
      <c r="O512" s="518">
        <f t="shared" si="1041"/>
        <v>0.13499999999999998</v>
      </c>
      <c r="P512" s="89">
        <f t="shared" si="1042"/>
        <v>0.34899999999999998</v>
      </c>
      <c r="Q512" s="518">
        <f t="shared" si="1042"/>
        <v>-0.11700000000000001</v>
      </c>
      <c r="R512" s="518">
        <f t="shared" si="1043"/>
        <v>0.59799999999999998</v>
      </c>
      <c r="S512" s="518">
        <f t="shared" si="1043"/>
        <v>0.34599999999999997</v>
      </c>
      <c r="T512" s="518">
        <f t="shared" si="1043"/>
        <v>0.36299999999999999</v>
      </c>
      <c r="U512" s="89">
        <f t="shared" si="1044"/>
        <v>1.19</v>
      </c>
      <c r="V512" s="518">
        <f t="shared" si="1044"/>
        <v>0.376</v>
      </c>
      <c r="W512" s="518">
        <f t="shared" si="1045"/>
        <v>0.38700000000000001</v>
      </c>
      <c r="X512" s="518">
        <f t="shared" si="1045"/>
        <v>0.31900000000000006</v>
      </c>
      <c r="Y512" s="518">
        <f t="shared" si="1045"/>
        <v>0.26600000000000001</v>
      </c>
      <c r="Z512" s="89">
        <f t="shared" si="1046"/>
        <v>1.3480000000000001</v>
      </c>
      <c r="AA512" s="518">
        <f t="shared" si="1046"/>
        <v>0</v>
      </c>
      <c r="AB512" s="518">
        <f t="shared" si="1047"/>
        <v>0</v>
      </c>
      <c r="AC512" s="518">
        <f t="shared" si="1047"/>
        <v>0</v>
      </c>
      <c r="AD512" s="518">
        <f t="shared" si="1047"/>
        <v>0</v>
      </c>
      <c r="AE512" s="89">
        <f t="shared" si="1048"/>
        <v>0</v>
      </c>
      <c r="AF512" s="518">
        <f t="shared" si="1048"/>
        <v>0</v>
      </c>
      <c r="AG512" s="518">
        <f t="shared" si="1049"/>
        <v>0</v>
      </c>
      <c r="AH512" s="518">
        <f t="shared" si="1049"/>
        <v>0</v>
      </c>
      <c r="AI512" s="518">
        <f t="shared" si="1049"/>
        <v>0</v>
      </c>
      <c r="AJ512" s="89">
        <f t="shared" si="1050"/>
        <v>0</v>
      </c>
      <c r="AK512" s="518">
        <f t="shared" si="1050"/>
        <v>0</v>
      </c>
      <c r="AL512" s="518">
        <f t="shared" si="1051"/>
        <v>0</v>
      </c>
      <c r="AM512" s="518">
        <f t="shared" si="1051"/>
        <v>0</v>
      </c>
      <c r="AN512" s="518">
        <f t="shared" si="1051"/>
        <v>0</v>
      </c>
      <c r="AO512" s="89">
        <f t="shared" si="1052"/>
        <v>0</v>
      </c>
      <c r="AP512" s="518">
        <f t="shared" si="1052"/>
        <v>0</v>
      </c>
      <c r="AQ512" s="518">
        <f t="shared" si="1053"/>
        <v>0</v>
      </c>
      <c r="AR512" s="518">
        <f t="shared" si="1053"/>
        <v>0</v>
      </c>
      <c r="AS512" s="518">
        <f t="shared" si="1053"/>
        <v>0</v>
      </c>
      <c r="AT512" s="89">
        <f t="shared" si="1054"/>
        <v>0</v>
      </c>
      <c r="AU512" s="518">
        <f t="shared" si="1054"/>
        <v>0</v>
      </c>
      <c r="AV512" s="518">
        <f t="shared" si="1055"/>
        <v>0</v>
      </c>
      <c r="AW512" s="518">
        <f t="shared" si="1055"/>
        <v>0</v>
      </c>
      <c r="AX512" s="518">
        <f t="shared" si="1055"/>
        <v>0</v>
      </c>
      <c r="AY512" s="89">
        <f t="shared" si="1056"/>
        <v>0</v>
      </c>
      <c r="AZ512" s="518">
        <f t="shared" si="1056"/>
        <v>0</v>
      </c>
      <c r="BA512" s="518">
        <f t="shared" si="1057"/>
        <v>0</v>
      </c>
      <c r="BB512" s="518">
        <f t="shared" si="1057"/>
        <v>0</v>
      </c>
      <c r="BC512" s="518">
        <f t="shared" si="1057"/>
        <v>0</v>
      </c>
      <c r="BD512" s="89">
        <f t="shared" si="1058"/>
        <v>0</v>
      </c>
      <c r="BE512" s="518">
        <f t="shared" si="1058"/>
        <v>0</v>
      </c>
      <c r="BF512" s="518">
        <f t="shared" si="1059"/>
        <v>0</v>
      </c>
      <c r="BG512" s="518">
        <f t="shared" si="1060"/>
        <v>0</v>
      </c>
      <c r="BH512" s="518">
        <f t="shared" si="1061"/>
        <v>0</v>
      </c>
      <c r="BI512" s="89">
        <f t="shared" si="1062"/>
        <v>0</v>
      </c>
      <c r="BJ512" s="518">
        <f t="shared" si="1063"/>
        <v>0</v>
      </c>
      <c r="BK512" s="518">
        <f t="shared" si="1064"/>
        <v>0</v>
      </c>
      <c r="BL512" s="520">
        <f t="shared" si="1065"/>
        <v>0</v>
      </c>
      <c r="BM512" s="518"/>
      <c r="BN512" s="89">
        <f t="shared" si="1066"/>
        <v>0</v>
      </c>
      <c r="BO512" s="518"/>
      <c r="BP512" s="518"/>
      <c r="BQ512" s="518"/>
      <c r="BR512" s="518"/>
      <c r="BS512" s="89">
        <f t="shared" si="1067"/>
        <v>0</v>
      </c>
      <c r="BT512" s="89"/>
      <c r="BU512" s="89"/>
      <c r="BV512" s="89"/>
      <c r="BW512" s="519"/>
    </row>
    <row r="513" spans="1:75" s="439" customFormat="1">
      <c r="A513" s="31" t="str">
        <f t="shared" si="1037"/>
        <v>Excess tax benefit from share-based award activity</v>
      </c>
      <c r="B513" s="53"/>
      <c r="C513" s="89">
        <f t="shared" si="1038"/>
        <v>0</v>
      </c>
      <c r="D513" s="89">
        <f t="shared" si="1038"/>
        <v>0</v>
      </c>
      <c r="E513" s="89">
        <f t="shared" si="1038"/>
        <v>0</v>
      </c>
      <c r="F513" s="89">
        <f t="shared" si="1038"/>
        <v>0</v>
      </c>
      <c r="G513" s="518">
        <f t="shared" si="1038"/>
        <v>0</v>
      </c>
      <c r="H513" s="518">
        <f t="shared" si="1039"/>
        <v>0</v>
      </c>
      <c r="I513" s="518">
        <f t="shared" si="1039"/>
        <v>0</v>
      </c>
      <c r="J513" s="518">
        <f t="shared" si="1039"/>
        <v>-0.35299999999999998</v>
      </c>
      <c r="K513" s="89">
        <f t="shared" si="1040"/>
        <v>-0.35299999999999998</v>
      </c>
      <c r="L513" s="518">
        <f t="shared" si="1040"/>
        <v>-3.9E-2</v>
      </c>
      <c r="M513" s="518">
        <f t="shared" si="1041"/>
        <v>-0.42100000000000004</v>
      </c>
      <c r="N513" s="518">
        <f t="shared" si="1041"/>
        <v>-0.439</v>
      </c>
      <c r="O513" s="518">
        <f t="shared" si="1041"/>
        <v>-0.93500000000000005</v>
      </c>
      <c r="P513" s="89">
        <f t="shared" si="1042"/>
        <v>-1.8340000000000001</v>
      </c>
      <c r="Q513" s="518">
        <f t="shared" si="1042"/>
        <v>-0.81499999999999995</v>
      </c>
      <c r="R513" s="518">
        <f t="shared" si="1043"/>
        <v>-3.137</v>
      </c>
      <c r="S513" s="518">
        <f t="shared" si="1043"/>
        <v>-0.34600000000000009</v>
      </c>
      <c r="T513" s="518">
        <f t="shared" si="1043"/>
        <v>-2.2850000000000001</v>
      </c>
      <c r="U513" s="89">
        <f t="shared" si="1044"/>
        <v>-6.5830000000000002</v>
      </c>
      <c r="V513" s="518">
        <f t="shared" si="1044"/>
        <v>0</v>
      </c>
      <c r="W513" s="518">
        <f t="shared" si="1045"/>
        <v>0</v>
      </c>
      <c r="X513" s="518">
        <f t="shared" si="1045"/>
        <v>0</v>
      </c>
      <c r="Y513" s="518">
        <f t="shared" si="1045"/>
        <v>0</v>
      </c>
      <c r="Z513" s="89">
        <f t="shared" si="1046"/>
        <v>0</v>
      </c>
      <c r="AA513" s="518">
        <f t="shared" si="1046"/>
        <v>0</v>
      </c>
      <c r="AB513" s="518">
        <f t="shared" si="1047"/>
        <v>0</v>
      </c>
      <c r="AC513" s="518">
        <f t="shared" si="1047"/>
        <v>0</v>
      </c>
      <c r="AD513" s="518">
        <f t="shared" si="1047"/>
        <v>0</v>
      </c>
      <c r="AE513" s="89">
        <f t="shared" si="1048"/>
        <v>0</v>
      </c>
      <c r="AF513" s="518">
        <f t="shared" si="1048"/>
        <v>0</v>
      </c>
      <c r="AG513" s="518">
        <f t="shared" si="1049"/>
        <v>0</v>
      </c>
      <c r="AH513" s="518">
        <f t="shared" si="1049"/>
        <v>0</v>
      </c>
      <c r="AI513" s="518">
        <f t="shared" si="1049"/>
        <v>0</v>
      </c>
      <c r="AJ513" s="89">
        <f t="shared" si="1050"/>
        <v>0</v>
      </c>
      <c r="AK513" s="518">
        <f t="shared" si="1050"/>
        <v>0</v>
      </c>
      <c r="AL513" s="518">
        <f t="shared" si="1051"/>
        <v>0</v>
      </c>
      <c r="AM513" s="518">
        <f t="shared" si="1051"/>
        <v>0</v>
      </c>
      <c r="AN513" s="518">
        <f t="shared" si="1051"/>
        <v>0</v>
      </c>
      <c r="AO513" s="89">
        <f t="shared" si="1052"/>
        <v>0</v>
      </c>
      <c r="AP513" s="518">
        <f t="shared" si="1052"/>
        <v>0</v>
      </c>
      <c r="AQ513" s="518">
        <f t="shared" si="1053"/>
        <v>0</v>
      </c>
      <c r="AR513" s="518">
        <f t="shared" si="1053"/>
        <v>0</v>
      </c>
      <c r="AS513" s="518">
        <f t="shared" si="1053"/>
        <v>0</v>
      </c>
      <c r="AT513" s="89">
        <f t="shared" si="1054"/>
        <v>0</v>
      </c>
      <c r="AU513" s="518">
        <f t="shared" si="1054"/>
        <v>0</v>
      </c>
      <c r="AV513" s="518">
        <f t="shared" si="1055"/>
        <v>0</v>
      </c>
      <c r="AW513" s="518">
        <f t="shared" si="1055"/>
        <v>0</v>
      </c>
      <c r="AX513" s="518">
        <f t="shared" si="1055"/>
        <v>0</v>
      </c>
      <c r="AY513" s="89">
        <f t="shared" si="1056"/>
        <v>0</v>
      </c>
      <c r="AZ513" s="518">
        <f t="shared" si="1056"/>
        <v>0</v>
      </c>
      <c r="BA513" s="518">
        <f t="shared" si="1057"/>
        <v>0</v>
      </c>
      <c r="BB513" s="518">
        <f t="shared" si="1057"/>
        <v>0</v>
      </c>
      <c r="BC513" s="518">
        <f t="shared" si="1057"/>
        <v>0</v>
      </c>
      <c r="BD513" s="89">
        <f t="shared" si="1058"/>
        <v>0</v>
      </c>
      <c r="BE513" s="518">
        <f t="shared" si="1058"/>
        <v>0</v>
      </c>
      <c r="BF513" s="518">
        <f t="shared" si="1059"/>
        <v>0</v>
      </c>
      <c r="BG513" s="518">
        <f t="shared" si="1060"/>
        <v>0</v>
      </c>
      <c r="BH513" s="518">
        <f t="shared" si="1061"/>
        <v>0</v>
      </c>
      <c r="BI513" s="89">
        <f t="shared" si="1062"/>
        <v>0</v>
      </c>
      <c r="BJ513" s="518">
        <f t="shared" si="1063"/>
        <v>0</v>
      </c>
      <c r="BK513" s="518">
        <f t="shared" si="1064"/>
        <v>0</v>
      </c>
      <c r="BL513" s="520">
        <f t="shared" si="1065"/>
        <v>0</v>
      </c>
      <c r="BM513" s="518"/>
      <c r="BN513" s="89">
        <f t="shared" si="1066"/>
        <v>0</v>
      </c>
      <c r="BO513" s="518"/>
      <c r="BP513" s="518"/>
      <c r="BQ513" s="518"/>
      <c r="BR513" s="518"/>
      <c r="BS513" s="89">
        <f t="shared" si="1067"/>
        <v>0</v>
      </c>
      <c r="BT513" s="89"/>
      <c r="BU513" s="89"/>
      <c r="BV513" s="89"/>
      <c r="BW513" s="519"/>
    </row>
    <row r="514" spans="1:75" s="439" customFormat="1">
      <c r="A514" s="31" t="s">
        <v>438</v>
      </c>
      <c r="B514" s="53"/>
      <c r="C514" s="89">
        <f t="shared" ref="C514:G514" si="1068">C445</f>
        <v>0</v>
      </c>
      <c r="D514" s="89">
        <f t="shared" si="1068"/>
        <v>0</v>
      </c>
      <c r="E514" s="89">
        <f t="shared" si="1068"/>
        <v>0</v>
      </c>
      <c r="F514" s="89">
        <f t="shared" si="1068"/>
        <v>0</v>
      </c>
      <c r="G514" s="518">
        <f t="shared" si="1068"/>
        <v>0</v>
      </c>
      <c r="H514" s="518">
        <f t="shared" si="1039"/>
        <v>0</v>
      </c>
      <c r="I514" s="518">
        <f t="shared" si="1039"/>
        <v>0</v>
      </c>
      <c r="J514" s="518">
        <f t="shared" si="1039"/>
        <v>0</v>
      </c>
      <c r="K514" s="89">
        <f t="shared" si="1040"/>
        <v>0</v>
      </c>
      <c r="L514" s="518">
        <f t="shared" si="1040"/>
        <v>0</v>
      </c>
      <c r="M514" s="518">
        <f t="shared" si="1041"/>
        <v>0</v>
      </c>
      <c r="N514" s="518">
        <f t="shared" si="1041"/>
        <v>0</v>
      </c>
      <c r="O514" s="518">
        <f t="shared" si="1041"/>
        <v>0</v>
      </c>
      <c r="P514" s="89">
        <f t="shared" si="1042"/>
        <v>0</v>
      </c>
      <c r="Q514" s="518">
        <f t="shared" si="1042"/>
        <v>0</v>
      </c>
      <c r="R514" s="518">
        <f t="shared" si="1043"/>
        <v>0</v>
      </c>
      <c r="S514" s="518">
        <f t="shared" si="1043"/>
        <v>0</v>
      </c>
      <c r="T514" s="518">
        <f t="shared" si="1043"/>
        <v>0</v>
      </c>
      <c r="U514" s="89">
        <f t="shared" si="1044"/>
        <v>0</v>
      </c>
      <c r="V514" s="518">
        <f t="shared" si="1044"/>
        <v>0</v>
      </c>
      <c r="W514" s="518">
        <f t="shared" si="1045"/>
        <v>0</v>
      </c>
      <c r="X514" s="518">
        <f t="shared" si="1045"/>
        <v>0</v>
      </c>
      <c r="Y514" s="518">
        <f t="shared" si="1045"/>
        <v>0</v>
      </c>
      <c r="Z514" s="89">
        <f t="shared" si="1046"/>
        <v>0</v>
      </c>
      <c r="AA514" s="518">
        <f t="shared" si="1046"/>
        <v>0</v>
      </c>
      <c r="AB514" s="518">
        <f t="shared" si="1047"/>
        <v>0</v>
      </c>
      <c r="AC514" s="518">
        <f t="shared" si="1047"/>
        <v>0</v>
      </c>
      <c r="AD514" s="518">
        <f t="shared" si="1047"/>
        <v>0</v>
      </c>
      <c r="AE514" s="89">
        <f t="shared" si="1048"/>
        <v>0</v>
      </c>
      <c r="AF514" s="518">
        <f t="shared" si="1048"/>
        <v>0</v>
      </c>
      <c r="AG514" s="518">
        <f t="shared" si="1049"/>
        <v>0</v>
      </c>
      <c r="AH514" s="518">
        <f t="shared" si="1049"/>
        <v>0</v>
      </c>
      <c r="AI514" s="518">
        <f t="shared" si="1049"/>
        <v>0</v>
      </c>
      <c r="AJ514" s="89">
        <f t="shared" si="1050"/>
        <v>0</v>
      </c>
      <c r="AK514" s="518">
        <f t="shared" si="1050"/>
        <v>-1.2589999999999999</v>
      </c>
      <c r="AL514" s="518">
        <f t="shared" si="1051"/>
        <v>-0.65300000000000002</v>
      </c>
      <c r="AM514" s="518">
        <f t="shared" si="1051"/>
        <v>1.2389999999999999</v>
      </c>
      <c r="AN514" s="518">
        <f t="shared" si="1051"/>
        <v>-2.1259999999999999</v>
      </c>
      <c r="AO514" s="89">
        <f t="shared" si="1052"/>
        <v>-2.7989999999999999</v>
      </c>
      <c r="AP514" s="518">
        <f t="shared" si="1052"/>
        <v>-7.45</v>
      </c>
      <c r="AQ514" s="518">
        <f t="shared" si="1053"/>
        <v>-6.8129999999999997</v>
      </c>
      <c r="AR514" s="518">
        <f t="shared" si="1053"/>
        <v>7.758</v>
      </c>
      <c r="AS514" s="518">
        <f t="shared" si="1053"/>
        <v>-4.6759999999999993</v>
      </c>
      <c r="AT514" s="89">
        <f t="shared" si="1054"/>
        <v>-11.180999999999999</v>
      </c>
      <c r="AU514" s="518">
        <f t="shared" si="1054"/>
        <v>-2.4060000000000001</v>
      </c>
      <c r="AV514" s="518">
        <f t="shared" si="1055"/>
        <v>-5.3490000000000002</v>
      </c>
      <c r="AW514" s="518">
        <f t="shared" si="1055"/>
        <v>1.3549999999999995</v>
      </c>
      <c r="AX514" s="518">
        <f t="shared" si="1055"/>
        <v>-2.7899999999999991</v>
      </c>
      <c r="AY514" s="89">
        <f t="shared" si="1056"/>
        <v>-9.19</v>
      </c>
      <c r="AZ514" s="518">
        <f t="shared" si="1056"/>
        <v>-11.074</v>
      </c>
      <c r="BA514" s="518">
        <f t="shared" si="1057"/>
        <v>-13.040000000000001</v>
      </c>
      <c r="BB514" s="518">
        <f t="shared" si="1057"/>
        <v>-17.047999999999998</v>
      </c>
      <c r="BC514" s="518">
        <f t="shared" si="1057"/>
        <v>-15.459000000000003</v>
      </c>
      <c r="BD514" s="89">
        <f t="shared" si="1058"/>
        <v>-56.621000000000002</v>
      </c>
      <c r="BE514" s="518">
        <f t="shared" si="1058"/>
        <v>-19.861999999999998</v>
      </c>
      <c r="BF514" s="518">
        <f t="shared" si="1059"/>
        <v>-22.286000000000005</v>
      </c>
      <c r="BG514" s="518">
        <f t="shared" si="1060"/>
        <v>33.303000000000004</v>
      </c>
      <c r="BH514" s="518">
        <f t="shared" si="1061"/>
        <v>-13.304999999999998</v>
      </c>
      <c r="BI514" s="89">
        <f t="shared" si="1062"/>
        <v>-22.15</v>
      </c>
      <c r="BJ514" s="518">
        <f t="shared" si="1063"/>
        <v>-1.976</v>
      </c>
      <c r="BK514" s="518">
        <f t="shared" si="1064"/>
        <v>-0.13300000000000001</v>
      </c>
      <c r="BL514" s="520">
        <f t="shared" si="1065"/>
        <v>-15.299000000000001</v>
      </c>
      <c r="BM514" s="518">
        <f>BM241</f>
        <v>-20.862762029070016</v>
      </c>
      <c r="BN514" s="89">
        <f t="shared" si="1066"/>
        <v>-38.270762029070013</v>
      </c>
      <c r="BO514" s="518">
        <f>BO241</f>
        <v>-2.2076633825952032</v>
      </c>
      <c r="BP514" s="518">
        <f>BP241</f>
        <v>-3.4157637737825297</v>
      </c>
      <c r="BQ514" s="518">
        <f>BQ241</f>
        <v>-6.1490060332534426</v>
      </c>
      <c r="BR514" s="518">
        <f>BR241</f>
        <v>-5.3657619511944636</v>
      </c>
      <c r="BS514" s="89">
        <f t="shared" si="1067"/>
        <v>-17.138195140825641</v>
      </c>
      <c r="BT514" s="89">
        <f>BT241</f>
        <v>-22.751410233471486</v>
      </c>
      <c r="BU514" s="89">
        <f>BU241</f>
        <v>-35.442077367647961</v>
      </c>
      <c r="BV514" s="89">
        <f>BV241</f>
        <v>0</v>
      </c>
      <c r="BW514" s="519"/>
    </row>
    <row r="515" spans="1:75" s="439" customFormat="1">
      <c r="A515" s="31" t="str">
        <f>A446</f>
        <v>Amortization of deferred cost</v>
      </c>
      <c r="B515" s="53"/>
      <c r="C515" s="89">
        <f t="shared" ref="C515:G520" si="1069">C446</f>
        <v>0</v>
      </c>
      <c r="D515" s="89">
        <f t="shared" si="1069"/>
        <v>0</v>
      </c>
      <c r="E515" s="89">
        <f t="shared" si="1069"/>
        <v>0</v>
      </c>
      <c r="F515" s="89">
        <f t="shared" si="1069"/>
        <v>0</v>
      </c>
      <c r="G515" s="518">
        <f t="shared" si="1069"/>
        <v>0</v>
      </c>
      <c r="H515" s="518">
        <f t="shared" si="1039"/>
        <v>0</v>
      </c>
      <c r="I515" s="518">
        <f t="shared" si="1039"/>
        <v>0</v>
      </c>
      <c r="J515" s="518">
        <f t="shared" si="1039"/>
        <v>0</v>
      </c>
      <c r="K515" s="89">
        <f t="shared" si="1040"/>
        <v>0</v>
      </c>
      <c r="L515" s="518">
        <f t="shared" si="1040"/>
        <v>0</v>
      </c>
      <c r="M515" s="518">
        <f t="shared" si="1041"/>
        <v>0</v>
      </c>
      <c r="N515" s="518">
        <f t="shared" si="1041"/>
        <v>0</v>
      </c>
      <c r="O515" s="518">
        <f t="shared" si="1041"/>
        <v>0</v>
      </c>
      <c r="P515" s="89">
        <f t="shared" si="1042"/>
        <v>0</v>
      </c>
      <c r="Q515" s="518">
        <f t="shared" si="1042"/>
        <v>0</v>
      </c>
      <c r="R515" s="518">
        <f t="shared" si="1043"/>
        <v>0</v>
      </c>
      <c r="S515" s="518">
        <f t="shared" si="1043"/>
        <v>0</v>
      </c>
      <c r="T515" s="518">
        <f t="shared" si="1043"/>
        <v>0</v>
      </c>
      <c r="U515" s="89">
        <f t="shared" si="1044"/>
        <v>0</v>
      </c>
      <c r="V515" s="518">
        <f t="shared" si="1044"/>
        <v>0</v>
      </c>
      <c r="W515" s="518">
        <f t="shared" si="1045"/>
        <v>0</v>
      </c>
      <c r="X515" s="518">
        <f t="shared" si="1045"/>
        <v>0</v>
      </c>
      <c r="Y515" s="518">
        <f t="shared" si="1045"/>
        <v>0</v>
      </c>
      <c r="Z515" s="89">
        <f t="shared" si="1046"/>
        <v>0</v>
      </c>
      <c r="AA515" s="518">
        <f t="shared" si="1046"/>
        <v>0</v>
      </c>
      <c r="AB515" s="518">
        <f t="shared" si="1047"/>
        <v>0</v>
      </c>
      <c r="AC515" s="518">
        <f t="shared" si="1047"/>
        <v>0</v>
      </c>
      <c r="AD515" s="518">
        <f t="shared" si="1047"/>
        <v>0</v>
      </c>
      <c r="AE515" s="89">
        <f t="shared" si="1048"/>
        <v>0</v>
      </c>
      <c r="AF515" s="518">
        <f t="shared" si="1048"/>
        <v>0</v>
      </c>
      <c r="AG515" s="518">
        <f t="shared" si="1049"/>
        <v>0</v>
      </c>
      <c r="AH515" s="518">
        <f t="shared" si="1049"/>
        <v>0</v>
      </c>
      <c r="AI515" s="518">
        <f t="shared" si="1049"/>
        <v>0</v>
      </c>
      <c r="AJ515" s="89">
        <f t="shared" si="1050"/>
        <v>0</v>
      </c>
      <c r="AK515" s="518">
        <f t="shared" si="1050"/>
        <v>0</v>
      </c>
      <c r="AL515" s="518">
        <f t="shared" si="1051"/>
        <v>0</v>
      </c>
      <c r="AM515" s="518">
        <f t="shared" si="1051"/>
        <v>0</v>
      </c>
      <c r="AN515" s="518">
        <f t="shared" si="1051"/>
        <v>0</v>
      </c>
      <c r="AO515" s="89">
        <f t="shared" si="1052"/>
        <v>0</v>
      </c>
      <c r="AP515" s="518">
        <f t="shared" si="1052"/>
        <v>0</v>
      </c>
      <c r="AQ515" s="518">
        <f t="shared" si="1053"/>
        <v>0</v>
      </c>
      <c r="AR515" s="518">
        <f t="shared" si="1053"/>
        <v>0</v>
      </c>
      <c r="AS515" s="518">
        <f t="shared" si="1053"/>
        <v>0</v>
      </c>
      <c r="AT515" s="89">
        <f t="shared" si="1054"/>
        <v>0</v>
      </c>
      <c r="AU515" s="518">
        <f t="shared" si="1054"/>
        <v>0</v>
      </c>
      <c r="AV515" s="518">
        <f t="shared" si="1055"/>
        <v>0</v>
      </c>
      <c r="AW515" s="518">
        <f t="shared" si="1055"/>
        <v>0</v>
      </c>
      <c r="AX515" s="518">
        <f t="shared" si="1055"/>
        <v>0</v>
      </c>
      <c r="AY515" s="89">
        <f t="shared" si="1056"/>
        <v>0</v>
      </c>
      <c r="AZ515" s="518">
        <f t="shared" si="1056"/>
        <v>4.0389999999999997</v>
      </c>
      <c r="BA515" s="518">
        <f t="shared" si="1057"/>
        <v>4.3740000000000006</v>
      </c>
      <c r="BB515" s="518">
        <f t="shared" si="1057"/>
        <v>5.0640000000000001</v>
      </c>
      <c r="BC515" s="518">
        <f t="shared" si="1057"/>
        <v>5.3500000000000014</v>
      </c>
      <c r="BD515" s="89">
        <f t="shared" si="1058"/>
        <v>18.827000000000002</v>
      </c>
      <c r="BE515" s="518">
        <f t="shared" si="1058"/>
        <v>5.7380000000000004</v>
      </c>
      <c r="BF515" s="518">
        <f t="shared" si="1059"/>
        <v>5.9779999999999989</v>
      </c>
      <c r="BG515" s="518">
        <f t="shared" si="1060"/>
        <v>6.1020000000000021</v>
      </c>
      <c r="BH515" s="518">
        <f t="shared" si="1061"/>
        <v>6.2169999999999987</v>
      </c>
      <c r="BI515" s="89">
        <f t="shared" si="1062"/>
        <v>24.035</v>
      </c>
      <c r="BJ515" s="518">
        <f t="shared" si="1063"/>
        <v>6.1509999999999998</v>
      </c>
      <c r="BK515" s="518">
        <f t="shared" si="1064"/>
        <v>6.17</v>
      </c>
      <c r="BL515" s="520">
        <f t="shared" si="1065"/>
        <v>6.2829999999999995</v>
      </c>
      <c r="BM515" s="518"/>
      <c r="BN515" s="89">
        <f t="shared" si="1066"/>
        <v>18.603999999999999</v>
      </c>
      <c r="BO515" s="518"/>
      <c r="BP515" s="518"/>
      <c r="BQ515" s="518"/>
      <c r="BR515" s="518"/>
      <c r="BS515" s="89">
        <f t="shared" si="1067"/>
        <v>0</v>
      </c>
      <c r="BT515" s="89"/>
      <c r="BU515" s="89"/>
      <c r="BV515" s="89"/>
      <c r="BW515" s="519"/>
    </row>
    <row r="516" spans="1:75" s="439" customFormat="1">
      <c r="A516" s="31" t="str">
        <f t="shared" ref="A516" si="1070">A447</f>
        <v>Realized gain on investments</v>
      </c>
      <c r="B516" s="53"/>
      <c r="C516" s="89">
        <f t="shared" si="1069"/>
        <v>0</v>
      </c>
      <c r="D516" s="89">
        <f t="shared" si="1069"/>
        <v>0</v>
      </c>
      <c r="E516" s="89">
        <f t="shared" si="1069"/>
        <v>0</v>
      </c>
      <c r="F516" s="89">
        <f t="shared" si="1069"/>
        <v>0</v>
      </c>
      <c r="G516" s="518">
        <f t="shared" si="1069"/>
        <v>0</v>
      </c>
      <c r="H516" s="518">
        <f t="shared" si="1039"/>
        <v>0</v>
      </c>
      <c r="I516" s="518">
        <f t="shared" si="1039"/>
        <v>0</v>
      </c>
      <c r="J516" s="518">
        <f t="shared" si="1039"/>
        <v>0</v>
      </c>
      <c r="K516" s="89">
        <f t="shared" si="1040"/>
        <v>0</v>
      </c>
      <c r="L516" s="518">
        <f t="shared" si="1040"/>
        <v>0</v>
      </c>
      <c r="M516" s="518">
        <f t="shared" si="1041"/>
        <v>0</v>
      </c>
      <c r="N516" s="518">
        <f t="shared" si="1041"/>
        <v>-2E-3</v>
      </c>
      <c r="O516" s="518">
        <f t="shared" si="1041"/>
        <v>2E-3</v>
      </c>
      <c r="P516" s="89">
        <f t="shared" si="1042"/>
        <v>0</v>
      </c>
      <c r="Q516" s="518">
        <f t="shared" si="1042"/>
        <v>0</v>
      </c>
      <c r="R516" s="518">
        <f t="shared" si="1043"/>
        <v>0</v>
      </c>
      <c r="S516" s="518">
        <f t="shared" si="1043"/>
        <v>-2E-3</v>
      </c>
      <c r="T516" s="518">
        <f t="shared" si="1043"/>
        <v>-2E-3</v>
      </c>
      <c r="U516" s="89">
        <f t="shared" si="1044"/>
        <v>-4.0000000000000001E-3</v>
      </c>
      <c r="V516" s="518">
        <f t="shared" si="1044"/>
        <v>0</v>
      </c>
      <c r="W516" s="518">
        <f t="shared" si="1045"/>
        <v>0</v>
      </c>
      <c r="X516" s="518">
        <f t="shared" si="1045"/>
        <v>0</v>
      </c>
      <c r="Y516" s="518">
        <f t="shared" si="1045"/>
        <v>0</v>
      </c>
      <c r="Z516" s="89">
        <f t="shared" si="1046"/>
        <v>0</v>
      </c>
      <c r="AA516" s="518">
        <f t="shared" si="1046"/>
        <v>0</v>
      </c>
      <c r="AB516" s="518">
        <f t="shared" si="1047"/>
        <v>0</v>
      </c>
      <c r="AC516" s="518">
        <f t="shared" si="1047"/>
        <v>0</v>
      </c>
      <c r="AD516" s="518">
        <f t="shared" si="1047"/>
        <v>0</v>
      </c>
      <c r="AE516" s="89">
        <f t="shared" si="1048"/>
        <v>0</v>
      </c>
      <c r="AF516" s="518">
        <f t="shared" si="1048"/>
        <v>0</v>
      </c>
      <c r="AG516" s="518">
        <f t="shared" si="1049"/>
        <v>0</v>
      </c>
      <c r="AH516" s="518">
        <f t="shared" si="1049"/>
        <v>0</v>
      </c>
      <c r="AI516" s="518">
        <f t="shared" si="1049"/>
        <v>0</v>
      </c>
      <c r="AJ516" s="89">
        <f t="shared" si="1050"/>
        <v>0</v>
      </c>
      <c r="AK516" s="518">
        <f t="shared" si="1050"/>
        <v>0</v>
      </c>
      <c r="AL516" s="518">
        <f t="shared" si="1051"/>
        <v>0</v>
      </c>
      <c r="AM516" s="518">
        <f t="shared" si="1051"/>
        <v>0</v>
      </c>
      <c r="AN516" s="518">
        <f t="shared" si="1051"/>
        <v>0</v>
      </c>
      <c r="AO516" s="89">
        <f t="shared" si="1052"/>
        <v>0</v>
      </c>
      <c r="AP516" s="518">
        <f t="shared" si="1052"/>
        <v>0</v>
      </c>
      <c r="AQ516" s="518">
        <f t="shared" si="1053"/>
        <v>0</v>
      </c>
      <c r="AR516" s="518">
        <f t="shared" si="1053"/>
        <v>0</v>
      </c>
      <c r="AS516" s="518">
        <f t="shared" si="1053"/>
        <v>0</v>
      </c>
      <c r="AT516" s="89">
        <f t="shared" si="1054"/>
        <v>0</v>
      </c>
      <c r="AU516" s="518">
        <f t="shared" si="1054"/>
        <v>0</v>
      </c>
      <c r="AV516" s="518">
        <f t="shared" si="1055"/>
        <v>0</v>
      </c>
      <c r="AW516" s="518">
        <f t="shared" si="1055"/>
        <v>0</v>
      </c>
      <c r="AX516" s="518">
        <f t="shared" si="1055"/>
        <v>0</v>
      </c>
      <c r="AY516" s="89">
        <f t="shared" si="1056"/>
        <v>0</v>
      </c>
      <c r="AZ516" s="518">
        <f t="shared" si="1056"/>
        <v>0</v>
      </c>
      <c r="BA516" s="518">
        <f t="shared" si="1057"/>
        <v>0</v>
      </c>
      <c r="BB516" s="518">
        <f t="shared" si="1057"/>
        <v>0</v>
      </c>
      <c r="BC516" s="518">
        <f t="shared" si="1057"/>
        <v>0</v>
      </c>
      <c r="BD516" s="89">
        <f t="shared" si="1058"/>
        <v>0</v>
      </c>
      <c r="BE516" s="518">
        <f t="shared" si="1058"/>
        <v>0</v>
      </c>
      <c r="BF516" s="518">
        <f t="shared" si="1059"/>
        <v>0</v>
      </c>
      <c r="BG516" s="518">
        <f t="shared" si="1060"/>
        <v>0</v>
      </c>
      <c r="BH516" s="518">
        <f t="shared" si="1061"/>
        <v>0</v>
      </c>
      <c r="BI516" s="89">
        <f t="shared" si="1062"/>
        <v>0</v>
      </c>
      <c r="BJ516" s="518">
        <f t="shared" si="1063"/>
        <v>0</v>
      </c>
      <c r="BK516" s="518">
        <f t="shared" si="1064"/>
        <v>0</v>
      </c>
      <c r="BL516" s="520">
        <f t="shared" si="1065"/>
        <v>0</v>
      </c>
      <c r="BM516" s="518"/>
      <c r="BN516" s="89">
        <f t="shared" si="1066"/>
        <v>0</v>
      </c>
      <c r="BO516" s="518"/>
      <c r="BP516" s="518"/>
      <c r="BQ516" s="518"/>
      <c r="BR516" s="518"/>
      <c r="BS516" s="89">
        <f t="shared" si="1067"/>
        <v>0</v>
      </c>
      <c r="BT516" s="89"/>
      <c r="BU516" s="89"/>
      <c r="BV516" s="89"/>
      <c r="BW516" s="519"/>
    </row>
    <row r="517" spans="1:75" s="439" customFormat="1">
      <c r="A517" s="31" t="str">
        <f t="shared" ref="A517" si="1071">A448</f>
        <v>Asset impairment</v>
      </c>
      <c r="B517" s="53"/>
      <c r="C517" s="89">
        <f t="shared" si="1069"/>
        <v>0</v>
      </c>
      <c r="D517" s="89">
        <f t="shared" si="1069"/>
        <v>0</v>
      </c>
      <c r="E517" s="89">
        <f t="shared" si="1069"/>
        <v>0</v>
      </c>
      <c r="F517" s="89">
        <f t="shared" si="1069"/>
        <v>0</v>
      </c>
      <c r="G517" s="518">
        <f t="shared" si="1069"/>
        <v>0</v>
      </c>
      <c r="H517" s="518">
        <f t="shared" si="1039"/>
        <v>0</v>
      </c>
      <c r="I517" s="518">
        <f t="shared" si="1039"/>
        <v>0</v>
      </c>
      <c r="J517" s="518">
        <f t="shared" si="1039"/>
        <v>0</v>
      </c>
      <c r="K517" s="89">
        <f t="shared" si="1040"/>
        <v>0</v>
      </c>
      <c r="L517" s="518">
        <f t="shared" si="1040"/>
        <v>0</v>
      </c>
      <c r="M517" s="518">
        <f t="shared" si="1041"/>
        <v>0</v>
      </c>
      <c r="N517" s="518">
        <f t="shared" si="1041"/>
        <v>0</v>
      </c>
      <c r="O517" s="518">
        <f t="shared" si="1041"/>
        <v>0</v>
      </c>
      <c r="P517" s="89">
        <f t="shared" si="1042"/>
        <v>0</v>
      </c>
      <c r="Q517" s="518">
        <f t="shared" si="1042"/>
        <v>0</v>
      </c>
      <c r="R517" s="518">
        <f t="shared" si="1043"/>
        <v>0</v>
      </c>
      <c r="S517" s="518">
        <f t="shared" si="1043"/>
        <v>0</v>
      </c>
      <c r="T517" s="518">
        <f t="shared" si="1043"/>
        <v>0</v>
      </c>
      <c r="U517" s="89">
        <f t="shared" si="1044"/>
        <v>0</v>
      </c>
      <c r="V517" s="518">
        <f t="shared" si="1044"/>
        <v>0</v>
      </c>
      <c r="W517" s="518">
        <f t="shared" si="1045"/>
        <v>0</v>
      </c>
      <c r="X517" s="518">
        <f t="shared" si="1045"/>
        <v>0</v>
      </c>
      <c r="Y517" s="518">
        <f t="shared" si="1045"/>
        <v>0</v>
      </c>
      <c r="Z517" s="89">
        <f t="shared" si="1046"/>
        <v>0</v>
      </c>
      <c r="AA517" s="518">
        <f t="shared" si="1046"/>
        <v>0</v>
      </c>
      <c r="AB517" s="518">
        <f t="shared" si="1047"/>
        <v>0</v>
      </c>
      <c r="AC517" s="518">
        <f t="shared" si="1047"/>
        <v>0</v>
      </c>
      <c r="AD517" s="518">
        <f t="shared" si="1047"/>
        <v>0</v>
      </c>
      <c r="AE517" s="89">
        <f t="shared" si="1048"/>
        <v>0</v>
      </c>
      <c r="AF517" s="518">
        <f t="shared" si="1048"/>
        <v>0</v>
      </c>
      <c r="AG517" s="518">
        <f t="shared" si="1049"/>
        <v>0</v>
      </c>
      <c r="AH517" s="518">
        <f t="shared" si="1049"/>
        <v>0</v>
      </c>
      <c r="AI517" s="518">
        <f t="shared" si="1049"/>
        <v>0</v>
      </c>
      <c r="AJ517" s="89">
        <f t="shared" si="1050"/>
        <v>0</v>
      </c>
      <c r="AK517" s="518">
        <f t="shared" si="1050"/>
        <v>0</v>
      </c>
      <c r="AL517" s="518">
        <f t="shared" si="1051"/>
        <v>0</v>
      </c>
      <c r="AM517" s="518">
        <f t="shared" si="1051"/>
        <v>0</v>
      </c>
      <c r="AN517" s="518">
        <f t="shared" si="1051"/>
        <v>0</v>
      </c>
      <c r="AO517" s="89">
        <f t="shared" si="1052"/>
        <v>0</v>
      </c>
      <c r="AP517" s="518">
        <f t="shared" si="1052"/>
        <v>0</v>
      </c>
      <c r="AQ517" s="518">
        <f t="shared" si="1053"/>
        <v>0</v>
      </c>
      <c r="AR517" s="518">
        <f t="shared" si="1053"/>
        <v>0</v>
      </c>
      <c r="AS517" s="518">
        <f t="shared" si="1053"/>
        <v>0</v>
      </c>
      <c r="AT517" s="89">
        <f t="shared" si="1054"/>
        <v>0</v>
      </c>
      <c r="AU517" s="518">
        <f t="shared" si="1054"/>
        <v>0</v>
      </c>
      <c r="AV517" s="518">
        <f t="shared" si="1055"/>
        <v>11.164</v>
      </c>
      <c r="AW517" s="518">
        <f t="shared" si="1055"/>
        <v>0</v>
      </c>
      <c r="AX517" s="518">
        <f t="shared" si="1055"/>
        <v>0</v>
      </c>
      <c r="AY517" s="89">
        <f t="shared" si="1056"/>
        <v>11.164</v>
      </c>
      <c r="AZ517" s="518">
        <f t="shared" si="1056"/>
        <v>0</v>
      </c>
      <c r="BA517" s="518">
        <f t="shared" si="1057"/>
        <v>0</v>
      </c>
      <c r="BB517" s="518">
        <f t="shared" si="1057"/>
        <v>10.464</v>
      </c>
      <c r="BC517" s="518">
        <f t="shared" si="1057"/>
        <v>0</v>
      </c>
      <c r="BD517" s="89">
        <f t="shared" si="1058"/>
        <v>10.464</v>
      </c>
      <c r="BE517" s="518">
        <f t="shared" si="1058"/>
        <v>3.5550000000000002</v>
      </c>
      <c r="BF517" s="518">
        <f t="shared" si="1059"/>
        <v>0</v>
      </c>
      <c r="BG517" s="518">
        <f t="shared" si="1060"/>
        <v>0</v>
      </c>
      <c r="BH517" s="518">
        <f t="shared" si="1061"/>
        <v>20.007999999999999</v>
      </c>
      <c r="BI517" s="89">
        <f t="shared" si="1062"/>
        <v>23.562999999999999</v>
      </c>
      <c r="BJ517" s="518">
        <f t="shared" si="1063"/>
        <v>0</v>
      </c>
      <c r="BK517" s="518">
        <f t="shared" si="1064"/>
        <v>0</v>
      </c>
      <c r="BL517" s="520">
        <f t="shared" si="1065"/>
        <v>5.9139999999999997</v>
      </c>
      <c r="BM517" s="518"/>
      <c r="BN517" s="89">
        <f t="shared" si="1066"/>
        <v>5.9139999999999997</v>
      </c>
      <c r="BO517" s="518"/>
      <c r="BP517" s="518"/>
      <c r="BQ517" s="518"/>
      <c r="BR517" s="518"/>
      <c r="BS517" s="89">
        <f t="shared" si="1067"/>
        <v>0</v>
      </c>
      <c r="BT517" s="89"/>
      <c r="BU517" s="89"/>
      <c r="BV517" s="89"/>
      <c r="BW517" s="519"/>
    </row>
    <row r="518" spans="1:75" s="439" customFormat="1">
      <c r="A518" s="31" t="str">
        <f t="shared" ref="A518:A527" si="1072">A449</f>
        <v>Noncash gain on lease termination</v>
      </c>
      <c r="B518" s="53"/>
      <c r="C518" s="89">
        <f t="shared" si="1069"/>
        <v>0</v>
      </c>
      <c r="D518" s="89">
        <f t="shared" si="1069"/>
        <v>0</v>
      </c>
      <c r="E518" s="89">
        <f t="shared" si="1069"/>
        <v>0</v>
      </c>
      <c r="F518" s="89">
        <f t="shared" si="1069"/>
        <v>0</v>
      </c>
      <c r="G518" s="518">
        <f t="shared" si="1069"/>
        <v>0</v>
      </c>
      <c r="H518" s="518">
        <f t="shared" si="1039"/>
        <v>0</v>
      </c>
      <c r="I518" s="518">
        <f t="shared" si="1039"/>
        <v>0</v>
      </c>
      <c r="J518" s="518">
        <f t="shared" si="1039"/>
        <v>0</v>
      </c>
      <c r="K518" s="89">
        <f t="shared" si="1040"/>
        <v>0</v>
      </c>
      <c r="L518" s="518">
        <f t="shared" si="1040"/>
        <v>0</v>
      </c>
      <c r="M518" s="518">
        <f t="shared" si="1041"/>
        <v>0</v>
      </c>
      <c r="N518" s="518">
        <f t="shared" si="1041"/>
        <v>0</v>
      </c>
      <c r="O518" s="518">
        <f t="shared" si="1041"/>
        <v>0</v>
      </c>
      <c r="P518" s="89">
        <f t="shared" si="1042"/>
        <v>0</v>
      </c>
      <c r="Q518" s="518">
        <f t="shared" si="1042"/>
        <v>0</v>
      </c>
      <c r="R518" s="518">
        <f t="shared" si="1043"/>
        <v>0</v>
      </c>
      <c r="S518" s="518">
        <f t="shared" si="1043"/>
        <v>0</v>
      </c>
      <c r="T518" s="518">
        <f t="shared" si="1043"/>
        <v>0</v>
      </c>
      <c r="U518" s="89">
        <f t="shared" si="1044"/>
        <v>0</v>
      </c>
      <c r="V518" s="518">
        <f t="shared" si="1044"/>
        <v>0</v>
      </c>
      <c r="W518" s="518">
        <f t="shared" si="1045"/>
        <v>0</v>
      </c>
      <c r="X518" s="518">
        <f t="shared" si="1045"/>
        <v>0</v>
      </c>
      <c r="Y518" s="518">
        <f t="shared" si="1045"/>
        <v>0</v>
      </c>
      <c r="Z518" s="89">
        <f t="shared" si="1046"/>
        <v>0</v>
      </c>
      <c r="AA518" s="518">
        <f t="shared" si="1046"/>
        <v>0</v>
      </c>
      <c r="AB518" s="518">
        <f t="shared" si="1047"/>
        <v>0</v>
      </c>
      <c r="AC518" s="518">
        <f t="shared" si="1047"/>
        <v>0</v>
      </c>
      <c r="AD518" s="518">
        <f t="shared" si="1047"/>
        <v>0</v>
      </c>
      <c r="AE518" s="89">
        <f t="shared" si="1048"/>
        <v>0</v>
      </c>
      <c r="AF518" s="518">
        <f t="shared" si="1048"/>
        <v>0</v>
      </c>
      <c r="AG518" s="518">
        <f t="shared" si="1049"/>
        <v>0</v>
      </c>
      <c r="AH518" s="518">
        <f t="shared" si="1049"/>
        <v>0</v>
      </c>
      <c r="AI518" s="518">
        <f t="shared" si="1049"/>
        <v>0</v>
      </c>
      <c r="AJ518" s="89">
        <f t="shared" si="1050"/>
        <v>0</v>
      </c>
      <c r="AK518" s="518">
        <f t="shared" si="1050"/>
        <v>0</v>
      </c>
      <c r="AL518" s="518">
        <f t="shared" si="1051"/>
        <v>0</v>
      </c>
      <c r="AM518" s="518">
        <f t="shared" si="1051"/>
        <v>0</v>
      </c>
      <c r="AN518" s="518">
        <f t="shared" si="1051"/>
        <v>0</v>
      </c>
      <c r="AO518" s="89">
        <f t="shared" si="1052"/>
        <v>0</v>
      </c>
      <c r="AP518" s="518">
        <f t="shared" si="1052"/>
        <v>0</v>
      </c>
      <c r="AQ518" s="518">
        <f t="shared" si="1053"/>
        <v>0</v>
      </c>
      <c r="AR518" s="518">
        <f t="shared" si="1053"/>
        <v>0</v>
      </c>
      <c r="AS518" s="518">
        <f t="shared" si="1053"/>
        <v>0</v>
      </c>
      <c r="AT518" s="89">
        <f t="shared" si="1054"/>
        <v>0</v>
      </c>
      <c r="AU518" s="518">
        <f t="shared" si="1054"/>
        <v>0</v>
      </c>
      <c r="AV518" s="518">
        <f t="shared" si="1055"/>
        <v>0</v>
      </c>
      <c r="AW518" s="518">
        <f t="shared" si="1055"/>
        <v>0</v>
      </c>
      <c r="AX518" s="518">
        <f t="shared" si="1055"/>
        <v>-11.484999999999999</v>
      </c>
      <c r="AY518" s="89">
        <f t="shared" si="1056"/>
        <v>-11.484999999999999</v>
      </c>
      <c r="AZ518" s="518">
        <f t="shared" si="1056"/>
        <v>0</v>
      </c>
      <c r="BA518" s="518">
        <f t="shared" si="1057"/>
        <v>0</v>
      </c>
      <c r="BB518" s="518">
        <f t="shared" si="1057"/>
        <v>0</v>
      </c>
      <c r="BC518" s="518">
        <f t="shared" si="1057"/>
        <v>0</v>
      </c>
      <c r="BD518" s="89">
        <f t="shared" si="1058"/>
        <v>0</v>
      </c>
      <c r="BE518" s="518">
        <f t="shared" si="1058"/>
        <v>0</v>
      </c>
      <c r="BF518" s="518">
        <f t="shared" si="1059"/>
        <v>0</v>
      </c>
      <c r="BG518" s="518">
        <f t="shared" si="1060"/>
        <v>0</v>
      </c>
      <c r="BH518" s="518">
        <f t="shared" si="1061"/>
        <v>0</v>
      </c>
      <c r="BI518" s="89">
        <f t="shared" si="1062"/>
        <v>0</v>
      </c>
      <c r="BJ518" s="518">
        <f t="shared" si="1063"/>
        <v>0</v>
      </c>
      <c r="BK518" s="518">
        <f t="shared" si="1064"/>
        <v>0</v>
      </c>
      <c r="BL518" s="520">
        <f t="shared" si="1065"/>
        <v>0</v>
      </c>
      <c r="BM518" s="518"/>
      <c r="BN518" s="89">
        <f t="shared" si="1066"/>
        <v>0</v>
      </c>
      <c r="BO518" s="518"/>
      <c r="BP518" s="518"/>
      <c r="BQ518" s="518"/>
      <c r="BR518" s="518"/>
      <c r="BS518" s="89">
        <f t="shared" si="1067"/>
        <v>0</v>
      </c>
      <c r="BT518" s="89"/>
      <c r="BU518" s="89"/>
      <c r="BV518" s="89"/>
      <c r="BW518" s="519"/>
    </row>
    <row r="519" spans="1:75" s="439" customFormat="1">
      <c r="A519" s="31" t="str">
        <f t="shared" si="1072"/>
        <v>Gain on disposal of a business unit</v>
      </c>
      <c r="B519" s="53"/>
      <c r="C519" s="89">
        <f t="shared" si="1069"/>
        <v>0</v>
      </c>
      <c r="D519" s="89">
        <f t="shared" si="1069"/>
        <v>0</v>
      </c>
      <c r="E519" s="89">
        <f t="shared" si="1069"/>
        <v>0</v>
      </c>
      <c r="F519" s="89">
        <f t="shared" si="1069"/>
        <v>0</v>
      </c>
      <c r="G519" s="518">
        <f t="shared" si="1069"/>
        <v>0</v>
      </c>
      <c r="H519" s="518">
        <f t="shared" si="1039"/>
        <v>0</v>
      </c>
      <c r="I519" s="518">
        <f t="shared" si="1039"/>
        <v>0</v>
      </c>
      <c r="J519" s="518">
        <f t="shared" si="1039"/>
        <v>0</v>
      </c>
      <c r="K519" s="89">
        <f t="shared" si="1040"/>
        <v>0</v>
      </c>
      <c r="L519" s="518">
        <f t="shared" si="1040"/>
        <v>0</v>
      </c>
      <c r="M519" s="518">
        <f t="shared" si="1041"/>
        <v>0</v>
      </c>
      <c r="N519" s="518">
        <f t="shared" si="1041"/>
        <v>0</v>
      </c>
      <c r="O519" s="518">
        <f t="shared" si="1041"/>
        <v>0</v>
      </c>
      <c r="P519" s="89">
        <f t="shared" si="1042"/>
        <v>0</v>
      </c>
      <c r="Q519" s="518">
        <f t="shared" si="1042"/>
        <v>0</v>
      </c>
      <c r="R519" s="518">
        <f t="shared" si="1043"/>
        <v>0</v>
      </c>
      <c r="S519" s="518">
        <f t="shared" si="1043"/>
        <v>0</v>
      </c>
      <c r="T519" s="518">
        <f t="shared" si="1043"/>
        <v>0</v>
      </c>
      <c r="U519" s="89">
        <f t="shared" si="1044"/>
        <v>0</v>
      </c>
      <c r="V519" s="518">
        <f t="shared" si="1044"/>
        <v>0</v>
      </c>
      <c r="W519" s="518">
        <f t="shared" si="1045"/>
        <v>0</v>
      </c>
      <c r="X519" s="518">
        <f t="shared" si="1045"/>
        <v>0</v>
      </c>
      <c r="Y519" s="518">
        <f t="shared" si="1045"/>
        <v>0</v>
      </c>
      <c r="Z519" s="89">
        <f t="shared" si="1046"/>
        <v>0</v>
      </c>
      <c r="AA519" s="518">
        <f t="shared" si="1046"/>
        <v>0</v>
      </c>
      <c r="AB519" s="518">
        <f t="shared" si="1047"/>
        <v>0</v>
      </c>
      <c r="AC519" s="518">
        <f t="shared" si="1047"/>
        <v>0</v>
      </c>
      <c r="AD519" s="518">
        <f t="shared" si="1047"/>
        <v>-163.697</v>
      </c>
      <c r="AE519" s="89">
        <f t="shared" si="1048"/>
        <v>-163.697</v>
      </c>
      <c r="AF519" s="518">
        <f t="shared" si="1048"/>
        <v>0</v>
      </c>
      <c r="AG519" s="518">
        <f t="shared" si="1049"/>
        <v>0</v>
      </c>
      <c r="AH519" s="518">
        <f t="shared" si="1049"/>
        <v>0</v>
      </c>
      <c r="AI519" s="518">
        <f t="shared" si="1049"/>
        <v>0</v>
      </c>
      <c r="AJ519" s="89">
        <f t="shared" si="1050"/>
        <v>0</v>
      </c>
      <c r="AK519" s="518">
        <f t="shared" si="1050"/>
        <v>0</v>
      </c>
      <c r="AL519" s="518">
        <f t="shared" si="1051"/>
        <v>0</v>
      </c>
      <c r="AM519" s="518">
        <f t="shared" si="1051"/>
        <v>0</v>
      </c>
      <c r="AN519" s="518">
        <f t="shared" si="1051"/>
        <v>0</v>
      </c>
      <c r="AO519" s="89">
        <f t="shared" si="1052"/>
        <v>0</v>
      </c>
      <c r="AP519" s="518">
        <f t="shared" si="1052"/>
        <v>0</v>
      </c>
      <c r="AQ519" s="518">
        <f t="shared" si="1053"/>
        <v>0</v>
      </c>
      <c r="AR519" s="518">
        <f t="shared" si="1053"/>
        <v>0</v>
      </c>
      <c r="AS519" s="518">
        <f t="shared" si="1053"/>
        <v>0</v>
      </c>
      <c r="AT519" s="89">
        <f t="shared" si="1054"/>
        <v>0</v>
      </c>
      <c r="AU519" s="518">
        <f t="shared" si="1054"/>
        <v>0</v>
      </c>
      <c r="AV519" s="518">
        <f t="shared" si="1055"/>
        <v>0</v>
      </c>
      <c r="AW519" s="518">
        <f t="shared" si="1055"/>
        <v>0</v>
      </c>
      <c r="AX519" s="518">
        <f t="shared" si="1055"/>
        <v>0</v>
      </c>
      <c r="AY519" s="89">
        <f t="shared" si="1056"/>
        <v>0</v>
      </c>
      <c r="AZ519" s="518">
        <f t="shared" si="1056"/>
        <v>0</v>
      </c>
      <c r="BA519" s="518">
        <f t="shared" si="1057"/>
        <v>0</v>
      </c>
      <c r="BB519" s="518">
        <f t="shared" si="1057"/>
        <v>0</v>
      </c>
      <c r="BC519" s="518">
        <f t="shared" si="1057"/>
        <v>0</v>
      </c>
      <c r="BD519" s="89">
        <f t="shared" si="1058"/>
        <v>0</v>
      </c>
      <c r="BE519" s="518">
        <f t="shared" si="1058"/>
        <v>0</v>
      </c>
      <c r="BF519" s="518">
        <f t="shared" si="1059"/>
        <v>0</v>
      </c>
      <c r="BG519" s="518">
        <f t="shared" si="1060"/>
        <v>0</v>
      </c>
      <c r="BH519" s="518">
        <f t="shared" si="1061"/>
        <v>0</v>
      </c>
      <c r="BI519" s="89">
        <f t="shared" si="1062"/>
        <v>0</v>
      </c>
      <c r="BJ519" s="518">
        <f t="shared" si="1063"/>
        <v>0</v>
      </c>
      <c r="BK519" s="518">
        <f t="shared" si="1064"/>
        <v>0</v>
      </c>
      <c r="BL519" s="520">
        <f t="shared" si="1065"/>
        <v>0</v>
      </c>
      <c r="BM519" s="518"/>
      <c r="BN519" s="89">
        <f t="shared" si="1066"/>
        <v>0</v>
      </c>
      <c r="BO519" s="518"/>
      <c r="BP519" s="518"/>
      <c r="BQ519" s="518"/>
      <c r="BR519" s="518"/>
      <c r="BS519" s="89">
        <f t="shared" si="1067"/>
        <v>0</v>
      </c>
      <c r="BT519" s="89"/>
      <c r="BU519" s="89"/>
      <c r="BV519" s="89"/>
      <c r="BW519" s="519"/>
    </row>
    <row r="520" spans="1:75" s="439" customFormat="1">
      <c r="A520" s="31" t="str">
        <f t="shared" si="1072"/>
        <v>Other</v>
      </c>
      <c r="B520" s="53"/>
      <c r="C520" s="89">
        <f t="shared" si="1069"/>
        <v>0</v>
      </c>
      <c r="D520" s="89">
        <f t="shared" si="1069"/>
        <v>0</v>
      </c>
      <c r="E520" s="89">
        <f t="shared" si="1069"/>
        <v>0</v>
      </c>
      <c r="F520" s="89">
        <f t="shared" si="1069"/>
        <v>0</v>
      </c>
      <c r="G520" s="518">
        <f t="shared" si="1069"/>
        <v>0</v>
      </c>
      <c r="H520" s="518">
        <f t="shared" si="1039"/>
        <v>0</v>
      </c>
      <c r="I520" s="518">
        <f t="shared" si="1039"/>
        <v>0</v>
      </c>
      <c r="J520" s="518">
        <f t="shared" si="1039"/>
        <v>0</v>
      </c>
      <c r="K520" s="89">
        <f t="shared" si="1040"/>
        <v>0</v>
      </c>
      <c r="L520" s="518">
        <f t="shared" si="1040"/>
        <v>0</v>
      </c>
      <c r="M520" s="518">
        <f t="shared" si="1041"/>
        <v>0</v>
      </c>
      <c r="N520" s="518">
        <f t="shared" si="1041"/>
        <v>0</v>
      </c>
      <c r="O520" s="518">
        <f t="shared" si="1041"/>
        <v>0</v>
      </c>
      <c r="P520" s="89">
        <f t="shared" si="1042"/>
        <v>0</v>
      </c>
      <c r="Q520" s="518">
        <f t="shared" si="1042"/>
        <v>0</v>
      </c>
      <c r="R520" s="518">
        <f t="shared" si="1043"/>
        <v>0</v>
      </c>
      <c r="S520" s="518">
        <f t="shared" si="1043"/>
        <v>0</v>
      </c>
      <c r="T520" s="518">
        <f t="shared" si="1043"/>
        <v>0</v>
      </c>
      <c r="U520" s="89">
        <f t="shared" si="1044"/>
        <v>0</v>
      </c>
      <c r="V520" s="518">
        <f t="shared" si="1044"/>
        <v>0</v>
      </c>
      <c r="W520" s="518">
        <f t="shared" si="1045"/>
        <v>0</v>
      </c>
      <c r="X520" s="518">
        <f t="shared" si="1045"/>
        <v>0</v>
      </c>
      <c r="Y520" s="518">
        <f t="shared" si="1045"/>
        <v>0</v>
      </c>
      <c r="Z520" s="89">
        <f t="shared" si="1046"/>
        <v>0</v>
      </c>
      <c r="AA520" s="518">
        <f t="shared" si="1046"/>
        <v>0.253</v>
      </c>
      <c r="AB520" s="518">
        <f t="shared" si="1047"/>
        <v>1.4000000000000012E-2</v>
      </c>
      <c r="AC520" s="518">
        <f t="shared" si="1047"/>
        <v>1.3000000000000012E-2</v>
      </c>
      <c r="AD520" s="518">
        <f t="shared" si="1047"/>
        <v>1.2999999999999956E-2</v>
      </c>
      <c r="AE520" s="89">
        <f t="shared" si="1048"/>
        <v>0.29299999999999998</v>
      </c>
      <c r="AF520" s="518">
        <f t="shared" si="1048"/>
        <v>-0.91300000000000003</v>
      </c>
      <c r="AG520" s="518">
        <f t="shared" si="1049"/>
        <v>-0.998</v>
      </c>
      <c r="AH520" s="518">
        <f t="shared" si="1049"/>
        <v>-0.88200000000000012</v>
      </c>
      <c r="AI520" s="518">
        <f t="shared" si="1049"/>
        <v>-1.1850000000000001</v>
      </c>
      <c r="AJ520" s="89">
        <f t="shared" si="1050"/>
        <v>-3.9780000000000002</v>
      </c>
      <c r="AK520" s="518">
        <f t="shared" si="1050"/>
        <v>-1.159</v>
      </c>
      <c r="AL520" s="518">
        <f t="shared" si="1051"/>
        <v>-0.47299999999999986</v>
      </c>
      <c r="AM520" s="518">
        <f t="shared" si="1051"/>
        <v>-0.92700000000000027</v>
      </c>
      <c r="AN520" s="518">
        <f t="shared" si="1051"/>
        <v>-0.43799999999999972</v>
      </c>
      <c r="AO520" s="89">
        <f t="shared" si="1052"/>
        <v>-2.9969999999999999</v>
      </c>
      <c r="AP520" s="518">
        <f t="shared" si="1052"/>
        <v>-0.28699999999999998</v>
      </c>
      <c r="AQ520" s="518">
        <f t="shared" si="1053"/>
        <v>1.163</v>
      </c>
      <c r="AR520" s="518">
        <f t="shared" si="1053"/>
        <v>0.44000000000000006</v>
      </c>
      <c r="AS520" s="518">
        <f t="shared" si="1053"/>
        <v>0.877</v>
      </c>
      <c r="AT520" s="89">
        <f t="shared" si="1054"/>
        <v>2.1930000000000001</v>
      </c>
      <c r="AU520" s="518">
        <f t="shared" si="1054"/>
        <v>1.4E-2</v>
      </c>
      <c r="AV520" s="518">
        <f t="shared" si="1055"/>
        <v>0.372</v>
      </c>
      <c r="AW520" s="518">
        <f t="shared" si="1055"/>
        <v>-0.28300000000000003</v>
      </c>
      <c r="AX520" s="518">
        <f t="shared" si="1055"/>
        <v>0.28900000000000003</v>
      </c>
      <c r="AY520" s="89">
        <f t="shared" si="1056"/>
        <v>0.39200000000000002</v>
      </c>
      <c r="AZ520" s="518">
        <f t="shared" si="1056"/>
        <v>0.248</v>
      </c>
      <c r="BA520" s="518">
        <f t="shared" si="1057"/>
        <v>0.46899999999999997</v>
      </c>
      <c r="BB520" s="518">
        <f t="shared" si="1057"/>
        <v>0.57399999999999995</v>
      </c>
      <c r="BC520" s="518">
        <f t="shared" si="1057"/>
        <v>-0.25499999999999989</v>
      </c>
      <c r="BD520" s="89">
        <f t="shared" si="1058"/>
        <v>1.036</v>
      </c>
      <c r="BE520" s="518">
        <f t="shared" si="1058"/>
        <v>0.57599999999999996</v>
      </c>
      <c r="BF520" s="518">
        <f t="shared" si="1059"/>
        <v>-0.6399999999999999</v>
      </c>
      <c r="BG520" s="518">
        <f t="shared" si="1060"/>
        <v>-0.16500000000000001</v>
      </c>
      <c r="BH520" s="518">
        <f t="shared" si="1061"/>
        <v>-0.18099999999999997</v>
      </c>
      <c r="BI520" s="89">
        <f t="shared" si="1062"/>
        <v>-0.41</v>
      </c>
      <c r="BJ520" s="518">
        <f t="shared" si="1063"/>
        <v>0.161</v>
      </c>
      <c r="BK520" s="518">
        <f t="shared" si="1064"/>
        <v>-3.1560000000000001</v>
      </c>
      <c r="BL520" s="520">
        <f t="shared" si="1065"/>
        <v>0.27800000000000002</v>
      </c>
      <c r="BM520" s="518"/>
      <c r="BN520" s="89">
        <f t="shared" si="1066"/>
        <v>-2.7170000000000001</v>
      </c>
      <c r="BO520" s="518"/>
      <c r="BP520" s="518"/>
      <c r="BQ520" s="518"/>
      <c r="BR520" s="518"/>
      <c r="BS520" s="89">
        <f t="shared" si="1067"/>
        <v>0</v>
      </c>
      <c r="BT520" s="89"/>
      <c r="BU520" s="89"/>
      <c r="BV520" s="89"/>
      <c r="BW520" s="519"/>
    </row>
    <row r="521" spans="1:75" s="444" customFormat="1">
      <c r="A521" s="18" t="str">
        <f t="shared" si="1072"/>
        <v>CFO before WC</v>
      </c>
      <c r="B521" s="49"/>
      <c r="C521" s="676">
        <f t="shared" ref="C521:AH521" si="1073">SUM(C504:C520)</f>
        <v>-0.48099999999999976</v>
      </c>
      <c r="D521" s="676">
        <f t="shared" si="1073"/>
        <v>-5.3720000000000008</v>
      </c>
      <c r="E521" s="676">
        <f t="shared" si="1073"/>
        <v>-0.98499999999999932</v>
      </c>
      <c r="F521" s="676">
        <f t="shared" si="1073"/>
        <v>4.9649999999999999</v>
      </c>
      <c r="G521" s="560">
        <f t="shared" si="1073"/>
        <v>3.44</v>
      </c>
      <c r="H521" s="560">
        <f t="shared" si="1073"/>
        <v>8.266</v>
      </c>
      <c r="I521" s="560">
        <f t="shared" si="1073"/>
        <v>8.4800000000000022</v>
      </c>
      <c r="J521" s="560">
        <f t="shared" si="1073"/>
        <v>10.987999999999998</v>
      </c>
      <c r="K521" s="676">
        <f t="shared" si="1073"/>
        <v>31.173999999999999</v>
      </c>
      <c r="L521" s="560">
        <f t="shared" si="1073"/>
        <v>11.629</v>
      </c>
      <c r="M521" s="560">
        <f t="shared" si="1073"/>
        <v>17.922000000000004</v>
      </c>
      <c r="N521" s="560">
        <f t="shared" si="1073"/>
        <v>20.152000000000001</v>
      </c>
      <c r="O521" s="560">
        <f t="shared" si="1073"/>
        <v>24.193000000000012</v>
      </c>
      <c r="P521" s="676">
        <f t="shared" si="1073"/>
        <v>73.896000000000015</v>
      </c>
      <c r="Q521" s="560">
        <f t="shared" si="1073"/>
        <v>21.835999999999999</v>
      </c>
      <c r="R521" s="560">
        <f t="shared" si="1073"/>
        <v>21.573</v>
      </c>
      <c r="S521" s="560">
        <f t="shared" si="1073"/>
        <v>19.471999999999998</v>
      </c>
      <c r="T521" s="560">
        <f t="shared" si="1073"/>
        <v>26.610000000000003</v>
      </c>
      <c r="U521" s="676">
        <f t="shared" si="1073"/>
        <v>89.491</v>
      </c>
      <c r="V521" s="560">
        <f t="shared" si="1073"/>
        <v>17.417999999999999</v>
      </c>
      <c r="W521" s="560">
        <f t="shared" si="1073"/>
        <v>32.477000000000004</v>
      </c>
      <c r="X521" s="560">
        <f t="shared" si="1073"/>
        <v>38.933</v>
      </c>
      <c r="Y521" s="560">
        <f t="shared" si="1073"/>
        <v>48.345999999999989</v>
      </c>
      <c r="Z521" s="676">
        <f t="shared" si="1073"/>
        <v>137.17399999999998</v>
      </c>
      <c r="AA521" s="560">
        <f t="shared" si="1073"/>
        <v>36.613</v>
      </c>
      <c r="AB521" s="560">
        <f t="shared" si="1073"/>
        <v>48.836000000000006</v>
      </c>
      <c r="AC521" s="560">
        <f t="shared" si="1073"/>
        <v>48.421000000000006</v>
      </c>
      <c r="AD521" s="560">
        <f t="shared" si="1073"/>
        <v>18.251000000000001</v>
      </c>
      <c r="AE521" s="676">
        <f t="shared" si="1073"/>
        <v>152.12100000000004</v>
      </c>
      <c r="AF521" s="560">
        <f t="shared" si="1073"/>
        <v>42.706000000000003</v>
      </c>
      <c r="AG521" s="560">
        <f t="shared" si="1073"/>
        <v>55.484999999999999</v>
      </c>
      <c r="AH521" s="560">
        <f t="shared" si="1073"/>
        <v>58.687000000000005</v>
      </c>
      <c r="AI521" s="560">
        <f t="shared" ref="AI521:AQ521" si="1074">SUM(AI504:AI520)</f>
        <v>59.569999999999993</v>
      </c>
      <c r="AJ521" s="676">
        <f t="shared" si="1074"/>
        <v>216.44799999999998</v>
      </c>
      <c r="AK521" s="560">
        <f t="shared" si="1074"/>
        <v>56.156999999999996</v>
      </c>
      <c r="AL521" s="560">
        <f t="shared" si="1074"/>
        <v>70.001999999999995</v>
      </c>
      <c r="AM521" s="560">
        <f t="shared" si="1074"/>
        <v>68.48899999999999</v>
      </c>
      <c r="AN521" s="560">
        <f t="shared" si="1074"/>
        <v>75.212999999999994</v>
      </c>
      <c r="AO521" s="676">
        <f t="shared" si="1074"/>
        <v>269.86099999999999</v>
      </c>
      <c r="AP521" s="560">
        <f t="shared" si="1074"/>
        <v>47.178999999999995</v>
      </c>
      <c r="AQ521" s="560">
        <f t="shared" si="1074"/>
        <v>30.097000000000001</v>
      </c>
      <c r="AR521" s="560">
        <f t="shared" ref="AR521:AW521" si="1075">SUM(AR504:AR520)</f>
        <v>65.443000000000012</v>
      </c>
      <c r="AS521" s="560">
        <f t="shared" si="1075"/>
        <v>78.551999999999992</v>
      </c>
      <c r="AT521" s="676">
        <f t="shared" si="1075"/>
        <v>221.27100000000002</v>
      </c>
      <c r="AU521" s="560">
        <f t="shared" si="1075"/>
        <v>58.207999999999998</v>
      </c>
      <c r="AV521" s="560">
        <f t="shared" si="1075"/>
        <v>77.975000000000009</v>
      </c>
      <c r="AW521" s="560">
        <f t="shared" si="1075"/>
        <v>80.76400000000001</v>
      </c>
      <c r="AX521" s="560">
        <f t="shared" ref="AX521:BA521" si="1076">SUM(AX504:AX520)</f>
        <v>74.88</v>
      </c>
      <c r="AY521" s="676">
        <f t="shared" si="1076"/>
        <v>291.82699999999994</v>
      </c>
      <c r="AZ521" s="560">
        <f t="shared" si="1076"/>
        <v>60.863000000000007</v>
      </c>
      <c r="BA521" s="560">
        <f t="shared" si="1076"/>
        <v>64.661999999999992</v>
      </c>
      <c r="BB521" s="560">
        <f t="shared" ref="BB521:BN521" si="1077">SUM(BB504:BB520)</f>
        <v>71.876000000000005</v>
      </c>
      <c r="BC521" s="560">
        <f t="shared" si="1077"/>
        <v>71.41</v>
      </c>
      <c r="BD521" s="676">
        <f t="shared" si="1077"/>
        <v>268.81100000000004</v>
      </c>
      <c r="BE521" s="560">
        <f t="shared" ref="BE521:BM521" si="1078">SUM(BE504:BE520)</f>
        <v>60.573999999999998</v>
      </c>
      <c r="BF521" s="560">
        <f t="shared" si="1078"/>
        <v>67.628</v>
      </c>
      <c r="BG521" s="560">
        <f t="shared" si="1078"/>
        <v>170.56100000000001</v>
      </c>
      <c r="BH521" s="560">
        <f t="shared" si="1078"/>
        <v>109.869</v>
      </c>
      <c r="BI521" s="676">
        <f t="shared" si="1078"/>
        <v>408.63200000000001</v>
      </c>
      <c r="BJ521" s="560">
        <f>SUM(BJ504:BJ520)</f>
        <v>86.635999999999996</v>
      </c>
      <c r="BK521" s="560">
        <f>SUM(BK504:BK520)</f>
        <v>107.82900000000002</v>
      </c>
      <c r="BL521" s="561">
        <f>SUM(BL504:BL520)</f>
        <v>99.268999999999991</v>
      </c>
      <c r="BM521" s="560">
        <f t="shared" si="1078"/>
        <v>102.69710256932332</v>
      </c>
      <c r="BN521" s="676">
        <f t="shared" si="1077"/>
        <v>396.43110256932334</v>
      </c>
      <c r="BO521" s="560">
        <f t="shared" ref="BO521:BV521" si="1079">SUM(BO504:BO520)</f>
        <v>96.395965387656048</v>
      </c>
      <c r="BP521" s="560">
        <f t="shared" si="1079"/>
        <v>119.54374013341501</v>
      </c>
      <c r="BQ521" s="560">
        <f t="shared" si="1079"/>
        <v>113.2306327943372</v>
      </c>
      <c r="BR521" s="560">
        <f t="shared" si="1079"/>
        <v>107.97891672460617</v>
      </c>
      <c r="BS521" s="676">
        <f t="shared" si="1079"/>
        <v>437.1492550400144</v>
      </c>
      <c r="BT521" s="676">
        <f t="shared" si="1079"/>
        <v>435.3939117674671</v>
      </c>
      <c r="BU521" s="676">
        <f t="shared" si="1079"/>
        <v>444.37829941783144</v>
      </c>
      <c r="BV521" s="676">
        <f t="shared" si="1079"/>
        <v>381.52539363089454</v>
      </c>
      <c r="BW521" s="318"/>
    </row>
    <row r="522" spans="1:75" s="439" customFormat="1">
      <c r="A522" s="31" t="str">
        <f t="shared" si="1072"/>
        <v>Accounts receivable</v>
      </c>
      <c r="B522" s="53"/>
      <c r="C522" s="89">
        <f t="shared" ref="C522:G526" si="1080">C453</f>
        <v>-0.84599999999999997</v>
      </c>
      <c r="D522" s="89">
        <f t="shared" si="1080"/>
        <v>-4.7839999999999998</v>
      </c>
      <c r="E522" s="89">
        <f t="shared" si="1080"/>
        <v>-2.274</v>
      </c>
      <c r="F522" s="89">
        <f t="shared" si="1080"/>
        <v>-4.1180000000000003</v>
      </c>
      <c r="G522" s="518">
        <f t="shared" si="1080"/>
        <v>-1.204</v>
      </c>
      <c r="H522" s="518">
        <f t="shared" ref="H522:J526" si="1081">H453-G453</f>
        <v>-3.2</v>
      </c>
      <c r="I522" s="518">
        <f t="shared" si="1081"/>
        <v>-3.1530000000000005</v>
      </c>
      <c r="J522" s="518">
        <f t="shared" si="1081"/>
        <v>-5.2859999999999996</v>
      </c>
      <c r="K522" s="89">
        <f t="shared" ref="K522:L526" si="1082">K453</f>
        <v>-12.843</v>
      </c>
      <c r="L522" s="518">
        <f t="shared" si="1082"/>
        <v>-1.2490000000000001</v>
      </c>
      <c r="M522" s="518">
        <f t="shared" ref="M522:O526" si="1083">M453-L453</f>
        <v>-5.4670000000000005</v>
      </c>
      <c r="N522" s="518">
        <f t="shared" si="1083"/>
        <v>-7.056</v>
      </c>
      <c r="O522" s="518">
        <f t="shared" si="1083"/>
        <v>-7.5190000000000001</v>
      </c>
      <c r="P522" s="89">
        <f t="shared" ref="P522:Q526" si="1084">P453</f>
        <v>-21.291</v>
      </c>
      <c r="Q522" s="518">
        <f t="shared" si="1084"/>
        <v>-2.85</v>
      </c>
      <c r="R522" s="518">
        <f t="shared" ref="R522:T526" si="1085">R453-Q453</f>
        <v>-5.0050000000000008</v>
      </c>
      <c r="S522" s="518">
        <f t="shared" si="1085"/>
        <v>-9.9179999999999993</v>
      </c>
      <c r="T522" s="518">
        <f t="shared" si="1085"/>
        <v>-7.5060000000000002</v>
      </c>
      <c r="U522" s="89">
        <f t="shared" ref="U522:V526" si="1086">U453</f>
        <v>-25.279</v>
      </c>
      <c r="V522" s="518">
        <f t="shared" si="1086"/>
        <v>-5.2350000000000003</v>
      </c>
      <c r="W522" s="518">
        <f t="shared" ref="W522:Y526" si="1087">W453-V453</f>
        <v>-8.0019999999999989</v>
      </c>
      <c r="X522" s="518">
        <f t="shared" si="1087"/>
        <v>-10.930000000000001</v>
      </c>
      <c r="Y522" s="518">
        <f t="shared" si="1087"/>
        <v>-7.4569999999999972</v>
      </c>
      <c r="Z522" s="89">
        <f t="shared" ref="Z522:AA526" si="1088">Z453</f>
        <v>-31.623999999999999</v>
      </c>
      <c r="AA522" s="518">
        <f t="shared" si="1088"/>
        <v>-4.4580000000000002</v>
      </c>
      <c r="AB522" s="518">
        <f t="shared" ref="AB522:AD526" si="1089">AB453-AA453</f>
        <v>-5.2029999999999994</v>
      </c>
      <c r="AC522" s="518">
        <f t="shared" si="1089"/>
        <v>-10.148999999999999</v>
      </c>
      <c r="AD522" s="518">
        <f t="shared" si="1089"/>
        <v>-16.336000000000002</v>
      </c>
      <c r="AE522" s="89">
        <f t="shared" ref="AE522:AF526" si="1090">AE453</f>
        <v>-36.146000000000001</v>
      </c>
      <c r="AF522" s="518">
        <f t="shared" si="1090"/>
        <v>-6.9950000000000001</v>
      </c>
      <c r="AG522" s="518">
        <f t="shared" ref="AG522:AI526" si="1091">AG453-AF453</f>
        <v>-8.213000000000001</v>
      </c>
      <c r="AH522" s="518">
        <f t="shared" si="1091"/>
        <v>-9.7479999999999993</v>
      </c>
      <c r="AI522" s="518">
        <f t="shared" si="1091"/>
        <v>-10.708000000000002</v>
      </c>
      <c r="AJ522" s="89">
        <f t="shared" ref="AJ522:AK526" si="1092">AJ453</f>
        <v>-35.664000000000001</v>
      </c>
      <c r="AK522" s="518">
        <f t="shared" si="1092"/>
        <v>-6.26</v>
      </c>
      <c r="AL522" s="518">
        <f t="shared" ref="AL522:AN526" si="1093">AL453-AK453</f>
        <v>-10.883000000000001</v>
      </c>
      <c r="AM522" s="518">
        <f t="shared" si="1093"/>
        <v>-12.251999999999999</v>
      </c>
      <c r="AN522" s="518">
        <f t="shared" si="1093"/>
        <v>-12.675000000000001</v>
      </c>
      <c r="AO522" s="89">
        <f t="shared" ref="AO522:AP526" si="1094">AO453</f>
        <v>-42.07</v>
      </c>
      <c r="AP522" s="518">
        <f t="shared" si="1094"/>
        <v>5.024</v>
      </c>
      <c r="AQ522" s="518">
        <f t="shared" ref="AQ522:AS526" si="1095">AQ453-AP453</f>
        <v>7.8860000000000001</v>
      </c>
      <c r="AR522" s="518">
        <f t="shared" si="1095"/>
        <v>-17.693000000000001</v>
      </c>
      <c r="AS522" s="518">
        <f t="shared" si="1095"/>
        <v>-9.0500000000000007</v>
      </c>
      <c r="AT522" s="89">
        <f t="shared" ref="AT522:AU526" si="1096">AT453</f>
        <v>-13.833</v>
      </c>
      <c r="AU522" s="518">
        <f t="shared" si="1096"/>
        <v>-3.6389999999999998</v>
      </c>
      <c r="AV522" s="518">
        <f t="shared" ref="AV522:AX526" si="1097">AV453-AU453</f>
        <v>-16.743000000000002</v>
      </c>
      <c r="AW522" s="518">
        <f t="shared" si="1097"/>
        <v>-6.8969999999999985</v>
      </c>
      <c r="AX522" s="518">
        <f t="shared" si="1097"/>
        <v>-6.2559999999999967</v>
      </c>
      <c r="AY522" s="89">
        <f t="shared" ref="AY522:AZ526" si="1098">AY453</f>
        <v>-33.534999999999997</v>
      </c>
      <c r="AZ522" s="518">
        <f t="shared" si="1098"/>
        <v>-11.968</v>
      </c>
      <c r="BA522" s="518">
        <f t="shared" ref="BA522:BC526" si="1099">BA453-AZ453</f>
        <v>-18.045999999999999</v>
      </c>
      <c r="BB522" s="518">
        <f t="shared" si="1099"/>
        <v>-8.1160000000000032</v>
      </c>
      <c r="BC522" s="518">
        <f t="shared" si="1099"/>
        <v>-11.424999999999997</v>
      </c>
      <c r="BD522" s="89">
        <f t="shared" ref="BD522:BE526" si="1100">BD453</f>
        <v>-49.555</v>
      </c>
      <c r="BE522" s="518">
        <f t="shared" si="1100"/>
        <v>-15.282999999999999</v>
      </c>
      <c r="BF522" s="518">
        <f t="shared" ref="BF522:BG526" si="1101">BF453-BE453</f>
        <v>-19.106000000000002</v>
      </c>
      <c r="BG522" s="518">
        <f t="shared" si="1101"/>
        <v>-20.006</v>
      </c>
      <c r="BH522" s="518">
        <f>BH453-BG453</f>
        <v>-0.5519999999999996</v>
      </c>
      <c r="BI522" s="89">
        <f t="shared" ref="BI522:BJ526" si="1102">BI453</f>
        <v>-54.947000000000003</v>
      </c>
      <c r="BJ522" s="518">
        <f t="shared" si="1102"/>
        <v>-13.183</v>
      </c>
      <c r="BK522" s="518">
        <f t="shared" ref="BK522:BL526" si="1103">BK453-BJ453</f>
        <v>-18.495999999999999</v>
      </c>
      <c r="BL522" s="520">
        <f t="shared" si="1103"/>
        <v>-12.416</v>
      </c>
      <c r="BM522" s="518">
        <f>BL608-BM608</f>
        <v>86.078059022502956</v>
      </c>
      <c r="BN522" s="89">
        <f>SUM(BJ522,BK522,BL522,BM522)</f>
        <v>41.983059022502957</v>
      </c>
      <c r="BO522" s="518">
        <f>BN608-BO608</f>
        <v>-85.34572306386282</v>
      </c>
      <c r="BP522" s="518">
        <f>BO608-BP608</f>
        <v>-7.4244103485898734</v>
      </c>
      <c r="BQ522" s="518">
        <f>BP608-BQ608</f>
        <v>85.97080238292007</v>
      </c>
      <c r="BR522" s="518">
        <f>BQ608-BR608</f>
        <v>92.127244214929576</v>
      </c>
      <c r="BS522" s="89">
        <f>SUM(BO522,BP522,BQ522,BR522)</f>
        <v>85.327913185396952</v>
      </c>
      <c r="BT522" s="89">
        <f>BS608-BT608</f>
        <v>0.57192862665967326</v>
      </c>
      <c r="BU522" s="89">
        <f>BT608-BU608</f>
        <v>1.2736105931820134</v>
      </c>
      <c r="BV522" s="89">
        <f>BU608-BV608</f>
        <v>1.6677640377487428</v>
      </c>
      <c r="BW522" s="519"/>
    </row>
    <row r="523" spans="1:75" s="439" customFormat="1">
      <c r="A523" s="31" t="str">
        <f t="shared" si="1072"/>
        <v>Prepaid expenses and other assets</v>
      </c>
      <c r="B523" s="53"/>
      <c r="C523" s="89">
        <f t="shared" si="1080"/>
        <v>-0.40500000000000003</v>
      </c>
      <c r="D523" s="89">
        <f t="shared" si="1080"/>
        <v>-1.121</v>
      </c>
      <c r="E523" s="89">
        <f t="shared" si="1080"/>
        <v>-1.099</v>
      </c>
      <c r="F523" s="89">
        <f t="shared" si="1080"/>
        <v>-2.552</v>
      </c>
      <c r="G523" s="518">
        <f t="shared" si="1080"/>
        <v>-1.5149999999999999</v>
      </c>
      <c r="H523" s="518">
        <f t="shared" si="1081"/>
        <v>-0.80300000000000016</v>
      </c>
      <c r="I523" s="518">
        <f t="shared" si="1081"/>
        <v>-0.70199999999999996</v>
      </c>
      <c r="J523" s="518">
        <f t="shared" si="1081"/>
        <v>1.448</v>
      </c>
      <c r="K523" s="89">
        <f t="shared" si="1082"/>
        <v>-1.5720000000000001</v>
      </c>
      <c r="L523" s="518">
        <f t="shared" si="1082"/>
        <v>-5.9279999999999999</v>
      </c>
      <c r="M523" s="518">
        <f t="shared" si="1083"/>
        <v>-5.200000000000049E-2</v>
      </c>
      <c r="N523" s="518">
        <f t="shared" si="1083"/>
        <v>-1.3579999999999997</v>
      </c>
      <c r="O523" s="518">
        <f t="shared" si="1083"/>
        <v>3.327</v>
      </c>
      <c r="P523" s="89">
        <f t="shared" si="1084"/>
        <v>-4.0110000000000001</v>
      </c>
      <c r="Q523" s="518">
        <f t="shared" si="1084"/>
        <v>-6.0449999999999999</v>
      </c>
      <c r="R523" s="518">
        <f t="shared" si="1085"/>
        <v>-1.0339999999999998</v>
      </c>
      <c r="S523" s="518">
        <f t="shared" si="1085"/>
        <v>-7.9780000000000006</v>
      </c>
      <c r="T523" s="518">
        <f t="shared" si="1085"/>
        <v>-7.645999999999999</v>
      </c>
      <c r="U523" s="89">
        <f t="shared" si="1086"/>
        <v>-22.702999999999999</v>
      </c>
      <c r="V523" s="518">
        <f t="shared" si="1086"/>
        <v>2.8839999999999999</v>
      </c>
      <c r="W523" s="518">
        <f t="shared" si="1087"/>
        <v>0.6080000000000001</v>
      </c>
      <c r="X523" s="518">
        <f t="shared" si="1087"/>
        <v>0.14599999999999991</v>
      </c>
      <c r="Y523" s="518">
        <f t="shared" si="1087"/>
        <v>2.0490000000000004</v>
      </c>
      <c r="Z523" s="89">
        <f t="shared" si="1088"/>
        <v>5.6870000000000003</v>
      </c>
      <c r="AA523" s="518">
        <f t="shared" si="1088"/>
        <v>-1.653</v>
      </c>
      <c r="AB523" s="518">
        <f t="shared" si="1089"/>
        <v>0.23199999999999998</v>
      </c>
      <c r="AC523" s="518">
        <f t="shared" si="1089"/>
        <v>-0.65599999999999992</v>
      </c>
      <c r="AD523" s="518">
        <f t="shared" si="1089"/>
        <v>0.71499999999999986</v>
      </c>
      <c r="AE523" s="89">
        <f t="shared" si="1090"/>
        <v>-1.3620000000000001</v>
      </c>
      <c r="AF523" s="518">
        <f t="shared" si="1090"/>
        <v>-5.0739999999999998</v>
      </c>
      <c r="AG523" s="518">
        <f t="shared" si="1091"/>
        <v>-1.8500000000000005</v>
      </c>
      <c r="AH523" s="518">
        <f t="shared" si="1091"/>
        <v>4.8390000000000004</v>
      </c>
      <c r="AI523" s="518">
        <f t="shared" si="1091"/>
        <v>1.3119999999999998</v>
      </c>
      <c r="AJ523" s="89">
        <f t="shared" si="1092"/>
        <v>-0.77300000000000002</v>
      </c>
      <c r="AK523" s="518">
        <f t="shared" si="1092"/>
        <v>-5.2919999999999998</v>
      </c>
      <c r="AL523" s="518">
        <f t="shared" si="1093"/>
        <v>-4.3000000000000149E-2</v>
      </c>
      <c r="AM523" s="518">
        <f t="shared" si="1093"/>
        <v>3.0230000000000001</v>
      </c>
      <c r="AN523" s="518">
        <f t="shared" si="1093"/>
        <v>0.96299999999999986</v>
      </c>
      <c r="AO523" s="89">
        <f t="shared" si="1094"/>
        <v>-1.349</v>
      </c>
      <c r="AP523" s="518">
        <f t="shared" si="1094"/>
        <v>-4.1180000000000003</v>
      </c>
      <c r="AQ523" s="518">
        <f t="shared" si="1095"/>
        <v>4.7220000000000004</v>
      </c>
      <c r="AR523" s="518">
        <f t="shared" si="1095"/>
        <v>0.94800000000000006</v>
      </c>
      <c r="AS523" s="518">
        <f t="shared" si="1095"/>
        <v>-1.3880000000000001</v>
      </c>
      <c r="AT523" s="89">
        <f t="shared" si="1096"/>
        <v>0.16400000000000001</v>
      </c>
      <c r="AU523" s="518">
        <f t="shared" si="1096"/>
        <v>3.8919999999999999</v>
      </c>
      <c r="AV523" s="518">
        <f t="shared" si="1097"/>
        <v>-3.8039999999999998</v>
      </c>
      <c r="AW523" s="518">
        <f t="shared" si="1097"/>
        <v>-4.3490000000000002</v>
      </c>
      <c r="AX523" s="518">
        <f t="shared" si="1097"/>
        <v>-30.372000000000003</v>
      </c>
      <c r="AY523" s="89">
        <f t="shared" si="1098"/>
        <v>-34.633000000000003</v>
      </c>
      <c r="AZ523" s="518">
        <f t="shared" si="1098"/>
        <v>-7.4939999999999998</v>
      </c>
      <c r="BA523" s="518">
        <f t="shared" si="1099"/>
        <v>-14.655000000000001</v>
      </c>
      <c r="BB523" s="518">
        <f t="shared" si="1099"/>
        <v>-17.771000000000001</v>
      </c>
      <c r="BC523" s="518">
        <f t="shared" si="1099"/>
        <v>3.8880000000000052</v>
      </c>
      <c r="BD523" s="89">
        <f t="shared" si="1100"/>
        <v>-36.031999999999996</v>
      </c>
      <c r="BE523" s="518">
        <f t="shared" si="1100"/>
        <v>20.709</v>
      </c>
      <c r="BF523" s="518">
        <f t="shared" si="1101"/>
        <v>-8.552999999999999</v>
      </c>
      <c r="BG523" s="518">
        <f t="shared" si="1101"/>
        <v>-9.0549999999999997</v>
      </c>
      <c r="BH523" s="518">
        <f>BH454-BG454</f>
        <v>-8.2240000000000002</v>
      </c>
      <c r="BI523" s="89">
        <f t="shared" si="1102"/>
        <v>-5.1230000000000002</v>
      </c>
      <c r="BJ523" s="518">
        <f t="shared" si="1102"/>
        <v>-5.056</v>
      </c>
      <c r="BK523" s="518">
        <f t="shared" si="1103"/>
        <v>-9.8580000000000005</v>
      </c>
      <c r="BL523" s="520">
        <f t="shared" si="1103"/>
        <v>0.6120000000000001</v>
      </c>
      <c r="BM523" s="518"/>
      <c r="BN523" s="89">
        <f>SUM(BJ523,BK523,BL523,BM523)</f>
        <v>-14.302000000000001</v>
      </c>
      <c r="BO523" s="518"/>
      <c r="BP523" s="518"/>
      <c r="BQ523" s="518"/>
      <c r="BR523" s="518"/>
      <c r="BS523" s="89">
        <f>SUM(BO523,BP523,BQ523,BR523)</f>
        <v>0</v>
      </c>
      <c r="BT523" s="89"/>
      <c r="BU523" s="89"/>
      <c r="BV523" s="89"/>
      <c r="BW523" s="519"/>
    </row>
    <row r="524" spans="1:75" s="439" customFormat="1">
      <c r="A524" s="31" t="str">
        <f t="shared" si="1072"/>
        <v>Accounts payable, accrued expenses and other liabilities</v>
      </c>
      <c r="B524" s="53"/>
      <c r="C524" s="89">
        <f t="shared" si="1080"/>
        <v>0.61499999999999999</v>
      </c>
      <c r="D524" s="89">
        <f t="shared" si="1080"/>
        <v>2.9239999999999999</v>
      </c>
      <c r="E524" s="89">
        <f t="shared" si="1080"/>
        <v>3.9750000000000001</v>
      </c>
      <c r="F524" s="89">
        <f t="shared" si="1080"/>
        <v>2.0489999999999999</v>
      </c>
      <c r="G524" s="518">
        <f t="shared" si="1080"/>
        <v>-1.1759999999999999</v>
      </c>
      <c r="H524" s="518">
        <f t="shared" si="1081"/>
        <v>1.391</v>
      </c>
      <c r="I524" s="518">
        <f t="shared" si="1081"/>
        <v>2.964</v>
      </c>
      <c r="J524" s="518">
        <f t="shared" si="1081"/>
        <v>1.7920000000000003</v>
      </c>
      <c r="K524" s="89">
        <f t="shared" si="1082"/>
        <v>4.9710000000000001</v>
      </c>
      <c r="L524" s="518">
        <f t="shared" si="1082"/>
        <v>5.3090000000000002</v>
      </c>
      <c r="M524" s="518">
        <f t="shared" si="1083"/>
        <v>-1.742</v>
      </c>
      <c r="N524" s="518">
        <f t="shared" si="1083"/>
        <v>7.331999999999999</v>
      </c>
      <c r="O524" s="518">
        <f t="shared" si="1083"/>
        <v>-1.9719999999999995</v>
      </c>
      <c r="P524" s="89">
        <f t="shared" si="1084"/>
        <v>8.9269999999999996</v>
      </c>
      <c r="Q524" s="518">
        <f t="shared" si="1084"/>
        <v>12.010999999999999</v>
      </c>
      <c r="R524" s="518">
        <f t="shared" si="1085"/>
        <v>3.6050000000000004</v>
      </c>
      <c r="S524" s="518">
        <f t="shared" si="1085"/>
        <v>8.2880000000000003</v>
      </c>
      <c r="T524" s="518">
        <f t="shared" si="1085"/>
        <v>-8.01</v>
      </c>
      <c r="U524" s="89">
        <f t="shared" si="1086"/>
        <v>15.894</v>
      </c>
      <c r="V524" s="518">
        <f t="shared" si="1086"/>
        <v>8.7690000000000001</v>
      </c>
      <c r="W524" s="518">
        <f t="shared" si="1087"/>
        <v>-2.8140000000000001</v>
      </c>
      <c r="X524" s="518">
        <f t="shared" si="1087"/>
        <v>7.2379999999999995</v>
      </c>
      <c r="Y524" s="518">
        <f t="shared" si="1087"/>
        <v>2.0850000000000009</v>
      </c>
      <c r="Z524" s="89">
        <f t="shared" si="1088"/>
        <v>15.278</v>
      </c>
      <c r="AA524" s="518">
        <f t="shared" si="1088"/>
        <v>10.459</v>
      </c>
      <c r="AB524" s="518">
        <f t="shared" si="1089"/>
        <v>-8.9870000000000001</v>
      </c>
      <c r="AC524" s="518">
        <f t="shared" si="1089"/>
        <v>14.156000000000001</v>
      </c>
      <c r="AD524" s="518">
        <f t="shared" si="1089"/>
        <v>37.405999999999999</v>
      </c>
      <c r="AE524" s="89">
        <f t="shared" si="1090"/>
        <v>53.033999999999999</v>
      </c>
      <c r="AF524" s="518">
        <f t="shared" si="1090"/>
        <v>7.6520000000000001</v>
      </c>
      <c r="AG524" s="518">
        <f t="shared" si="1091"/>
        <v>-22.977</v>
      </c>
      <c r="AH524" s="518">
        <f t="shared" si="1091"/>
        <v>1.677999999999999</v>
      </c>
      <c r="AI524" s="518">
        <f t="shared" si="1091"/>
        <v>-6.1770000000000014</v>
      </c>
      <c r="AJ524" s="89">
        <f t="shared" si="1092"/>
        <v>-19.824000000000002</v>
      </c>
      <c r="AK524" s="518">
        <f t="shared" si="1092"/>
        <v>6.3719999999999999</v>
      </c>
      <c r="AL524" s="518">
        <f t="shared" si="1093"/>
        <v>8.0920000000000005</v>
      </c>
      <c r="AM524" s="518">
        <f t="shared" si="1093"/>
        <v>2.8650000000000002</v>
      </c>
      <c r="AN524" s="518">
        <f t="shared" si="1093"/>
        <v>2.8189999999999991</v>
      </c>
      <c r="AO524" s="89">
        <f t="shared" si="1094"/>
        <v>20.148</v>
      </c>
      <c r="AP524" s="518">
        <f t="shared" si="1094"/>
        <v>-6.6630000000000003</v>
      </c>
      <c r="AQ524" s="518">
        <f t="shared" si="1095"/>
        <v>-4.3580000000000005</v>
      </c>
      <c r="AR524" s="518">
        <f t="shared" si="1095"/>
        <v>34.201999999999998</v>
      </c>
      <c r="AS524" s="518">
        <f t="shared" si="1095"/>
        <v>-7.7990000000000013</v>
      </c>
      <c r="AT524" s="89">
        <f t="shared" si="1096"/>
        <v>15.382</v>
      </c>
      <c r="AU524" s="518">
        <f t="shared" si="1096"/>
        <v>-6.8710000000000004</v>
      </c>
      <c r="AV524" s="518">
        <f t="shared" si="1097"/>
        <v>22.578000000000003</v>
      </c>
      <c r="AW524" s="518">
        <f t="shared" si="1097"/>
        <v>-0.48800000000000132</v>
      </c>
      <c r="AX524" s="518">
        <f t="shared" si="1097"/>
        <v>14.785000000000002</v>
      </c>
      <c r="AY524" s="89">
        <f t="shared" si="1098"/>
        <v>30.004000000000001</v>
      </c>
      <c r="AZ524" s="518">
        <f t="shared" si="1098"/>
        <v>-9.4920000000000009</v>
      </c>
      <c r="BA524" s="518">
        <f t="shared" si="1099"/>
        <v>34.174999999999997</v>
      </c>
      <c r="BB524" s="518">
        <f t="shared" si="1099"/>
        <v>33.729999999999997</v>
      </c>
      <c r="BC524" s="518">
        <f t="shared" si="1099"/>
        <v>-9.2709999999999937</v>
      </c>
      <c r="BD524" s="89">
        <f t="shared" si="1100"/>
        <v>49.142000000000003</v>
      </c>
      <c r="BE524" s="518">
        <f t="shared" si="1100"/>
        <v>18.640999999999998</v>
      </c>
      <c r="BF524" s="518">
        <f t="shared" si="1101"/>
        <v>18.584000000000003</v>
      </c>
      <c r="BG524" s="518">
        <f t="shared" si="1101"/>
        <v>-27.329000000000001</v>
      </c>
      <c r="BH524" s="518">
        <f>BH455-BG455</f>
        <v>-12.444000000000001</v>
      </c>
      <c r="BI524" s="89">
        <f t="shared" si="1102"/>
        <v>-2.548</v>
      </c>
      <c r="BJ524" s="518">
        <f t="shared" si="1102"/>
        <v>14.170999999999999</v>
      </c>
      <c r="BK524" s="518">
        <f t="shared" si="1103"/>
        <v>-30.064999999999998</v>
      </c>
      <c r="BL524" s="520">
        <f t="shared" si="1103"/>
        <v>24.731999999999999</v>
      </c>
      <c r="BM524" s="518">
        <f>BM627-BL627</f>
        <v>88.400297338901396</v>
      </c>
      <c r="BN524" s="89">
        <f>SUM(BJ524,BK524,BL524,BM524)</f>
        <v>97.23829733890139</v>
      </c>
      <c r="BO524" s="518">
        <f t="shared" ref="BO524:BR525" si="1104">BO627-BN627</f>
        <v>-71.614282834064596</v>
      </c>
      <c r="BP524" s="518">
        <f t="shared" si="1104"/>
        <v>-27.682448404392545</v>
      </c>
      <c r="BQ524" s="518">
        <f t="shared" si="1104"/>
        <v>107.46916941486197</v>
      </c>
      <c r="BR524" s="518">
        <f t="shared" si="1104"/>
        <v>102.42906600602237</v>
      </c>
      <c r="BS524" s="89">
        <f>SUM(BO524,BP524,BQ524,BR524)</f>
        <v>110.60150418242719</v>
      </c>
      <c r="BT524" s="89">
        <f t="shared" ref="BT524:BV525" si="1105">BT627-BS627</f>
        <v>11.728433040403274</v>
      </c>
      <c r="BU524" s="89">
        <f t="shared" si="1105"/>
        <v>26.117693476763407</v>
      </c>
      <c r="BV524" s="89">
        <f t="shared" si="1105"/>
        <v>34.200524212557184</v>
      </c>
      <c r="BW524" s="519"/>
    </row>
    <row r="525" spans="1:75" s="439" customFormat="1">
      <c r="A525" s="31" t="str">
        <f t="shared" si="1072"/>
        <v>Operating lease liabilities</v>
      </c>
      <c r="B525" s="53"/>
      <c r="C525" s="89">
        <f t="shared" si="1080"/>
        <v>0</v>
      </c>
      <c r="D525" s="89">
        <f t="shared" si="1080"/>
        <v>0</v>
      </c>
      <c r="E525" s="89">
        <f t="shared" si="1080"/>
        <v>0</v>
      </c>
      <c r="F525" s="89">
        <f t="shared" si="1080"/>
        <v>0</v>
      </c>
      <c r="G525" s="518">
        <f t="shared" si="1080"/>
        <v>0</v>
      </c>
      <c r="H525" s="518">
        <f t="shared" si="1081"/>
        <v>0</v>
      </c>
      <c r="I525" s="518">
        <f t="shared" si="1081"/>
        <v>0</v>
      </c>
      <c r="J525" s="518">
        <f t="shared" si="1081"/>
        <v>0</v>
      </c>
      <c r="K525" s="89">
        <f t="shared" si="1082"/>
        <v>0</v>
      </c>
      <c r="L525" s="518">
        <f t="shared" si="1082"/>
        <v>0</v>
      </c>
      <c r="M525" s="518">
        <f t="shared" si="1083"/>
        <v>0</v>
      </c>
      <c r="N525" s="518">
        <f t="shared" si="1083"/>
        <v>0</v>
      </c>
      <c r="O525" s="518">
        <f t="shared" si="1083"/>
        <v>0</v>
      </c>
      <c r="P525" s="89">
        <f t="shared" si="1084"/>
        <v>0</v>
      </c>
      <c r="Q525" s="518">
        <f t="shared" si="1084"/>
        <v>0</v>
      </c>
      <c r="R525" s="518">
        <f t="shared" si="1085"/>
        <v>0</v>
      </c>
      <c r="S525" s="518">
        <f t="shared" si="1085"/>
        <v>0</v>
      </c>
      <c r="T525" s="518">
        <f t="shared" si="1085"/>
        <v>0</v>
      </c>
      <c r="U525" s="89">
        <f t="shared" si="1086"/>
        <v>0</v>
      </c>
      <c r="V525" s="518">
        <f t="shared" si="1086"/>
        <v>0</v>
      </c>
      <c r="W525" s="518">
        <f t="shared" si="1087"/>
        <v>0</v>
      </c>
      <c r="X525" s="518">
        <f t="shared" si="1087"/>
        <v>0</v>
      </c>
      <c r="Y525" s="518">
        <f t="shared" si="1087"/>
        <v>0</v>
      </c>
      <c r="Z525" s="89">
        <f t="shared" si="1088"/>
        <v>0</v>
      </c>
      <c r="AA525" s="518">
        <f t="shared" si="1088"/>
        <v>0</v>
      </c>
      <c r="AB525" s="518">
        <f t="shared" si="1089"/>
        <v>0</v>
      </c>
      <c r="AC525" s="518">
        <f t="shared" si="1089"/>
        <v>0</v>
      </c>
      <c r="AD525" s="518">
        <f t="shared" si="1089"/>
        <v>0</v>
      </c>
      <c r="AE525" s="89">
        <f t="shared" si="1090"/>
        <v>0</v>
      </c>
      <c r="AF525" s="518">
        <f t="shared" si="1090"/>
        <v>0</v>
      </c>
      <c r="AG525" s="518">
        <f t="shared" si="1091"/>
        <v>0</v>
      </c>
      <c r="AH525" s="518">
        <f t="shared" si="1091"/>
        <v>0</v>
      </c>
      <c r="AI525" s="518">
        <f t="shared" si="1091"/>
        <v>0</v>
      </c>
      <c r="AJ525" s="89">
        <f t="shared" si="1092"/>
        <v>0</v>
      </c>
      <c r="AK525" s="518">
        <f t="shared" si="1092"/>
        <v>-9.9480000000000004</v>
      </c>
      <c r="AL525" s="518">
        <f t="shared" si="1093"/>
        <v>-10.350999999999999</v>
      </c>
      <c r="AM525" s="518">
        <f t="shared" si="1093"/>
        <v>-10.702999999999999</v>
      </c>
      <c r="AN525" s="518">
        <f t="shared" si="1093"/>
        <v>-10.806000000000001</v>
      </c>
      <c r="AO525" s="89">
        <f t="shared" si="1094"/>
        <v>-41.808</v>
      </c>
      <c r="AP525" s="518">
        <f t="shared" si="1094"/>
        <v>-0.63600000000000001</v>
      </c>
      <c r="AQ525" s="518">
        <f t="shared" si="1095"/>
        <v>-21.884</v>
      </c>
      <c r="AR525" s="518">
        <f t="shared" si="1095"/>
        <v>-11.763999999999999</v>
      </c>
      <c r="AS525" s="518">
        <f t="shared" si="1095"/>
        <v>-11.999000000000002</v>
      </c>
      <c r="AT525" s="89">
        <f t="shared" si="1096"/>
        <v>-46.283000000000001</v>
      </c>
      <c r="AU525" s="518">
        <f t="shared" si="1096"/>
        <v>7.3410000000000002</v>
      </c>
      <c r="AV525" s="518">
        <f t="shared" si="1097"/>
        <v>-29.830000000000002</v>
      </c>
      <c r="AW525" s="518">
        <f t="shared" si="1097"/>
        <v>-10.401999999999997</v>
      </c>
      <c r="AX525" s="518">
        <f t="shared" si="1097"/>
        <v>-8.1170000000000044</v>
      </c>
      <c r="AY525" s="89">
        <f t="shared" si="1098"/>
        <v>-41.008000000000003</v>
      </c>
      <c r="AZ525" s="518">
        <f t="shared" si="1098"/>
        <v>27.994</v>
      </c>
      <c r="BA525" s="518">
        <f t="shared" si="1099"/>
        <v>-47.807000000000002</v>
      </c>
      <c r="BB525" s="518">
        <f t="shared" si="1099"/>
        <v>-10.115000000000002</v>
      </c>
      <c r="BC525" s="518">
        <f t="shared" si="1099"/>
        <v>-10.129000000000001</v>
      </c>
      <c r="BD525" s="89">
        <f t="shared" si="1100"/>
        <v>-40.057000000000002</v>
      </c>
      <c r="BE525" s="518">
        <f t="shared" si="1100"/>
        <v>-10.397</v>
      </c>
      <c r="BF525" s="518">
        <f t="shared" si="1101"/>
        <v>-10.546000000000001</v>
      </c>
      <c r="BG525" s="518">
        <f t="shared" si="1101"/>
        <v>-9.3119999999999976</v>
      </c>
      <c r="BH525" s="518">
        <f>BH456-BG456</f>
        <v>-9.4790000000000028</v>
      </c>
      <c r="BI525" s="89">
        <f t="shared" si="1102"/>
        <v>-39.734000000000002</v>
      </c>
      <c r="BJ525" s="518">
        <f t="shared" si="1102"/>
        <v>-9.7129999999999992</v>
      </c>
      <c r="BK525" s="518">
        <f t="shared" si="1103"/>
        <v>-9.7210000000000019</v>
      </c>
      <c r="BL525" s="520">
        <f t="shared" si="1103"/>
        <v>-9.8989999999999974</v>
      </c>
      <c r="BM525" s="518">
        <f>BM628-BL628</f>
        <v>0</v>
      </c>
      <c r="BN525" s="89">
        <f>SUM(BJ525,BK525,BL525,BM525)</f>
        <v>-29.332999999999998</v>
      </c>
      <c r="BO525" s="518">
        <f t="shared" si="1104"/>
        <v>0</v>
      </c>
      <c r="BP525" s="518">
        <f t="shared" si="1104"/>
        <v>0</v>
      </c>
      <c r="BQ525" s="518">
        <f t="shared" si="1104"/>
        <v>0</v>
      </c>
      <c r="BR525" s="518">
        <f t="shared" si="1104"/>
        <v>0</v>
      </c>
      <c r="BS525" s="89">
        <f>SUM(BO525,BP525,BQ525,BR525)</f>
        <v>0</v>
      </c>
      <c r="BT525" s="89">
        <f t="shared" si="1105"/>
        <v>0</v>
      </c>
      <c r="BU525" s="89">
        <f t="shared" si="1105"/>
        <v>0</v>
      </c>
      <c r="BV525" s="89">
        <f t="shared" si="1105"/>
        <v>0</v>
      </c>
      <c r="BW525" s="519"/>
    </row>
    <row r="526" spans="1:75" s="439" customFormat="1">
      <c r="A526" s="31" t="str">
        <f t="shared" si="1072"/>
        <v>Deferred revenue</v>
      </c>
      <c r="B526" s="53"/>
      <c r="C526" s="89">
        <f t="shared" si="1080"/>
        <v>0.48399999999999999</v>
      </c>
      <c r="D526" s="89">
        <f t="shared" si="1080"/>
        <v>0.54200000000000004</v>
      </c>
      <c r="E526" s="89">
        <f t="shared" si="1080"/>
        <v>0.63300000000000001</v>
      </c>
      <c r="F526" s="89">
        <f t="shared" si="1080"/>
        <v>-0.443</v>
      </c>
      <c r="G526" s="518">
        <f t="shared" si="1080"/>
        <v>0.28100000000000003</v>
      </c>
      <c r="H526" s="518">
        <f t="shared" si="1081"/>
        <v>-0.36600000000000005</v>
      </c>
      <c r="I526" s="518">
        <f t="shared" si="1081"/>
        <v>-0.59500000000000008</v>
      </c>
      <c r="J526" s="518">
        <f t="shared" si="1081"/>
        <v>0.38200000000000006</v>
      </c>
      <c r="K526" s="89">
        <f t="shared" si="1082"/>
        <v>-0.29799999999999999</v>
      </c>
      <c r="L526" s="518">
        <f t="shared" si="1082"/>
        <v>-0.438</v>
      </c>
      <c r="M526" s="518">
        <f t="shared" si="1083"/>
        <v>5.0000000000000044E-3</v>
      </c>
      <c r="N526" s="518">
        <f t="shared" si="1083"/>
        <v>-2.0000000000000018E-2</v>
      </c>
      <c r="O526" s="518">
        <f t="shared" si="1083"/>
        <v>0.86399999999999999</v>
      </c>
      <c r="P526" s="89">
        <f t="shared" si="1084"/>
        <v>0.41099999999999998</v>
      </c>
      <c r="Q526" s="518">
        <f t="shared" si="1084"/>
        <v>0.68300000000000005</v>
      </c>
      <c r="R526" s="518">
        <f t="shared" si="1085"/>
        <v>-1.109</v>
      </c>
      <c r="S526" s="518">
        <f t="shared" si="1085"/>
        <v>-2.0000000000000018E-3</v>
      </c>
      <c r="T526" s="518">
        <f t="shared" si="1085"/>
        <v>0.38700000000000001</v>
      </c>
      <c r="U526" s="89">
        <f t="shared" si="1086"/>
        <v>-4.1000000000000002E-2</v>
      </c>
      <c r="V526" s="518">
        <f t="shared" si="1086"/>
        <v>4.2999999999999997E-2</v>
      </c>
      <c r="W526" s="518">
        <f t="shared" si="1087"/>
        <v>0.36200000000000004</v>
      </c>
      <c r="X526" s="518">
        <f t="shared" si="1087"/>
        <v>-0.11000000000000004</v>
      </c>
      <c r="Y526" s="518">
        <f t="shared" si="1087"/>
        <v>9.0000000000000024E-2</v>
      </c>
      <c r="Z526" s="89">
        <f t="shared" si="1088"/>
        <v>0.38500000000000001</v>
      </c>
      <c r="AA526" s="518">
        <f t="shared" si="1088"/>
        <v>0.27400000000000002</v>
      </c>
      <c r="AB526" s="518">
        <f t="shared" si="1089"/>
        <v>0.20999999999999996</v>
      </c>
      <c r="AC526" s="518">
        <f t="shared" si="1089"/>
        <v>-0.13400000000000001</v>
      </c>
      <c r="AD526" s="518">
        <f t="shared" si="1089"/>
        <v>-0.35</v>
      </c>
      <c r="AE526" s="89">
        <f t="shared" si="1090"/>
        <v>0</v>
      </c>
      <c r="AF526" s="518">
        <f t="shared" si="1090"/>
        <v>7.0000000000000001E-3</v>
      </c>
      <c r="AG526" s="518">
        <f t="shared" si="1091"/>
        <v>0.19600000000000001</v>
      </c>
      <c r="AH526" s="518">
        <f t="shared" si="1091"/>
        <v>-0.27800000000000002</v>
      </c>
      <c r="AI526" s="518">
        <f t="shared" si="1091"/>
        <v>7.4999999999999997E-2</v>
      </c>
      <c r="AJ526" s="89">
        <f t="shared" si="1092"/>
        <v>0</v>
      </c>
      <c r="AK526" s="518">
        <f t="shared" si="1092"/>
        <v>0</v>
      </c>
      <c r="AL526" s="518">
        <f t="shared" si="1093"/>
        <v>0</v>
      </c>
      <c r="AM526" s="518">
        <f t="shared" si="1093"/>
        <v>0</v>
      </c>
      <c r="AN526" s="518">
        <f t="shared" si="1093"/>
        <v>0</v>
      </c>
      <c r="AO526" s="89">
        <f t="shared" si="1094"/>
        <v>0</v>
      </c>
      <c r="AP526" s="518">
        <f t="shared" si="1094"/>
        <v>0</v>
      </c>
      <c r="AQ526" s="518">
        <f t="shared" si="1095"/>
        <v>0</v>
      </c>
      <c r="AR526" s="518">
        <f t="shared" si="1095"/>
        <v>0</v>
      </c>
      <c r="AS526" s="518">
        <f t="shared" si="1095"/>
        <v>0</v>
      </c>
      <c r="AT526" s="89">
        <f t="shared" si="1096"/>
        <v>0</v>
      </c>
      <c r="AU526" s="518">
        <f t="shared" si="1096"/>
        <v>0</v>
      </c>
      <c r="AV526" s="518">
        <f t="shared" si="1097"/>
        <v>0</v>
      </c>
      <c r="AW526" s="518">
        <f t="shared" si="1097"/>
        <v>0</v>
      </c>
      <c r="AX526" s="518">
        <f t="shared" si="1097"/>
        <v>0</v>
      </c>
      <c r="AY526" s="89">
        <f t="shared" si="1098"/>
        <v>0</v>
      </c>
      <c r="AZ526" s="518">
        <f t="shared" si="1098"/>
        <v>0</v>
      </c>
      <c r="BA526" s="518">
        <f t="shared" si="1099"/>
        <v>0</v>
      </c>
      <c r="BB526" s="518">
        <f t="shared" si="1099"/>
        <v>0</v>
      </c>
      <c r="BC526" s="518">
        <f t="shared" si="1099"/>
        <v>0</v>
      </c>
      <c r="BD526" s="89">
        <f t="shared" si="1100"/>
        <v>0</v>
      </c>
      <c r="BE526" s="518">
        <f t="shared" si="1100"/>
        <v>0</v>
      </c>
      <c r="BF526" s="518">
        <f t="shared" si="1101"/>
        <v>0</v>
      </c>
      <c r="BG526" s="518">
        <f t="shared" si="1101"/>
        <v>0</v>
      </c>
      <c r="BH526" s="518">
        <f>BH457-BG457</f>
        <v>0</v>
      </c>
      <c r="BI526" s="89">
        <f t="shared" si="1102"/>
        <v>0</v>
      </c>
      <c r="BJ526" s="518">
        <f t="shared" si="1102"/>
        <v>0</v>
      </c>
      <c r="BK526" s="518">
        <f t="shared" si="1103"/>
        <v>0</v>
      </c>
      <c r="BL526" s="520">
        <f t="shared" si="1103"/>
        <v>0</v>
      </c>
      <c r="BM526" s="518"/>
      <c r="BN526" s="89">
        <f>SUM(BJ526,BK526,BL526,BM526)</f>
        <v>0</v>
      </c>
      <c r="BO526" s="518"/>
      <c r="BP526" s="518"/>
      <c r="BQ526" s="518"/>
      <c r="BR526" s="518"/>
      <c r="BS526" s="89">
        <f>SUM(BO526,BP526,BQ526,BR526)</f>
        <v>0</v>
      </c>
      <c r="BT526" s="89"/>
      <c r="BU526" s="89"/>
      <c r="BV526" s="89"/>
      <c r="BW526" s="519"/>
    </row>
    <row r="527" spans="1:75" s="444" customFormat="1">
      <c r="A527" s="18" t="str">
        <f t="shared" si="1072"/>
        <v>Net CFO</v>
      </c>
      <c r="B527" s="49"/>
      <c r="C527" s="676">
        <f t="shared" ref="C527:AH527" si="1106">SUM(C521:C526)</f>
        <v>-0.63299999999999979</v>
      </c>
      <c r="D527" s="676">
        <f t="shared" si="1106"/>
        <v>-7.8110000000000017</v>
      </c>
      <c r="E527" s="676">
        <f t="shared" si="1106"/>
        <v>0.25000000000000044</v>
      </c>
      <c r="F527" s="676">
        <f t="shared" si="1106"/>
        <v>-9.9000000000000588E-2</v>
      </c>
      <c r="G527" s="560">
        <f t="shared" si="1106"/>
        <v>-0.17400000000000004</v>
      </c>
      <c r="H527" s="560">
        <f t="shared" si="1106"/>
        <v>5.2880000000000003</v>
      </c>
      <c r="I527" s="560">
        <f t="shared" si="1106"/>
        <v>6.9940000000000024</v>
      </c>
      <c r="J527" s="560">
        <f t="shared" si="1106"/>
        <v>9.3239999999999981</v>
      </c>
      <c r="K527" s="676">
        <f t="shared" si="1106"/>
        <v>21.432000000000002</v>
      </c>
      <c r="L527" s="560">
        <f t="shared" si="1106"/>
        <v>9.3229999999999986</v>
      </c>
      <c r="M527" s="560">
        <f t="shared" si="1106"/>
        <v>10.666000000000002</v>
      </c>
      <c r="N527" s="560">
        <f t="shared" si="1106"/>
        <v>19.05</v>
      </c>
      <c r="O527" s="560">
        <f t="shared" si="1106"/>
        <v>18.893000000000011</v>
      </c>
      <c r="P527" s="676">
        <f t="shared" si="1106"/>
        <v>57.932000000000016</v>
      </c>
      <c r="Q527" s="560">
        <f t="shared" si="1106"/>
        <v>25.634999999999998</v>
      </c>
      <c r="R527" s="560">
        <f t="shared" si="1106"/>
        <v>18.03</v>
      </c>
      <c r="S527" s="560">
        <f t="shared" si="1106"/>
        <v>9.8619999999999965</v>
      </c>
      <c r="T527" s="560">
        <f t="shared" si="1106"/>
        <v>3.835000000000004</v>
      </c>
      <c r="U527" s="676">
        <f t="shared" si="1106"/>
        <v>57.362000000000002</v>
      </c>
      <c r="V527" s="560">
        <f t="shared" si="1106"/>
        <v>23.878999999999998</v>
      </c>
      <c r="W527" s="560">
        <f t="shared" si="1106"/>
        <v>22.631000000000004</v>
      </c>
      <c r="X527" s="560">
        <f t="shared" si="1106"/>
        <v>35.277000000000001</v>
      </c>
      <c r="Y527" s="560">
        <f t="shared" si="1106"/>
        <v>45.113</v>
      </c>
      <c r="Z527" s="676">
        <f t="shared" si="1106"/>
        <v>126.89999999999999</v>
      </c>
      <c r="AA527" s="560">
        <f t="shared" si="1106"/>
        <v>41.234999999999999</v>
      </c>
      <c r="AB527" s="560">
        <f t="shared" si="1106"/>
        <v>35.088000000000008</v>
      </c>
      <c r="AC527" s="560">
        <f t="shared" si="1106"/>
        <v>51.638000000000005</v>
      </c>
      <c r="AD527" s="560">
        <f t="shared" si="1106"/>
        <v>39.686</v>
      </c>
      <c r="AE527" s="676">
        <f t="shared" si="1106"/>
        <v>167.64700000000005</v>
      </c>
      <c r="AF527" s="560">
        <f t="shared" si="1106"/>
        <v>38.296000000000006</v>
      </c>
      <c r="AG527" s="560">
        <f t="shared" si="1106"/>
        <v>22.640999999999998</v>
      </c>
      <c r="AH527" s="560">
        <f t="shared" si="1106"/>
        <v>55.178000000000004</v>
      </c>
      <c r="AI527" s="560">
        <f t="shared" ref="AI527:AQ527" si="1107">SUM(AI521:AI526)</f>
        <v>44.071999999999996</v>
      </c>
      <c r="AJ527" s="676">
        <f t="shared" si="1107"/>
        <v>160.18699999999998</v>
      </c>
      <c r="AK527" s="560">
        <f t="shared" si="1107"/>
        <v>41.028999999999996</v>
      </c>
      <c r="AL527" s="560">
        <f t="shared" si="1107"/>
        <v>56.816999999999993</v>
      </c>
      <c r="AM527" s="560">
        <f t="shared" si="1107"/>
        <v>51.421999999999997</v>
      </c>
      <c r="AN527" s="560">
        <f t="shared" si="1107"/>
        <v>55.513999999999996</v>
      </c>
      <c r="AO527" s="676">
        <f t="shared" si="1107"/>
        <v>204.78200000000001</v>
      </c>
      <c r="AP527" s="560">
        <f t="shared" si="1107"/>
        <v>40.785999999999994</v>
      </c>
      <c r="AQ527" s="560">
        <f t="shared" si="1107"/>
        <v>16.463000000000008</v>
      </c>
      <c r="AR527" s="560">
        <f t="shared" ref="AR527:AW527" si="1108">SUM(AR521:AR526)</f>
        <v>71.13600000000001</v>
      </c>
      <c r="AS527" s="560">
        <f t="shared" si="1108"/>
        <v>48.315999999999988</v>
      </c>
      <c r="AT527" s="676">
        <f t="shared" si="1108"/>
        <v>176.70100000000002</v>
      </c>
      <c r="AU527" s="560">
        <f t="shared" si="1108"/>
        <v>58.930999999999997</v>
      </c>
      <c r="AV527" s="560">
        <f t="shared" si="1108"/>
        <v>50.176000000000002</v>
      </c>
      <c r="AW527" s="560">
        <f t="shared" si="1108"/>
        <v>58.628000000000014</v>
      </c>
      <c r="AX527" s="560">
        <f t="shared" ref="AX527:BA527" si="1109">SUM(AX521:AX526)</f>
        <v>44.919999999999995</v>
      </c>
      <c r="AY527" s="676">
        <f t="shared" si="1109"/>
        <v>212.65499999999989</v>
      </c>
      <c r="AZ527" s="560">
        <f t="shared" si="1109"/>
        <v>59.903000000000006</v>
      </c>
      <c r="BA527" s="560">
        <f t="shared" si="1109"/>
        <v>18.328999999999994</v>
      </c>
      <c r="BB527" s="560">
        <f t="shared" ref="BB527:BN527" si="1110">SUM(BB521:BB526)</f>
        <v>69.603999999999985</v>
      </c>
      <c r="BC527" s="560">
        <f t="shared" si="1110"/>
        <v>44.473000000000013</v>
      </c>
      <c r="BD527" s="676">
        <f t="shared" si="1110"/>
        <v>192.30900000000003</v>
      </c>
      <c r="BE527" s="560">
        <f t="shared" ref="BE527:BM527" si="1111">SUM(BE521:BE526)</f>
        <v>74.243999999999986</v>
      </c>
      <c r="BF527" s="560">
        <f t="shared" si="1111"/>
        <v>48.007000000000005</v>
      </c>
      <c r="BG527" s="560">
        <f t="shared" si="1111"/>
        <v>104.85899999999999</v>
      </c>
      <c r="BH527" s="560">
        <f t="shared" si="1111"/>
        <v>79.17</v>
      </c>
      <c r="BI527" s="676">
        <f t="shared" si="1111"/>
        <v>306.28000000000003</v>
      </c>
      <c r="BJ527" s="560">
        <f>SUM(BJ521:BJ526)</f>
        <v>72.855000000000018</v>
      </c>
      <c r="BK527" s="560">
        <f>SUM(BK521:BK526)</f>
        <v>39.689000000000021</v>
      </c>
      <c r="BL527" s="561">
        <f>SUM(BL521:BL526)</f>
        <v>102.29799999999999</v>
      </c>
      <c r="BM527" s="560">
        <f t="shared" si="1111"/>
        <v>277.1754589307277</v>
      </c>
      <c r="BN527" s="676">
        <f t="shared" si="1110"/>
        <v>492.01745893072768</v>
      </c>
      <c r="BO527" s="560">
        <f t="shared" ref="BO527:BV527" si="1112">SUM(BO521:BO526)</f>
        <v>-60.564040510271369</v>
      </c>
      <c r="BP527" s="560">
        <f t="shared" si="1112"/>
        <v>84.436881380432595</v>
      </c>
      <c r="BQ527" s="560">
        <f t="shared" si="1112"/>
        <v>306.67060459211928</v>
      </c>
      <c r="BR527" s="560">
        <f t="shared" si="1112"/>
        <v>302.53522694555812</v>
      </c>
      <c r="BS527" s="676">
        <f t="shared" si="1112"/>
        <v>633.07867240783855</v>
      </c>
      <c r="BT527" s="676">
        <f t="shared" si="1112"/>
        <v>447.69427343453003</v>
      </c>
      <c r="BU527" s="676">
        <f t="shared" si="1112"/>
        <v>471.76960348777686</v>
      </c>
      <c r="BV527" s="676">
        <f t="shared" si="1112"/>
        <v>417.39368188120045</v>
      </c>
      <c r="BW527" s="318"/>
    </row>
    <row r="528" spans="1:75" s="444" customFormat="1">
      <c r="A528" s="28"/>
      <c r="B528" s="30"/>
      <c r="C528" s="700"/>
      <c r="D528" s="700"/>
      <c r="E528" s="700"/>
      <c r="F528" s="700"/>
      <c r="G528" s="523"/>
      <c r="H528" s="523"/>
      <c r="I528" s="523"/>
      <c r="J528" s="523"/>
      <c r="K528" s="700"/>
      <c r="L528" s="523"/>
      <c r="M528" s="523"/>
      <c r="N528" s="523"/>
      <c r="O528" s="523"/>
      <c r="P528" s="700"/>
      <c r="Q528" s="523"/>
      <c r="R528" s="523"/>
      <c r="S528" s="523"/>
      <c r="T528" s="523"/>
      <c r="U528" s="700"/>
      <c r="V528" s="523"/>
      <c r="W528" s="523"/>
      <c r="X528" s="523"/>
      <c r="Y528" s="523"/>
      <c r="Z528" s="700"/>
      <c r="AA528" s="523"/>
      <c r="AB528" s="523"/>
      <c r="AC528" s="523"/>
      <c r="AD528" s="523"/>
      <c r="AE528" s="700"/>
      <c r="AF528" s="523"/>
      <c r="AG528" s="523"/>
      <c r="AH528" s="523"/>
      <c r="AI528" s="523"/>
      <c r="AJ528" s="700"/>
      <c r="AK528" s="523"/>
      <c r="AL528" s="523"/>
      <c r="AM528" s="523"/>
      <c r="AN528" s="523"/>
      <c r="AO528" s="700"/>
      <c r="AP528" s="523"/>
      <c r="AQ528" s="523"/>
      <c r="AR528" s="523"/>
      <c r="AS528" s="523"/>
      <c r="AT528" s="700"/>
      <c r="AU528" s="523"/>
      <c r="AV528" s="523"/>
      <c r="AW528" s="523"/>
      <c r="AX528" s="523"/>
      <c r="AY528" s="700"/>
      <c r="AZ528" s="523"/>
      <c r="BA528" s="523"/>
      <c r="BB528" s="523"/>
      <c r="BC528" s="523"/>
      <c r="BD528" s="700"/>
      <c r="BE528" s="523"/>
      <c r="BF528" s="523"/>
      <c r="BG528" s="523"/>
      <c r="BH528" s="523"/>
      <c r="BI528" s="700"/>
      <c r="BJ528" s="523"/>
      <c r="BK528" s="523"/>
      <c r="BL528" s="563"/>
      <c r="BM528" s="523"/>
      <c r="BN528" s="700"/>
      <c r="BO528" s="523"/>
      <c r="BP528" s="523"/>
      <c r="BQ528" s="523"/>
      <c r="BR528" s="523"/>
      <c r="BS528" s="700"/>
      <c r="BT528" s="700"/>
      <c r="BU528" s="700"/>
      <c r="BV528" s="700"/>
      <c r="BW528" s="318"/>
    </row>
    <row r="529" spans="1:75" s="444" customFormat="1">
      <c r="A529" s="28" t="str">
        <f t="shared" ref="A529:A545" si="1113">A460</f>
        <v>CFI</v>
      </c>
      <c r="B529" s="30"/>
      <c r="C529" s="700"/>
      <c r="D529" s="700"/>
      <c r="E529" s="700"/>
      <c r="F529" s="700"/>
      <c r="G529" s="523"/>
      <c r="H529" s="523"/>
      <c r="I529" s="523"/>
      <c r="J529" s="523"/>
      <c r="K529" s="700"/>
      <c r="L529" s="523"/>
      <c r="M529" s="523"/>
      <c r="N529" s="523"/>
      <c r="O529" s="523"/>
      <c r="P529" s="700"/>
      <c r="Q529" s="523"/>
      <c r="R529" s="523"/>
      <c r="S529" s="523"/>
      <c r="T529" s="523"/>
      <c r="U529" s="700"/>
      <c r="V529" s="523"/>
      <c r="W529" s="523"/>
      <c r="X529" s="523"/>
      <c r="Y529" s="523"/>
      <c r="Z529" s="700"/>
      <c r="AA529" s="523"/>
      <c r="AB529" s="523"/>
      <c r="AC529" s="523"/>
      <c r="AD529" s="523"/>
      <c r="AE529" s="700"/>
      <c r="AF529" s="523"/>
      <c r="AG529" s="523"/>
      <c r="AH529" s="523"/>
      <c r="AI529" s="523"/>
      <c r="AJ529" s="700"/>
      <c r="AK529" s="523"/>
      <c r="AL529" s="523"/>
      <c r="AM529" s="523"/>
      <c r="AN529" s="523"/>
      <c r="AO529" s="700"/>
      <c r="AP529" s="523"/>
      <c r="AQ529" s="523"/>
      <c r="AR529" s="523"/>
      <c r="AS529" s="523"/>
      <c r="AT529" s="700"/>
      <c r="AU529" s="523"/>
      <c r="AV529" s="523"/>
      <c r="AW529" s="523"/>
      <c r="AX529" s="523"/>
      <c r="AY529" s="700"/>
      <c r="AZ529" s="523"/>
      <c r="BA529" s="523"/>
      <c r="BB529" s="523"/>
      <c r="BC529" s="523"/>
      <c r="BD529" s="700"/>
      <c r="BE529" s="523"/>
      <c r="BF529" s="523"/>
      <c r="BG529" s="523"/>
      <c r="BH529" s="523"/>
      <c r="BI529" s="700"/>
      <c r="BJ529" s="523"/>
      <c r="BK529" s="523"/>
      <c r="BL529" s="563"/>
      <c r="BM529" s="523"/>
      <c r="BN529" s="700"/>
      <c r="BO529" s="523"/>
      <c r="BP529" s="523"/>
      <c r="BQ529" s="523"/>
      <c r="BR529" s="523"/>
      <c r="BS529" s="700"/>
      <c r="BT529" s="700"/>
      <c r="BU529" s="700"/>
      <c r="BV529" s="700"/>
      <c r="BW529" s="318"/>
    </row>
    <row r="530" spans="1:75" s="439" customFormat="1">
      <c r="A530" s="31" t="str">
        <f t="shared" si="1113"/>
        <v>Acquisition, net of cash received</v>
      </c>
      <c r="B530" s="518"/>
      <c r="C530" s="89">
        <f t="shared" ref="C530:G544" si="1114">C461</f>
        <v>0</v>
      </c>
      <c r="D530" s="89">
        <f t="shared" si="1114"/>
        <v>0</v>
      </c>
      <c r="E530" s="89">
        <f t="shared" si="1114"/>
        <v>0</v>
      </c>
      <c r="F530" s="89">
        <f t="shared" si="1114"/>
        <v>-24.125</v>
      </c>
      <c r="G530" s="518">
        <f t="shared" si="1114"/>
        <v>0</v>
      </c>
      <c r="H530" s="518">
        <f t="shared" ref="H530:J544" si="1115">H461-G461</f>
        <v>0</v>
      </c>
      <c r="I530" s="518">
        <f t="shared" si="1115"/>
        <v>-2.0569999999999999</v>
      </c>
      <c r="J530" s="518">
        <f t="shared" si="1115"/>
        <v>0</v>
      </c>
      <c r="K530" s="89">
        <f t="shared" ref="K530:L544" si="1116">K461</f>
        <v>-2.0569999999999999</v>
      </c>
      <c r="L530" s="518">
        <f t="shared" si="1116"/>
        <v>0</v>
      </c>
      <c r="M530" s="518">
        <f t="shared" ref="M530:O544" si="1117">M461-L461</f>
        <v>0</v>
      </c>
      <c r="N530" s="518">
        <f t="shared" si="1117"/>
        <v>0</v>
      </c>
      <c r="O530" s="518">
        <f t="shared" si="1117"/>
        <v>-14.34</v>
      </c>
      <c r="P530" s="89">
        <f t="shared" ref="P530:Q544" si="1118">P461</f>
        <v>-14.34</v>
      </c>
      <c r="Q530" s="518">
        <f t="shared" si="1118"/>
        <v>-71.546000000000006</v>
      </c>
      <c r="R530" s="518">
        <f t="shared" ref="R530:T544" si="1119">R461-Q461</f>
        <v>-1.8759999999999906</v>
      </c>
      <c r="S530" s="518">
        <f t="shared" si="1119"/>
        <v>0</v>
      </c>
      <c r="T530" s="518">
        <f t="shared" si="1119"/>
        <v>0</v>
      </c>
      <c r="U530" s="89">
        <f t="shared" ref="U530:V544" si="1120">U461</f>
        <v>-73.421999999999997</v>
      </c>
      <c r="V530" s="518">
        <f t="shared" si="1120"/>
        <v>0</v>
      </c>
      <c r="W530" s="518">
        <f t="shared" ref="W530:Y544" si="1121">W461-V461</f>
        <v>0</v>
      </c>
      <c r="X530" s="518">
        <f t="shared" si="1121"/>
        <v>0</v>
      </c>
      <c r="Y530" s="518">
        <f t="shared" si="1121"/>
        <v>0</v>
      </c>
      <c r="Z530" s="89">
        <f t="shared" ref="Z530:AA544" si="1122">Z461</f>
        <v>0</v>
      </c>
      <c r="AA530" s="518">
        <f t="shared" si="1122"/>
        <v>-30.832999999999998</v>
      </c>
      <c r="AB530" s="518">
        <f t="shared" ref="AB530:AD544" si="1123">AB461-AA461</f>
        <v>-19.710999999999999</v>
      </c>
      <c r="AC530" s="518">
        <f t="shared" si="1123"/>
        <v>0</v>
      </c>
      <c r="AD530" s="518">
        <f t="shared" si="1123"/>
        <v>0</v>
      </c>
      <c r="AE530" s="89">
        <f t="shared" ref="AE530:AF544" si="1124">AE461</f>
        <v>-50.543999999999997</v>
      </c>
      <c r="AF530" s="518">
        <f t="shared" si="1124"/>
        <v>0</v>
      </c>
      <c r="AG530" s="518">
        <f t="shared" ref="AG530:AI544" si="1125">AG461-AF461</f>
        <v>0</v>
      </c>
      <c r="AH530" s="518">
        <f t="shared" si="1125"/>
        <v>0</v>
      </c>
      <c r="AI530" s="518">
        <f t="shared" si="1125"/>
        <v>0</v>
      </c>
      <c r="AJ530" s="89">
        <f t="shared" ref="AJ530:AK544" si="1126">AJ461</f>
        <v>0</v>
      </c>
      <c r="AK530" s="518">
        <f t="shared" si="1126"/>
        <v>0</v>
      </c>
      <c r="AL530" s="518">
        <f t="shared" ref="AL530:AN544" si="1127">AL461-AK461</f>
        <v>0</v>
      </c>
      <c r="AM530" s="518">
        <f t="shared" si="1127"/>
        <v>0</v>
      </c>
      <c r="AN530" s="518">
        <f t="shared" si="1127"/>
        <v>0</v>
      </c>
      <c r="AO530" s="89">
        <f t="shared" ref="AO530:AP544" si="1128">AO461</f>
        <v>0</v>
      </c>
      <c r="AP530" s="518">
        <f t="shared" si="1128"/>
        <v>0</v>
      </c>
      <c r="AQ530" s="518">
        <f t="shared" ref="AQ530:AS544" si="1129">AQ461-AP461</f>
        <v>0</v>
      </c>
      <c r="AR530" s="518">
        <f t="shared" si="1129"/>
        <v>0</v>
      </c>
      <c r="AS530" s="518">
        <f t="shared" si="1129"/>
        <v>0</v>
      </c>
      <c r="AT530" s="89">
        <f t="shared" ref="AT530:AU544" si="1130">AT461</f>
        <v>0</v>
      </c>
      <c r="AU530" s="518">
        <f t="shared" si="1130"/>
        <v>0</v>
      </c>
      <c r="AV530" s="518">
        <f t="shared" ref="AV530:AX544" si="1131">AV461-AU461</f>
        <v>0</v>
      </c>
      <c r="AW530" s="518">
        <f t="shared" si="1131"/>
        <v>0</v>
      </c>
      <c r="AX530" s="518">
        <f t="shared" si="1131"/>
        <v>0</v>
      </c>
      <c r="AY530" s="89">
        <f t="shared" ref="AY530:AZ544" si="1132">AY461</f>
        <v>0</v>
      </c>
      <c r="AZ530" s="518">
        <f t="shared" si="1132"/>
        <v>0</v>
      </c>
      <c r="BA530" s="518">
        <f t="shared" ref="BA530:BC544" si="1133">BA461-AZ461</f>
        <v>0</v>
      </c>
      <c r="BB530" s="518">
        <f t="shared" si="1133"/>
        <v>0</v>
      </c>
      <c r="BC530" s="518">
        <f t="shared" si="1133"/>
        <v>0</v>
      </c>
      <c r="BD530" s="89">
        <f t="shared" ref="BD530:BE544" si="1134">BD461</f>
        <v>0</v>
      </c>
      <c r="BE530" s="518">
        <f t="shared" si="1134"/>
        <v>0</v>
      </c>
      <c r="BF530" s="518">
        <f t="shared" ref="BF530:BF544" si="1135">BF461-BE461</f>
        <v>0</v>
      </c>
      <c r="BG530" s="518">
        <f t="shared" ref="BG530:BG544" si="1136">BG461-BF461</f>
        <v>0</v>
      </c>
      <c r="BH530" s="518">
        <f t="shared" ref="BH530:BH544" si="1137">BH461-BG461</f>
        <v>0</v>
      </c>
      <c r="BI530" s="89">
        <f t="shared" ref="BI530:BI544" si="1138">BI461</f>
        <v>0</v>
      </c>
      <c r="BJ530" s="518">
        <f t="shared" ref="BJ530:BJ544" si="1139">BJ461</f>
        <v>0</v>
      </c>
      <c r="BK530" s="518">
        <f t="shared" ref="BK530:BK544" si="1140">BK461-BJ461</f>
        <v>0</v>
      </c>
      <c r="BL530" s="520">
        <f t="shared" ref="BL530:BL544" si="1141">BL461-BK461</f>
        <v>0</v>
      </c>
      <c r="BM530" s="518">
        <f>BM372</f>
        <v>0</v>
      </c>
      <c r="BN530" s="89">
        <f t="shared" ref="BN530:BN544" si="1142">SUM(BJ530,BK530,BL530,BM530)</f>
        <v>0</v>
      </c>
      <c r="BO530" s="518">
        <f>BO372</f>
        <v>0</v>
      </c>
      <c r="BP530" s="518">
        <f>BP372</f>
        <v>0</v>
      </c>
      <c r="BQ530" s="518">
        <f>BQ372</f>
        <v>0</v>
      </c>
      <c r="BR530" s="518">
        <f>BR372</f>
        <v>0</v>
      </c>
      <c r="BS530" s="89">
        <f t="shared" ref="BS530:BS544" si="1143">SUM(BO530,BP530,BQ530,BR530)</f>
        <v>0</v>
      </c>
      <c r="BT530" s="89">
        <f>BT372</f>
        <v>0</v>
      </c>
      <c r="BU530" s="89">
        <f>BU372</f>
        <v>0</v>
      </c>
      <c r="BV530" s="89">
        <f>BV372</f>
        <v>0</v>
      </c>
      <c r="BW530" s="519"/>
    </row>
    <row r="531" spans="1:75" s="439" customFormat="1">
      <c r="A531" s="31" t="str">
        <f t="shared" si="1113"/>
        <v>Purchases of property, equipment and software</v>
      </c>
      <c r="B531" s="518"/>
      <c r="C531" s="89">
        <f t="shared" si="1114"/>
        <v>-0.622</v>
      </c>
      <c r="D531" s="89">
        <f t="shared" si="1114"/>
        <v>-3.5710000000000002</v>
      </c>
      <c r="E531" s="89">
        <f t="shared" si="1114"/>
        <v>-4.798</v>
      </c>
      <c r="F531" s="89">
        <f t="shared" si="1114"/>
        <v>-7.524</v>
      </c>
      <c r="G531" s="518">
        <f t="shared" si="1114"/>
        <v>-0.94299999999999995</v>
      </c>
      <c r="H531" s="518">
        <f t="shared" si="1115"/>
        <v>-4.0230000000000006</v>
      </c>
      <c r="I531" s="518">
        <f t="shared" si="1115"/>
        <v>-4.5810000000000004</v>
      </c>
      <c r="J531" s="518">
        <f t="shared" si="1115"/>
        <v>-6.695999999999998</v>
      </c>
      <c r="K531" s="89">
        <f t="shared" si="1116"/>
        <v>-16.242999999999999</v>
      </c>
      <c r="L531" s="518">
        <f t="shared" si="1116"/>
        <v>-4.2460000000000004</v>
      </c>
      <c r="M531" s="518">
        <f t="shared" si="1117"/>
        <v>-2.9659999999999993</v>
      </c>
      <c r="N531" s="518">
        <f t="shared" si="1117"/>
        <v>-5.5310000000000006</v>
      </c>
      <c r="O531" s="518">
        <f t="shared" si="1117"/>
        <v>-16.311</v>
      </c>
      <c r="P531" s="89">
        <f t="shared" si="1118"/>
        <v>-29.053999999999998</v>
      </c>
      <c r="Q531" s="518">
        <f t="shared" si="1118"/>
        <v>-10.881</v>
      </c>
      <c r="R531" s="518">
        <f t="shared" si="1119"/>
        <v>-7.1780000000000008</v>
      </c>
      <c r="S531" s="518">
        <f t="shared" si="1119"/>
        <v>-7.2989999999999995</v>
      </c>
      <c r="T531" s="518">
        <f t="shared" si="1119"/>
        <v>-5.7689999999999984</v>
      </c>
      <c r="U531" s="89">
        <f t="shared" si="1120"/>
        <v>-31.126999999999999</v>
      </c>
      <c r="V531" s="518">
        <f t="shared" si="1120"/>
        <v>-7.6449999999999996</v>
      </c>
      <c r="W531" s="518">
        <f t="shared" si="1121"/>
        <v>-4.793000000000001</v>
      </c>
      <c r="X531" s="518">
        <f t="shared" si="1121"/>
        <v>-5.3599999999999977</v>
      </c>
      <c r="Y531" s="518">
        <f t="shared" si="1121"/>
        <v>-5.1960000000000015</v>
      </c>
      <c r="Z531" s="89">
        <f t="shared" si="1122"/>
        <v>-22.994</v>
      </c>
      <c r="AA531" s="518">
        <f t="shared" si="1122"/>
        <v>-2.452</v>
      </c>
      <c r="AB531" s="518">
        <f t="shared" si="1123"/>
        <v>-1.6269999999999998</v>
      </c>
      <c r="AC531" s="518">
        <f t="shared" si="1123"/>
        <v>-3.8130000000000006</v>
      </c>
      <c r="AD531" s="518">
        <f t="shared" si="1123"/>
        <v>-7.7060000000000004</v>
      </c>
      <c r="AE531" s="89">
        <f t="shared" si="1124"/>
        <v>-15.598000000000001</v>
      </c>
      <c r="AF531" s="518">
        <f t="shared" si="1124"/>
        <v>-10.927</v>
      </c>
      <c r="AG531" s="518">
        <f t="shared" si="1125"/>
        <v>-4.0910000000000011</v>
      </c>
      <c r="AH531" s="518">
        <f t="shared" si="1125"/>
        <v>-3.6810000000000009</v>
      </c>
      <c r="AI531" s="518">
        <f t="shared" si="1125"/>
        <v>-6.1499999999999986</v>
      </c>
      <c r="AJ531" s="89">
        <f t="shared" si="1126"/>
        <v>-24.849</v>
      </c>
      <c r="AK531" s="518">
        <f t="shared" si="1126"/>
        <v>-8.9909999999999997</v>
      </c>
      <c r="AL531" s="518">
        <f t="shared" si="1127"/>
        <v>8.9909999999999997</v>
      </c>
      <c r="AM531" s="518">
        <f t="shared" si="1127"/>
        <v>0</v>
      </c>
      <c r="AN531" s="518">
        <f t="shared" si="1127"/>
        <v>0</v>
      </c>
      <c r="AO531" s="89">
        <f t="shared" si="1128"/>
        <v>0</v>
      </c>
      <c r="AP531" s="518">
        <f t="shared" si="1128"/>
        <v>-7.0529999999999999</v>
      </c>
      <c r="AQ531" s="518">
        <f t="shared" si="1129"/>
        <v>-9.9510000000000005</v>
      </c>
      <c r="AR531" s="518">
        <f t="shared" si="1129"/>
        <v>-7.0679999999999978</v>
      </c>
      <c r="AS531" s="518">
        <f t="shared" si="1129"/>
        <v>-7.9300000000000033</v>
      </c>
      <c r="AT531" s="89">
        <f t="shared" si="1130"/>
        <v>-32.002000000000002</v>
      </c>
      <c r="AU531" s="518">
        <f t="shared" si="1130"/>
        <v>-6.0049999999999999</v>
      </c>
      <c r="AV531" s="518">
        <f t="shared" si="1131"/>
        <v>-7.2809999999999997</v>
      </c>
      <c r="AW531" s="518">
        <f t="shared" si="1131"/>
        <v>-8.3140000000000018</v>
      </c>
      <c r="AX531" s="518">
        <f t="shared" si="1131"/>
        <v>-6.6819999999999986</v>
      </c>
      <c r="AY531" s="89">
        <f t="shared" si="1132"/>
        <v>-28.282</v>
      </c>
      <c r="AZ531" s="518">
        <f t="shared" si="1132"/>
        <v>-6.6360000000000001</v>
      </c>
      <c r="BA531" s="518">
        <f t="shared" si="1133"/>
        <v>-7.8619999999999992</v>
      </c>
      <c r="BB531" s="518">
        <f t="shared" si="1133"/>
        <v>-5.6059999999999999</v>
      </c>
      <c r="BC531" s="518">
        <f t="shared" si="1133"/>
        <v>-11.875</v>
      </c>
      <c r="BD531" s="89">
        <f t="shared" si="1134"/>
        <v>-31.978999999999999</v>
      </c>
      <c r="BE531" s="518">
        <f t="shared" si="1134"/>
        <v>-7.5179999999999998</v>
      </c>
      <c r="BF531" s="518">
        <f t="shared" si="1135"/>
        <v>-7.6350000000000007</v>
      </c>
      <c r="BG531" s="518">
        <f t="shared" si="1136"/>
        <v>-5.697000000000001</v>
      </c>
      <c r="BH531" s="518">
        <f t="shared" si="1137"/>
        <v>-5.9969999999999999</v>
      </c>
      <c r="BI531" s="89">
        <f t="shared" si="1138"/>
        <v>-26.847000000000001</v>
      </c>
      <c r="BJ531" s="518">
        <f t="shared" si="1139"/>
        <v>-6.9870000000000001</v>
      </c>
      <c r="BK531" s="518">
        <f t="shared" si="1140"/>
        <v>-9.5870000000000015</v>
      </c>
      <c r="BL531" s="520">
        <f t="shared" si="1141"/>
        <v>-9.7629999999999981</v>
      </c>
      <c r="BM531" s="518">
        <f>-BM583</f>
        <v>-11</v>
      </c>
      <c r="BN531" s="89">
        <f t="shared" si="1142"/>
        <v>-37.337000000000003</v>
      </c>
      <c r="BO531" s="518">
        <f>-BO583</f>
        <v>-10</v>
      </c>
      <c r="BP531" s="518">
        <f>-BP583</f>
        <v>-10</v>
      </c>
      <c r="BQ531" s="518">
        <f>-BQ583</f>
        <v>-10</v>
      </c>
      <c r="BR531" s="518">
        <f>-BR583</f>
        <v>-10</v>
      </c>
      <c r="BS531" s="89">
        <f t="shared" si="1143"/>
        <v>-40</v>
      </c>
      <c r="BT531" s="89">
        <f>-BT583</f>
        <v>-40</v>
      </c>
      <c r="BU531" s="89">
        <f>-BU583</f>
        <v>-40</v>
      </c>
      <c r="BV531" s="89">
        <f>-BV583</f>
        <v>-40</v>
      </c>
      <c r="BW531" s="519"/>
    </row>
    <row r="532" spans="1:75" s="439" customFormat="1">
      <c r="A532" s="31" t="str">
        <f t="shared" si="1113"/>
        <v>Capitalized website and software development costs</v>
      </c>
      <c r="B532" s="518"/>
      <c r="C532" s="89">
        <f t="shared" si="1114"/>
        <v>-0.95499999999999996</v>
      </c>
      <c r="D532" s="89">
        <f t="shared" si="1114"/>
        <v>-1.2290000000000001</v>
      </c>
      <c r="E532" s="89">
        <f t="shared" si="1114"/>
        <v>-2.5059999999999998</v>
      </c>
      <c r="F532" s="89">
        <f t="shared" si="1114"/>
        <v>-2.93</v>
      </c>
      <c r="G532" s="518">
        <f t="shared" si="1114"/>
        <v>-0.96899999999999997</v>
      </c>
      <c r="H532" s="518">
        <f t="shared" si="1115"/>
        <v>-1.17</v>
      </c>
      <c r="I532" s="518">
        <f t="shared" si="1115"/>
        <v>-1.1260000000000003</v>
      </c>
      <c r="J532" s="518">
        <f t="shared" si="1115"/>
        <v>-1.5909999999999997</v>
      </c>
      <c r="K532" s="89">
        <f t="shared" si="1116"/>
        <v>-4.8559999999999999</v>
      </c>
      <c r="L532" s="518">
        <f t="shared" si="1116"/>
        <v>-1.5920000000000001</v>
      </c>
      <c r="M532" s="518">
        <f t="shared" si="1117"/>
        <v>-2.7349999999999999</v>
      </c>
      <c r="N532" s="518">
        <f t="shared" si="1117"/>
        <v>-3.6420000000000003</v>
      </c>
      <c r="O532" s="518">
        <f t="shared" si="1117"/>
        <v>-3.38</v>
      </c>
      <c r="P532" s="89">
        <f t="shared" si="1118"/>
        <v>-11.349</v>
      </c>
      <c r="Q532" s="518">
        <f t="shared" si="1118"/>
        <v>-3.1960000000000002</v>
      </c>
      <c r="R532" s="518">
        <f t="shared" si="1119"/>
        <v>-2.8159999999999994</v>
      </c>
      <c r="S532" s="518">
        <f t="shared" si="1119"/>
        <v>-2.6459999999999999</v>
      </c>
      <c r="T532" s="518">
        <f t="shared" si="1119"/>
        <v>-3.0760000000000005</v>
      </c>
      <c r="U532" s="89">
        <f t="shared" si="1120"/>
        <v>-11.734</v>
      </c>
      <c r="V532" s="518">
        <f t="shared" si="1120"/>
        <v>-3.125</v>
      </c>
      <c r="W532" s="518">
        <f t="shared" si="1121"/>
        <v>-3.8680000000000003</v>
      </c>
      <c r="X532" s="518">
        <f t="shared" si="1121"/>
        <v>-3.6029999999999998</v>
      </c>
      <c r="Y532" s="518">
        <f t="shared" si="1121"/>
        <v>-3.5950000000000006</v>
      </c>
      <c r="Z532" s="89">
        <f t="shared" si="1122"/>
        <v>-14.191000000000001</v>
      </c>
      <c r="AA532" s="518">
        <f t="shared" si="1122"/>
        <v>-4.2080000000000002</v>
      </c>
      <c r="AB532" s="518">
        <f t="shared" si="1123"/>
        <v>-3.8219999999999992</v>
      </c>
      <c r="AC532" s="518">
        <f t="shared" si="1123"/>
        <v>-4.2060000000000013</v>
      </c>
      <c r="AD532" s="518">
        <f t="shared" si="1123"/>
        <v>-2.4109999999999996</v>
      </c>
      <c r="AE532" s="89">
        <f t="shared" si="1124"/>
        <v>-14.647</v>
      </c>
      <c r="AF532" s="518">
        <f t="shared" si="1124"/>
        <v>-4.6980000000000004</v>
      </c>
      <c r="AG532" s="518">
        <f t="shared" si="1125"/>
        <v>-5.4409999999999989</v>
      </c>
      <c r="AH532" s="518">
        <f t="shared" si="1125"/>
        <v>-5.0990000000000002</v>
      </c>
      <c r="AI532" s="518">
        <f t="shared" si="1125"/>
        <v>-4.8850000000000016</v>
      </c>
      <c r="AJ532" s="89">
        <f t="shared" si="1126"/>
        <v>-20.123000000000001</v>
      </c>
      <c r="AK532" s="518">
        <f t="shared" si="1126"/>
        <v>0</v>
      </c>
      <c r="AL532" s="518">
        <f t="shared" si="1127"/>
        <v>-19.213999999999999</v>
      </c>
      <c r="AM532" s="518">
        <f t="shared" si="1127"/>
        <v>-10.736000000000001</v>
      </c>
      <c r="AN532" s="518">
        <f t="shared" si="1127"/>
        <v>-7.5719999999999992</v>
      </c>
      <c r="AO532" s="89">
        <f t="shared" si="1128"/>
        <v>-37.521999999999998</v>
      </c>
      <c r="AP532" s="518">
        <f t="shared" si="1128"/>
        <v>0</v>
      </c>
      <c r="AQ532" s="518">
        <f t="shared" si="1129"/>
        <v>0</v>
      </c>
      <c r="AR532" s="518">
        <f t="shared" si="1129"/>
        <v>0</v>
      </c>
      <c r="AS532" s="518">
        <f t="shared" si="1129"/>
        <v>0</v>
      </c>
      <c r="AT532" s="89">
        <f t="shared" si="1130"/>
        <v>0</v>
      </c>
      <c r="AU532" s="518">
        <f t="shared" si="1130"/>
        <v>0</v>
      </c>
      <c r="AV532" s="518">
        <f t="shared" si="1131"/>
        <v>0</v>
      </c>
      <c r="AW532" s="518">
        <f t="shared" si="1131"/>
        <v>0</v>
      </c>
      <c r="AX532" s="518">
        <f t="shared" si="1131"/>
        <v>0</v>
      </c>
      <c r="AY532" s="89">
        <f t="shared" si="1132"/>
        <v>0</v>
      </c>
      <c r="AZ532" s="518">
        <f t="shared" si="1132"/>
        <v>0</v>
      </c>
      <c r="BA532" s="518">
        <f t="shared" si="1133"/>
        <v>0</v>
      </c>
      <c r="BB532" s="518">
        <f t="shared" si="1133"/>
        <v>0</v>
      </c>
      <c r="BC532" s="518">
        <f t="shared" si="1133"/>
        <v>0</v>
      </c>
      <c r="BD532" s="89">
        <f t="shared" si="1134"/>
        <v>0</v>
      </c>
      <c r="BE532" s="518">
        <f t="shared" si="1134"/>
        <v>0</v>
      </c>
      <c r="BF532" s="518">
        <f t="shared" si="1135"/>
        <v>0</v>
      </c>
      <c r="BG532" s="518">
        <f t="shared" si="1136"/>
        <v>0</v>
      </c>
      <c r="BH532" s="518">
        <f t="shared" si="1137"/>
        <v>0</v>
      </c>
      <c r="BI532" s="89">
        <f t="shared" si="1138"/>
        <v>0</v>
      </c>
      <c r="BJ532" s="518">
        <f t="shared" si="1139"/>
        <v>0</v>
      </c>
      <c r="BK532" s="518">
        <f t="shared" si="1140"/>
        <v>0</v>
      </c>
      <c r="BL532" s="520">
        <f t="shared" si="1141"/>
        <v>0</v>
      </c>
      <c r="BM532" s="518"/>
      <c r="BN532" s="89">
        <f t="shared" si="1142"/>
        <v>0</v>
      </c>
      <c r="BO532" s="518"/>
      <c r="BP532" s="518"/>
      <c r="BQ532" s="518"/>
      <c r="BR532" s="518"/>
      <c r="BS532" s="89">
        <f t="shared" si="1143"/>
        <v>0</v>
      </c>
      <c r="BT532" s="89"/>
      <c r="BU532" s="89"/>
      <c r="BV532" s="89"/>
      <c r="BW532" s="519"/>
    </row>
    <row r="533" spans="1:75" s="439" customFormat="1">
      <c r="A533" s="31" t="str">
        <f t="shared" si="1113"/>
        <v>Changes in restricted cash</v>
      </c>
      <c r="B533" s="518"/>
      <c r="C533" s="89">
        <f t="shared" si="1114"/>
        <v>0.104</v>
      </c>
      <c r="D533" s="89">
        <f t="shared" si="1114"/>
        <v>0</v>
      </c>
      <c r="E533" s="89">
        <f t="shared" si="1114"/>
        <v>-0.14899999999999999</v>
      </c>
      <c r="F533" s="89">
        <f t="shared" si="1114"/>
        <v>-6.0129999999999999</v>
      </c>
      <c r="G533" s="518">
        <f t="shared" si="1114"/>
        <v>0</v>
      </c>
      <c r="H533" s="518">
        <f t="shared" si="1115"/>
        <v>-1.768</v>
      </c>
      <c r="I533" s="518">
        <f t="shared" si="1115"/>
        <v>0</v>
      </c>
      <c r="J533" s="518">
        <f t="shared" si="1115"/>
        <v>4.944</v>
      </c>
      <c r="K533" s="89">
        <f t="shared" si="1116"/>
        <v>3.1760000000000002</v>
      </c>
      <c r="L533" s="518">
        <f t="shared" si="1116"/>
        <v>-0.39700000000000002</v>
      </c>
      <c r="M533" s="518">
        <f t="shared" si="1117"/>
        <v>0</v>
      </c>
      <c r="N533" s="518">
        <f t="shared" si="1117"/>
        <v>-9.359</v>
      </c>
      <c r="O533" s="518">
        <f t="shared" si="1117"/>
        <v>-5.0079999999999991</v>
      </c>
      <c r="P533" s="89">
        <f t="shared" si="1118"/>
        <v>-14.763999999999999</v>
      </c>
      <c r="Q533" s="518">
        <f t="shared" si="1118"/>
        <v>-5.0000000000000001E-3</v>
      </c>
      <c r="R533" s="518">
        <f t="shared" si="1119"/>
        <v>1.6769999999999998</v>
      </c>
      <c r="S533" s="518">
        <f t="shared" si="1119"/>
        <v>-8.0000000000000071E-3</v>
      </c>
      <c r="T533" s="518">
        <f t="shared" si="1119"/>
        <v>-0.26</v>
      </c>
      <c r="U533" s="89">
        <f t="shared" si="1120"/>
        <v>1.4039999999999999</v>
      </c>
      <c r="V533" s="518">
        <f t="shared" si="1120"/>
        <v>-0.82</v>
      </c>
      <c r="W533" s="518">
        <f t="shared" si="1121"/>
        <v>0</v>
      </c>
      <c r="X533" s="518">
        <f t="shared" si="1121"/>
        <v>-5.0000000000000044E-3</v>
      </c>
      <c r="Y533" s="518">
        <f t="shared" si="1121"/>
        <v>-6.0000000000000053E-3</v>
      </c>
      <c r="Z533" s="89">
        <f t="shared" si="1122"/>
        <v>-0.83099999999999996</v>
      </c>
      <c r="AA533" s="518">
        <f t="shared" si="1122"/>
        <v>2.9000000000000001E-2</v>
      </c>
      <c r="AB533" s="518">
        <f t="shared" si="1123"/>
        <v>2.9000000000000001E-2</v>
      </c>
      <c r="AC533" s="518">
        <f t="shared" si="1123"/>
        <v>-5.8000000000000003E-2</v>
      </c>
      <c r="AD533" s="518">
        <f t="shared" si="1123"/>
        <v>0</v>
      </c>
      <c r="AE533" s="89">
        <f t="shared" si="1124"/>
        <v>0</v>
      </c>
      <c r="AF533" s="518">
        <f t="shared" si="1124"/>
        <v>0</v>
      </c>
      <c r="AG533" s="518">
        <f t="shared" si="1125"/>
        <v>0</v>
      </c>
      <c r="AH533" s="518">
        <f t="shared" si="1125"/>
        <v>0</v>
      </c>
      <c r="AI533" s="518">
        <f t="shared" si="1125"/>
        <v>0</v>
      </c>
      <c r="AJ533" s="89">
        <f t="shared" si="1126"/>
        <v>0</v>
      </c>
      <c r="AK533" s="518">
        <f t="shared" si="1126"/>
        <v>0</v>
      </c>
      <c r="AL533" s="518">
        <f t="shared" si="1127"/>
        <v>28.75</v>
      </c>
      <c r="AM533" s="518">
        <f t="shared" si="1127"/>
        <v>0</v>
      </c>
      <c r="AN533" s="518">
        <f t="shared" si="1127"/>
        <v>0</v>
      </c>
      <c r="AO533" s="89">
        <f t="shared" si="1128"/>
        <v>28.75</v>
      </c>
      <c r="AP533" s="518">
        <f t="shared" si="1128"/>
        <v>0</v>
      </c>
      <c r="AQ533" s="518">
        <f t="shared" si="1129"/>
        <v>0</v>
      </c>
      <c r="AR533" s="518">
        <f t="shared" si="1129"/>
        <v>0</v>
      </c>
      <c r="AS533" s="518">
        <f t="shared" si="1129"/>
        <v>0</v>
      </c>
      <c r="AT533" s="89">
        <f t="shared" si="1130"/>
        <v>0</v>
      </c>
      <c r="AU533" s="518">
        <f t="shared" si="1130"/>
        <v>0</v>
      </c>
      <c r="AV533" s="518">
        <f t="shared" si="1131"/>
        <v>0</v>
      </c>
      <c r="AW533" s="518">
        <f t="shared" si="1131"/>
        <v>0</v>
      </c>
      <c r="AX533" s="518">
        <f t="shared" si="1131"/>
        <v>0</v>
      </c>
      <c r="AY533" s="89">
        <f t="shared" si="1132"/>
        <v>0</v>
      </c>
      <c r="AZ533" s="518">
        <f t="shared" si="1132"/>
        <v>0</v>
      </c>
      <c r="BA533" s="518">
        <f t="shared" si="1133"/>
        <v>0</v>
      </c>
      <c r="BB533" s="518">
        <f t="shared" si="1133"/>
        <v>0</v>
      </c>
      <c r="BC533" s="518">
        <f t="shared" si="1133"/>
        <v>0</v>
      </c>
      <c r="BD533" s="89">
        <f t="shared" si="1134"/>
        <v>0</v>
      </c>
      <c r="BE533" s="518">
        <f t="shared" si="1134"/>
        <v>0</v>
      </c>
      <c r="BF533" s="518">
        <f t="shared" si="1135"/>
        <v>0</v>
      </c>
      <c r="BG533" s="518">
        <f t="shared" si="1136"/>
        <v>0</v>
      </c>
      <c r="BH533" s="518">
        <f t="shared" si="1137"/>
        <v>0</v>
      </c>
      <c r="BI533" s="89">
        <f t="shared" si="1138"/>
        <v>0</v>
      </c>
      <c r="BJ533" s="518">
        <f t="shared" si="1139"/>
        <v>0</v>
      </c>
      <c r="BK533" s="518">
        <f t="shared" si="1140"/>
        <v>0</v>
      </c>
      <c r="BL533" s="520">
        <f t="shared" si="1141"/>
        <v>0</v>
      </c>
      <c r="BM533" s="518"/>
      <c r="BN533" s="89">
        <f t="shared" si="1142"/>
        <v>0</v>
      </c>
      <c r="BO533" s="518"/>
      <c r="BP533" s="518"/>
      <c r="BQ533" s="518"/>
      <c r="BR533" s="518"/>
      <c r="BS533" s="89">
        <f t="shared" si="1143"/>
        <v>0</v>
      </c>
      <c r="BT533" s="89"/>
      <c r="BU533" s="89"/>
      <c r="BV533" s="89"/>
      <c r="BW533" s="519"/>
    </row>
    <row r="534" spans="1:75" s="439" customFormat="1">
      <c r="A534" s="31" t="str">
        <f t="shared" si="1113"/>
        <v>Purchases of intangible assets</v>
      </c>
      <c r="B534" s="518"/>
      <c r="C534" s="89">
        <f t="shared" si="1114"/>
        <v>-4.2999999999999997E-2</v>
      </c>
      <c r="D534" s="89">
        <f t="shared" si="1114"/>
        <v>0</v>
      </c>
      <c r="E534" s="89">
        <f t="shared" si="1114"/>
        <v>0</v>
      </c>
      <c r="F534" s="89">
        <f t="shared" si="1114"/>
        <v>0</v>
      </c>
      <c r="G534" s="518">
        <f t="shared" si="1114"/>
        <v>0</v>
      </c>
      <c r="H534" s="518">
        <f t="shared" si="1115"/>
        <v>0</v>
      </c>
      <c r="I534" s="518">
        <f t="shared" si="1115"/>
        <v>0</v>
      </c>
      <c r="J534" s="518">
        <f t="shared" si="1115"/>
        <v>0</v>
      </c>
      <c r="K534" s="89">
        <f t="shared" si="1116"/>
        <v>0</v>
      </c>
      <c r="L534" s="518">
        <f t="shared" si="1116"/>
        <v>0</v>
      </c>
      <c r="M534" s="518">
        <f t="shared" si="1117"/>
        <v>0</v>
      </c>
      <c r="N534" s="518">
        <f t="shared" si="1117"/>
        <v>-1.3340000000000001</v>
      </c>
      <c r="O534" s="518">
        <f t="shared" si="1117"/>
        <v>-0.3899999999999999</v>
      </c>
      <c r="P534" s="89">
        <f t="shared" si="1118"/>
        <v>-1.724</v>
      </c>
      <c r="Q534" s="518">
        <f t="shared" si="1118"/>
        <v>-0.314</v>
      </c>
      <c r="R534" s="518">
        <f t="shared" si="1119"/>
        <v>0</v>
      </c>
      <c r="S534" s="518">
        <f t="shared" si="1119"/>
        <v>-0.33300000000000002</v>
      </c>
      <c r="T534" s="518">
        <f t="shared" si="1119"/>
        <v>0</v>
      </c>
      <c r="U534" s="89">
        <f t="shared" si="1120"/>
        <v>-0.64700000000000002</v>
      </c>
      <c r="V534" s="518">
        <f t="shared" si="1120"/>
        <v>0</v>
      </c>
      <c r="W534" s="518">
        <f t="shared" si="1121"/>
        <v>-0.16200000000000001</v>
      </c>
      <c r="X534" s="518">
        <f t="shared" si="1121"/>
        <v>-1.6999999999999987E-2</v>
      </c>
      <c r="Y534" s="518">
        <f t="shared" si="1121"/>
        <v>0</v>
      </c>
      <c r="Z534" s="89">
        <f t="shared" si="1122"/>
        <v>-0.17899999999999999</v>
      </c>
      <c r="AA534" s="518">
        <f t="shared" si="1122"/>
        <v>0</v>
      </c>
      <c r="AB534" s="518">
        <f t="shared" si="1123"/>
        <v>0</v>
      </c>
      <c r="AC534" s="518">
        <f t="shared" si="1123"/>
        <v>0</v>
      </c>
      <c r="AD534" s="518">
        <f t="shared" si="1123"/>
        <v>0</v>
      </c>
      <c r="AE534" s="89">
        <f t="shared" si="1124"/>
        <v>0</v>
      </c>
      <c r="AF534" s="518">
        <f t="shared" si="1124"/>
        <v>0</v>
      </c>
      <c r="AG534" s="518">
        <f t="shared" si="1125"/>
        <v>0</v>
      </c>
      <c r="AH534" s="518">
        <f t="shared" si="1125"/>
        <v>0</v>
      </c>
      <c r="AI534" s="518">
        <f t="shared" si="1125"/>
        <v>0</v>
      </c>
      <c r="AJ534" s="89">
        <f t="shared" si="1126"/>
        <v>0</v>
      </c>
      <c r="AK534" s="518">
        <f t="shared" si="1126"/>
        <v>0</v>
      </c>
      <c r="AL534" s="518">
        <f t="shared" si="1127"/>
        <v>0</v>
      </c>
      <c r="AM534" s="518">
        <f t="shared" si="1127"/>
        <v>0</v>
      </c>
      <c r="AN534" s="518">
        <f t="shared" si="1127"/>
        <v>0</v>
      </c>
      <c r="AO534" s="89">
        <f t="shared" si="1128"/>
        <v>0</v>
      </c>
      <c r="AP534" s="518">
        <f t="shared" si="1128"/>
        <v>0</v>
      </c>
      <c r="AQ534" s="518">
        <f t="shared" si="1129"/>
        <v>0</v>
      </c>
      <c r="AR534" s="518">
        <f t="shared" si="1129"/>
        <v>0</v>
      </c>
      <c r="AS534" s="518">
        <f t="shared" si="1129"/>
        <v>-6.1289999999999996</v>
      </c>
      <c r="AT534" s="89">
        <f t="shared" si="1130"/>
        <v>-6.1289999999999996</v>
      </c>
      <c r="AU534" s="518">
        <f t="shared" si="1130"/>
        <v>0</v>
      </c>
      <c r="AV534" s="518">
        <f t="shared" si="1131"/>
        <v>0</v>
      </c>
      <c r="AW534" s="518">
        <f t="shared" si="1131"/>
        <v>0</v>
      </c>
      <c r="AX534" s="518">
        <f t="shared" si="1131"/>
        <v>0</v>
      </c>
      <c r="AY534" s="89">
        <f t="shared" si="1132"/>
        <v>0</v>
      </c>
      <c r="AZ534" s="518">
        <f t="shared" si="1132"/>
        <v>0</v>
      </c>
      <c r="BA534" s="518">
        <f t="shared" si="1133"/>
        <v>0</v>
      </c>
      <c r="BB534" s="518">
        <f t="shared" si="1133"/>
        <v>0</v>
      </c>
      <c r="BC534" s="518">
        <f t="shared" si="1133"/>
        <v>0</v>
      </c>
      <c r="BD534" s="89">
        <f t="shared" si="1134"/>
        <v>0</v>
      </c>
      <c r="BE534" s="518">
        <f t="shared" si="1134"/>
        <v>0</v>
      </c>
      <c r="BF534" s="518">
        <f t="shared" si="1135"/>
        <v>0</v>
      </c>
      <c r="BG534" s="518">
        <f t="shared" si="1136"/>
        <v>0</v>
      </c>
      <c r="BH534" s="518">
        <f t="shared" si="1137"/>
        <v>0</v>
      </c>
      <c r="BI534" s="89">
        <f t="shared" si="1138"/>
        <v>0</v>
      </c>
      <c r="BJ534" s="518">
        <f t="shared" si="1139"/>
        <v>0</v>
      </c>
      <c r="BK534" s="518">
        <f t="shared" si="1140"/>
        <v>0</v>
      </c>
      <c r="BL534" s="520">
        <f t="shared" si="1141"/>
        <v>0</v>
      </c>
      <c r="BM534" s="518">
        <f>-BM589</f>
        <v>0</v>
      </c>
      <c r="BN534" s="89">
        <f t="shared" si="1142"/>
        <v>0</v>
      </c>
      <c r="BO534" s="518">
        <f>-BO589</f>
        <v>0</v>
      </c>
      <c r="BP534" s="518">
        <f>-BP589</f>
        <v>0</v>
      </c>
      <c r="BQ534" s="518">
        <f>-BQ589</f>
        <v>0</v>
      </c>
      <c r="BR534" s="518">
        <f>-BR589</f>
        <v>0</v>
      </c>
      <c r="BS534" s="89">
        <f t="shared" si="1143"/>
        <v>0</v>
      </c>
      <c r="BT534" s="89">
        <f>-BT589</f>
        <v>0</v>
      </c>
      <c r="BU534" s="89">
        <f>-BU589</f>
        <v>0</v>
      </c>
      <c r="BV534" s="89">
        <f>-BV589</f>
        <v>0</v>
      </c>
      <c r="BW534" s="519"/>
    </row>
    <row r="535" spans="1:75" s="439" customFormat="1">
      <c r="A535" s="31" t="str">
        <f t="shared" si="1113"/>
        <v>Purchase of cost-method investment</v>
      </c>
      <c r="B535" s="518"/>
      <c r="C535" s="89">
        <f t="shared" si="1114"/>
        <v>0</v>
      </c>
      <c r="D535" s="89">
        <f t="shared" si="1114"/>
        <v>0</v>
      </c>
      <c r="E535" s="89">
        <f t="shared" si="1114"/>
        <v>0</v>
      </c>
      <c r="F535" s="89">
        <f t="shared" si="1114"/>
        <v>0</v>
      </c>
      <c r="G535" s="518">
        <f t="shared" si="1114"/>
        <v>0</v>
      </c>
      <c r="H535" s="518">
        <f t="shared" si="1115"/>
        <v>0</v>
      </c>
      <c r="I535" s="518">
        <f t="shared" si="1115"/>
        <v>0</v>
      </c>
      <c r="J535" s="518">
        <f t="shared" si="1115"/>
        <v>0</v>
      </c>
      <c r="K535" s="89">
        <f t="shared" si="1116"/>
        <v>0</v>
      </c>
      <c r="L535" s="518">
        <f t="shared" si="1116"/>
        <v>0</v>
      </c>
      <c r="M535" s="518">
        <f t="shared" si="1117"/>
        <v>0</v>
      </c>
      <c r="N535" s="518">
        <f t="shared" si="1117"/>
        <v>0</v>
      </c>
      <c r="O535" s="518">
        <f t="shared" si="1117"/>
        <v>0</v>
      </c>
      <c r="P535" s="89">
        <f t="shared" si="1118"/>
        <v>0</v>
      </c>
      <c r="Q535" s="518">
        <f t="shared" si="1118"/>
        <v>0</v>
      </c>
      <c r="R535" s="518">
        <f t="shared" si="1119"/>
        <v>0</v>
      </c>
      <c r="S535" s="518">
        <f t="shared" si="1119"/>
        <v>0</v>
      </c>
      <c r="T535" s="518">
        <f t="shared" si="1119"/>
        <v>0</v>
      </c>
      <c r="U535" s="89">
        <f t="shared" si="1120"/>
        <v>0</v>
      </c>
      <c r="V535" s="518">
        <f t="shared" si="1120"/>
        <v>0</v>
      </c>
      <c r="W535" s="518">
        <f t="shared" si="1121"/>
        <v>0</v>
      </c>
      <c r="X535" s="518">
        <f t="shared" si="1121"/>
        <v>-8</v>
      </c>
      <c r="Y535" s="518">
        <f t="shared" si="1121"/>
        <v>0</v>
      </c>
      <c r="Z535" s="89">
        <f t="shared" si="1122"/>
        <v>-8</v>
      </c>
      <c r="AA535" s="518">
        <f t="shared" si="1122"/>
        <v>0</v>
      </c>
      <c r="AB535" s="518">
        <f t="shared" si="1123"/>
        <v>0</v>
      </c>
      <c r="AC535" s="518">
        <f t="shared" si="1123"/>
        <v>0</v>
      </c>
      <c r="AD535" s="518">
        <f t="shared" si="1123"/>
        <v>0</v>
      </c>
      <c r="AE535" s="89">
        <f t="shared" si="1124"/>
        <v>0</v>
      </c>
      <c r="AF535" s="518">
        <f t="shared" si="1124"/>
        <v>0</v>
      </c>
      <c r="AG535" s="518">
        <f t="shared" si="1125"/>
        <v>0</v>
      </c>
      <c r="AH535" s="518">
        <f t="shared" si="1125"/>
        <v>0</v>
      </c>
      <c r="AI535" s="518">
        <f t="shared" si="1125"/>
        <v>0</v>
      </c>
      <c r="AJ535" s="89">
        <f t="shared" si="1126"/>
        <v>0</v>
      </c>
      <c r="AK535" s="518">
        <f t="shared" si="1126"/>
        <v>0</v>
      </c>
      <c r="AL535" s="518">
        <f t="shared" si="1127"/>
        <v>0</v>
      </c>
      <c r="AM535" s="518">
        <f t="shared" si="1127"/>
        <v>0</v>
      </c>
      <c r="AN535" s="518">
        <f t="shared" si="1127"/>
        <v>0</v>
      </c>
      <c r="AO535" s="89">
        <f t="shared" si="1128"/>
        <v>0</v>
      </c>
      <c r="AP535" s="518">
        <f t="shared" si="1128"/>
        <v>0</v>
      </c>
      <c r="AQ535" s="518">
        <f t="shared" si="1129"/>
        <v>0</v>
      </c>
      <c r="AR535" s="518">
        <f t="shared" si="1129"/>
        <v>0</v>
      </c>
      <c r="AS535" s="518">
        <f t="shared" si="1129"/>
        <v>0</v>
      </c>
      <c r="AT535" s="89">
        <f t="shared" si="1130"/>
        <v>0</v>
      </c>
      <c r="AU535" s="518">
        <f t="shared" si="1130"/>
        <v>0</v>
      </c>
      <c r="AV535" s="518">
        <f t="shared" si="1131"/>
        <v>0</v>
      </c>
      <c r="AW535" s="518">
        <f t="shared" si="1131"/>
        <v>0</v>
      </c>
      <c r="AX535" s="518">
        <f t="shared" si="1131"/>
        <v>0</v>
      </c>
      <c r="AY535" s="89">
        <f t="shared" si="1132"/>
        <v>0</v>
      </c>
      <c r="AZ535" s="518">
        <f t="shared" si="1132"/>
        <v>0</v>
      </c>
      <c r="BA535" s="518">
        <f t="shared" si="1133"/>
        <v>0</v>
      </c>
      <c r="BB535" s="518">
        <f t="shared" si="1133"/>
        <v>0</v>
      </c>
      <c r="BC535" s="518">
        <f t="shared" si="1133"/>
        <v>0</v>
      </c>
      <c r="BD535" s="89">
        <f t="shared" si="1134"/>
        <v>0</v>
      </c>
      <c r="BE535" s="518">
        <f t="shared" si="1134"/>
        <v>0</v>
      </c>
      <c r="BF535" s="518">
        <f t="shared" si="1135"/>
        <v>0</v>
      </c>
      <c r="BG535" s="518">
        <f t="shared" si="1136"/>
        <v>0</v>
      </c>
      <c r="BH535" s="518">
        <f t="shared" si="1137"/>
        <v>0</v>
      </c>
      <c r="BI535" s="89">
        <f t="shared" si="1138"/>
        <v>0</v>
      </c>
      <c r="BJ535" s="518">
        <f t="shared" si="1139"/>
        <v>0</v>
      </c>
      <c r="BK535" s="518">
        <f t="shared" si="1140"/>
        <v>0</v>
      </c>
      <c r="BL535" s="520">
        <f t="shared" si="1141"/>
        <v>0</v>
      </c>
      <c r="BM535" s="518"/>
      <c r="BN535" s="89">
        <f t="shared" si="1142"/>
        <v>0</v>
      </c>
      <c r="BO535" s="518"/>
      <c r="BP535" s="518"/>
      <c r="BQ535" s="518"/>
      <c r="BR535" s="518"/>
      <c r="BS535" s="89">
        <f t="shared" si="1143"/>
        <v>0</v>
      </c>
      <c r="BT535" s="89"/>
      <c r="BU535" s="89"/>
      <c r="BV535" s="89"/>
      <c r="BW535" s="519"/>
    </row>
    <row r="536" spans="1:75" s="439" customFormat="1">
      <c r="A536" s="31" t="str">
        <f t="shared" si="1113"/>
        <v>Proceeds from sale of property and equipment</v>
      </c>
      <c r="B536" s="518"/>
      <c r="C536" s="89">
        <f t="shared" si="1114"/>
        <v>0</v>
      </c>
      <c r="D536" s="89">
        <f t="shared" si="1114"/>
        <v>0</v>
      </c>
      <c r="E536" s="89">
        <f t="shared" si="1114"/>
        <v>0</v>
      </c>
      <c r="F536" s="89">
        <f t="shared" si="1114"/>
        <v>0</v>
      </c>
      <c r="G536" s="518">
        <f t="shared" si="1114"/>
        <v>0</v>
      </c>
      <c r="H536" s="518">
        <f t="shared" si="1115"/>
        <v>0</v>
      </c>
      <c r="I536" s="518">
        <f t="shared" si="1115"/>
        <v>0</v>
      </c>
      <c r="J536" s="518">
        <f t="shared" si="1115"/>
        <v>0</v>
      </c>
      <c r="K536" s="89">
        <f t="shared" si="1116"/>
        <v>0</v>
      </c>
      <c r="L536" s="518">
        <f t="shared" si="1116"/>
        <v>0</v>
      </c>
      <c r="M536" s="518">
        <f t="shared" si="1117"/>
        <v>1.4E-2</v>
      </c>
      <c r="N536" s="518">
        <f t="shared" si="1117"/>
        <v>0</v>
      </c>
      <c r="O536" s="518">
        <f t="shared" si="1117"/>
        <v>0</v>
      </c>
      <c r="P536" s="89">
        <f t="shared" si="1118"/>
        <v>1.4E-2</v>
      </c>
      <c r="Q536" s="518">
        <f t="shared" si="1118"/>
        <v>9.7000000000000003E-2</v>
      </c>
      <c r="R536" s="518">
        <f t="shared" si="1119"/>
        <v>1.1999999999999997E-2</v>
      </c>
      <c r="S536" s="518">
        <f t="shared" si="1119"/>
        <v>0</v>
      </c>
      <c r="T536" s="518">
        <f t="shared" si="1119"/>
        <v>2.5000000000000008E-2</v>
      </c>
      <c r="U536" s="89">
        <f t="shared" si="1120"/>
        <v>0.13400000000000001</v>
      </c>
      <c r="V536" s="518">
        <f t="shared" si="1120"/>
        <v>0</v>
      </c>
      <c r="W536" s="518">
        <f t="shared" si="1121"/>
        <v>3.4000000000000002E-2</v>
      </c>
      <c r="X536" s="518">
        <f t="shared" si="1121"/>
        <v>4.2999999999999997E-2</v>
      </c>
      <c r="Y536" s="518">
        <f t="shared" si="1121"/>
        <v>1.0999999999999996E-2</v>
      </c>
      <c r="Z536" s="89">
        <f t="shared" si="1122"/>
        <v>8.7999999999999995E-2</v>
      </c>
      <c r="AA536" s="518">
        <f t="shared" si="1122"/>
        <v>0</v>
      </c>
      <c r="AB536" s="518">
        <f t="shared" si="1123"/>
        <v>0</v>
      </c>
      <c r="AC536" s="518">
        <f t="shared" si="1123"/>
        <v>0</v>
      </c>
      <c r="AD536" s="518">
        <f t="shared" si="1123"/>
        <v>0</v>
      </c>
      <c r="AE536" s="89">
        <f t="shared" si="1124"/>
        <v>0</v>
      </c>
      <c r="AF536" s="518">
        <f t="shared" si="1124"/>
        <v>0</v>
      </c>
      <c r="AG536" s="518">
        <f t="shared" si="1125"/>
        <v>0</v>
      </c>
      <c r="AH536" s="518">
        <f t="shared" si="1125"/>
        <v>0</v>
      </c>
      <c r="AI536" s="518">
        <f t="shared" si="1125"/>
        <v>0</v>
      </c>
      <c r="AJ536" s="89">
        <f t="shared" si="1126"/>
        <v>0</v>
      </c>
      <c r="AK536" s="518">
        <f t="shared" si="1126"/>
        <v>0</v>
      </c>
      <c r="AL536" s="518">
        <f t="shared" si="1127"/>
        <v>0</v>
      </c>
      <c r="AM536" s="518">
        <f t="shared" si="1127"/>
        <v>0</v>
      </c>
      <c r="AN536" s="518">
        <f t="shared" si="1127"/>
        <v>0</v>
      </c>
      <c r="AO536" s="89">
        <f t="shared" si="1128"/>
        <v>0</v>
      </c>
      <c r="AP536" s="518">
        <f t="shared" si="1128"/>
        <v>0</v>
      </c>
      <c r="AQ536" s="518">
        <f t="shared" si="1129"/>
        <v>0</v>
      </c>
      <c r="AR536" s="518">
        <f t="shared" si="1129"/>
        <v>0</v>
      </c>
      <c r="AS536" s="518">
        <f t="shared" si="1129"/>
        <v>0</v>
      </c>
      <c r="AT536" s="89">
        <f t="shared" si="1130"/>
        <v>0</v>
      </c>
      <c r="AU536" s="518">
        <f t="shared" si="1130"/>
        <v>0</v>
      </c>
      <c r="AV536" s="518">
        <f t="shared" si="1131"/>
        <v>0</v>
      </c>
      <c r="AW536" s="518">
        <f t="shared" si="1131"/>
        <v>0</v>
      </c>
      <c r="AX536" s="518">
        <f t="shared" si="1131"/>
        <v>0</v>
      </c>
      <c r="AY536" s="89">
        <f t="shared" si="1132"/>
        <v>0</v>
      </c>
      <c r="AZ536" s="518">
        <f t="shared" si="1132"/>
        <v>0</v>
      </c>
      <c r="BA536" s="518">
        <f t="shared" si="1133"/>
        <v>0</v>
      </c>
      <c r="BB536" s="518">
        <f t="shared" si="1133"/>
        <v>0</v>
      </c>
      <c r="BC536" s="518">
        <f t="shared" si="1133"/>
        <v>0</v>
      </c>
      <c r="BD536" s="89">
        <f t="shared" si="1134"/>
        <v>0</v>
      </c>
      <c r="BE536" s="518">
        <f t="shared" si="1134"/>
        <v>0</v>
      </c>
      <c r="BF536" s="518">
        <f t="shared" si="1135"/>
        <v>0</v>
      </c>
      <c r="BG536" s="518">
        <f t="shared" si="1136"/>
        <v>0</v>
      </c>
      <c r="BH536" s="518">
        <f t="shared" si="1137"/>
        <v>0</v>
      </c>
      <c r="BI536" s="89">
        <f t="shared" si="1138"/>
        <v>0</v>
      </c>
      <c r="BJ536" s="518">
        <f t="shared" si="1139"/>
        <v>0</v>
      </c>
      <c r="BK536" s="518">
        <f t="shared" si="1140"/>
        <v>0</v>
      </c>
      <c r="BL536" s="520">
        <f t="shared" si="1141"/>
        <v>0</v>
      </c>
      <c r="BM536" s="518">
        <f>BM373</f>
        <v>0</v>
      </c>
      <c r="BN536" s="89">
        <f t="shared" si="1142"/>
        <v>0</v>
      </c>
      <c r="BO536" s="518">
        <f>BO373</f>
        <v>0</v>
      </c>
      <c r="BP536" s="518">
        <f>BP373</f>
        <v>0</v>
      </c>
      <c r="BQ536" s="518">
        <f>BQ373</f>
        <v>0</v>
      </c>
      <c r="BR536" s="518">
        <f>BR373</f>
        <v>0</v>
      </c>
      <c r="BS536" s="89">
        <f t="shared" si="1143"/>
        <v>0</v>
      </c>
      <c r="BT536" s="89">
        <f>BT373</f>
        <v>0</v>
      </c>
      <c r="BU536" s="89">
        <f>BU373</f>
        <v>0</v>
      </c>
      <c r="BV536" s="89">
        <f>BV373</f>
        <v>0</v>
      </c>
      <c r="BW536" s="519"/>
    </row>
    <row r="537" spans="1:75" s="439" customFormat="1">
      <c r="A537" s="31" t="str">
        <f t="shared" si="1113"/>
        <v>Goodwill measurement period adjustment</v>
      </c>
      <c r="B537" s="518"/>
      <c r="C537" s="89">
        <f t="shared" si="1114"/>
        <v>0</v>
      </c>
      <c r="D537" s="89">
        <f t="shared" si="1114"/>
        <v>0</v>
      </c>
      <c r="E537" s="89">
        <f t="shared" si="1114"/>
        <v>0</v>
      </c>
      <c r="F537" s="89">
        <f t="shared" si="1114"/>
        <v>0</v>
      </c>
      <c r="G537" s="518">
        <f t="shared" si="1114"/>
        <v>0</v>
      </c>
      <c r="H537" s="518">
        <f t="shared" si="1115"/>
        <v>1.153</v>
      </c>
      <c r="I537" s="518">
        <f t="shared" si="1115"/>
        <v>0</v>
      </c>
      <c r="J537" s="518">
        <f t="shared" si="1115"/>
        <v>0</v>
      </c>
      <c r="K537" s="89">
        <f t="shared" si="1116"/>
        <v>1.153</v>
      </c>
      <c r="L537" s="518">
        <f t="shared" si="1116"/>
        <v>0</v>
      </c>
      <c r="M537" s="518">
        <f t="shared" si="1117"/>
        <v>0</v>
      </c>
      <c r="N537" s="518">
        <f t="shared" si="1117"/>
        <v>0</v>
      </c>
      <c r="O537" s="518">
        <f t="shared" si="1117"/>
        <v>0</v>
      </c>
      <c r="P537" s="89">
        <f t="shared" si="1118"/>
        <v>0</v>
      </c>
      <c r="Q537" s="518">
        <f t="shared" si="1118"/>
        <v>0</v>
      </c>
      <c r="R537" s="518">
        <f t="shared" si="1119"/>
        <v>0</v>
      </c>
      <c r="S537" s="518">
        <f t="shared" si="1119"/>
        <v>0</v>
      </c>
      <c r="T537" s="518">
        <f t="shared" si="1119"/>
        <v>0</v>
      </c>
      <c r="U537" s="89">
        <f t="shared" si="1120"/>
        <v>0</v>
      </c>
      <c r="V537" s="518">
        <f t="shared" si="1120"/>
        <v>0</v>
      </c>
      <c r="W537" s="518">
        <f t="shared" si="1121"/>
        <v>0</v>
      </c>
      <c r="X537" s="518">
        <f t="shared" si="1121"/>
        <v>0</v>
      </c>
      <c r="Y537" s="518">
        <f t="shared" si="1121"/>
        <v>0</v>
      </c>
      <c r="Z537" s="89">
        <f t="shared" si="1122"/>
        <v>0</v>
      </c>
      <c r="AA537" s="518">
        <f t="shared" si="1122"/>
        <v>0</v>
      </c>
      <c r="AB537" s="518">
        <f t="shared" si="1123"/>
        <v>0</v>
      </c>
      <c r="AC537" s="518">
        <f t="shared" si="1123"/>
        <v>0</v>
      </c>
      <c r="AD537" s="518">
        <f t="shared" si="1123"/>
        <v>0</v>
      </c>
      <c r="AE537" s="89">
        <f t="shared" si="1124"/>
        <v>0</v>
      </c>
      <c r="AF537" s="518">
        <f t="shared" si="1124"/>
        <v>0</v>
      </c>
      <c r="AG537" s="518">
        <f t="shared" si="1125"/>
        <v>0</v>
      </c>
      <c r="AH537" s="518">
        <f t="shared" si="1125"/>
        <v>0</v>
      </c>
      <c r="AI537" s="518">
        <f t="shared" si="1125"/>
        <v>0</v>
      </c>
      <c r="AJ537" s="89">
        <f t="shared" si="1126"/>
        <v>0</v>
      </c>
      <c r="AK537" s="518">
        <f t="shared" si="1126"/>
        <v>0</v>
      </c>
      <c r="AL537" s="518">
        <f t="shared" si="1127"/>
        <v>0</v>
      </c>
      <c r="AM537" s="518">
        <f t="shared" si="1127"/>
        <v>0</v>
      </c>
      <c r="AN537" s="518">
        <f t="shared" si="1127"/>
        <v>0</v>
      </c>
      <c r="AO537" s="89">
        <f t="shared" si="1128"/>
        <v>0</v>
      </c>
      <c r="AP537" s="518">
        <f t="shared" si="1128"/>
        <v>0</v>
      </c>
      <c r="AQ537" s="518">
        <f t="shared" si="1129"/>
        <v>0</v>
      </c>
      <c r="AR537" s="518">
        <f t="shared" si="1129"/>
        <v>0</v>
      </c>
      <c r="AS537" s="518">
        <f t="shared" si="1129"/>
        <v>0</v>
      </c>
      <c r="AT537" s="89">
        <f t="shared" si="1130"/>
        <v>0</v>
      </c>
      <c r="AU537" s="518">
        <f t="shared" si="1130"/>
        <v>0</v>
      </c>
      <c r="AV537" s="518">
        <f t="shared" si="1131"/>
        <v>0</v>
      </c>
      <c r="AW537" s="518">
        <f t="shared" si="1131"/>
        <v>0</v>
      </c>
      <c r="AX537" s="518">
        <f t="shared" si="1131"/>
        <v>0</v>
      </c>
      <c r="AY537" s="89">
        <f t="shared" si="1132"/>
        <v>0</v>
      </c>
      <c r="AZ537" s="518">
        <f t="shared" si="1132"/>
        <v>0</v>
      </c>
      <c r="BA537" s="518">
        <f t="shared" si="1133"/>
        <v>0</v>
      </c>
      <c r="BB537" s="518">
        <f t="shared" si="1133"/>
        <v>0</v>
      </c>
      <c r="BC537" s="518">
        <f t="shared" si="1133"/>
        <v>0</v>
      </c>
      <c r="BD537" s="89">
        <f t="shared" si="1134"/>
        <v>0</v>
      </c>
      <c r="BE537" s="518">
        <f t="shared" si="1134"/>
        <v>0</v>
      </c>
      <c r="BF537" s="518">
        <f t="shared" si="1135"/>
        <v>0</v>
      </c>
      <c r="BG537" s="518">
        <f t="shared" si="1136"/>
        <v>0</v>
      </c>
      <c r="BH537" s="518">
        <f t="shared" si="1137"/>
        <v>0</v>
      </c>
      <c r="BI537" s="89">
        <f t="shared" si="1138"/>
        <v>0</v>
      </c>
      <c r="BJ537" s="518">
        <f t="shared" si="1139"/>
        <v>0</v>
      </c>
      <c r="BK537" s="518">
        <f t="shared" si="1140"/>
        <v>0</v>
      </c>
      <c r="BL537" s="520">
        <f t="shared" si="1141"/>
        <v>0</v>
      </c>
      <c r="BM537" s="518"/>
      <c r="BN537" s="89">
        <f t="shared" si="1142"/>
        <v>0</v>
      </c>
      <c r="BO537" s="518"/>
      <c r="BP537" s="518"/>
      <c r="BQ537" s="518"/>
      <c r="BR537" s="518"/>
      <c r="BS537" s="89">
        <f t="shared" si="1143"/>
        <v>0</v>
      </c>
      <c r="BT537" s="89"/>
      <c r="BU537" s="89"/>
      <c r="BV537" s="89"/>
      <c r="BW537" s="519"/>
    </row>
    <row r="538" spans="1:75" s="439" customFormat="1">
      <c r="A538" s="31" t="str">
        <f t="shared" si="1113"/>
        <v>Other investing activities</v>
      </c>
      <c r="B538" s="518"/>
      <c r="C538" s="89">
        <f t="shared" si="1114"/>
        <v>0</v>
      </c>
      <c r="D538" s="89">
        <f t="shared" si="1114"/>
        <v>0</v>
      </c>
      <c r="E538" s="89">
        <f t="shared" si="1114"/>
        <v>0</v>
      </c>
      <c r="F538" s="89">
        <f t="shared" si="1114"/>
        <v>0</v>
      </c>
      <c r="G538" s="518">
        <f t="shared" si="1114"/>
        <v>0</v>
      </c>
      <c r="H538" s="518">
        <f t="shared" si="1115"/>
        <v>0</v>
      </c>
      <c r="I538" s="518">
        <f t="shared" si="1115"/>
        <v>0</v>
      </c>
      <c r="J538" s="518">
        <f t="shared" si="1115"/>
        <v>0</v>
      </c>
      <c r="K538" s="89">
        <f t="shared" si="1116"/>
        <v>0</v>
      </c>
      <c r="L538" s="518">
        <f t="shared" si="1116"/>
        <v>0</v>
      </c>
      <c r="M538" s="518">
        <f t="shared" si="1117"/>
        <v>0</v>
      </c>
      <c r="N538" s="518">
        <f t="shared" si="1117"/>
        <v>0</v>
      </c>
      <c r="O538" s="518">
        <f t="shared" si="1117"/>
        <v>0</v>
      </c>
      <c r="P538" s="89">
        <f t="shared" si="1118"/>
        <v>0</v>
      </c>
      <c r="Q538" s="518">
        <f t="shared" si="1118"/>
        <v>0</v>
      </c>
      <c r="R538" s="518">
        <f t="shared" si="1119"/>
        <v>0</v>
      </c>
      <c r="S538" s="518">
        <f t="shared" si="1119"/>
        <v>0</v>
      </c>
      <c r="T538" s="518">
        <f t="shared" si="1119"/>
        <v>0</v>
      </c>
      <c r="U538" s="89">
        <f t="shared" si="1120"/>
        <v>0</v>
      </c>
      <c r="V538" s="518">
        <f t="shared" si="1120"/>
        <v>0</v>
      </c>
      <c r="W538" s="518">
        <f t="shared" si="1121"/>
        <v>0</v>
      </c>
      <c r="X538" s="518">
        <f t="shared" si="1121"/>
        <v>0</v>
      </c>
      <c r="Y538" s="518">
        <f t="shared" si="1121"/>
        <v>0</v>
      </c>
      <c r="Z538" s="89">
        <f t="shared" si="1122"/>
        <v>0</v>
      </c>
      <c r="AA538" s="518">
        <f t="shared" si="1122"/>
        <v>0</v>
      </c>
      <c r="AB538" s="518">
        <f t="shared" si="1123"/>
        <v>0</v>
      </c>
      <c r="AC538" s="518">
        <f t="shared" si="1123"/>
        <v>6.9000000000000006E-2</v>
      </c>
      <c r="AD538" s="518">
        <f t="shared" si="1123"/>
        <v>8.7999999999999995E-2</v>
      </c>
      <c r="AE538" s="89">
        <f t="shared" si="1124"/>
        <v>0.157</v>
      </c>
      <c r="AF538" s="518">
        <f t="shared" si="1124"/>
        <v>2.7E-2</v>
      </c>
      <c r="AG538" s="518">
        <f t="shared" si="1125"/>
        <v>7.0000000000000027E-3</v>
      </c>
      <c r="AH538" s="518">
        <f t="shared" si="1125"/>
        <v>0.03</v>
      </c>
      <c r="AI538" s="518">
        <f t="shared" si="1125"/>
        <v>0.18099999999999999</v>
      </c>
      <c r="AJ538" s="89">
        <f t="shared" si="1126"/>
        <v>0.245</v>
      </c>
      <c r="AK538" s="518">
        <f t="shared" si="1126"/>
        <v>0.215</v>
      </c>
      <c r="AL538" s="518">
        <f t="shared" si="1127"/>
        <v>6.1000000000000026E-2</v>
      </c>
      <c r="AM538" s="518">
        <f t="shared" si="1127"/>
        <v>0.10699999999999998</v>
      </c>
      <c r="AN538" s="518">
        <f t="shared" si="1127"/>
        <v>7.8000000000000014E-2</v>
      </c>
      <c r="AO538" s="89">
        <f t="shared" si="1128"/>
        <v>0.46100000000000002</v>
      </c>
      <c r="AP538" s="518">
        <f t="shared" si="1128"/>
        <v>0.29499999999999998</v>
      </c>
      <c r="AQ538" s="518">
        <f t="shared" si="1129"/>
        <v>3.3000000000000029E-2</v>
      </c>
      <c r="AR538" s="518">
        <f t="shared" si="1129"/>
        <v>1.0000000000000009E-3</v>
      </c>
      <c r="AS538" s="518">
        <f t="shared" si="1129"/>
        <v>4.0000000000000036E-3</v>
      </c>
      <c r="AT538" s="89">
        <f t="shared" si="1130"/>
        <v>0.33300000000000002</v>
      </c>
      <c r="AU538" s="518">
        <f t="shared" si="1130"/>
        <v>2.9000000000000001E-2</v>
      </c>
      <c r="AV538" s="518">
        <f t="shared" si="1131"/>
        <v>6.0999999999999999E-2</v>
      </c>
      <c r="AW538" s="518">
        <f t="shared" si="1131"/>
        <v>0.251</v>
      </c>
      <c r="AX538" s="518">
        <f t="shared" si="1131"/>
        <v>0.29099999999999998</v>
      </c>
      <c r="AY538" s="89">
        <f t="shared" si="1132"/>
        <v>0.63200000000000001</v>
      </c>
      <c r="AZ538" s="518">
        <f t="shared" si="1132"/>
        <v>6.0999999999999999E-2</v>
      </c>
      <c r="BA538" s="518">
        <f t="shared" si="1133"/>
        <v>-4.1999999999999996E-2</v>
      </c>
      <c r="BB538" s="518">
        <f t="shared" si="1133"/>
        <v>2.3999999999999997E-2</v>
      </c>
      <c r="BC538" s="518">
        <f t="shared" si="1133"/>
        <v>5.1000000000000004E-2</v>
      </c>
      <c r="BD538" s="89">
        <f t="shared" si="1134"/>
        <v>9.4E-2</v>
      </c>
      <c r="BE538" s="518">
        <f t="shared" si="1134"/>
        <v>0.04</v>
      </c>
      <c r="BF538" s="518">
        <f t="shared" si="1135"/>
        <v>0.10599999999999998</v>
      </c>
      <c r="BG538" s="518">
        <f t="shared" si="1136"/>
        <v>1.4000000000000012E-2</v>
      </c>
      <c r="BH538" s="518">
        <f t="shared" si="1137"/>
        <v>3.5000000000000003E-2</v>
      </c>
      <c r="BI538" s="89">
        <f t="shared" si="1138"/>
        <v>0.19500000000000001</v>
      </c>
      <c r="BJ538" s="518">
        <f t="shared" si="1139"/>
        <v>0.109</v>
      </c>
      <c r="BK538" s="518">
        <f t="shared" si="1140"/>
        <v>0.125</v>
      </c>
      <c r="BL538" s="520">
        <f t="shared" si="1141"/>
        <v>3.4000000000000002E-2</v>
      </c>
      <c r="BM538" s="518"/>
      <c r="BN538" s="89">
        <f t="shared" si="1142"/>
        <v>0.26800000000000002</v>
      </c>
      <c r="BO538" s="518"/>
      <c r="BP538" s="518"/>
      <c r="BQ538" s="518"/>
      <c r="BR538" s="518"/>
      <c r="BS538" s="89">
        <f t="shared" si="1143"/>
        <v>0</v>
      </c>
      <c r="BT538" s="89"/>
      <c r="BU538" s="89"/>
      <c r="BV538" s="89"/>
      <c r="BW538" s="519"/>
    </row>
    <row r="539" spans="1:75" s="439" customFormat="1">
      <c r="A539" s="31" t="str">
        <f t="shared" si="1113"/>
        <v>Sale of a business, net of cash sold</v>
      </c>
      <c r="B539" s="518"/>
      <c r="C539" s="89">
        <f t="shared" si="1114"/>
        <v>0</v>
      </c>
      <c r="D539" s="89">
        <f t="shared" si="1114"/>
        <v>0</v>
      </c>
      <c r="E539" s="89">
        <f t="shared" si="1114"/>
        <v>0</v>
      </c>
      <c r="F539" s="89">
        <f t="shared" si="1114"/>
        <v>0</v>
      </c>
      <c r="G539" s="518">
        <f t="shared" si="1114"/>
        <v>0</v>
      </c>
      <c r="H539" s="518">
        <f t="shared" si="1115"/>
        <v>0</v>
      </c>
      <c r="I539" s="518">
        <f t="shared" si="1115"/>
        <v>0</v>
      </c>
      <c r="J539" s="518">
        <f t="shared" si="1115"/>
        <v>0</v>
      </c>
      <c r="K539" s="89">
        <f t="shared" si="1116"/>
        <v>0</v>
      </c>
      <c r="L539" s="518">
        <f t="shared" si="1116"/>
        <v>0</v>
      </c>
      <c r="M539" s="518">
        <f t="shared" si="1117"/>
        <v>0</v>
      </c>
      <c r="N539" s="518">
        <f t="shared" si="1117"/>
        <v>0</v>
      </c>
      <c r="O539" s="518">
        <f t="shared" si="1117"/>
        <v>0</v>
      </c>
      <c r="P539" s="89">
        <f t="shared" si="1118"/>
        <v>0</v>
      </c>
      <c r="Q539" s="518">
        <f t="shared" si="1118"/>
        <v>0</v>
      </c>
      <c r="R539" s="518">
        <f t="shared" si="1119"/>
        <v>0</v>
      </c>
      <c r="S539" s="518">
        <f t="shared" si="1119"/>
        <v>0</v>
      </c>
      <c r="T539" s="518">
        <f t="shared" si="1119"/>
        <v>0</v>
      </c>
      <c r="U539" s="89">
        <f t="shared" si="1120"/>
        <v>0</v>
      </c>
      <c r="V539" s="518">
        <f t="shared" si="1120"/>
        <v>0</v>
      </c>
      <c r="W539" s="518">
        <f t="shared" si="1121"/>
        <v>0</v>
      </c>
      <c r="X539" s="518">
        <f t="shared" si="1121"/>
        <v>0</v>
      </c>
      <c r="Y539" s="518">
        <f t="shared" si="1121"/>
        <v>0</v>
      </c>
      <c r="Z539" s="89">
        <f t="shared" si="1122"/>
        <v>0</v>
      </c>
      <c r="AA539" s="518">
        <f t="shared" si="1122"/>
        <v>0</v>
      </c>
      <c r="AB539" s="518">
        <f t="shared" si="1123"/>
        <v>0</v>
      </c>
      <c r="AC539" s="518">
        <f t="shared" si="1123"/>
        <v>0</v>
      </c>
      <c r="AD539" s="518">
        <f t="shared" si="1123"/>
        <v>252.66300000000001</v>
      </c>
      <c r="AE539" s="89">
        <f t="shared" si="1124"/>
        <v>252.66300000000001</v>
      </c>
      <c r="AF539" s="518">
        <f t="shared" si="1124"/>
        <v>0</v>
      </c>
      <c r="AG539" s="518">
        <f t="shared" si="1125"/>
        <v>0</v>
      </c>
      <c r="AH539" s="518">
        <f t="shared" si="1125"/>
        <v>0</v>
      </c>
      <c r="AI539" s="518">
        <f t="shared" si="1125"/>
        <v>0</v>
      </c>
      <c r="AJ539" s="89">
        <f t="shared" si="1126"/>
        <v>0</v>
      </c>
      <c r="AK539" s="518">
        <f t="shared" si="1126"/>
        <v>0</v>
      </c>
      <c r="AL539" s="518">
        <f t="shared" si="1127"/>
        <v>0</v>
      </c>
      <c r="AM539" s="518">
        <f t="shared" si="1127"/>
        <v>0</v>
      </c>
      <c r="AN539" s="518">
        <f t="shared" si="1127"/>
        <v>0</v>
      </c>
      <c r="AO539" s="89">
        <f t="shared" si="1128"/>
        <v>0</v>
      </c>
      <c r="AP539" s="518">
        <f t="shared" si="1128"/>
        <v>0</v>
      </c>
      <c r="AQ539" s="518">
        <f t="shared" si="1129"/>
        <v>0</v>
      </c>
      <c r="AR539" s="518">
        <f t="shared" si="1129"/>
        <v>0</v>
      </c>
      <c r="AS539" s="518">
        <f t="shared" si="1129"/>
        <v>0</v>
      </c>
      <c r="AT539" s="89">
        <f t="shared" si="1130"/>
        <v>0</v>
      </c>
      <c r="AU539" s="518">
        <f t="shared" si="1130"/>
        <v>0</v>
      </c>
      <c r="AV539" s="518">
        <f t="shared" si="1131"/>
        <v>0</v>
      </c>
      <c r="AW539" s="518">
        <f t="shared" si="1131"/>
        <v>0</v>
      </c>
      <c r="AX539" s="518">
        <f t="shared" si="1131"/>
        <v>0</v>
      </c>
      <c r="AY539" s="89">
        <f t="shared" si="1132"/>
        <v>0</v>
      </c>
      <c r="AZ539" s="518">
        <f t="shared" si="1132"/>
        <v>0</v>
      </c>
      <c r="BA539" s="518">
        <f t="shared" si="1133"/>
        <v>0</v>
      </c>
      <c r="BB539" s="518">
        <f t="shared" si="1133"/>
        <v>0</v>
      </c>
      <c r="BC539" s="518">
        <f t="shared" si="1133"/>
        <v>0</v>
      </c>
      <c r="BD539" s="89">
        <f t="shared" si="1134"/>
        <v>0</v>
      </c>
      <c r="BE539" s="518">
        <f t="shared" si="1134"/>
        <v>0</v>
      </c>
      <c r="BF539" s="518">
        <f t="shared" si="1135"/>
        <v>0</v>
      </c>
      <c r="BG539" s="518">
        <f t="shared" si="1136"/>
        <v>0</v>
      </c>
      <c r="BH539" s="518">
        <f t="shared" si="1137"/>
        <v>0</v>
      </c>
      <c r="BI539" s="89">
        <f t="shared" si="1138"/>
        <v>0</v>
      </c>
      <c r="BJ539" s="518">
        <f t="shared" si="1139"/>
        <v>0</v>
      </c>
      <c r="BK539" s="518">
        <f t="shared" si="1140"/>
        <v>0</v>
      </c>
      <c r="BL539" s="520">
        <f t="shared" si="1141"/>
        <v>0</v>
      </c>
      <c r="BM539" s="518"/>
      <c r="BN539" s="89">
        <f t="shared" si="1142"/>
        <v>0</v>
      </c>
      <c r="BO539" s="518"/>
      <c r="BP539" s="518"/>
      <c r="BQ539" s="518"/>
      <c r="BR539" s="518"/>
      <c r="BS539" s="89">
        <f t="shared" si="1143"/>
        <v>0</v>
      </c>
      <c r="BT539" s="89"/>
      <c r="BU539" s="89"/>
      <c r="BV539" s="89"/>
      <c r="BW539" s="519"/>
    </row>
    <row r="540" spans="1:75" s="439" customFormat="1">
      <c r="A540" s="31" t="str">
        <f t="shared" si="1113"/>
        <v>Purchases of other investments</v>
      </c>
      <c r="B540" s="518"/>
      <c r="C540" s="89">
        <f t="shared" si="1114"/>
        <v>0</v>
      </c>
      <c r="D540" s="89">
        <f t="shared" si="1114"/>
        <v>0</v>
      </c>
      <c r="E540" s="89">
        <f t="shared" si="1114"/>
        <v>0</v>
      </c>
      <c r="F540" s="89">
        <f t="shared" si="1114"/>
        <v>0</v>
      </c>
      <c r="G540" s="518">
        <f t="shared" si="1114"/>
        <v>0</v>
      </c>
      <c r="H540" s="518">
        <f t="shared" si="1115"/>
        <v>0</v>
      </c>
      <c r="I540" s="518">
        <f t="shared" si="1115"/>
        <v>0</v>
      </c>
      <c r="J540" s="518">
        <f t="shared" si="1115"/>
        <v>0</v>
      </c>
      <c r="K540" s="89">
        <f t="shared" si="1116"/>
        <v>0</v>
      </c>
      <c r="L540" s="518">
        <f t="shared" si="1116"/>
        <v>0</v>
      </c>
      <c r="M540" s="518">
        <f t="shared" si="1117"/>
        <v>0</v>
      </c>
      <c r="N540" s="518">
        <f t="shared" si="1117"/>
        <v>0</v>
      </c>
      <c r="O540" s="518">
        <f t="shared" si="1117"/>
        <v>0</v>
      </c>
      <c r="P540" s="89">
        <f t="shared" si="1118"/>
        <v>0</v>
      </c>
      <c r="Q540" s="518">
        <f t="shared" si="1118"/>
        <v>0</v>
      </c>
      <c r="R540" s="518">
        <f t="shared" si="1119"/>
        <v>0</v>
      </c>
      <c r="S540" s="518">
        <f t="shared" si="1119"/>
        <v>0</v>
      </c>
      <c r="T540" s="518">
        <f t="shared" si="1119"/>
        <v>0</v>
      </c>
      <c r="U540" s="89">
        <f t="shared" si="1120"/>
        <v>0</v>
      </c>
      <c r="V540" s="518">
        <f t="shared" si="1120"/>
        <v>0</v>
      </c>
      <c r="W540" s="518">
        <f t="shared" si="1121"/>
        <v>0</v>
      </c>
      <c r="X540" s="518">
        <f t="shared" si="1121"/>
        <v>0</v>
      </c>
      <c r="Y540" s="518">
        <f t="shared" si="1121"/>
        <v>0</v>
      </c>
      <c r="Z540" s="89">
        <f t="shared" si="1122"/>
        <v>0</v>
      </c>
      <c r="AA540" s="518">
        <f t="shared" si="1122"/>
        <v>0</v>
      </c>
      <c r="AB540" s="518">
        <f t="shared" si="1123"/>
        <v>0</v>
      </c>
      <c r="AC540" s="518">
        <f t="shared" si="1123"/>
        <v>0</v>
      </c>
      <c r="AD540" s="518">
        <f t="shared" si="1123"/>
        <v>0</v>
      </c>
      <c r="AE540" s="89">
        <f t="shared" si="1124"/>
        <v>0</v>
      </c>
      <c r="AF540" s="518">
        <f t="shared" si="1124"/>
        <v>0</v>
      </c>
      <c r="AG540" s="518">
        <f t="shared" si="1125"/>
        <v>0</v>
      </c>
      <c r="AH540" s="518">
        <f t="shared" si="1125"/>
        <v>0</v>
      </c>
      <c r="AI540" s="518">
        <f t="shared" si="1125"/>
        <v>0</v>
      </c>
      <c r="AJ540" s="89">
        <f t="shared" si="1126"/>
        <v>0</v>
      </c>
      <c r="AK540" s="518">
        <f t="shared" si="1126"/>
        <v>0</v>
      </c>
      <c r="AL540" s="518">
        <f t="shared" si="1127"/>
        <v>0</v>
      </c>
      <c r="AM540" s="518">
        <f t="shared" si="1127"/>
        <v>0</v>
      </c>
      <c r="AN540" s="518">
        <f t="shared" si="1127"/>
        <v>0</v>
      </c>
      <c r="AO540" s="89">
        <f t="shared" si="1128"/>
        <v>0</v>
      </c>
      <c r="AP540" s="518">
        <f t="shared" si="1128"/>
        <v>0</v>
      </c>
      <c r="AQ540" s="518">
        <f t="shared" si="1129"/>
        <v>0</v>
      </c>
      <c r="AR540" s="518">
        <f t="shared" si="1129"/>
        <v>0</v>
      </c>
      <c r="AS540" s="518">
        <f t="shared" si="1129"/>
        <v>-10</v>
      </c>
      <c r="AT540" s="89">
        <f t="shared" si="1130"/>
        <v>-10</v>
      </c>
      <c r="AU540" s="518">
        <f t="shared" si="1130"/>
        <v>0</v>
      </c>
      <c r="AV540" s="518">
        <f t="shared" si="1131"/>
        <v>0</v>
      </c>
      <c r="AW540" s="518">
        <f t="shared" si="1131"/>
        <v>0</v>
      </c>
      <c r="AX540" s="518">
        <f t="shared" si="1131"/>
        <v>0</v>
      </c>
      <c r="AY540" s="89">
        <f t="shared" si="1132"/>
        <v>0</v>
      </c>
      <c r="AZ540" s="518">
        <f t="shared" si="1132"/>
        <v>0</v>
      </c>
      <c r="BA540" s="518">
        <f t="shared" si="1133"/>
        <v>0</v>
      </c>
      <c r="BB540" s="518">
        <f t="shared" si="1133"/>
        <v>0</v>
      </c>
      <c r="BC540" s="518">
        <f t="shared" si="1133"/>
        <v>0</v>
      </c>
      <c r="BD540" s="89">
        <f t="shared" si="1134"/>
        <v>0</v>
      </c>
      <c r="BE540" s="518">
        <f t="shared" si="1134"/>
        <v>0</v>
      </c>
      <c r="BF540" s="518">
        <f t="shared" si="1135"/>
        <v>0</v>
      </c>
      <c r="BG540" s="518">
        <f t="shared" si="1136"/>
        <v>0</v>
      </c>
      <c r="BH540" s="518">
        <f t="shared" si="1137"/>
        <v>0</v>
      </c>
      <c r="BI540" s="89">
        <f t="shared" si="1138"/>
        <v>0</v>
      </c>
      <c r="BJ540" s="518">
        <f t="shared" si="1139"/>
        <v>-2.5</v>
      </c>
      <c r="BK540" s="518">
        <f t="shared" si="1140"/>
        <v>0</v>
      </c>
      <c r="BL540" s="520">
        <f t="shared" si="1141"/>
        <v>0</v>
      </c>
      <c r="BM540" s="518"/>
      <c r="BN540" s="89">
        <f t="shared" si="1142"/>
        <v>-2.5</v>
      </c>
      <c r="BO540" s="518"/>
      <c r="BP540" s="518"/>
      <c r="BQ540" s="518"/>
      <c r="BR540" s="518"/>
      <c r="BS540" s="89">
        <f t="shared" si="1143"/>
        <v>0</v>
      </c>
      <c r="BT540" s="89"/>
      <c r="BU540" s="89"/>
      <c r="BV540" s="89"/>
      <c r="BW540" s="519"/>
    </row>
    <row r="541" spans="1:75" s="439" customFormat="1">
      <c r="A541" s="31" t="str">
        <f t="shared" si="1113"/>
        <v>Sales and maturities of marketable securities - available for sale</v>
      </c>
      <c r="B541" s="518"/>
      <c r="C541" s="89">
        <f t="shared" si="1114"/>
        <v>0</v>
      </c>
      <c r="D541" s="89">
        <f t="shared" si="1114"/>
        <v>0</v>
      </c>
      <c r="E541" s="89">
        <f t="shared" si="1114"/>
        <v>0</v>
      </c>
      <c r="F541" s="89">
        <f t="shared" si="1114"/>
        <v>0</v>
      </c>
      <c r="G541" s="518">
        <f t="shared" si="1114"/>
        <v>0</v>
      </c>
      <c r="H541" s="518">
        <f t="shared" si="1115"/>
        <v>0</v>
      </c>
      <c r="I541" s="518">
        <f t="shared" si="1115"/>
        <v>0</v>
      </c>
      <c r="J541" s="518">
        <f t="shared" si="1115"/>
        <v>0</v>
      </c>
      <c r="K541" s="89">
        <f t="shared" si="1116"/>
        <v>0</v>
      </c>
      <c r="L541" s="518">
        <f t="shared" si="1116"/>
        <v>0</v>
      </c>
      <c r="M541" s="518">
        <f t="shared" si="1117"/>
        <v>0</v>
      </c>
      <c r="N541" s="518">
        <f t="shared" si="1117"/>
        <v>0</v>
      </c>
      <c r="O541" s="518">
        <f t="shared" si="1117"/>
        <v>0</v>
      </c>
      <c r="P541" s="89">
        <f t="shared" si="1118"/>
        <v>0</v>
      </c>
      <c r="Q541" s="518">
        <f t="shared" si="1118"/>
        <v>0</v>
      </c>
      <c r="R541" s="518">
        <f t="shared" si="1119"/>
        <v>0</v>
      </c>
      <c r="S541" s="518">
        <f t="shared" si="1119"/>
        <v>0</v>
      </c>
      <c r="T541" s="518">
        <f t="shared" si="1119"/>
        <v>0</v>
      </c>
      <c r="U541" s="89">
        <f t="shared" si="1120"/>
        <v>0</v>
      </c>
      <c r="V541" s="518">
        <f t="shared" si="1120"/>
        <v>0</v>
      </c>
      <c r="W541" s="518">
        <f t="shared" si="1121"/>
        <v>0</v>
      </c>
      <c r="X541" s="518">
        <f t="shared" si="1121"/>
        <v>0</v>
      </c>
      <c r="Y541" s="518">
        <f t="shared" si="1121"/>
        <v>0</v>
      </c>
      <c r="Z541" s="89">
        <f t="shared" si="1122"/>
        <v>0</v>
      </c>
      <c r="AA541" s="518">
        <f t="shared" si="1122"/>
        <v>0</v>
      </c>
      <c r="AB541" s="518">
        <f t="shared" si="1123"/>
        <v>0</v>
      </c>
      <c r="AC541" s="518">
        <f t="shared" si="1123"/>
        <v>0</v>
      </c>
      <c r="AD541" s="518">
        <f t="shared" si="1123"/>
        <v>0</v>
      </c>
      <c r="AE541" s="89">
        <f t="shared" si="1124"/>
        <v>0</v>
      </c>
      <c r="AF541" s="518">
        <f t="shared" si="1124"/>
        <v>0</v>
      </c>
      <c r="AG541" s="518">
        <f t="shared" si="1125"/>
        <v>0</v>
      </c>
      <c r="AH541" s="518">
        <f t="shared" si="1125"/>
        <v>0</v>
      </c>
      <c r="AI541" s="518">
        <f t="shared" si="1125"/>
        <v>0</v>
      </c>
      <c r="AJ541" s="89">
        <f t="shared" si="1126"/>
        <v>0</v>
      </c>
      <c r="AK541" s="518">
        <f t="shared" si="1126"/>
        <v>0</v>
      </c>
      <c r="AL541" s="518">
        <f t="shared" si="1127"/>
        <v>0</v>
      </c>
      <c r="AM541" s="518">
        <f t="shared" si="1127"/>
        <v>0</v>
      </c>
      <c r="AN541" s="518">
        <f t="shared" si="1127"/>
        <v>0</v>
      </c>
      <c r="AO541" s="89">
        <f t="shared" si="1128"/>
        <v>0</v>
      </c>
      <c r="AP541" s="518">
        <f t="shared" si="1128"/>
        <v>164.215</v>
      </c>
      <c r="AQ541" s="518">
        <f t="shared" si="1129"/>
        <v>126.17999999999998</v>
      </c>
      <c r="AR541" s="518">
        <f t="shared" si="1129"/>
        <v>0</v>
      </c>
      <c r="AS541" s="518">
        <f t="shared" si="1129"/>
        <v>0</v>
      </c>
      <c r="AT541" s="89">
        <f t="shared" si="1130"/>
        <v>290.39499999999998</v>
      </c>
      <c r="AU541" s="518">
        <f t="shared" si="1130"/>
        <v>0</v>
      </c>
      <c r="AV541" s="518">
        <f t="shared" si="1131"/>
        <v>0</v>
      </c>
      <c r="AW541" s="518">
        <f t="shared" si="1131"/>
        <v>0</v>
      </c>
      <c r="AX541" s="518">
        <f t="shared" si="1131"/>
        <v>0</v>
      </c>
      <c r="AY541" s="89">
        <f t="shared" si="1132"/>
        <v>0</v>
      </c>
      <c r="AZ541" s="518">
        <f t="shared" si="1132"/>
        <v>0</v>
      </c>
      <c r="BA541" s="518">
        <f t="shared" si="1133"/>
        <v>0</v>
      </c>
      <c r="BB541" s="518">
        <f t="shared" si="1133"/>
        <v>1.649</v>
      </c>
      <c r="BC541" s="518">
        <f t="shared" si="1133"/>
        <v>31.171999999999997</v>
      </c>
      <c r="BD541" s="89">
        <f t="shared" si="1134"/>
        <v>32.820999999999998</v>
      </c>
      <c r="BE541" s="518">
        <f t="shared" si="1134"/>
        <v>23.355</v>
      </c>
      <c r="BF541" s="518">
        <f t="shared" si="1135"/>
        <v>27.257999999999999</v>
      </c>
      <c r="BG541" s="518">
        <f t="shared" si="1136"/>
        <v>39</v>
      </c>
      <c r="BH541" s="518">
        <f t="shared" si="1137"/>
        <v>28.302999999999997</v>
      </c>
      <c r="BI541" s="89">
        <f t="shared" si="1138"/>
        <v>117.916</v>
      </c>
      <c r="BJ541" s="518">
        <f t="shared" si="1139"/>
        <v>25.395</v>
      </c>
      <c r="BK541" s="518">
        <f t="shared" si="1140"/>
        <v>23.7</v>
      </c>
      <c r="BL541" s="520">
        <f t="shared" si="1141"/>
        <v>34.284999999999997</v>
      </c>
      <c r="BM541" s="518"/>
      <c r="BN541" s="89">
        <f t="shared" si="1142"/>
        <v>83.38</v>
      </c>
      <c r="BO541" s="518"/>
      <c r="BP541" s="518"/>
      <c r="BQ541" s="518"/>
      <c r="BR541" s="518"/>
      <c r="BS541" s="89">
        <f t="shared" si="1143"/>
        <v>0</v>
      </c>
      <c r="BT541" s="89"/>
      <c r="BU541" s="89"/>
      <c r="BV541" s="89"/>
      <c r="BW541" s="519"/>
    </row>
    <row r="542" spans="1:75" s="439" customFormat="1">
      <c r="A542" s="31" t="str">
        <f t="shared" si="1113"/>
        <v>Purchases of marketable securities</v>
      </c>
      <c r="B542" s="518"/>
      <c r="C542" s="89">
        <f t="shared" si="1114"/>
        <v>-1</v>
      </c>
      <c r="D542" s="89">
        <f t="shared" si="1114"/>
        <v>0</v>
      </c>
      <c r="E542" s="89">
        <f t="shared" si="1114"/>
        <v>0</v>
      </c>
      <c r="F542" s="89">
        <f t="shared" si="1114"/>
        <v>0</v>
      </c>
      <c r="G542" s="518">
        <f t="shared" si="1114"/>
        <v>0</v>
      </c>
      <c r="H542" s="518">
        <f t="shared" si="1115"/>
        <v>0</v>
      </c>
      <c r="I542" s="518">
        <f t="shared" si="1115"/>
        <v>0</v>
      </c>
      <c r="J542" s="518">
        <f t="shared" si="1115"/>
        <v>0</v>
      </c>
      <c r="K542" s="89">
        <f t="shared" si="1116"/>
        <v>0</v>
      </c>
      <c r="L542" s="518">
        <f t="shared" si="1116"/>
        <v>0</v>
      </c>
      <c r="M542" s="518">
        <f t="shared" si="1117"/>
        <v>-122.226</v>
      </c>
      <c r="N542" s="518">
        <f t="shared" si="1117"/>
        <v>-26.13300000000001</v>
      </c>
      <c r="O542" s="518">
        <f t="shared" si="1117"/>
        <v>-62.099999999999994</v>
      </c>
      <c r="P542" s="89">
        <f t="shared" si="1118"/>
        <v>-210.459</v>
      </c>
      <c r="Q542" s="518">
        <f t="shared" si="1118"/>
        <v>-36.119999999999997</v>
      </c>
      <c r="R542" s="518">
        <f t="shared" si="1119"/>
        <v>-57.794000000000004</v>
      </c>
      <c r="S542" s="518">
        <f t="shared" si="1119"/>
        <v>-78.803000000000011</v>
      </c>
      <c r="T542" s="518">
        <f t="shared" si="1119"/>
        <v>-73.442999999999984</v>
      </c>
      <c r="U542" s="89">
        <f t="shared" si="1120"/>
        <v>-246.16</v>
      </c>
      <c r="V542" s="518">
        <f t="shared" si="1120"/>
        <v>-92.100999999999999</v>
      </c>
      <c r="W542" s="518">
        <f t="shared" si="1121"/>
        <v>-69.753000000000014</v>
      </c>
      <c r="X542" s="518">
        <f t="shared" si="1121"/>
        <v>-59.916999999999973</v>
      </c>
      <c r="Y542" s="518">
        <f t="shared" si="1121"/>
        <v>-53.193999999999988</v>
      </c>
      <c r="Z542" s="89">
        <f t="shared" si="1122"/>
        <v>-274.96499999999997</v>
      </c>
      <c r="AA542" s="518">
        <f t="shared" si="1122"/>
        <v>-73.971000000000004</v>
      </c>
      <c r="AB542" s="518">
        <f t="shared" si="1123"/>
        <v>-50.884</v>
      </c>
      <c r="AC542" s="518">
        <f t="shared" si="1123"/>
        <v>-54.701999999999984</v>
      </c>
      <c r="AD542" s="518">
        <f t="shared" si="1123"/>
        <v>-175.33799999999999</v>
      </c>
      <c r="AE542" s="89">
        <f t="shared" si="1124"/>
        <v>-354.89499999999998</v>
      </c>
      <c r="AF542" s="518">
        <f t="shared" si="1124"/>
        <v>-280.89299999999997</v>
      </c>
      <c r="AG542" s="518">
        <f t="shared" si="1125"/>
        <v>-122.43100000000004</v>
      </c>
      <c r="AH542" s="518">
        <f t="shared" si="1125"/>
        <v>-169.464</v>
      </c>
      <c r="AI542" s="518">
        <f t="shared" si="1125"/>
        <v>-178.44899999999996</v>
      </c>
      <c r="AJ542" s="89">
        <f t="shared" si="1126"/>
        <v>-751.23699999999997</v>
      </c>
      <c r="AK542" s="518">
        <f t="shared" si="1126"/>
        <v>-157.56700000000001</v>
      </c>
      <c r="AL542" s="518">
        <f t="shared" si="1127"/>
        <v>-131.53300000000002</v>
      </c>
      <c r="AM542" s="518">
        <f t="shared" si="1127"/>
        <v>-107.548</v>
      </c>
      <c r="AN542" s="518">
        <f t="shared" si="1127"/>
        <v>-144.803</v>
      </c>
      <c r="AO542" s="89">
        <f t="shared" si="1128"/>
        <v>-541.45100000000002</v>
      </c>
      <c r="AP542" s="518">
        <f t="shared" si="1128"/>
        <v>-87.438000000000002</v>
      </c>
      <c r="AQ542" s="518">
        <f t="shared" si="1129"/>
        <v>0</v>
      </c>
      <c r="AR542" s="518">
        <f t="shared" si="1129"/>
        <v>0</v>
      </c>
      <c r="AS542" s="518">
        <f t="shared" si="1129"/>
        <v>0</v>
      </c>
      <c r="AT542" s="89">
        <f t="shared" si="1130"/>
        <v>-87.438000000000002</v>
      </c>
      <c r="AU542" s="518">
        <f t="shared" si="1130"/>
        <v>0</v>
      </c>
      <c r="AV542" s="518">
        <f t="shared" si="1131"/>
        <v>0</v>
      </c>
      <c r="AW542" s="518">
        <f t="shared" si="1131"/>
        <v>0</v>
      </c>
      <c r="AX542" s="518">
        <f t="shared" si="1131"/>
        <v>0</v>
      </c>
      <c r="AY542" s="89">
        <f t="shared" si="1132"/>
        <v>0</v>
      </c>
      <c r="AZ542" s="518">
        <f t="shared" si="1132"/>
        <v>0</v>
      </c>
      <c r="BA542" s="518">
        <f t="shared" si="1133"/>
        <v>0</v>
      </c>
      <c r="BB542" s="518">
        <f t="shared" si="1133"/>
        <v>-92.894999999999996</v>
      </c>
      <c r="BC542" s="518">
        <f t="shared" si="1133"/>
        <v>-34.185000000000002</v>
      </c>
      <c r="BD542" s="89">
        <f t="shared" si="1134"/>
        <v>-127.08</v>
      </c>
      <c r="BE542" s="518">
        <f t="shared" si="1134"/>
        <v>-53.156999999999996</v>
      </c>
      <c r="BF542" s="518">
        <f t="shared" si="1135"/>
        <v>-29.334000000000003</v>
      </c>
      <c r="BG542" s="518">
        <f t="shared" si="1136"/>
        <v>-32.897000000000006</v>
      </c>
      <c r="BH542" s="518">
        <f t="shared" si="1137"/>
        <v>-33.06</v>
      </c>
      <c r="BI542" s="89">
        <f t="shared" si="1138"/>
        <v>-148.44800000000001</v>
      </c>
      <c r="BJ542" s="518">
        <f t="shared" si="1139"/>
        <v>-22.419</v>
      </c>
      <c r="BK542" s="518">
        <f t="shared" si="1140"/>
        <v>-30.882000000000001</v>
      </c>
      <c r="BL542" s="520">
        <f t="shared" si="1141"/>
        <v>-35.950000000000003</v>
      </c>
      <c r="BM542" s="518"/>
      <c r="BN542" s="89">
        <f t="shared" si="1142"/>
        <v>-89.251000000000005</v>
      </c>
      <c r="BO542" s="518"/>
      <c r="BP542" s="518"/>
      <c r="BQ542" s="518"/>
      <c r="BR542" s="518"/>
      <c r="BS542" s="89">
        <f t="shared" si="1143"/>
        <v>0</v>
      </c>
      <c r="BT542" s="89"/>
      <c r="BU542" s="89"/>
      <c r="BV542" s="89"/>
      <c r="BW542" s="519"/>
    </row>
    <row r="543" spans="1:75" s="439" customFormat="1">
      <c r="A543" s="31" t="str">
        <f t="shared" si="1113"/>
        <v>Sale of investment prior to maturity</v>
      </c>
      <c r="B543" s="518"/>
      <c r="C543" s="89">
        <f t="shared" si="1114"/>
        <v>0</v>
      </c>
      <c r="D543" s="89">
        <f t="shared" si="1114"/>
        <v>0</v>
      </c>
      <c r="E543" s="89">
        <f t="shared" si="1114"/>
        <v>0</v>
      </c>
      <c r="F543" s="89">
        <f t="shared" si="1114"/>
        <v>0</v>
      </c>
      <c r="G543" s="518">
        <f t="shared" si="1114"/>
        <v>0</v>
      </c>
      <c r="H543" s="518">
        <f t="shared" si="1115"/>
        <v>0</v>
      </c>
      <c r="I543" s="518">
        <f t="shared" si="1115"/>
        <v>0</v>
      </c>
      <c r="J543" s="518">
        <f t="shared" si="1115"/>
        <v>0</v>
      </c>
      <c r="K543" s="89">
        <f t="shared" si="1116"/>
        <v>0</v>
      </c>
      <c r="L543" s="518">
        <f t="shared" si="1116"/>
        <v>0</v>
      </c>
      <c r="M543" s="518">
        <f t="shared" si="1117"/>
        <v>0</v>
      </c>
      <c r="N543" s="518">
        <f t="shared" si="1117"/>
        <v>0</v>
      </c>
      <c r="O543" s="518">
        <f t="shared" si="1117"/>
        <v>0</v>
      </c>
      <c r="P543" s="89">
        <f t="shared" si="1118"/>
        <v>0</v>
      </c>
      <c r="Q543" s="518">
        <f t="shared" si="1118"/>
        <v>0</v>
      </c>
      <c r="R543" s="518">
        <f t="shared" si="1119"/>
        <v>0</v>
      </c>
      <c r="S543" s="518">
        <f t="shared" si="1119"/>
        <v>0</v>
      </c>
      <c r="T543" s="518">
        <f t="shared" si="1119"/>
        <v>0</v>
      </c>
      <c r="U543" s="89">
        <f t="shared" si="1120"/>
        <v>0</v>
      </c>
      <c r="V543" s="518">
        <f t="shared" si="1120"/>
        <v>0</v>
      </c>
      <c r="W543" s="518">
        <f t="shared" si="1121"/>
        <v>0</v>
      </c>
      <c r="X543" s="518">
        <f t="shared" si="1121"/>
        <v>0</v>
      </c>
      <c r="Y543" s="518">
        <f t="shared" si="1121"/>
        <v>0</v>
      </c>
      <c r="Z543" s="89">
        <f t="shared" si="1122"/>
        <v>0</v>
      </c>
      <c r="AA543" s="518">
        <f t="shared" si="1122"/>
        <v>0</v>
      </c>
      <c r="AB543" s="518">
        <f t="shared" si="1123"/>
        <v>0</v>
      </c>
      <c r="AC543" s="518">
        <f t="shared" si="1123"/>
        <v>0</v>
      </c>
      <c r="AD543" s="518">
        <f t="shared" si="1123"/>
        <v>0</v>
      </c>
      <c r="AE543" s="89">
        <f t="shared" si="1124"/>
        <v>0</v>
      </c>
      <c r="AF543" s="518">
        <f t="shared" si="1124"/>
        <v>0</v>
      </c>
      <c r="AG543" s="518">
        <f t="shared" si="1125"/>
        <v>0</v>
      </c>
      <c r="AH543" s="518">
        <f t="shared" si="1125"/>
        <v>0</v>
      </c>
      <c r="AI543" s="518">
        <f t="shared" si="1125"/>
        <v>17.895</v>
      </c>
      <c r="AJ543" s="89">
        <f t="shared" si="1126"/>
        <v>17.895</v>
      </c>
      <c r="AK543" s="518">
        <f t="shared" si="1126"/>
        <v>0</v>
      </c>
      <c r="AL543" s="518">
        <f t="shared" si="1127"/>
        <v>0</v>
      </c>
      <c r="AM543" s="518">
        <f t="shared" si="1127"/>
        <v>0</v>
      </c>
      <c r="AN543" s="518">
        <f t="shared" si="1127"/>
        <v>0</v>
      </c>
      <c r="AO543" s="89">
        <f t="shared" si="1128"/>
        <v>0</v>
      </c>
      <c r="AP543" s="518">
        <f t="shared" si="1128"/>
        <v>0</v>
      </c>
      <c r="AQ543" s="518">
        <f t="shared" si="1129"/>
        <v>0</v>
      </c>
      <c r="AR543" s="518">
        <f t="shared" si="1129"/>
        <v>0</v>
      </c>
      <c r="AS543" s="518">
        <f t="shared" si="1129"/>
        <v>0</v>
      </c>
      <c r="AT543" s="89">
        <f t="shared" si="1130"/>
        <v>0</v>
      </c>
      <c r="AU543" s="518">
        <f t="shared" si="1130"/>
        <v>0</v>
      </c>
      <c r="AV543" s="518">
        <f t="shared" si="1131"/>
        <v>0</v>
      </c>
      <c r="AW543" s="518">
        <f t="shared" si="1131"/>
        <v>0</v>
      </c>
      <c r="AX543" s="518">
        <f t="shared" si="1131"/>
        <v>0</v>
      </c>
      <c r="AY543" s="89">
        <f t="shared" si="1132"/>
        <v>0</v>
      </c>
      <c r="AZ543" s="518">
        <f t="shared" si="1132"/>
        <v>0</v>
      </c>
      <c r="BA543" s="518">
        <f t="shared" si="1133"/>
        <v>0</v>
      </c>
      <c r="BB543" s="518">
        <f t="shared" si="1133"/>
        <v>0</v>
      </c>
      <c r="BC543" s="518">
        <f t="shared" si="1133"/>
        <v>0</v>
      </c>
      <c r="BD543" s="89">
        <f t="shared" si="1134"/>
        <v>0</v>
      </c>
      <c r="BE543" s="518">
        <f t="shared" si="1134"/>
        <v>0</v>
      </c>
      <c r="BF543" s="518">
        <f t="shared" si="1135"/>
        <v>0</v>
      </c>
      <c r="BG543" s="518">
        <f t="shared" si="1136"/>
        <v>0</v>
      </c>
      <c r="BH543" s="518">
        <f t="shared" si="1137"/>
        <v>0</v>
      </c>
      <c r="BI543" s="89">
        <f t="shared" si="1138"/>
        <v>0</v>
      </c>
      <c r="BJ543" s="518">
        <f t="shared" si="1139"/>
        <v>0</v>
      </c>
      <c r="BK543" s="518">
        <f t="shared" si="1140"/>
        <v>0</v>
      </c>
      <c r="BL543" s="520">
        <f t="shared" si="1141"/>
        <v>0</v>
      </c>
      <c r="BM543" s="518"/>
      <c r="BN543" s="89">
        <f t="shared" si="1142"/>
        <v>0</v>
      </c>
      <c r="BO543" s="518"/>
      <c r="BP543" s="518"/>
      <c r="BQ543" s="518"/>
      <c r="BR543" s="518"/>
      <c r="BS543" s="89">
        <f t="shared" si="1143"/>
        <v>0</v>
      </c>
      <c r="BT543" s="89"/>
      <c r="BU543" s="89"/>
      <c r="BV543" s="89"/>
      <c r="BW543" s="519"/>
    </row>
    <row r="544" spans="1:75" s="439" customFormat="1">
      <c r="A544" s="31" t="str">
        <f t="shared" si="1113"/>
        <v>Maturities of marketable securities</v>
      </c>
      <c r="B544" s="518"/>
      <c r="C544" s="89">
        <f t="shared" si="1114"/>
        <v>3.2909999999999999</v>
      </c>
      <c r="D544" s="89">
        <f t="shared" si="1114"/>
        <v>0</v>
      </c>
      <c r="E544" s="89">
        <f t="shared" si="1114"/>
        <v>0</v>
      </c>
      <c r="F544" s="89">
        <f t="shared" si="1114"/>
        <v>0</v>
      </c>
      <c r="G544" s="518">
        <f t="shared" si="1114"/>
        <v>0</v>
      </c>
      <c r="H544" s="518">
        <f t="shared" si="1115"/>
        <v>0</v>
      </c>
      <c r="I544" s="518">
        <f t="shared" si="1115"/>
        <v>0</v>
      </c>
      <c r="J544" s="518">
        <f t="shared" si="1115"/>
        <v>0</v>
      </c>
      <c r="K544" s="89">
        <f t="shared" si="1116"/>
        <v>0</v>
      </c>
      <c r="L544" s="518">
        <f t="shared" si="1116"/>
        <v>0</v>
      </c>
      <c r="M544" s="518">
        <f t="shared" si="1117"/>
        <v>0</v>
      </c>
      <c r="N544" s="518">
        <f t="shared" si="1117"/>
        <v>21</v>
      </c>
      <c r="O544" s="518">
        <f t="shared" si="1117"/>
        <v>32.002000000000002</v>
      </c>
      <c r="P544" s="89">
        <f t="shared" si="1118"/>
        <v>53.002000000000002</v>
      </c>
      <c r="Q544" s="518">
        <f t="shared" si="1118"/>
        <v>18.25</v>
      </c>
      <c r="R544" s="518">
        <f t="shared" si="1119"/>
        <v>45.62</v>
      </c>
      <c r="S544" s="518">
        <f t="shared" si="1119"/>
        <v>68</v>
      </c>
      <c r="T544" s="518">
        <f t="shared" si="1119"/>
        <v>71</v>
      </c>
      <c r="U544" s="89">
        <f t="shared" si="1120"/>
        <v>202.87</v>
      </c>
      <c r="V544" s="518">
        <f t="shared" si="1120"/>
        <v>90.5</v>
      </c>
      <c r="W544" s="518">
        <f t="shared" si="1121"/>
        <v>62</v>
      </c>
      <c r="X544" s="518">
        <f t="shared" si="1121"/>
        <v>60</v>
      </c>
      <c r="Y544" s="518">
        <f t="shared" si="1121"/>
        <v>53</v>
      </c>
      <c r="Z544" s="89">
        <f t="shared" si="1122"/>
        <v>265.5</v>
      </c>
      <c r="AA544" s="518">
        <f t="shared" si="1122"/>
        <v>68</v>
      </c>
      <c r="AB544" s="518">
        <f t="shared" si="1123"/>
        <v>72</v>
      </c>
      <c r="AC544" s="518">
        <f t="shared" si="1123"/>
        <v>51</v>
      </c>
      <c r="AD544" s="518">
        <f t="shared" si="1123"/>
        <v>73</v>
      </c>
      <c r="AE544" s="89">
        <f t="shared" si="1124"/>
        <v>264</v>
      </c>
      <c r="AF544" s="518">
        <f t="shared" si="1124"/>
        <v>143</v>
      </c>
      <c r="AG544" s="518">
        <f t="shared" si="1125"/>
        <v>147</v>
      </c>
      <c r="AH544" s="518">
        <f t="shared" si="1125"/>
        <v>170.8</v>
      </c>
      <c r="AI544" s="518">
        <f t="shared" si="1125"/>
        <v>152.90000000000003</v>
      </c>
      <c r="AJ544" s="89">
        <f t="shared" si="1126"/>
        <v>613.70000000000005</v>
      </c>
      <c r="AK544" s="518">
        <f t="shared" si="1126"/>
        <v>201.49700000000001</v>
      </c>
      <c r="AL544" s="518">
        <f t="shared" si="1127"/>
        <v>195.7</v>
      </c>
      <c r="AM544" s="518">
        <f t="shared" si="1127"/>
        <v>133.39999999999998</v>
      </c>
      <c r="AN544" s="518">
        <f t="shared" si="1127"/>
        <v>143.5</v>
      </c>
      <c r="AO544" s="89">
        <f t="shared" si="1128"/>
        <v>674.09699999999998</v>
      </c>
      <c r="AP544" s="518">
        <f t="shared" si="1128"/>
        <v>93.2</v>
      </c>
      <c r="AQ544" s="518">
        <f t="shared" si="1129"/>
        <v>0</v>
      </c>
      <c r="AR544" s="518">
        <f t="shared" si="1129"/>
        <v>0</v>
      </c>
      <c r="AS544" s="518">
        <f t="shared" si="1129"/>
        <v>0</v>
      </c>
      <c r="AT544" s="89">
        <f t="shared" si="1130"/>
        <v>93.2</v>
      </c>
      <c r="AU544" s="518">
        <f t="shared" si="1130"/>
        <v>0</v>
      </c>
      <c r="AV544" s="518">
        <f t="shared" si="1131"/>
        <v>0</v>
      </c>
      <c r="AW544" s="518">
        <f t="shared" si="1131"/>
        <v>0</v>
      </c>
      <c r="AX544" s="518">
        <f t="shared" si="1131"/>
        <v>0</v>
      </c>
      <c r="AY544" s="89">
        <f t="shared" si="1132"/>
        <v>0</v>
      </c>
      <c r="AZ544" s="518">
        <f t="shared" si="1132"/>
        <v>0</v>
      </c>
      <c r="BA544" s="518">
        <f t="shared" si="1133"/>
        <v>0</v>
      </c>
      <c r="BB544" s="518">
        <f t="shared" si="1133"/>
        <v>0</v>
      </c>
      <c r="BC544" s="518">
        <f t="shared" si="1133"/>
        <v>0</v>
      </c>
      <c r="BD544" s="89">
        <f t="shared" si="1134"/>
        <v>0</v>
      </c>
      <c r="BE544" s="518">
        <f t="shared" si="1134"/>
        <v>0</v>
      </c>
      <c r="BF544" s="518">
        <f t="shared" si="1135"/>
        <v>0</v>
      </c>
      <c r="BG544" s="518">
        <f t="shared" si="1136"/>
        <v>0</v>
      </c>
      <c r="BH544" s="518">
        <f t="shared" si="1137"/>
        <v>2.5</v>
      </c>
      <c r="BI544" s="89">
        <f t="shared" si="1138"/>
        <v>2.5</v>
      </c>
      <c r="BJ544" s="518">
        <f t="shared" si="1139"/>
        <v>0</v>
      </c>
      <c r="BK544" s="518">
        <f t="shared" si="1140"/>
        <v>0</v>
      </c>
      <c r="BL544" s="520">
        <f t="shared" si="1141"/>
        <v>0</v>
      </c>
      <c r="BM544" s="518"/>
      <c r="BN544" s="89">
        <f t="shared" si="1142"/>
        <v>0</v>
      </c>
      <c r="BO544" s="518"/>
      <c r="BP544" s="518"/>
      <c r="BQ544" s="518"/>
      <c r="BR544" s="518"/>
      <c r="BS544" s="89">
        <f t="shared" si="1143"/>
        <v>0</v>
      </c>
      <c r="BT544" s="89"/>
      <c r="BU544" s="89"/>
      <c r="BV544" s="89"/>
      <c r="BW544" s="519"/>
    </row>
    <row r="545" spans="1:75" s="444" customFormat="1">
      <c r="A545" s="18" t="str">
        <f t="shared" si="1113"/>
        <v>Net CFI</v>
      </c>
      <c r="B545" s="49"/>
      <c r="C545" s="676">
        <f t="shared" ref="C545:AH545" si="1144">SUM(C530:C544)</f>
        <v>0.77499999999999991</v>
      </c>
      <c r="D545" s="676">
        <f t="shared" si="1144"/>
        <v>-4.8000000000000007</v>
      </c>
      <c r="E545" s="676">
        <f t="shared" si="1144"/>
        <v>-7.4530000000000003</v>
      </c>
      <c r="F545" s="676">
        <f t="shared" si="1144"/>
        <v>-40.591999999999999</v>
      </c>
      <c r="G545" s="560">
        <f t="shared" si="1144"/>
        <v>-1.9119999999999999</v>
      </c>
      <c r="H545" s="560">
        <f t="shared" si="1144"/>
        <v>-5.8079999999999998</v>
      </c>
      <c r="I545" s="560">
        <f t="shared" si="1144"/>
        <v>-7.7640000000000002</v>
      </c>
      <c r="J545" s="560">
        <f t="shared" si="1144"/>
        <v>-3.3429999999999973</v>
      </c>
      <c r="K545" s="676">
        <f t="shared" si="1144"/>
        <v>-18.826999999999998</v>
      </c>
      <c r="L545" s="560">
        <f t="shared" si="1144"/>
        <v>-6.2350000000000012</v>
      </c>
      <c r="M545" s="560">
        <f t="shared" si="1144"/>
        <v>-127.913</v>
      </c>
      <c r="N545" s="560">
        <f t="shared" si="1144"/>
        <v>-24.999000000000009</v>
      </c>
      <c r="O545" s="560">
        <f t="shared" si="1144"/>
        <v>-69.526999999999987</v>
      </c>
      <c r="P545" s="676">
        <f t="shared" si="1144"/>
        <v>-228.67399999999998</v>
      </c>
      <c r="Q545" s="560">
        <f t="shared" si="1144"/>
        <v>-103.715</v>
      </c>
      <c r="R545" s="560">
        <f t="shared" si="1144"/>
        <v>-22.354999999999997</v>
      </c>
      <c r="S545" s="560">
        <f t="shared" si="1144"/>
        <v>-21.089000000000013</v>
      </c>
      <c r="T545" s="560">
        <f t="shared" si="1144"/>
        <v>-11.522999999999982</v>
      </c>
      <c r="U545" s="676">
        <f t="shared" si="1144"/>
        <v>-158.68200000000002</v>
      </c>
      <c r="V545" s="560">
        <f t="shared" si="1144"/>
        <v>-13.191000000000003</v>
      </c>
      <c r="W545" s="560">
        <f t="shared" si="1144"/>
        <v>-16.542000000000016</v>
      </c>
      <c r="X545" s="560">
        <f t="shared" si="1144"/>
        <v>-16.85899999999998</v>
      </c>
      <c r="Y545" s="560">
        <f t="shared" si="1144"/>
        <v>-8.9799999999999898</v>
      </c>
      <c r="Z545" s="676">
        <f t="shared" si="1144"/>
        <v>-55.572000000000003</v>
      </c>
      <c r="AA545" s="560">
        <f t="shared" si="1144"/>
        <v>-43.435000000000002</v>
      </c>
      <c r="AB545" s="560">
        <f t="shared" si="1144"/>
        <v>-4.0150000000000006</v>
      </c>
      <c r="AC545" s="560">
        <f t="shared" si="1144"/>
        <v>-11.709999999999987</v>
      </c>
      <c r="AD545" s="560">
        <f t="shared" si="1144"/>
        <v>140.29600000000002</v>
      </c>
      <c r="AE545" s="676">
        <f t="shared" si="1144"/>
        <v>81.136000000000024</v>
      </c>
      <c r="AF545" s="560">
        <f t="shared" si="1144"/>
        <v>-153.49099999999999</v>
      </c>
      <c r="AG545" s="560">
        <f t="shared" si="1144"/>
        <v>15.043999999999954</v>
      </c>
      <c r="AH545" s="560">
        <f t="shared" si="1144"/>
        <v>-7.4139999999999873</v>
      </c>
      <c r="AI545" s="560">
        <f t="shared" ref="AI545:AQ545" si="1145">SUM(AI530:AI544)</f>
        <v>-18.507999999999925</v>
      </c>
      <c r="AJ545" s="676">
        <f t="shared" si="1145"/>
        <v>-164.36899999999991</v>
      </c>
      <c r="AK545" s="560">
        <f t="shared" si="1145"/>
        <v>35.153999999999996</v>
      </c>
      <c r="AL545" s="560">
        <f t="shared" si="1145"/>
        <v>82.754999999999967</v>
      </c>
      <c r="AM545" s="560">
        <f t="shared" si="1145"/>
        <v>15.222999999999971</v>
      </c>
      <c r="AN545" s="560">
        <f t="shared" si="1145"/>
        <v>-8.796999999999997</v>
      </c>
      <c r="AO545" s="676">
        <f t="shared" si="1145"/>
        <v>124.33499999999992</v>
      </c>
      <c r="AP545" s="560">
        <f t="shared" si="1145"/>
        <v>163.21899999999999</v>
      </c>
      <c r="AQ545" s="560">
        <f t="shared" si="1145"/>
        <v>116.26199999999997</v>
      </c>
      <c r="AR545" s="560">
        <f t="shared" ref="AR545:AW545" si="1146">SUM(AR530:AR544)</f>
        <v>-7.0669999999999975</v>
      </c>
      <c r="AS545" s="560">
        <f t="shared" si="1146"/>
        <v>-24.055000000000003</v>
      </c>
      <c r="AT545" s="676">
        <f t="shared" si="1146"/>
        <v>248.35899999999998</v>
      </c>
      <c r="AU545" s="560">
        <f t="shared" si="1146"/>
        <v>-5.976</v>
      </c>
      <c r="AV545" s="560">
        <f t="shared" si="1146"/>
        <v>-7.22</v>
      </c>
      <c r="AW545" s="560">
        <f t="shared" si="1146"/>
        <v>-8.0630000000000024</v>
      </c>
      <c r="AX545" s="560">
        <f t="shared" ref="AX545:BA545" si="1147">SUM(AX530:AX544)</f>
        <v>-6.3909999999999982</v>
      </c>
      <c r="AY545" s="676">
        <f t="shared" si="1147"/>
        <v>-27.65</v>
      </c>
      <c r="AZ545" s="560">
        <f t="shared" si="1147"/>
        <v>-6.5750000000000002</v>
      </c>
      <c r="BA545" s="560">
        <f t="shared" si="1147"/>
        <v>-7.903999999999999</v>
      </c>
      <c r="BB545" s="560">
        <f t="shared" ref="BB545:BN545" si="1148">SUM(BB530:BB544)</f>
        <v>-96.828000000000003</v>
      </c>
      <c r="BC545" s="560">
        <f t="shared" si="1148"/>
        <v>-14.837000000000003</v>
      </c>
      <c r="BD545" s="676">
        <f t="shared" si="1148"/>
        <v>-126.14400000000001</v>
      </c>
      <c r="BE545" s="560">
        <f t="shared" ref="BE545:BM545" si="1149">SUM(BE530:BE544)</f>
        <v>-37.279999999999994</v>
      </c>
      <c r="BF545" s="560">
        <f t="shared" si="1149"/>
        <v>-9.605000000000004</v>
      </c>
      <c r="BG545" s="560">
        <f t="shared" si="1149"/>
        <v>0.4199999999999946</v>
      </c>
      <c r="BH545" s="560">
        <f t="shared" si="1149"/>
        <v>-8.2190000000000047</v>
      </c>
      <c r="BI545" s="676">
        <f t="shared" si="1149"/>
        <v>-54.684000000000012</v>
      </c>
      <c r="BJ545" s="560">
        <f>SUM(BJ530:BJ544)</f>
        <v>-6.402000000000001</v>
      </c>
      <c r="BK545" s="560">
        <f>SUM(BK530:BK544)</f>
        <v>-16.644000000000005</v>
      </c>
      <c r="BL545" s="561">
        <f>SUM(BL530:BL544)</f>
        <v>-11.394000000000005</v>
      </c>
      <c r="BM545" s="560">
        <f t="shared" si="1149"/>
        <v>-11</v>
      </c>
      <c r="BN545" s="676">
        <f t="shared" si="1148"/>
        <v>-45.440000000000012</v>
      </c>
      <c r="BO545" s="560">
        <f t="shared" ref="BO545:BV545" si="1150">SUM(BO530:BO544)</f>
        <v>-10</v>
      </c>
      <c r="BP545" s="560">
        <f t="shared" si="1150"/>
        <v>-10</v>
      </c>
      <c r="BQ545" s="560">
        <f t="shared" si="1150"/>
        <v>-10</v>
      </c>
      <c r="BR545" s="560">
        <f t="shared" si="1150"/>
        <v>-10</v>
      </c>
      <c r="BS545" s="676">
        <f t="shared" si="1150"/>
        <v>-40</v>
      </c>
      <c r="BT545" s="676">
        <f t="shared" si="1150"/>
        <v>-40</v>
      </c>
      <c r="BU545" s="676">
        <f t="shared" si="1150"/>
        <v>-40</v>
      </c>
      <c r="BV545" s="676">
        <f t="shared" si="1150"/>
        <v>-40</v>
      </c>
      <c r="BW545" s="318"/>
    </row>
    <row r="546" spans="1:75" s="444" customFormat="1">
      <c r="A546" s="28"/>
      <c r="B546" s="30"/>
      <c r="C546" s="700"/>
      <c r="D546" s="700"/>
      <c r="E546" s="700"/>
      <c r="F546" s="700"/>
      <c r="G546" s="523"/>
      <c r="H546" s="523"/>
      <c r="I546" s="523"/>
      <c r="J546" s="523"/>
      <c r="K546" s="700"/>
      <c r="L546" s="523"/>
      <c r="M546" s="523"/>
      <c r="N546" s="523"/>
      <c r="O546" s="523"/>
      <c r="P546" s="700"/>
      <c r="Q546" s="523"/>
      <c r="R546" s="523"/>
      <c r="S546" s="523"/>
      <c r="T546" s="523"/>
      <c r="U546" s="700"/>
      <c r="V546" s="523"/>
      <c r="W546" s="523"/>
      <c r="X546" s="523"/>
      <c r="Y546" s="523"/>
      <c r="Z546" s="700"/>
      <c r="AA546" s="523"/>
      <c r="AB546" s="523"/>
      <c r="AC546" s="523"/>
      <c r="AD546" s="523"/>
      <c r="AE546" s="700"/>
      <c r="AF546" s="523"/>
      <c r="AG546" s="523"/>
      <c r="AH546" s="523"/>
      <c r="AI546" s="523"/>
      <c r="AJ546" s="700"/>
      <c r="AK546" s="523"/>
      <c r="AL546" s="523"/>
      <c r="AM546" s="523"/>
      <c r="AN546" s="523"/>
      <c r="AO546" s="700"/>
      <c r="AP546" s="523"/>
      <c r="AQ546" s="523"/>
      <c r="AR546" s="523"/>
      <c r="AS546" s="523"/>
      <c r="AT546" s="700"/>
      <c r="AU546" s="523"/>
      <c r="AV546" s="523"/>
      <c r="AW546" s="523"/>
      <c r="AX546" s="523"/>
      <c r="AY546" s="700"/>
      <c r="AZ546" s="523"/>
      <c r="BA546" s="523"/>
      <c r="BB546" s="523"/>
      <c r="BC546" s="523"/>
      <c r="BD546" s="700"/>
      <c r="BE546" s="523"/>
      <c r="BF546" s="523"/>
      <c r="BG546" s="523"/>
      <c r="BH546" s="523"/>
      <c r="BI546" s="700"/>
      <c r="BJ546" s="523"/>
      <c r="BK546" s="523"/>
      <c r="BL546" s="563"/>
      <c r="BM546" s="523"/>
      <c r="BN546" s="700"/>
      <c r="BO546" s="523"/>
      <c r="BP546" s="523"/>
      <c r="BQ546" s="523"/>
      <c r="BR546" s="523"/>
      <c r="BS546" s="700"/>
      <c r="BT546" s="700"/>
      <c r="BU546" s="700"/>
      <c r="BV546" s="700"/>
      <c r="BW546" s="318"/>
    </row>
    <row r="547" spans="1:75" s="444" customFormat="1">
      <c r="A547" s="28" t="str">
        <f t="shared" ref="A547:A561" si="1151">A478</f>
        <v>CFF</v>
      </c>
      <c r="B547" s="30"/>
      <c r="C547" s="700"/>
      <c r="D547" s="700"/>
      <c r="E547" s="700"/>
      <c r="F547" s="700"/>
      <c r="G547" s="523"/>
      <c r="H547" s="523"/>
      <c r="I547" s="523"/>
      <c r="J547" s="523"/>
      <c r="K547" s="700"/>
      <c r="L547" s="523"/>
      <c r="M547" s="523"/>
      <c r="N547" s="523"/>
      <c r="O547" s="523"/>
      <c r="P547" s="700"/>
      <c r="Q547" s="523"/>
      <c r="R547" s="523"/>
      <c r="S547" s="523"/>
      <c r="T547" s="523"/>
      <c r="U547" s="700"/>
      <c r="V547" s="523"/>
      <c r="W547" s="523"/>
      <c r="X547" s="523"/>
      <c r="Y547" s="523"/>
      <c r="Z547" s="700"/>
      <c r="AA547" s="523"/>
      <c r="AB547" s="523"/>
      <c r="AC547" s="523"/>
      <c r="AD547" s="523"/>
      <c r="AE547" s="700"/>
      <c r="AF547" s="523"/>
      <c r="AG547" s="523"/>
      <c r="AH547" s="523"/>
      <c r="AI547" s="523"/>
      <c r="AJ547" s="700"/>
      <c r="AK547" s="523"/>
      <c r="AL547" s="523"/>
      <c r="AM547" s="523"/>
      <c r="AN547" s="523"/>
      <c r="AO547" s="700"/>
      <c r="AP547" s="523"/>
      <c r="AQ547" s="523"/>
      <c r="AR547" s="523"/>
      <c r="AS547" s="523"/>
      <c r="AT547" s="700"/>
      <c r="AU547" s="523"/>
      <c r="AV547" s="523"/>
      <c r="AW547" s="523"/>
      <c r="AX547" s="523"/>
      <c r="AY547" s="700"/>
      <c r="AZ547" s="523"/>
      <c r="BA547" s="523"/>
      <c r="BB547" s="523"/>
      <c r="BC547" s="523"/>
      <c r="BD547" s="700"/>
      <c r="BE547" s="523"/>
      <c r="BF547" s="523"/>
      <c r="BG547" s="523"/>
      <c r="BH547" s="523"/>
      <c r="BI547" s="700"/>
      <c r="BJ547" s="523"/>
      <c r="BK547" s="523"/>
      <c r="BL547" s="563"/>
      <c r="BM547" s="523"/>
      <c r="BN547" s="700"/>
      <c r="BO547" s="523"/>
      <c r="BP547" s="523"/>
      <c r="BQ547" s="523"/>
      <c r="BR547" s="523"/>
      <c r="BS547" s="700"/>
      <c r="BT547" s="700"/>
      <c r="BU547" s="700"/>
      <c r="BV547" s="700"/>
      <c r="BW547" s="318"/>
    </row>
    <row r="548" spans="1:75" s="439" customFormat="1">
      <c r="A548" s="31" t="str">
        <f t="shared" si="1151"/>
        <v>Issuance of common stock upon exercise of employee stock options</v>
      </c>
      <c r="B548" s="518"/>
      <c r="C548" s="89">
        <f t="shared" ref="C548:G560" si="1152">C479</f>
        <v>0</v>
      </c>
      <c r="D548" s="89">
        <f t="shared" si="1152"/>
        <v>0</v>
      </c>
      <c r="E548" s="89">
        <f t="shared" si="1152"/>
        <v>0</v>
      </c>
      <c r="F548" s="89">
        <f t="shared" si="1152"/>
        <v>0</v>
      </c>
      <c r="G548" s="518">
        <f t="shared" si="1152"/>
        <v>1.657</v>
      </c>
      <c r="H548" s="518">
        <f t="shared" ref="H548:J560" si="1153">H479-G479</f>
        <v>2.9470000000000001</v>
      </c>
      <c r="I548" s="518">
        <f t="shared" si="1153"/>
        <v>5.0979999999999999</v>
      </c>
      <c r="J548" s="518">
        <f t="shared" si="1153"/>
        <v>-9.702</v>
      </c>
      <c r="K548" s="89">
        <f t="shared" ref="K548:L560" si="1154">K479</f>
        <v>0</v>
      </c>
      <c r="L548" s="518">
        <f t="shared" si="1154"/>
        <v>6.7350000000000003</v>
      </c>
      <c r="M548" s="518">
        <f t="shared" ref="M548:O560" si="1155">M479-L479</f>
        <v>4.105999999999999</v>
      </c>
      <c r="N548" s="518">
        <f t="shared" si="1155"/>
        <v>6.4749999999999996</v>
      </c>
      <c r="O548" s="518">
        <f t="shared" si="1155"/>
        <v>-17.315999999999999</v>
      </c>
      <c r="P548" s="89">
        <f t="shared" ref="P548:Q560" si="1156">P479</f>
        <v>0</v>
      </c>
      <c r="Q548" s="518">
        <f t="shared" si="1156"/>
        <v>3.3980000000000001</v>
      </c>
      <c r="R548" s="518">
        <f t="shared" ref="R548:T560" si="1157">R479-Q479</f>
        <v>5.136000000000001</v>
      </c>
      <c r="S548" s="518">
        <f t="shared" si="1157"/>
        <v>1.3549999999999986</v>
      </c>
      <c r="T548" s="518">
        <f t="shared" si="1157"/>
        <v>2.3660000000000014</v>
      </c>
      <c r="U548" s="89">
        <f t="shared" ref="U548:V560" si="1158">U479</f>
        <v>12.255000000000001</v>
      </c>
      <c r="V548" s="518">
        <f t="shared" si="1158"/>
        <v>1.0449999999999999</v>
      </c>
      <c r="W548" s="518">
        <f t="shared" ref="W548:Y560" si="1159">W479-V479</f>
        <v>-1.0449999999999999</v>
      </c>
      <c r="X548" s="518">
        <f t="shared" si="1159"/>
        <v>0</v>
      </c>
      <c r="Y548" s="518">
        <f t="shared" si="1159"/>
        <v>0</v>
      </c>
      <c r="Z548" s="89">
        <f t="shared" ref="Z548:AA560" si="1160">Z479</f>
        <v>0</v>
      </c>
      <c r="AA548" s="518">
        <f t="shared" si="1160"/>
        <v>0</v>
      </c>
      <c r="AB548" s="518">
        <f t="shared" ref="AB548:AD560" si="1161">AB479-AA479</f>
        <v>0</v>
      </c>
      <c r="AC548" s="518">
        <f t="shared" si="1161"/>
        <v>0</v>
      </c>
      <c r="AD548" s="518">
        <f t="shared" si="1161"/>
        <v>0</v>
      </c>
      <c r="AE548" s="89">
        <f t="shared" ref="AE548:AF560" si="1162">AE479</f>
        <v>0</v>
      </c>
      <c r="AF548" s="518">
        <f t="shared" si="1162"/>
        <v>0</v>
      </c>
      <c r="AG548" s="518">
        <f t="shared" ref="AG548:AI560" si="1163">AG479-AF479</f>
        <v>0</v>
      </c>
      <c r="AH548" s="518">
        <f t="shared" si="1163"/>
        <v>0</v>
      </c>
      <c r="AI548" s="518">
        <f t="shared" si="1163"/>
        <v>0</v>
      </c>
      <c r="AJ548" s="89">
        <f t="shared" ref="AJ548:AK560" si="1164">AJ479</f>
        <v>0</v>
      </c>
      <c r="AK548" s="518">
        <f t="shared" si="1164"/>
        <v>0</v>
      </c>
      <c r="AL548" s="518">
        <f t="shared" ref="AL548:AN560" si="1165">AL479-AK479</f>
        <v>0</v>
      </c>
      <c r="AM548" s="518">
        <f t="shared" si="1165"/>
        <v>0</v>
      </c>
      <c r="AN548" s="518">
        <f t="shared" si="1165"/>
        <v>0</v>
      </c>
      <c r="AO548" s="89">
        <f t="shared" ref="AO548:AP560" si="1166">AO479</f>
        <v>0</v>
      </c>
      <c r="AP548" s="518">
        <f t="shared" si="1166"/>
        <v>0</v>
      </c>
      <c r="AQ548" s="518">
        <f t="shared" ref="AQ548:AS560" si="1167">AQ479-AP479</f>
        <v>0</v>
      </c>
      <c r="AR548" s="518">
        <f t="shared" si="1167"/>
        <v>0</v>
      </c>
      <c r="AS548" s="518">
        <f t="shared" si="1167"/>
        <v>0</v>
      </c>
      <c r="AT548" s="89">
        <f t="shared" ref="AT548:AU560" si="1168">AT479</f>
        <v>0</v>
      </c>
      <c r="AU548" s="518">
        <f t="shared" si="1168"/>
        <v>0</v>
      </c>
      <c r="AV548" s="518">
        <f t="shared" ref="AV548:AX560" si="1169">AV479-AU479</f>
        <v>0</v>
      </c>
      <c r="AW548" s="518">
        <f t="shared" si="1169"/>
        <v>0</v>
      </c>
      <c r="AX548" s="518">
        <f t="shared" si="1169"/>
        <v>0</v>
      </c>
      <c r="AY548" s="89">
        <f t="shared" ref="AY548:AZ560" si="1170">AY479</f>
        <v>0</v>
      </c>
      <c r="AZ548" s="518">
        <f t="shared" si="1170"/>
        <v>0</v>
      </c>
      <c r="BA548" s="518">
        <f t="shared" ref="BA548:BC560" si="1171">BA479-AZ479</f>
        <v>0</v>
      </c>
      <c r="BB548" s="518">
        <f t="shared" si="1171"/>
        <v>0</v>
      </c>
      <c r="BC548" s="518">
        <f t="shared" si="1171"/>
        <v>0</v>
      </c>
      <c r="BD548" s="89">
        <f t="shared" ref="BD548:BE560" si="1172">BD479</f>
        <v>0</v>
      </c>
      <c r="BE548" s="518">
        <f t="shared" si="1172"/>
        <v>0</v>
      </c>
      <c r="BF548" s="518">
        <f t="shared" ref="BF548:BF557" si="1173">BF479-BE479</f>
        <v>0</v>
      </c>
      <c r="BG548" s="518">
        <f t="shared" ref="BG548:BG560" si="1174">BG479-BF479</f>
        <v>0</v>
      </c>
      <c r="BH548" s="518">
        <f t="shared" ref="BH548:BH560" si="1175">BH479-BG479</f>
        <v>0</v>
      </c>
      <c r="BI548" s="89">
        <f t="shared" ref="BI548:BI560" si="1176">BI479</f>
        <v>0</v>
      </c>
      <c r="BJ548" s="518">
        <f t="shared" ref="BJ548:BJ560" si="1177">BJ479</f>
        <v>0</v>
      </c>
      <c r="BK548" s="518">
        <f t="shared" ref="BK548:BK560" si="1178">BK479-BJ479</f>
        <v>0</v>
      </c>
      <c r="BL548" s="520">
        <f t="shared" ref="BL548:BL560" si="1179">BL479-BK479</f>
        <v>0</v>
      </c>
      <c r="BM548" s="518"/>
      <c r="BN548" s="89">
        <f t="shared" ref="BN548:BN560" si="1180">SUM(BJ548,BK548,BL548,BM548)</f>
        <v>0</v>
      </c>
      <c r="BO548" s="518"/>
      <c r="BP548" s="518"/>
      <c r="BQ548" s="518"/>
      <c r="BR548" s="518"/>
      <c r="BS548" s="89">
        <f t="shared" ref="BS548:BS560" si="1181">SUM(BO548,BP548,BQ548,BR548)</f>
        <v>0</v>
      </c>
      <c r="BT548" s="89"/>
      <c r="BU548" s="89"/>
      <c r="BV548" s="89"/>
      <c r="BW548" s="519"/>
    </row>
    <row r="549" spans="1:75" s="439" customFormat="1">
      <c r="A549" s="31" t="str">
        <f t="shared" si="1151"/>
        <v>Proceeds from initial public offering, net of underwriter fees</v>
      </c>
      <c r="B549" s="518"/>
      <c r="C549" s="89">
        <f t="shared" si="1152"/>
        <v>0</v>
      </c>
      <c r="D549" s="89">
        <f t="shared" si="1152"/>
        <v>0</v>
      </c>
      <c r="E549" s="89">
        <f t="shared" si="1152"/>
        <v>0</v>
      </c>
      <c r="F549" s="89">
        <f t="shared" si="1152"/>
        <v>114.006</v>
      </c>
      <c r="G549" s="518">
        <f t="shared" si="1152"/>
        <v>0</v>
      </c>
      <c r="H549" s="518">
        <f t="shared" si="1153"/>
        <v>0</v>
      </c>
      <c r="I549" s="518">
        <f t="shared" si="1153"/>
        <v>0</v>
      </c>
      <c r="J549" s="518">
        <f t="shared" si="1153"/>
        <v>0</v>
      </c>
      <c r="K549" s="89">
        <f t="shared" si="1154"/>
        <v>0</v>
      </c>
      <c r="L549" s="518">
        <f t="shared" si="1154"/>
        <v>0</v>
      </c>
      <c r="M549" s="518">
        <f t="shared" si="1155"/>
        <v>0</v>
      </c>
      <c r="N549" s="518">
        <f t="shared" si="1155"/>
        <v>0</v>
      </c>
      <c r="O549" s="518">
        <f t="shared" si="1155"/>
        <v>0</v>
      </c>
      <c r="P549" s="89">
        <f t="shared" si="1156"/>
        <v>0</v>
      </c>
      <c r="Q549" s="518">
        <f t="shared" si="1156"/>
        <v>0</v>
      </c>
      <c r="R549" s="518">
        <f t="shared" si="1157"/>
        <v>0</v>
      </c>
      <c r="S549" s="518">
        <f t="shared" si="1157"/>
        <v>0</v>
      </c>
      <c r="T549" s="518">
        <f t="shared" si="1157"/>
        <v>0</v>
      </c>
      <c r="U549" s="89">
        <f t="shared" si="1158"/>
        <v>0</v>
      </c>
      <c r="V549" s="518">
        <f t="shared" si="1158"/>
        <v>0</v>
      </c>
      <c r="W549" s="518">
        <f t="shared" si="1159"/>
        <v>0</v>
      </c>
      <c r="X549" s="518">
        <f t="shared" si="1159"/>
        <v>0</v>
      </c>
      <c r="Y549" s="518">
        <f t="shared" si="1159"/>
        <v>0</v>
      </c>
      <c r="Z549" s="89">
        <f t="shared" si="1160"/>
        <v>0</v>
      </c>
      <c r="AA549" s="518">
        <f t="shared" si="1160"/>
        <v>0</v>
      </c>
      <c r="AB549" s="518">
        <f t="shared" si="1161"/>
        <v>0</v>
      </c>
      <c r="AC549" s="518">
        <f t="shared" si="1161"/>
        <v>0</v>
      </c>
      <c r="AD549" s="518">
        <f t="shared" si="1161"/>
        <v>0</v>
      </c>
      <c r="AE549" s="89">
        <f t="shared" si="1162"/>
        <v>0</v>
      </c>
      <c r="AF549" s="518">
        <f t="shared" si="1162"/>
        <v>0</v>
      </c>
      <c r="AG549" s="518">
        <f t="shared" si="1163"/>
        <v>0</v>
      </c>
      <c r="AH549" s="518">
        <f t="shared" si="1163"/>
        <v>0</v>
      </c>
      <c r="AI549" s="518">
        <f t="shared" si="1163"/>
        <v>0</v>
      </c>
      <c r="AJ549" s="89">
        <f t="shared" si="1164"/>
        <v>0</v>
      </c>
      <c r="AK549" s="518">
        <f t="shared" si="1164"/>
        <v>0</v>
      </c>
      <c r="AL549" s="518">
        <f t="shared" si="1165"/>
        <v>0</v>
      </c>
      <c r="AM549" s="518">
        <f t="shared" si="1165"/>
        <v>0</v>
      </c>
      <c r="AN549" s="518">
        <f t="shared" si="1165"/>
        <v>0</v>
      </c>
      <c r="AO549" s="89">
        <f t="shared" si="1166"/>
        <v>0</v>
      </c>
      <c r="AP549" s="518">
        <f t="shared" si="1166"/>
        <v>0</v>
      </c>
      <c r="AQ549" s="518">
        <f t="shared" si="1167"/>
        <v>0</v>
      </c>
      <c r="AR549" s="518">
        <f t="shared" si="1167"/>
        <v>0</v>
      </c>
      <c r="AS549" s="518">
        <f t="shared" si="1167"/>
        <v>0</v>
      </c>
      <c r="AT549" s="89">
        <f t="shared" si="1168"/>
        <v>0</v>
      </c>
      <c r="AU549" s="518">
        <f t="shared" si="1168"/>
        <v>0</v>
      </c>
      <c r="AV549" s="518">
        <f t="shared" si="1169"/>
        <v>0</v>
      </c>
      <c r="AW549" s="518">
        <f t="shared" si="1169"/>
        <v>0</v>
      </c>
      <c r="AX549" s="518">
        <f t="shared" si="1169"/>
        <v>0</v>
      </c>
      <c r="AY549" s="89">
        <f t="shared" si="1170"/>
        <v>0</v>
      </c>
      <c r="AZ549" s="518">
        <f t="shared" si="1170"/>
        <v>0</v>
      </c>
      <c r="BA549" s="518">
        <f t="shared" si="1171"/>
        <v>0</v>
      </c>
      <c r="BB549" s="518">
        <f t="shared" si="1171"/>
        <v>0</v>
      </c>
      <c r="BC549" s="518">
        <f t="shared" si="1171"/>
        <v>0</v>
      </c>
      <c r="BD549" s="89">
        <f t="shared" si="1172"/>
        <v>0</v>
      </c>
      <c r="BE549" s="518">
        <f t="shared" si="1172"/>
        <v>0</v>
      </c>
      <c r="BF549" s="518">
        <f t="shared" si="1173"/>
        <v>0</v>
      </c>
      <c r="BG549" s="518">
        <f t="shared" si="1174"/>
        <v>0</v>
      </c>
      <c r="BH549" s="518">
        <f t="shared" si="1175"/>
        <v>0</v>
      </c>
      <c r="BI549" s="89">
        <f t="shared" si="1176"/>
        <v>0</v>
      </c>
      <c r="BJ549" s="518">
        <f t="shared" si="1177"/>
        <v>0</v>
      </c>
      <c r="BK549" s="518">
        <f t="shared" si="1178"/>
        <v>0</v>
      </c>
      <c r="BL549" s="520">
        <f t="shared" si="1179"/>
        <v>0</v>
      </c>
      <c r="BM549" s="518"/>
      <c r="BN549" s="89">
        <f t="shared" si="1180"/>
        <v>0</v>
      </c>
      <c r="BO549" s="518"/>
      <c r="BP549" s="518"/>
      <c r="BQ549" s="518"/>
      <c r="BR549" s="518"/>
      <c r="BS549" s="89">
        <f t="shared" si="1181"/>
        <v>0</v>
      </c>
      <c r="BT549" s="89"/>
      <c r="BU549" s="89"/>
      <c r="BV549" s="89"/>
      <c r="BW549" s="519"/>
    </row>
    <row r="550" spans="1:75" s="439" customFormat="1">
      <c r="A550" s="31" t="str">
        <f t="shared" si="1151"/>
        <v>Proceeds from follow-on offering, net of offering costs</v>
      </c>
      <c r="B550" s="518"/>
      <c r="C550" s="89">
        <f t="shared" si="1152"/>
        <v>0</v>
      </c>
      <c r="D550" s="89">
        <f t="shared" si="1152"/>
        <v>0</v>
      </c>
      <c r="E550" s="89">
        <f t="shared" si="1152"/>
        <v>0</v>
      </c>
      <c r="F550" s="89">
        <f t="shared" si="1152"/>
        <v>0</v>
      </c>
      <c r="G550" s="518">
        <f t="shared" si="1152"/>
        <v>0</v>
      </c>
      <c r="H550" s="518">
        <f t="shared" si="1153"/>
        <v>0</v>
      </c>
      <c r="I550" s="518">
        <f t="shared" si="1153"/>
        <v>0</v>
      </c>
      <c r="J550" s="518">
        <f t="shared" si="1153"/>
        <v>276.52699999999999</v>
      </c>
      <c r="K550" s="89">
        <f t="shared" si="1154"/>
        <v>276.52699999999999</v>
      </c>
      <c r="L550" s="518">
        <f t="shared" si="1154"/>
        <v>0</v>
      </c>
      <c r="M550" s="518">
        <f t="shared" si="1155"/>
        <v>0</v>
      </c>
      <c r="N550" s="518">
        <f t="shared" si="1155"/>
        <v>0</v>
      </c>
      <c r="O550" s="518">
        <f t="shared" si="1155"/>
        <v>0</v>
      </c>
      <c r="P550" s="89">
        <f t="shared" si="1156"/>
        <v>0</v>
      </c>
      <c r="Q550" s="518">
        <f t="shared" si="1156"/>
        <v>0</v>
      </c>
      <c r="R550" s="518">
        <f t="shared" si="1157"/>
        <v>0</v>
      </c>
      <c r="S550" s="518">
        <f t="shared" si="1157"/>
        <v>0</v>
      </c>
      <c r="T550" s="518">
        <f t="shared" si="1157"/>
        <v>0</v>
      </c>
      <c r="U550" s="89">
        <f t="shared" si="1158"/>
        <v>0</v>
      </c>
      <c r="V550" s="518">
        <f t="shared" si="1158"/>
        <v>0</v>
      </c>
      <c r="W550" s="518">
        <f t="shared" si="1159"/>
        <v>0</v>
      </c>
      <c r="X550" s="518">
        <f t="shared" si="1159"/>
        <v>0</v>
      </c>
      <c r="Y550" s="518">
        <f t="shared" si="1159"/>
        <v>0</v>
      </c>
      <c r="Z550" s="89">
        <f t="shared" si="1160"/>
        <v>0</v>
      </c>
      <c r="AA550" s="518">
        <f t="shared" si="1160"/>
        <v>0</v>
      </c>
      <c r="AB550" s="518">
        <f t="shared" si="1161"/>
        <v>0</v>
      </c>
      <c r="AC550" s="518">
        <f t="shared" si="1161"/>
        <v>0</v>
      </c>
      <c r="AD550" s="518">
        <f t="shared" si="1161"/>
        <v>0</v>
      </c>
      <c r="AE550" s="89">
        <f t="shared" si="1162"/>
        <v>0</v>
      </c>
      <c r="AF550" s="518">
        <f t="shared" si="1162"/>
        <v>0</v>
      </c>
      <c r="AG550" s="518">
        <f t="shared" si="1163"/>
        <v>0</v>
      </c>
      <c r="AH550" s="518">
        <f t="shared" si="1163"/>
        <v>0</v>
      </c>
      <c r="AI550" s="518">
        <f t="shared" si="1163"/>
        <v>0</v>
      </c>
      <c r="AJ550" s="89">
        <f t="shared" si="1164"/>
        <v>0</v>
      </c>
      <c r="AK550" s="518">
        <f t="shared" si="1164"/>
        <v>0</v>
      </c>
      <c r="AL550" s="518">
        <f t="shared" si="1165"/>
        <v>0</v>
      </c>
      <c r="AM550" s="518">
        <f t="shared" si="1165"/>
        <v>0</v>
      </c>
      <c r="AN550" s="518">
        <f t="shared" si="1165"/>
        <v>0</v>
      </c>
      <c r="AO550" s="89">
        <f t="shared" si="1166"/>
        <v>0</v>
      </c>
      <c r="AP550" s="518">
        <f t="shared" si="1166"/>
        <v>0</v>
      </c>
      <c r="AQ550" s="518">
        <f t="shared" si="1167"/>
        <v>0</v>
      </c>
      <c r="AR550" s="518">
        <f t="shared" si="1167"/>
        <v>0</v>
      </c>
      <c r="AS550" s="518">
        <f t="shared" si="1167"/>
        <v>0</v>
      </c>
      <c r="AT550" s="89">
        <f t="shared" si="1168"/>
        <v>0</v>
      </c>
      <c r="AU550" s="518">
        <f t="shared" si="1168"/>
        <v>0</v>
      </c>
      <c r="AV550" s="518">
        <f t="shared" si="1169"/>
        <v>0</v>
      </c>
      <c r="AW550" s="518">
        <f t="shared" si="1169"/>
        <v>0</v>
      </c>
      <c r="AX550" s="518">
        <f t="shared" si="1169"/>
        <v>0</v>
      </c>
      <c r="AY550" s="89">
        <f t="shared" si="1170"/>
        <v>0</v>
      </c>
      <c r="AZ550" s="518">
        <f t="shared" si="1170"/>
        <v>0</v>
      </c>
      <c r="BA550" s="518">
        <f t="shared" si="1171"/>
        <v>0</v>
      </c>
      <c r="BB550" s="518">
        <f t="shared" si="1171"/>
        <v>0</v>
      </c>
      <c r="BC550" s="518">
        <f t="shared" si="1171"/>
        <v>0</v>
      </c>
      <c r="BD550" s="89">
        <f t="shared" si="1172"/>
        <v>0</v>
      </c>
      <c r="BE550" s="518">
        <f t="shared" si="1172"/>
        <v>0</v>
      </c>
      <c r="BF550" s="518">
        <f t="shared" si="1173"/>
        <v>0</v>
      </c>
      <c r="BG550" s="518">
        <f t="shared" si="1174"/>
        <v>0</v>
      </c>
      <c r="BH550" s="518">
        <f t="shared" si="1175"/>
        <v>0</v>
      </c>
      <c r="BI550" s="89">
        <f t="shared" si="1176"/>
        <v>0</v>
      </c>
      <c r="BJ550" s="518">
        <f t="shared" si="1177"/>
        <v>0</v>
      </c>
      <c r="BK550" s="518">
        <f t="shared" si="1178"/>
        <v>0</v>
      </c>
      <c r="BL550" s="520">
        <f t="shared" si="1179"/>
        <v>0</v>
      </c>
      <c r="BM550" s="518"/>
      <c r="BN550" s="89">
        <f t="shared" si="1180"/>
        <v>0</v>
      </c>
      <c r="BO550" s="518"/>
      <c r="BP550" s="518"/>
      <c r="BQ550" s="518"/>
      <c r="BR550" s="518"/>
      <c r="BS550" s="89">
        <f t="shared" si="1181"/>
        <v>0</v>
      </c>
      <c r="BT550" s="89"/>
      <c r="BU550" s="89"/>
      <c r="BV550" s="89"/>
      <c r="BW550" s="519"/>
    </row>
    <row r="551" spans="1:75" s="439" customFormat="1">
      <c r="A551" s="31" t="str">
        <f t="shared" si="1151"/>
        <v>Payments for deferred offering costs</v>
      </c>
      <c r="B551" s="518"/>
      <c r="C551" s="89">
        <f t="shared" si="1152"/>
        <v>0</v>
      </c>
      <c r="D551" s="89">
        <f t="shared" si="1152"/>
        <v>0</v>
      </c>
      <c r="E551" s="89">
        <f t="shared" si="1152"/>
        <v>-0.45600000000000002</v>
      </c>
      <c r="F551" s="89">
        <f t="shared" si="1152"/>
        <v>-2.2000000000000002</v>
      </c>
      <c r="G551" s="518">
        <f t="shared" si="1152"/>
        <v>0</v>
      </c>
      <c r="H551" s="518">
        <f t="shared" si="1153"/>
        <v>0</v>
      </c>
      <c r="I551" s="518">
        <f t="shared" si="1153"/>
        <v>0</v>
      </c>
      <c r="J551" s="518">
        <f t="shared" si="1153"/>
        <v>0</v>
      </c>
      <c r="K551" s="89">
        <f t="shared" si="1154"/>
        <v>0</v>
      </c>
      <c r="L551" s="518">
        <f t="shared" si="1154"/>
        <v>0</v>
      </c>
      <c r="M551" s="518">
        <f t="shared" si="1155"/>
        <v>0</v>
      </c>
      <c r="N551" s="518">
        <f t="shared" si="1155"/>
        <v>0</v>
      </c>
      <c r="O551" s="518">
        <f t="shared" si="1155"/>
        <v>0</v>
      </c>
      <c r="P551" s="89">
        <f t="shared" si="1156"/>
        <v>0</v>
      </c>
      <c r="Q551" s="518">
        <f t="shared" si="1156"/>
        <v>0</v>
      </c>
      <c r="R551" s="518">
        <f t="shared" si="1157"/>
        <v>0</v>
      </c>
      <c r="S551" s="518">
        <f t="shared" si="1157"/>
        <v>0</v>
      </c>
      <c r="T551" s="518">
        <f t="shared" si="1157"/>
        <v>0</v>
      </c>
      <c r="U551" s="89">
        <f t="shared" si="1158"/>
        <v>0</v>
      </c>
      <c r="V551" s="518">
        <f t="shared" si="1158"/>
        <v>0</v>
      </c>
      <c r="W551" s="518">
        <f t="shared" si="1159"/>
        <v>0</v>
      </c>
      <c r="X551" s="518">
        <f t="shared" si="1159"/>
        <v>0</v>
      </c>
      <c r="Y551" s="518">
        <f t="shared" si="1159"/>
        <v>0</v>
      </c>
      <c r="Z551" s="89">
        <f t="shared" si="1160"/>
        <v>0</v>
      </c>
      <c r="AA551" s="518">
        <f t="shared" si="1160"/>
        <v>0</v>
      </c>
      <c r="AB551" s="518">
        <f t="shared" si="1161"/>
        <v>0</v>
      </c>
      <c r="AC551" s="518">
        <f t="shared" si="1161"/>
        <v>0</v>
      </c>
      <c r="AD551" s="518">
        <f t="shared" si="1161"/>
        <v>0</v>
      </c>
      <c r="AE551" s="89">
        <f t="shared" si="1162"/>
        <v>0</v>
      </c>
      <c r="AF551" s="518">
        <f t="shared" si="1162"/>
        <v>0</v>
      </c>
      <c r="AG551" s="518">
        <f t="shared" si="1163"/>
        <v>0</v>
      </c>
      <c r="AH551" s="518">
        <f t="shared" si="1163"/>
        <v>0</v>
      </c>
      <c r="AI551" s="518">
        <f t="shared" si="1163"/>
        <v>0</v>
      </c>
      <c r="AJ551" s="89">
        <f t="shared" si="1164"/>
        <v>0</v>
      </c>
      <c r="AK551" s="518">
        <f t="shared" si="1164"/>
        <v>0</v>
      </c>
      <c r="AL551" s="518">
        <f t="shared" si="1165"/>
        <v>0</v>
      </c>
      <c r="AM551" s="518">
        <f t="shared" si="1165"/>
        <v>0</v>
      </c>
      <c r="AN551" s="518">
        <f t="shared" si="1165"/>
        <v>0</v>
      </c>
      <c r="AO551" s="89">
        <f t="shared" si="1166"/>
        <v>0</v>
      </c>
      <c r="AP551" s="518">
        <f t="shared" si="1166"/>
        <v>0</v>
      </c>
      <c r="AQ551" s="518">
        <f t="shared" si="1167"/>
        <v>0</v>
      </c>
      <c r="AR551" s="518">
        <f t="shared" si="1167"/>
        <v>0</v>
      </c>
      <c r="AS551" s="518">
        <f t="shared" si="1167"/>
        <v>0</v>
      </c>
      <c r="AT551" s="89">
        <f t="shared" si="1168"/>
        <v>0</v>
      </c>
      <c r="AU551" s="518">
        <f t="shared" si="1168"/>
        <v>0</v>
      </c>
      <c r="AV551" s="518">
        <f t="shared" si="1169"/>
        <v>0</v>
      </c>
      <c r="AW551" s="518">
        <f t="shared" si="1169"/>
        <v>0</v>
      </c>
      <c r="AX551" s="518">
        <f t="shared" si="1169"/>
        <v>0</v>
      </c>
      <c r="AY551" s="89">
        <f t="shared" si="1170"/>
        <v>0</v>
      </c>
      <c r="AZ551" s="518">
        <f t="shared" si="1170"/>
        <v>0</v>
      </c>
      <c r="BA551" s="518">
        <f t="shared" si="1171"/>
        <v>0</v>
      </c>
      <c r="BB551" s="518">
        <f t="shared" si="1171"/>
        <v>0</v>
      </c>
      <c r="BC551" s="518">
        <f t="shared" si="1171"/>
        <v>0</v>
      </c>
      <c r="BD551" s="89">
        <f t="shared" si="1172"/>
        <v>0</v>
      </c>
      <c r="BE551" s="518">
        <f t="shared" si="1172"/>
        <v>0</v>
      </c>
      <c r="BF551" s="518">
        <f t="shared" si="1173"/>
        <v>0</v>
      </c>
      <c r="BG551" s="518">
        <f t="shared" si="1174"/>
        <v>0</v>
      </c>
      <c r="BH551" s="518">
        <f t="shared" si="1175"/>
        <v>0</v>
      </c>
      <c r="BI551" s="89">
        <f t="shared" si="1176"/>
        <v>0</v>
      </c>
      <c r="BJ551" s="518">
        <f t="shared" si="1177"/>
        <v>0</v>
      </c>
      <c r="BK551" s="518">
        <f t="shared" si="1178"/>
        <v>0</v>
      </c>
      <c r="BL551" s="520">
        <f t="shared" si="1179"/>
        <v>0</v>
      </c>
      <c r="BM551" s="518"/>
      <c r="BN551" s="89">
        <f t="shared" si="1180"/>
        <v>0</v>
      </c>
      <c r="BO551" s="518"/>
      <c r="BP551" s="518"/>
      <c r="BQ551" s="518"/>
      <c r="BR551" s="518"/>
      <c r="BS551" s="89">
        <f t="shared" si="1181"/>
        <v>0</v>
      </c>
      <c r="BT551" s="89"/>
      <c r="BU551" s="89"/>
      <c r="BV551" s="89"/>
      <c r="BW551" s="519"/>
    </row>
    <row r="552" spans="1:75" s="439" customFormat="1">
      <c r="A552" s="31" t="str">
        <f t="shared" si="1151"/>
        <v>Proceeds from issuance of common stock from share-based awards</v>
      </c>
      <c r="B552" s="518"/>
      <c r="C552" s="89">
        <f t="shared" si="1152"/>
        <v>4.5999999999999999E-2</v>
      </c>
      <c r="D552" s="89">
        <f t="shared" si="1152"/>
        <v>0.439</v>
      </c>
      <c r="E552" s="89">
        <f t="shared" si="1152"/>
        <v>2.0379999999999998</v>
      </c>
      <c r="F552" s="89">
        <f t="shared" si="1152"/>
        <v>3.6749999999999998</v>
      </c>
      <c r="G552" s="518">
        <f t="shared" si="1152"/>
        <v>0</v>
      </c>
      <c r="H552" s="518">
        <f t="shared" si="1153"/>
        <v>0</v>
      </c>
      <c r="I552" s="518">
        <f t="shared" si="1153"/>
        <v>0</v>
      </c>
      <c r="J552" s="518">
        <f t="shared" si="1153"/>
        <v>13.554</v>
      </c>
      <c r="K552" s="89">
        <f t="shared" si="1154"/>
        <v>13.554</v>
      </c>
      <c r="L552" s="518">
        <f t="shared" si="1154"/>
        <v>0</v>
      </c>
      <c r="M552" s="518">
        <f t="shared" si="1155"/>
        <v>0</v>
      </c>
      <c r="N552" s="518">
        <f t="shared" si="1155"/>
        <v>0</v>
      </c>
      <c r="O552" s="518">
        <f t="shared" si="1155"/>
        <v>20.164000000000001</v>
      </c>
      <c r="P552" s="89">
        <f t="shared" si="1156"/>
        <v>20.164000000000001</v>
      </c>
      <c r="Q552" s="518">
        <f t="shared" si="1156"/>
        <v>0</v>
      </c>
      <c r="R552" s="518">
        <f t="shared" si="1157"/>
        <v>0</v>
      </c>
      <c r="S552" s="518">
        <f t="shared" si="1157"/>
        <v>0</v>
      </c>
      <c r="T552" s="518">
        <f t="shared" si="1157"/>
        <v>0</v>
      </c>
      <c r="U552" s="89">
        <f t="shared" si="1158"/>
        <v>0</v>
      </c>
      <c r="V552" s="518">
        <f t="shared" si="1158"/>
        <v>0</v>
      </c>
      <c r="W552" s="518">
        <f t="shared" si="1159"/>
        <v>0</v>
      </c>
      <c r="X552" s="518">
        <f t="shared" si="1159"/>
        <v>0</v>
      </c>
      <c r="Y552" s="518">
        <f t="shared" si="1159"/>
        <v>0</v>
      </c>
      <c r="Z552" s="89">
        <f t="shared" si="1160"/>
        <v>0</v>
      </c>
      <c r="AA552" s="518">
        <f t="shared" si="1160"/>
        <v>0</v>
      </c>
      <c r="AB552" s="518">
        <f t="shared" si="1161"/>
        <v>0</v>
      </c>
      <c r="AC552" s="518">
        <f t="shared" si="1161"/>
        <v>0</v>
      </c>
      <c r="AD552" s="518">
        <f t="shared" si="1161"/>
        <v>0</v>
      </c>
      <c r="AE552" s="89">
        <f t="shared" si="1162"/>
        <v>0</v>
      </c>
      <c r="AF552" s="518">
        <f t="shared" si="1162"/>
        <v>0</v>
      </c>
      <c r="AG552" s="518">
        <f t="shared" si="1163"/>
        <v>0</v>
      </c>
      <c r="AH552" s="518">
        <f t="shared" si="1163"/>
        <v>0</v>
      </c>
      <c r="AI552" s="518">
        <f t="shared" si="1163"/>
        <v>0</v>
      </c>
      <c r="AJ552" s="89">
        <f t="shared" si="1164"/>
        <v>0</v>
      </c>
      <c r="AK552" s="518">
        <f t="shared" si="1164"/>
        <v>0</v>
      </c>
      <c r="AL552" s="518">
        <f t="shared" si="1165"/>
        <v>0</v>
      </c>
      <c r="AM552" s="518">
        <f t="shared" si="1165"/>
        <v>0</v>
      </c>
      <c r="AN552" s="518">
        <f t="shared" si="1165"/>
        <v>0</v>
      </c>
      <c r="AO552" s="89">
        <f t="shared" si="1166"/>
        <v>0</v>
      </c>
      <c r="AP552" s="518">
        <f t="shared" si="1166"/>
        <v>0</v>
      </c>
      <c r="AQ552" s="518">
        <f t="shared" si="1167"/>
        <v>0</v>
      </c>
      <c r="AR552" s="518">
        <f t="shared" si="1167"/>
        <v>0</v>
      </c>
      <c r="AS552" s="518">
        <f t="shared" si="1167"/>
        <v>0</v>
      </c>
      <c r="AT552" s="89">
        <f t="shared" si="1168"/>
        <v>0</v>
      </c>
      <c r="AU552" s="518">
        <f t="shared" si="1168"/>
        <v>0</v>
      </c>
      <c r="AV552" s="518">
        <f t="shared" si="1169"/>
        <v>0</v>
      </c>
      <c r="AW552" s="518">
        <f t="shared" si="1169"/>
        <v>0</v>
      </c>
      <c r="AX552" s="518">
        <f t="shared" si="1169"/>
        <v>0</v>
      </c>
      <c r="AY552" s="89">
        <f t="shared" si="1170"/>
        <v>0</v>
      </c>
      <c r="AZ552" s="518">
        <f t="shared" si="1170"/>
        <v>0</v>
      </c>
      <c r="BA552" s="518">
        <f t="shared" si="1171"/>
        <v>0</v>
      </c>
      <c r="BB552" s="518">
        <f t="shared" si="1171"/>
        <v>0</v>
      </c>
      <c r="BC552" s="518">
        <f t="shared" si="1171"/>
        <v>0</v>
      </c>
      <c r="BD552" s="89">
        <f t="shared" si="1172"/>
        <v>0</v>
      </c>
      <c r="BE552" s="518">
        <f t="shared" si="1172"/>
        <v>0</v>
      </c>
      <c r="BF552" s="518">
        <f t="shared" si="1173"/>
        <v>0</v>
      </c>
      <c r="BG552" s="518">
        <f t="shared" si="1174"/>
        <v>0</v>
      </c>
      <c r="BH552" s="518">
        <f t="shared" si="1175"/>
        <v>0</v>
      </c>
      <c r="BI552" s="89">
        <f t="shared" si="1176"/>
        <v>0</v>
      </c>
      <c r="BJ552" s="518">
        <f t="shared" si="1177"/>
        <v>0</v>
      </c>
      <c r="BK552" s="518">
        <f t="shared" si="1178"/>
        <v>0</v>
      </c>
      <c r="BL552" s="520">
        <f t="shared" si="1179"/>
        <v>0</v>
      </c>
      <c r="BM552" s="518"/>
      <c r="BN552" s="89">
        <f t="shared" si="1180"/>
        <v>0</v>
      </c>
      <c r="BO552" s="518"/>
      <c r="BP552" s="518"/>
      <c r="BQ552" s="518"/>
      <c r="BR552" s="518"/>
      <c r="BS552" s="89">
        <f t="shared" si="1181"/>
        <v>0</v>
      </c>
      <c r="BT552" s="89"/>
      <c r="BU552" s="89"/>
      <c r="BV552" s="89"/>
      <c r="BW552" s="519"/>
    </row>
    <row r="553" spans="1:75" s="439" customFormat="1">
      <c r="A553" s="31" t="str">
        <f t="shared" si="1151"/>
        <v>Proceeds from issuance of common stock for Employee Stock Purchase Plan</v>
      </c>
      <c r="B553" s="518"/>
      <c r="C553" s="89">
        <f t="shared" si="1152"/>
        <v>2.5999999999999999E-2</v>
      </c>
      <c r="D553" s="89">
        <f t="shared" si="1152"/>
        <v>0</v>
      </c>
      <c r="E553" s="89">
        <f t="shared" si="1152"/>
        <v>0</v>
      </c>
      <c r="F553" s="89">
        <f t="shared" si="1152"/>
        <v>0</v>
      </c>
      <c r="G553" s="518">
        <f t="shared" si="1152"/>
        <v>0</v>
      </c>
      <c r="H553" s="518">
        <f t="shared" si="1153"/>
        <v>0</v>
      </c>
      <c r="I553" s="518">
        <f t="shared" si="1153"/>
        <v>0</v>
      </c>
      <c r="J553" s="518">
        <f t="shared" si="1153"/>
        <v>1.96</v>
      </c>
      <c r="K553" s="89">
        <f t="shared" si="1154"/>
        <v>1.96</v>
      </c>
      <c r="L553" s="518">
        <f t="shared" si="1154"/>
        <v>0</v>
      </c>
      <c r="M553" s="518">
        <f t="shared" si="1155"/>
        <v>4.0869999999999997</v>
      </c>
      <c r="N553" s="518">
        <f t="shared" si="1155"/>
        <v>0</v>
      </c>
      <c r="O553" s="518">
        <f t="shared" si="1155"/>
        <v>4.782</v>
      </c>
      <c r="P553" s="89">
        <f t="shared" si="1156"/>
        <v>8.8689999999999998</v>
      </c>
      <c r="Q553" s="518">
        <f t="shared" si="1156"/>
        <v>0</v>
      </c>
      <c r="R553" s="518">
        <f t="shared" si="1157"/>
        <v>5.0609999999999999</v>
      </c>
      <c r="S553" s="518">
        <f t="shared" si="1157"/>
        <v>0</v>
      </c>
      <c r="T553" s="518">
        <f t="shared" si="1157"/>
        <v>3.8499999999999996</v>
      </c>
      <c r="U553" s="89">
        <f t="shared" si="1158"/>
        <v>8.9109999999999996</v>
      </c>
      <c r="V553" s="518">
        <f t="shared" si="1158"/>
        <v>0</v>
      </c>
      <c r="W553" s="518">
        <f t="shared" si="1159"/>
        <v>7.8550000000000004</v>
      </c>
      <c r="X553" s="518">
        <f t="shared" si="1159"/>
        <v>10.199999999999999</v>
      </c>
      <c r="Y553" s="518">
        <f t="shared" si="1159"/>
        <v>11.466999999999999</v>
      </c>
      <c r="Z553" s="89">
        <f t="shared" si="1160"/>
        <v>29.521999999999998</v>
      </c>
      <c r="AA553" s="518">
        <f t="shared" si="1160"/>
        <v>3.2869999999999999</v>
      </c>
      <c r="AB553" s="518">
        <f t="shared" si="1161"/>
        <v>16.067</v>
      </c>
      <c r="AC553" s="518">
        <f t="shared" si="1161"/>
        <v>10.202000000000002</v>
      </c>
      <c r="AD553" s="518">
        <f t="shared" si="1161"/>
        <v>11.361000000000001</v>
      </c>
      <c r="AE553" s="89">
        <f t="shared" si="1162"/>
        <v>40.917000000000002</v>
      </c>
      <c r="AF553" s="518">
        <f t="shared" si="1162"/>
        <v>5.6820000000000004</v>
      </c>
      <c r="AG553" s="518">
        <f t="shared" si="1163"/>
        <v>10.539</v>
      </c>
      <c r="AH553" s="518">
        <f t="shared" si="1163"/>
        <v>5.6140000000000008</v>
      </c>
      <c r="AI553" s="518">
        <f t="shared" si="1163"/>
        <v>7.9439999999999991</v>
      </c>
      <c r="AJ553" s="89">
        <f t="shared" si="1164"/>
        <v>29.779</v>
      </c>
      <c r="AK553" s="518">
        <f t="shared" si="1164"/>
        <v>1.145</v>
      </c>
      <c r="AL553" s="518">
        <f t="shared" si="1165"/>
        <v>10.053000000000001</v>
      </c>
      <c r="AM553" s="518">
        <f t="shared" si="1165"/>
        <v>4.6150000000000002</v>
      </c>
      <c r="AN553" s="518">
        <f t="shared" si="1165"/>
        <v>16.449999999999996</v>
      </c>
      <c r="AO553" s="89">
        <f t="shared" si="1166"/>
        <v>32.262999999999998</v>
      </c>
      <c r="AP553" s="518">
        <f t="shared" si="1166"/>
        <v>2.585</v>
      </c>
      <c r="AQ553" s="518">
        <f t="shared" si="1167"/>
        <v>8.222999999999999</v>
      </c>
      <c r="AR553" s="518">
        <f t="shared" si="1167"/>
        <v>0.81199999999999939</v>
      </c>
      <c r="AS553" s="518">
        <f t="shared" si="1167"/>
        <v>15.762000000000002</v>
      </c>
      <c r="AT553" s="89">
        <f t="shared" si="1168"/>
        <v>27.382000000000001</v>
      </c>
      <c r="AU553" s="518">
        <f t="shared" si="1168"/>
        <v>6.0490000000000004</v>
      </c>
      <c r="AV553" s="518">
        <f t="shared" si="1169"/>
        <v>9.5380000000000003</v>
      </c>
      <c r="AW553" s="518">
        <f t="shared" si="1169"/>
        <v>1.2199999999999989</v>
      </c>
      <c r="AX553" s="518">
        <f t="shared" si="1169"/>
        <v>8.1770000000000032</v>
      </c>
      <c r="AY553" s="89">
        <f t="shared" si="1170"/>
        <v>24.984000000000002</v>
      </c>
      <c r="AZ553" s="518">
        <f t="shared" si="1170"/>
        <v>0.54</v>
      </c>
      <c r="BA553" s="518">
        <f t="shared" si="1171"/>
        <v>10.486000000000001</v>
      </c>
      <c r="BB553" s="518">
        <f t="shared" si="1171"/>
        <v>5.1170000000000009</v>
      </c>
      <c r="BC553" s="518">
        <f t="shared" si="1171"/>
        <v>7.3539999999999992</v>
      </c>
      <c r="BD553" s="89">
        <f t="shared" si="1172"/>
        <v>23.497</v>
      </c>
      <c r="BE553" s="518">
        <f t="shared" si="1172"/>
        <v>14.647</v>
      </c>
      <c r="BF553" s="518">
        <f t="shared" si="1173"/>
        <v>11.447999999999999</v>
      </c>
      <c r="BG553" s="518">
        <f t="shared" si="1174"/>
        <v>2.8629999999999995</v>
      </c>
      <c r="BH553" s="518">
        <f t="shared" si="1175"/>
        <v>10.552</v>
      </c>
      <c r="BI553" s="89">
        <f t="shared" si="1176"/>
        <v>39.51</v>
      </c>
      <c r="BJ553" s="518">
        <f t="shared" si="1177"/>
        <v>0.54800000000000004</v>
      </c>
      <c r="BK553" s="518">
        <f t="shared" si="1178"/>
        <v>12.888</v>
      </c>
      <c r="BL553" s="520">
        <f t="shared" si="1179"/>
        <v>0</v>
      </c>
      <c r="BM553" s="518"/>
      <c r="BN553" s="89">
        <f t="shared" si="1180"/>
        <v>13.436</v>
      </c>
      <c r="BO553" s="518"/>
      <c r="BP553" s="518"/>
      <c r="BQ553" s="518"/>
      <c r="BR553" s="518"/>
      <c r="BS553" s="89">
        <f t="shared" si="1181"/>
        <v>0</v>
      </c>
      <c r="BT553" s="89"/>
      <c r="BU553" s="89"/>
      <c r="BV553" s="89"/>
      <c r="BW553" s="519"/>
    </row>
    <row r="554" spans="1:75" s="439" customFormat="1">
      <c r="A554" s="31" t="str">
        <f t="shared" si="1151"/>
        <v>Proceeds from the issuance of Series E preferred stock, net of offering costs</v>
      </c>
      <c r="B554" s="518"/>
      <c r="C554" s="89">
        <f t="shared" si="1152"/>
        <v>0</v>
      </c>
      <c r="D554" s="89">
        <f t="shared" si="1152"/>
        <v>24.193999999999999</v>
      </c>
      <c r="E554" s="89">
        <f t="shared" si="1152"/>
        <v>0</v>
      </c>
      <c r="F554" s="89">
        <f t="shared" si="1152"/>
        <v>0</v>
      </c>
      <c r="G554" s="518">
        <f t="shared" si="1152"/>
        <v>0</v>
      </c>
      <c r="H554" s="518">
        <f t="shared" si="1153"/>
        <v>0</v>
      </c>
      <c r="I554" s="518">
        <f t="shared" si="1153"/>
        <v>0</v>
      </c>
      <c r="J554" s="518">
        <f t="shared" si="1153"/>
        <v>0</v>
      </c>
      <c r="K554" s="89">
        <f t="shared" si="1154"/>
        <v>0</v>
      </c>
      <c r="L554" s="518">
        <f t="shared" si="1154"/>
        <v>0</v>
      </c>
      <c r="M554" s="518">
        <f t="shared" si="1155"/>
        <v>0</v>
      </c>
      <c r="N554" s="518">
        <f t="shared" si="1155"/>
        <v>0</v>
      </c>
      <c r="O554" s="518">
        <f t="shared" si="1155"/>
        <v>0</v>
      </c>
      <c r="P554" s="89">
        <f t="shared" si="1156"/>
        <v>0</v>
      </c>
      <c r="Q554" s="518">
        <f t="shared" si="1156"/>
        <v>0</v>
      </c>
      <c r="R554" s="518">
        <f t="shared" si="1157"/>
        <v>0</v>
      </c>
      <c r="S554" s="518">
        <f t="shared" si="1157"/>
        <v>0</v>
      </c>
      <c r="T554" s="518">
        <f t="shared" si="1157"/>
        <v>0</v>
      </c>
      <c r="U554" s="89">
        <f t="shared" si="1158"/>
        <v>0</v>
      </c>
      <c r="V554" s="518">
        <f t="shared" si="1158"/>
        <v>0</v>
      </c>
      <c r="W554" s="518">
        <f t="shared" si="1159"/>
        <v>0</v>
      </c>
      <c r="X554" s="518">
        <f t="shared" si="1159"/>
        <v>0</v>
      </c>
      <c r="Y554" s="518">
        <f t="shared" si="1159"/>
        <v>0</v>
      </c>
      <c r="Z554" s="89">
        <f t="shared" si="1160"/>
        <v>0</v>
      </c>
      <c r="AA554" s="518">
        <f t="shared" si="1160"/>
        <v>0</v>
      </c>
      <c r="AB554" s="518">
        <f t="shared" si="1161"/>
        <v>0</v>
      </c>
      <c r="AC554" s="518">
        <f t="shared" si="1161"/>
        <v>0</v>
      </c>
      <c r="AD554" s="518">
        <f t="shared" si="1161"/>
        <v>0</v>
      </c>
      <c r="AE554" s="89">
        <f t="shared" si="1162"/>
        <v>0</v>
      </c>
      <c r="AF554" s="518">
        <f t="shared" si="1162"/>
        <v>0</v>
      </c>
      <c r="AG554" s="518">
        <f t="shared" si="1163"/>
        <v>0</v>
      </c>
      <c r="AH554" s="518">
        <f t="shared" si="1163"/>
        <v>0</v>
      </c>
      <c r="AI554" s="518">
        <f t="shared" si="1163"/>
        <v>0</v>
      </c>
      <c r="AJ554" s="89">
        <f t="shared" si="1164"/>
        <v>0</v>
      </c>
      <c r="AK554" s="518">
        <f t="shared" si="1164"/>
        <v>0</v>
      </c>
      <c r="AL554" s="518">
        <f t="shared" si="1165"/>
        <v>0</v>
      </c>
      <c r="AM554" s="518">
        <f t="shared" si="1165"/>
        <v>0</v>
      </c>
      <c r="AN554" s="518">
        <f t="shared" si="1165"/>
        <v>0</v>
      </c>
      <c r="AO554" s="89">
        <f t="shared" si="1166"/>
        <v>0</v>
      </c>
      <c r="AP554" s="518">
        <f t="shared" si="1166"/>
        <v>0</v>
      </c>
      <c r="AQ554" s="518">
        <f t="shared" si="1167"/>
        <v>0</v>
      </c>
      <c r="AR554" s="518">
        <f t="shared" si="1167"/>
        <v>0</v>
      </c>
      <c r="AS554" s="518">
        <f t="shared" si="1167"/>
        <v>0</v>
      </c>
      <c r="AT554" s="89">
        <f t="shared" si="1168"/>
        <v>0</v>
      </c>
      <c r="AU554" s="518">
        <f t="shared" si="1168"/>
        <v>0</v>
      </c>
      <c r="AV554" s="518">
        <f t="shared" si="1169"/>
        <v>0</v>
      </c>
      <c r="AW554" s="518">
        <f t="shared" si="1169"/>
        <v>0</v>
      </c>
      <c r="AX554" s="518">
        <f t="shared" si="1169"/>
        <v>0</v>
      </c>
      <c r="AY554" s="89">
        <f t="shared" si="1170"/>
        <v>0</v>
      </c>
      <c r="AZ554" s="518">
        <f t="shared" si="1170"/>
        <v>0</v>
      </c>
      <c r="BA554" s="518">
        <f t="shared" si="1171"/>
        <v>0</v>
      </c>
      <c r="BB554" s="518">
        <f t="shared" si="1171"/>
        <v>0</v>
      </c>
      <c r="BC554" s="518">
        <f t="shared" si="1171"/>
        <v>0</v>
      </c>
      <c r="BD554" s="89">
        <f t="shared" si="1172"/>
        <v>0</v>
      </c>
      <c r="BE554" s="518">
        <f t="shared" si="1172"/>
        <v>0</v>
      </c>
      <c r="BF554" s="518">
        <f t="shared" si="1173"/>
        <v>0</v>
      </c>
      <c r="BG554" s="518">
        <f t="shared" si="1174"/>
        <v>0</v>
      </c>
      <c r="BH554" s="518">
        <f t="shared" si="1175"/>
        <v>0</v>
      </c>
      <c r="BI554" s="89">
        <f t="shared" si="1176"/>
        <v>0</v>
      </c>
      <c r="BJ554" s="518">
        <f t="shared" si="1177"/>
        <v>0</v>
      </c>
      <c r="BK554" s="518">
        <f t="shared" si="1178"/>
        <v>0</v>
      </c>
      <c r="BL554" s="520">
        <f t="shared" si="1179"/>
        <v>0</v>
      </c>
      <c r="BM554" s="518"/>
      <c r="BN554" s="89">
        <f t="shared" si="1180"/>
        <v>0</v>
      </c>
      <c r="BO554" s="518"/>
      <c r="BP554" s="518"/>
      <c r="BQ554" s="518"/>
      <c r="BR554" s="518"/>
      <c r="BS554" s="89">
        <f t="shared" si="1181"/>
        <v>0</v>
      </c>
      <c r="BT554" s="89"/>
      <c r="BU554" s="89"/>
      <c r="BV554" s="89"/>
      <c r="BW554" s="519"/>
    </row>
    <row r="555" spans="1:75" s="439" customFormat="1">
      <c r="A555" s="31" t="str">
        <f t="shared" si="1151"/>
        <v>Excess tax benefit from share-based award activity</v>
      </c>
      <c r="B555" s="518"/>
      <c r="C555" s="89">
        <f t="shared" si="1152"/>
        <v>0</v>
      </c>
      <c r="D555" s="89">
        <f t="shared" si="1152"/>
        <v>0</v>
      </c>
      <c r="E555" s="89">
        <f t="shared" si="1152"/>
        <v>0</v>
      </c>
      <c r="F555" s="89">
        <f t="shared" si="1152"/>
        <v>0</v>
      </c>
      <c r="G555" s="518">
        <f t="shared" si="1152"/>
        <v>0</v>
      </c>
      <c r="H555" s="518">
        <f t="shared" si="1153"/>
        <v>0</v>
      </c>
      <c r="I555" s="518">
        <f t="shared" si="1153"/>
        <v>0</v>
      </c>
      <c r="J555" s="518">
        <f t="shared" si="1153"/>
        <v>0.35299999999999998</v>
      </c>
      <c r="K555" s="89">
        <f t="shared" si="1154"/>
        <v>0.35299999999999998</v>
      </c>
      <c r="L555" s="518">
        <f t="shared" si="1154"/>
        <v>3.9E-2</v>
      </c>
      <c r="M555" s="518">
        <f t="shared" si="1155"/>
        <v>0.42100000000000004</v>
      </c>
      <c r="N555" s="518">
        <f t="shared" si="1155"/>
        <v>0.439</v>
      </c>
      <c r="O555" s="518">
        <f t="shared" si="1155"/>
        <v>0.93500000000000005</v>
      </c>
      <c r="P555" s="89">
        <f t="shared" si="1156"/>
        <v>1.8340000000000001</v>
      </c>
      <c r="Q555" s="518">
        <f t="shared" si="1156"/>
        <v>0.81499999999999995</v>
      </c>
      <c r="R555" s="518">
        <f t="shared" si="1157"/>
        <v>3.137</v>
      </c>
      <c r="S555" s="518">
        <f t="shared" si="1157"/>
        <v>0.34600000000000009</v>
      </c>
      <c r="T555" s="518">
        <f t="shared" si="1157"/>
        <v>2.2850000000000001</v>
      </c>
      <c r="U555" s="89">
        <f t="shared" si="1158"/>
        <v>6.5830000000000002</v>
      </c>
      <c r="V555" s="518">
        <f t="shared" si="1158"/>
        <v>0</v>
      </c>
      <c r="W555" s="518">
        <f t="shared" si="1159"/>
        <v>0</v>
      </c>
      <c r="X555" s="518">
        <f t="shared" si="1159"/>
        <v>0</v>
      </c>
      <c r="Y555" s="518">
        <f t="shared" si="1159"/>
        <v>0</v>
      </c>
      <c r="Z555" s="89">
        <f t="shared" si="1160"/>
        <v>0</v>
      </c>
      <c r="AA555" s="518">
        <f t="shared" si="1160"/>
        <v>0</v>
      </c>
      <c r="AB555" s="518">
        <f t="shared" si="1161"/>
        <v>0</v>
      </c>
      <c r="AC555" s="518">
        <f t="shared" si="1161"/>
        <v>0</v>
      </c>
      <c r="AD555" s="518">
        <f t="shared" si="1161"/>
        <v>-1.1990000000000001</v>
      </c>
      <c r="AE555" s="89">
        <f t="shared" si="1162"/>
        <v>-1.1990000000000001</v>
      </c>
      <c r="AF555" s="518">
        <f t="shared" si="1162"/>
        <v>-12.347</v>
      </c>
      <c r="AG555" s="518">
        <f t="shared" si="1163"/>
        <v>-15.606</v>
      </c>
      <c r="AH555" s="518">
        <f t="shared" si="1163"/>
        <v>-13.128000000000004</v>
      </c>
      <c r="AI555" s="518">
        <f t="shared" si="1163"/>
        <v>-9.0629999999999953</v>
      </c>
      <c r="AJ555" s="89">
        <f t="shared" si="1164"/>
        <v>-50.143999999999998</v>
      </c>
      <c r="AK555" s="518">
        <f t="shared" si="1164"/>
        <v>-12.497</v>
      </c>
      <c r="AL555" s="518">
        <f t="shared" si="1165"/>
        <v>-10.108000000000001</v>
      </c>
      <c r="AM555" s="518">
        <f t="shared" si="1165"/>
        <v>-10.178999999999998</v>
      </c>
      <c r="AN555" s="518">
        <f t="shared" si="1165"/>
        <v>-9.9870000000000019</v>
      </c>
      <c r="AO555" s="89">
        <f t="shared" si="1166"/>
        <v>-42.771000000000001</v>
      </c>
      <c r="AP555" s="518">
        <f t="shared" si="1166"/>
        <v>-11.513999999999999</v>
      </c>
      <c r="AQ555" s="518">
        <f t="shared" si="1167"/>
        <v>-1.043000000000001</v>
      </c>
      <c r="AR555" s="518">
        <f t="shared" si="1167"/>
        <v>0</v>
      </c>
      <c r="AS555" s="518">
        <f t="shared" si="1167"/>
        <v>-11.048</v>
      </c>
      <c r="AT555" s="89">
        <f t="shared" si="1168"/>
        <v>-23.605</v>
      </c>
      <c r="AU555" s="518">
        <f t="shared" si="1168"/>
        <v>-16.803000000000001</v>
      </c>
      <c r="AV555" s="518">
        <f t="shared" si="1169"/>
        <v>-18.020999999999997</v>
      </c>
      <c r="AW555" s="518">
        <f t="shared" si="1169"/>
        <v>-14.356000000000002</v>
      </c>
      <c r="AX555" s="518">
        <f t="shared" si="1169"/>
        <v>-13.365000000000002</v>
      </c>
      <c r="AY555" s="89">
        <f t="shared" si="1170"/>
        <v>-62.545000000000002</v>
      </c>
      <c r="AZ555" s="518">
        <f t="shared" si="1170"/>
        <v>-18.486999999999998</v>
      </c>
      <c r="BA555" s="518">
        <f t="shared" si="1171"/>
        <v>-13.559000000000001</v>
      </c>
      <c r="BB555" s="518">
        <f t="shared" si="1171"/>
        <v>-16.115000000000002</v>
      </c>
      <c r="BC555" s="518">
        <f t="shared" si="1171"/>
        <v>-12.862000000000002</v>
      </c>
      <c r="BD555" s="89">
        <f t="shared" si="1172"/>
        <v>-61.023000000000003</v>
      </c>
      <c r="BE555" s="518">
        <f t="shared" si="1172"/>
        <v>-19.353999999999999</v>
      </c>
      <c r="BF555" s="518">
        <f t="shared" si="1173"/>
        <v>-18.847000000000001</v>
      </c>
      <c r="BG555" s="518">
        <f t="shared" si="1174"/>
        <v>-22.941000000000003</v>
      </c>
      <c r="BH555" s="518">
        <f t="shared" si="1175"/>
        <v>-24.038000000000004</v>
      </c>
      <c r="BI555" s="89">
        <f t="shared" si="1176"/>
        <v>-85.18</v>
      </c>
      <c r="BJ555" s="518">
        <f t="shared" si="1177"/>
        <v>-21.882000000000001</v>
      </c>
      <c r="BK555" s="518">
        <f t="shared" si="1178"/>
        <v>-19.307999999999996</v>
      </c>
      <c r="BL555" s="520">
        <f t="shared" si="1179"/>
        <v>-16.853999999999999</v>
      </c>
      <c r="BM555" s="518"/>
      <c r="BN555" s="89">
        <f t="shared" si="1180"/>
        <v>-58.043999999999997</v>
      </c>
      <c r="BO555" s="518"/>
      <c r="BP555" s="518"/>
      <c r="BQ555" s="518"/>
      <c r="BR555" s="518"/>
      <c r="BS555" s="89">
        <f t="shared" si="1181"/>
        <v>0</v>
      </c>
      <c r="BT555" s="89"/>
      <c r="BU555" s="89"/>
      <c r="BV555" s="89"/>
      <c r="BW555" s="519"/>
    </row>
    <row r="556" spans="1:75" s="439" customFormat="1">
      <c r="A556" s="31" t="str">
        <f t="shared" si="1151"/>
        <v>Repurchase of common stock</v>
      </c>
      <c r="B556" s="518"/>
      <c r="C556" s="89">
        <f t="shared" si="1152"/>
        <v>0</v>
      </c>
      <c r="D556" s="89">
        <f t="shared" si="1152"/>
        <v>0</v>
      </c>
      <c r="E556" s="89">
        <f t="shared" si="1152"/>
        <v>0</v>
      </c>
      <c r="F556" s="89">
        <f t="shared" si="1152"/>
        <v>0</v>
      </c>
      <c r="G556" s="518">
        <f t="shared" si="1152"/>
        <v>-8.1000000000000003E-2</v>
      </c>
      <c r="H556" s="518">
        <f t="shared" si="1153"/>
        <v>-0.112</v>
      </c>
      <c r="I556" s="518">
        <f t="shared" si="1153"/>
        <v>-0.17499999999999999</v>
      </c>
      <c r="J556" s="518">
        <f t="shared" si="1153"/>
        <v>-0.30600000000000005</v>
      </c>
      <c r="K556" s="89">
        <f t="shared" si="1154"/>
        <v>-0.67400000000000004</v>
      </c>
      <c r="L556" s="518">
        <f t="shared" si="1154"/>
        <v>-0.36099999999999999</v>
      </c>
      <c r="M556" s="518">
        <f t="shared" si="1155"/>
        <v>-0.28100000000000003</v>
      </c>
      <c r="N556" s="518">
        <f t="shared" si="1155"/>
        <v>-0.3929999999999999</v>
      </c>
      <c r="O556" s="518">
        <f t="shared" si="1155"/>
        <v>-0.28300000000000014</v>
      </c>
      <c r="P556" s="89">
        <f t="shared" si="1156"/>
        <v>-1.3180000000000001</v>
      </c>
      <c r="Q556" s="518">
        <f t="shared" si="1156"/>
        <v>-0.16800000000000001</v>
      </c>
      <c r="R556" s="518">
        <f t="shared" si="1157"/>
        <v>-0.22800000000000001</v>
      </c>
      <c r="S556" s="518">
        <f t="shared" si="1157"/>
        <v>-8.5999999999999965E-2</v>
      </c>
      <c r="T556" s="518">
        <f t="shared" si="1157"/>
        <v>0</v>
      </c>
      <c r="U556" s="89">
        <f t="shared" si="1158"/>
        <v>-0.48199999999999998</v>
      </c>
      <c r="V556" s="518">
        <f t="shared" si="1158"/>
        <v>0</v>
      </c>
      <c r="W556" s="518">
        <f t="shared" si="1159"/>
        <v>0</v>
      </c>
      <c r="X556" s="518">
        <f t="shared" si="1159"/>
        <v>0</v>
      </c>
      <c r="Y556" s="518">
        <f t="shared" si="1159"/>
        <v>0</v>
      </c>
      <c r="Z556" s="89">
        <f t="shared" si="1160"/>
        <v>0</v>
      </c>
      <c r="AA556" s="518">
        <f t="shared" si="1160"/>
        <v>0</v>
      </c>
      <c r="AB556" s="518">
        <f t="shared" si="1161"/>
        <v>0</v>
      </c>
      <c r="AC556" s="518">
        <f t="shared" si="1161"/>
        <v>-7.7430000000000003</v>
      </c>
      <c r="AD556" s="518">
        <f t="shared" si="1161"/>
        <v>-4.8129999999999988</v>
      </c>
      <c r="AE556" s="89">
        <f t="shared" si="1162"/>
        <v>-12.555999999999999</v>
      </c>
      <c r="AF556" s="518">
        <f t="shared" si="1162"/>
        <v>-33.308999999999997</v>
      </c>
      <c r="AG556" s="518">
        <f t="shared" si="1163"/>
        <v>-32.480000000000004</v>
      </c>
      <c r="AH556" s="518">
        <f t="shared" si="1163"/>
        <v>-6.2039999999999935</v>
      </c>
      <c r="AI556" s="518">
        <f t="shared" si="1163"/>
        <v>-115.38900000000001</v>
      </c>
      <c r="AJ556" s="89">
        <f t="shared" si="1164"/>
        <v>-187.38200000000001</v>
      </c>
      <c r="AK556" s="518">
        <f t="shared" si="1164"/>
        <v>-102.126</v>
      </c>
      <c r="AL556" s="518">
        <f t="shared" si="1165"/>
        <v>-295.48699999999997</v>
      </c>
      <c r="AM556" s="518">
        <f t="shared" si="1165"/>
        <v>-77.38</v>
      </c>
      <c r="AN556" s="518">
        <f t="shared" si="1165"/>
        <v>-6.0180000000000291</v>
      </c>
      <c r="AO556" s="89">
        <f t="shared" si="1166"/>
        <v>-481.01100000000002</v>
      </c>
      <c r="AP556" s="518">
        <f t="shared" si="1166"/>
        <v>0</v>
      </c>
      <c r="AQ556" s="518">
        <f t="shared" si="1167"/>
        <v>0</v>
      </c>
      <c r="AR556" s="518">
        <f t="shared" si="1167"/>
        <v>0</v>
      </c>
      <c r="AS556" s="518">
        <f t="shared" si="1167"/>
        <v>-24.396000000000001</v>
      </c>
      <c r="AT556" s="89">
        <f t="shared" si="1168"/>
        <v>-24.396000000000001</v>
      </c>
      <c r="AU556" s="518">
        <f t="shared" si="1168"/>
        <v>-49.527999999999999</v>
      </c>
      <c r="AV556" s="518">
        <f t="shared" si="1169"/>
        <v>-64.628999999999991</v>
      </c>
      <c r="AW556" s="518">
        <f t="shared" si="1169"/>
        <v>-63.674999999999997</v>
      </c>
      <c r="AX556" s="518">
        <f t="shared" si="1169"/>
        <v>-85.096000000000004</v>
      </c>
      <c r="AY556" s="89">
        <f t="shared" si="1170"/>
        <v>-262.928</v>
      </c>
      <c r="AZ556" s="518">
        <f t="shared" si="1170"/>
        <v>-50.006</v>
      </c>
      <c r="BA556" s="518">
        <f t="shared" si="1171"/>
        <v>-50</v>
      </c>
      <c r="BB556" s="518">
        <f t="shared" si="1171"/>
        <v>-50</v>
      </c>
      <c r="BC556" s="518">
        <f t="shared" si="1171"/>
        <v>-50</v>
      </c>
      <c r="BD556" s="89">
        <f t="shared" si="1172"/>
        <v>-200.006</v>
      </c>
      <c r="BE556" s="518">
        <f t="shared" si="1172"/>
        <v>-49.999000000000002</v>
      </c>
      <c r="BF556" s="518">
        <f t="shared" si="1173"/>
        <v>-50.000999999999998</v>
      </c>
      <c r="BG556" s="518">
        <f t="shared" si="1174"/>
        <v>-49.998999999999995</v>
      </c>
      <c r="BH556" s="518">
        <f t="shared" si="1175"/>
        <v>-50</v>
      </c>
      <c r="BI556" s="89">
        <f t="shared" si="1176"/>
        <v>-199.999</v>
      </c>
      <c r="BJ556" s="518">
        <f t="shared" si="1177"/>
        <v>-62.5</v>
      </c>
      <c r="BK556" s="518">
        <f t="shared" si="1178"/>
        <v>-60.156999999999996</v>
      </c>
      <c r="BL556" s="520">
        <f t="shared" si="1179"/>
        <v>-65.742000000000004</v>
      </c>
      <c r="BM556" s="518">
        <f>BM378</f>
        <v>0</v>
      </c>
      <c r="BN556" s="89">
        <f t="shared" si="1180"/>
        <v>-188.399</v>
      </c>
      <c r="BO556" s="518">
        <f>BO378</f>
        <v>0</v>
      </c>
      <c r="BP556" s="518">
        <f>BP378</f>
        <v>0</v>
      </c>
      <c r="BQ556" s="518">
        <f>BQ378</f>
        <v>0</v>
      </c>
      <c r="BR556" s="518">
        <f>BR378</f>
        <v>0</v>
      </c>
      <c r="BS556" s="89">
        <f t="shared" si="1181"/>
        <v>0</v>
      </c>
      <c r="BT556" s="89">
        <f>BT378</f>
        <v>0</v>
      </c>
      <c r="BU556" s="89">
        <f>BU378</f>
        <v>0</v>
      </c>
      <c r="BV556" s="89">
        <f>BV378</f>
        <v>0</v>
      </c>
      <c r="BW556" s="519"/>
    </row>
    <row r="557" spans="1:75" s="439" customFormat="1">
      <c r="A557" s="31" t="str">
        <f t="shared" si="1151"/>
        <v>Repayment of acquired debt</v>
      </c>
      <c r="B557" s="518"/>
      <c r="C557" s="89">
        <f t="shared" si="1152"/>
        <v>0</v>
      </c>
      <c r="D557" s="89">
        <f t="shared" si="1152"/>
        <v>0</v>
      </c>
      <c r="E557" s="89">
        <f t="shared" si="1152"/>
        <v>0</v>
      </c>
      <c r="F557" s="89">
        <f t="shared" si="1152"/>
        <v>-1.3080000000000001</v>
      </c>
      <c r="G557" s="518">
        <f t="shared" si="1152"/>
        <v>0</v>
      </c>
      <c r="H557" s="518">
        <f t="shared" si="1153"/>
        <v>0</v>
      </c>
      <c r="I557" s="518">
        <f t="shared" si="1153"/>
        <v>0</v>
      </c>
      <c r="J557" s="518">
        <f t="shared" si="1153"/>
        <v>0</v>
      </c>
      <c r="K557" s="89">
        <f t="shared" si="1154"/>
        <v>0</v>
      </c>
      <c r="L557" s="518">
        <f t="shared" si="1154"/>
        <v>0</v>
      </c>
      <c r="M557" s="518">
        <f t="shared" si="1155"/>
        <v>0</v>
      </c>
      <c r="N557" s="518">
        <f t="shared" si="1155"/>
        <v>0</v>
      </c>
      <c r="O557" s="518">
        <f t="shared" si="1155"/>
        <v>0</v>
      </c>
      <c r="P557" s="89">
        <f t="shared" si="1156"/>
        <v>0</v>
      </c>
      <c r="Q557" s="518">
        <f t="shared" si="1156"/>
        <v>0</v>
      </c>
      <c r="R557" s="518">
        <f t="shared" si="1157"/>
        <v>0</v>
      </c>
      <c r="S557" s="518">
        <f t="shared" si="1157"/>
        <v>0</v>
      </c>
      <c r="T557" s="518">
        <f t="shared" si="1157"/>
        <v>-0.82499999999999996</v>
      </c>
      <c r="U557" s="89">
        <f t="shared" si="1158"/>
        <v>-0.82499999999999996</v>
      </c>
      <c r="V557" s="518">
        <f t="shared" si="1158"/>
        <v>0</v>
      </c>
      <c r="W557" s="518">
        <f t="shared" si="1159"/>
        <v>0</v>
      </c>
      <c r="X557" s="518">
        <f t="shared" si="1159"/>
        <v>0</v>
      </c>
      <c r="Y557" s="518">
        <f t="shared" si="1159"/>
        <v>0</v>
      </c>
      <c r="Z557" s="89">
        <f t="shared" si="1160"/>
        <v>0</v>
      </c>
      <c r="AA557" s="518">
        <f t="shared" si="1160"/>
        <v>0</v>
      </c>
      <c r="AB557" s="518">
        <f t="shared" si="1161"/>
        <v>0</v>
      </c>
      <c r="AC557" s="518">
        <f t="shared" si="1161"/>
        <v>0</v>
      </c>
      <c r="AD557" s="518">
        <f t="shared" si="1161"/>
        <v>0</v>
      </c>
      <c r="AE557" s="89">
        <f t="shared" si="1162"/>
        <v>0</v>
      </c>
      <c r="AF557" s="518">
        <f t="shared" si="1162"/>
        <v>0</v>
      </c>
      <c r="AG557" s="518">
        <f t="shared" si="1163"/>
        <v>0</v>
      </c>
      <c r="AH557" s="518">
        <f t="shared" si="1163"/>
        <v>0</v>
      </c>
      <c r="AI557" s="518">
        <f t="shared" si="1163"/>
        <v>0</v>
      </c>
      <c r="AJ557" s="89">
        <f t="shared" si="1164"/>
        <v>0</v>
      </c>
      <c r="AK557" s="518">
        <f t="shared" si="1164"/>
        <v>0</v>
      </c>
      <c r="AL557" s="518">
        <f t="shared" si="1165"/>
        <v>0</v>
      </c>
      <c r="AM557" s="518">
        <f t="shared" si="1165"/>
        <v>0</v>
      </c>
      <c r="AN557" s="518">
        <f t="shared" si="1165"/>
        <v>0</v>
      </c>
      <c r="AO557" s="89">
        <f t="shared" si="1166"/>
        <v>0</v>
      </c>
      <c r="AP557" s="518">
        <f t="shared" si="1166"/>
        <v>0</v>
      </c>
      <c r="AQ557" s="518">
        <f t="shared" si="1167"/>
        <v>0</v>
      </c>
      <c r="AR557" s="518">
        <f t="shared" si="1167"/>
        <v>0</v>
      </c>
      <c r="AS557" s="518">
        <f t="shared" si="1167"/>
        <v>0</v>
      </c>
      <c r="AT557" s="89">
        <f t="shared" si="1168"/>
        <v>0</v>
      </c>
      <c r="AU557" s="518">
        <f t="shared" si="1168"/>
        <v>0</v>
      </c>
      <c r="AV557" s="518">
        <f t="shared" si="1169"/>
        <v>0</v>
      </c>
      <c r="AW557" s="518">
        <f t="shared" si="1169"/>
        <v>0</v>
      </c>
      <c r="AX557" s="518">
        <f t="shared" si="1169"/>
        <v>0</v>
      </c>
      <c r="AY557" s="89">
        <f t="shared" si="1170"/>
        <v>0</v>
      </c>
      <c r="AZ557" s="518">
        <f t="shared" si="1170"/>
        <v>0</v>
      </c>
      <c r="BA557" s="518">
        <f t="shared" si="1171"/>
        <v>0</v>
      </c>
      <c r="BB557" s="518">
        <f t="shared" si="1171"/>
        <v>0</v>
      </c>
      <c r="BC557" s="518">
        <f t="shared" si="1171"/>
        <v>0</v>
      </c>
      <c r="BD557" s="89">
        <f t="shared" si="1172"/>
        <v>0</v>
      </c>
      <c r="BE557" s="518">
        <f t="shared" si="1172"/>
        <v>0</v>
      </c>
      <c r="BF557" s="518">
        <f t="shared" si="1173"/>
        <v>0</v>
      </c>
      <c r="BG557" s="518">
        <f t="shared" si="1174"/>
        <v>0</v>
      </c>
      <c r="BH557" s="518">
        <f t="shared" si="1175"/>
        <v>0</v>
      </c>
      <c r="BI557" s="89">
        <f t="shared" si="1176"/>
        <v>0</v>
      </c>
      <c r="BJ557" s="518">
        <f t="shared" si="1177"/>
        <v>0</v>
      </c>
      <c r="BK557" s="518">
        <f t="shared" si="1178"/>
        <v>0</v>
      </c>
      <c r="BL557" s="520">
        <f t="shared" si="1179"/>
        <v>0</v>
      </c>
      <c r="BM557" s="518">
        <f>BM377</f>
        <v>0</v>
      </c>
      <c r="BN557" s="89">
        <f t="shared" si="1180"/>
        <v>0</v>
      </c>
      <c r="BO557" s="518">
        <f>BO377</f>
        <v>0</v>
      </c>
      <c r="BP557" s="518">
        <f>BP377</f>
        <v>0</v>
      </c>
      <c r="BQ557" s="518">
        <f>BQ377</f>
        <v>0</v>
      </c>
      <c r="BR557" s="518">
        <f>BR377</f>
        <v>0</v>
      </c>
      <c r="BS557" s="89">
        <f t="shared" si="1181"/>
        <v>0</v>
      </c>
      <c r="BT557" s="89">
        <f>BT377</f>
        <v>0</v>
      </c>
      <c r="BU557" s="89">
        <f>BU377</f>
        <v>0</v>
      </c>
      <c r="BV557" s="89">
        <f>BV377</f>
        <v>0</v>
      </c>
      <c r="BW557" s="519"/>
    </row>
    <row r="558" spans="1:75" s="439" customFormat="1">
      <c r="A558" s="31" t="str">
        <f t="shared" si="1151"/>
        <v>Payment of issuance costs for credit facility</v>
      </c>
      <c r="B558" s="518"/>
      <c r="C558" s="89">
        <f t="shared" si="1152"/>
        <v>0</v>
      </c>
      <c r="D558" s="89">
        <f t="shared" si="1152"/>
        <v>0</v>
      </c>
      <c r="E558" s="89">
        <f t="shared" si="1152"/>
        <v>0</v>
      </c>
      <c r="F558" s="89">
        <f t="shared" si="1152"/>
        <v>0</v>
      </c>
      <c r="G558" s="518">
        <f t="shared" si="1152"/>
        <v>0</v>
      </c>
      <c r="H558" s="518">
        <f t="shared" si="1153"/>
        <v>0</v>
      </c>
      <c r="I558" s="518">
        <f t="shared" si="1153"/>
        <v>0</v>
      </c>
      <c r="J558" s="518">
        <f t="shared" si="1153"/>
        <v>0</v>
      </c>
      <c r="K558" s="89">
        <f t="shared" si="1154"/>
        <v>0</v>
      </c>
      <c r="L558" s="518">
        <f t="shared" si="1154"/>
        <v>0</v>
      </c>
      <c r="M558" s="518">
        <f t="shared" si="1155"/>
        <v>0</v>
      </c>
      <c r="N558" s="518">
        <f t="shared" si="1155"/>
        <v>0</v>
      </c>
      <c r="O558" s="518">
        <f t="shared" si="1155"/>
        <v>0</v>
      </c>
      <c r="P558" s="89">
        <f t="shared" si="1156"/>
        <v>0</v>
      </c>
      <c r="Q558" s="518">
        <f t="shared" si="1156"/>
        <v>0</v>
      </c>
      <c r="R558" s="518">
        <f t="shared" si="1157"/>
        <v>0</v>
      </c>
      <c r="S558" s="518">
        <f t="shared" si="1157"/>
        <v>0</v>
      </c>
      <c r="T558" s="518">
        <f t="shared" si="1157"/>
        <v>0</v>
      </c>
      <c r="U558" s="89">
        <f t="shared" si="1158"/>
        <v>0</v>
      </c>
      <c r="V558" s="518">
        <f t="shared" si="1158"/>
        <v>0</v>
      </c>
      <c r="W558" s="518">
        <f t="shared" si="1159"/>
        <v>0</v>
      </c>
      <c r="X558" s="518">
        <f t="shared" si="1159"/>
        <v>0</v>
      </c>
      <c r="Y558" s="518">
        <f t="shared" si="1159"/>
        <v>0</v>
      </c>
      <c r="Z558" s="89">
        <f t="shared" si="1160"/>
        <v>0</v>
      </c>
      <c r="AA558" s="518">
        <f t="shared" si="1160"/>
        <v>0</v>
      </c>
      <c r="AB558" s="518">
        <f t="shared" si="1161"/>
        <v>0</v>
      </c>
      <c r="AC558" s="518">
        <f t="shared" si="1161"/>
        <v>0</v>
      </c>
      <c r="AD558" s="518">
        <f t="shared" si="1161"/>
        <v>0</v>
      </c>
      <c r="AE558" s="89">
        <f t="shared" si="1162"/>
        <v>0</v>
      </c>
      <c r="AF558" s="518">
        <f t="shared" si="1162"/>
        <v>0</v>
      </c>
      <c r="AG558" s="518">
        <f t="shared" si="1163"/>
        <v>0</v>
      </c>
      <c r="AH558" s="518">
        <f t="shared" si="1163"/>
        <v>0</v>
      </c>
      <c r="AI558" s="518">
        <f t="shared" si="1163"/>
        <v>0</v>
      </c>
      <c r="AJ558" s="89">
        <f t="shared" si="1164"/>
        <v>0</v>
      </c>
      <c r="AK558" s="518">
        <f t="shared" si="1164"/>
        <v>0</v>
      </c>
      <c r="AL558" s="518">
        <f t="shared" si="1165"/>
        <v>0</v>
      </c>
      <c r="AM558" s="518">
        <f t="shared" si="1165"/>
        <v>0</v>
      </c>
      <c r="AN558" s="518">
        <f t="shared" si="1165"/>
        <v>0</v>
      </c>
      <c r="AO558" s="89">
        <f t="shared" si="1166"/>
        <v>0</v>
      </c>
      <c r="AP558" s="518">
        <f t="shared" si="1166"/>
        <v>0</v>
      </c>
      <c r="AQ558" s="518">
        <f t="shared" si="1167"/>
        <v>0</v>
      </c>
      <c r="AR558" s="518">
        <f t="shared" si="1167"/>
        <v>0</v>
      </c>
      <c r="AS558" s="518">
        <f t="shared" si="1167"/>
        <v>0</v>
      </c>
      <c r="AT558" s="89">
        <f t="shared" si="1168"/>
        <v>0</v>
      </c>
      <c r="AU558" s="518">
        <f t="shared" si="1168"/>
        <v>0</v>
      </c>
      <c r="AV558" s="518">
        <f t="shared" si="1169"/>
        <v>0</v>
      </c>
      <c r="AW558" s="518">
        <f t="shared" si="1169"/>
        <v>0</v>
      </c>
      <c r="AX558" s="518">
        <f t="shared" si="1169"/>
        <v>0</v>
      </c>
      <c r="AY558" s="89">
        <f t="shared" si="1170"/>
        <v>0</v>
      </c>
      <c r="AZ558" s="518">
        <f t="shared" si="1170"/>
        <v>0</v>
      </c>
      <c r="BA558" s="518">
        <f t="shared" si="1171"/>
        <v>0</v>
      </c>
      <c r="BB558" s="518">
        <f t="shared" si="1171"/>
        <v>0</v>
      </c>
      <c r="BC558" s="518">
        <f t="shared" si="1171"/>
        <v>0</v>
      </c>
      <c r="BD558" s="89">
        <f t="shared" si="1172"/>
        <v>0</v>
      </c>
      <c r="BE558" s="518">
        <f t="shared" si="1172"/>
        <v>0</v>
      </c>
      <c r="BF558" s="518">
        <f>BF489-BE489</f>
        <v>-0.79900000000000004</v>
      </c>
      <c r="BG558" s="518">
        <f t="shared" si="1174"/>
        <v>-0.24999999999999989</v>
      </c>
      <c r="BH558" s="518">
        <f t="shared" si="1175"/>
        <v>-6.0000000000000053E-2</v>
      </c>
      <c r="BI558" s="89">
        <f t="shared" si="1176"/>
        <v>-1.109</v>
      </c>
      <c r="BJ558" s="518">
        <f t="shared" si="1177"/>
        <v>0</v>
      </c>
      <c r="BK558" s="518">
        <f t="shared" si="1178"/>
        <v>0</v>
      </c>
      <c r="BL558" s="520">
        <f t="shared" si="1179"/>
        <v>0</v>
      </c>
      <c r="BM558" s="518"/>
      <c r="BN558" s="89">
        <f t="shared" si="1180"/>
        <v>0</v>
      </c>
      <c r="BO558" s="518"/>
      <c r="BP558" s="518"/>
      <c r="BQ558" s="518"/>
      <c r="BR558" s="518"/>
      <c r="BS558" s="89">
        <f t="shared" si="1181"/>
        <v>0</v>
      </c>
      <c r="BT558" s="89"/>
      <c r="BU558" s="89"/>
      <c r="BV558" s="89"/>
      <c r="BW558" s="519"/>
    </row>
    <row r="559" spans="1:75" s="439" customFormat="1">
      <c r="A559" s="31" t="str">
        <f t="shared" si="1151"/>
        <v>Dividends paid</v>
      </c>
      <c r="B559" s="518"/>
      <c r="C559" s="89">
        <f t="shared" si="1152"/>
        <v>0</v>
      </c>
      <c r="D559" s="89">
        <f t="shared" si="1152"/>
        <v>0</v>
      </c>
      <c r="E559" s="89">
        <f t="shared" si="1152"/>
        <v>0</v>
      </c>
      <c r="F559" s="89">
        <f t="shared" si="1152"/>
        <v>0</v>
      </c>
      <c r="G559" s="518">
        <f t="shared" si="1152"/>
        <v>0</v>
      </c>
      <c r="H559" s="518">
        <f t="shared" si="1153"/>
        <v>0</v>
      </c>
      <c r="I559" s="518">
        <f t="shared" si="1153"/>
        <v>0</v>
      </c>
      <c r="J559" s="518">
        <f t="shared" si="1153"/>
        <v>0</v>
      </c>
      <c r="K559" s="89">
        <f t="shared" si="1154"/>
        <v>0</v>
      </c>
      <c r="L559" s="518">
        <f t="shared" si="1154"/>
        <v>0</v>
      </c>
      <c r="M559" s="518">
        <f t="shared" si="1155"/>
        <v>0</v>
      </c>
      <c r="N559" s="518">
        <f t="shared" si="1155"/>
        <v>0</v>
      </c>
      <c r="O559" s="518">
        <f t="shared" si="1155"/>
        <v>0</v>
      </c>
      <c r="P559" s="89">
        <f t="shared" si="1156"/>
        <v>0</v>
      </c>
      <c r="Q559" s="518">
        <f t="shared" si="1156"/>
        <v>0</v>
      </c>
      <c r="R559" s="518">
        <f t="shared" si="1157"/>
        <v>0</v>
      </c>
      <c r="S559" s="518">
        <f t="shared" si="1157"/>
        <v>0</v>
      </c>
      <c r="T559" s="518">
        <f t="shared" si="1157"/>
        <v>0</v>
      </c>
      <c r="U559" s="89">
        <f t="shared" si="1158"/>
        <v>0</v>
      </c>
      <c r="V559" s="518">
        <f t="shared" si="1158"/>
        <v>0</v>
      </c>
      <c r="W559" s="518">
        <f t="shared" si="1159"/>
        <v>0</v>
      </c>
      <c r="X559" s="518">
        <f t="shared" si="1159"/>
        <v>0</v>
      </c>
      <c r="Y559" s="518">
        <f t="shared" si="1159"/>
        <v>0</v>
      </c>
      <c r="Z559" s="89">
        <f t="shared" si="1160"/>
        <v>0</v>
      </c>
      <c r="AA559" s="518">
        <f t="shared" si="1160"/>
        <v>0</v>
      </c>
      <c r="AB559" s="518">
        <f t="shared" si="1161"/>
        <v>0</v>
      </c>
      <c r="AC559" s="518">
        <f t="shared" si="1161"/>
        <v>0</v>
      </c>
      <c r="AD559" s="518">
        <f t="shared" si="1161"/>
        <v>0</v>
      </c>
      <c r="AE559" s="89">
        <f t="shared" si="1162"/>
        <v>0</v>
      </c>
      <c r="AF559" s="518">
        <f t="shared" si="1162"/>
        <v>0</v>
      </c>
      <c r="AG559" s="518">
        <f t="shared" si="1163"/>
        <v>0</v>
      </c>
      <c r="AH559" s="518">
        <f t="shared" si="1163"/>
        <v>0</v>
      </c>
      <c r="AI559" s="518">
        <f t="shared" si="1163"/>
        <v>0</v>
      </c>
      <c r="AJ559" s="89">
        <f t="shared" si="1164"/>
        <v>0</v>
      </c>
      <c r="AK559" s="518">
        <f t="shared" si="1164"/>
        <v>0</v>
      </c>
      <c r="AL559" s="518">
        <f t="shared" si="1165"/>
        <v>0</v>
      </c>
      <c r="AM559" s="518">
        <f t="shared" si="1165"/>
        <v>0</v>
      </c>
      <c r="AN559" s="518">
        <f t="shared" si="1165"/>
        <v>0</v>
      </c>
      <c r="AO559" s="89">
        <f t="shared" si="1166"/>
        <v>0</v>
      </c>
      <c r="AP559" s="518">
        <f t="shared" si="1166"/>
        <v>0</v>
      </c>
      <c r="AQ559" s="518">
        <f t="shared" si="1167"/>
        <v>0</v>
      </c>
      <c r="AR559" s="518">
        <f t="shared" si="1167"/>
        <v>0</v>
      </c>
      <c r="AS559" s="518">
        <f t="shared" si="1167"/>
        <v>0</v>
      </c>
      <c r="AT559" s="89">
        <f t="shared" si="1168"/>
        <v>0</v>
      </c>
      <c r="AU559" s="518">
        <f t="shared" si="1168"/>
        <v>0</v>
      </c>
      <c r="AV559" s="518">
        <f t="shared" si="1169"/>
        <v>0</v>
      </c>
      <c r="AW559" s="518">
        <f t="shared" si="1169"/>
        <v>0</v>
      </c>
      <c r="AX559" s="518">
        <f t="shared" si="1169"/>
        <v>0</v>
      </c>
      <c r="AY559" s="89">
        <f t="shared" si="1170"/>
        <v>0</v>
      </c>
      <c r="AZ559" s="518">
        <f t="shared" si="1170"/>
        <v>0</v>
      </c>
      <c r="BA559" s="518">
        <f t="shared" si="1171"/>
        <v>0</v>
      </c>
      <c r="BB559" s="518">
        <f t="shared" si="1171"/>
        <v>0</v>
      </c>
      <c r="BC559" s="518">
        <f t="shared" si="1171"/>
        <v>0</v>
      </c>
      <c r="BD559" s="89">
        <f t="shared" si="1172"/>
        <v>0</v>
      </c>
      <c r="BE559" s="518">
        <f t="shared" si="1172"/>
        <v>0</v>
      </c>
      <c r="BF559" s="518">
        <f>BF490-BE490</f>
        <v>0</v>
      </c>
      <c r="BG559" s="518">
        <f t="shared" si="1174"/>
        <v>0</v>
      </c>
      <c r="BH559" s="518">
        <f t="shared" si="1175"/>
        <v>0</v>
      </c>
      <c r="BI559" s="89">
        <f t="shared" si="1176"/>
        <v>0</v>
      </c>
      <c r="BJ559" s="518">
        <f t="shared" si="1177"/>
        <v>0</v>
      </c>
      <c r="BK559" s="518">
        <f t="shared" si="1178"/>
        <v>0</v>
      </c>
      <c r="BL559" s="520">
        <f t="shared" si="1179"/>
        <v>0</v>
      </c>
      <c r="BM559" s="518" t="e">
        <f>BM374</f>
        <v>#REF!</v>
      </c>
      <c r="BN559" s="89" t="e">
        <f t="shared" si="1180"/>
        <v>#REF!</v>
      </c>
      <c r="BO559" s="518" t="e">
        <f>BO374</f>
        <v>#REF!</v>
      </c>
      <c r="BP559" s="518" t="e">
        <f>BP374</f>
        <v>#REF!</v>
      </c>
      <c r="BQ559" s="518" t="e">
        <f>BQ374</f>
        <v>#REF!</v>
      </c>
      <c r="BR559" s="518" t="e">
        <f>BR374</f>
        <v>#REF!</v>
      </c>
      <c r="BS559" s="89" t="e">
        <f t="shared" si="1181"/>
        <v>#REF!</v>
      </c>
      <c r="BT559" s="89" t="e">
        <f>BT374</f>
        <v>#REF!</v>
      </c>
      <c r="BU559" s="89" t="e">
        <f>BU374</f>
        <v>#REF!</v>
      </c>
      <c r="BV559" s="89" t="e">
        <f>BV374</f>
        <v>#REF!</v>
      </c>
      <c r="BW559" s="519"/>
    </row>
    <row r="560" spans="1:75" s="439" customFormat="1">
      <c r="A560" s="31" t="str">
        <f t="shared" si="1151"/>
        <v>Other financing activities</v>
      </c>
      <c r="B560" s="518"/>
      <c r="C560" s="89">
        <f t="shared" si="1152"/>
        <v>0</v>
      </c>
      <c r="D560" s="89">
        <f t="shared" si="1152"/>
        <v>0</v>
      </c>
      <c r="E560" s="89">
        <f t="shared" si="1152"/>
        <v>0</v>
      </c>
      <c r="F560" s="89">
        <f t="shared" si="1152"/>
        <v>0</v>
      </c>
      <c r="G560" s="518">
        <f t="shared" si="1152"/>
        <v>0</v>
      </c>
      <c r="H560" s="518">
        <f t="shared" si="1153"/>
        <v>0</v>
      </c>
      <c r="I560" s="518">
        <f t="shared" si="1153"/>
        <v>0</v>
      </c>
      <c r="J560" s="518">
        <f t="shared" si="1153"/>
        <v>0</v>
      </c>
      <c r="K560" s="89">
        <f t="shared" si="1154"/>
        <v>0</v>
      </c>
      <c r="L560" s="518">
        <f t="shared" si="1154"/>
        <v>0</v>
      </c>
      <c r="M560" s="518">
        <f t="shared" si="1155"/>
        <v>0</v>
      </c>
      <c r="N560" s="518">
        <f t="shared" si="1155"/>
        <v>0</v>
      </c>
      <c r="O560" s="518">
        <f t="shared" si="1155"/>
        <v>0</v>
      </c>
      <c r="P560" s="89">
        <f t="shared" si="1156"/>
        <v>0</v>
      </c>
      <c r="Q560" s="518">
        <f t="shared" si="1156"/>
        <v>0</v>
      </c>
      <c r="R560" s="518">
        <f t="shared" si="1157"/>
        <v>0</v>
      </c>
      <c r="S560" s="518">
        <f t="shared" si="1157"/>
        <v>0</v>
      </c>
      <c r="T560" s="518">
        <f t="shared" si="1157"/>
        <v>0</v>
      </c>
      <c r="U560" s="89">
        <f t="shared" si="1158"/>
        <v>0</v>
      </c>
      <c r="V560" s="518">
        <f t="shared" si="1158"/>
        <v>0</v>
      </c>
      <c r="W560" s="518">
        <f t="shared" si="1159"/>
        <v>0</v>
      </c>
      <c r="X560" s="518">
        <f t="shared" si="1159"/>
        <v>0</v>
      </c>
      <c r="Y560" s="518">
        <f t="shared" si="1159"/>
        <v>0</v>
      </c>
      <c r="Z560" s="89">
        <f t="shared" si="1160"/>
        <v>0</v>
      </c>
      <c r="AA560" s="518">
        <f t="shared" si="1160"/>
        <v>0</v>
      </c>
      <c r="AB560" s="518">
        <f t="shared" si="1161"/>
        <v>0</v>
      </c>
      <c r="AC560" s="518">
        <f t="shared" si="1161"/>
        <v>0</v>
      </c>
      <c r="AD560" s="518">
        <f t="shared" si="1161"/>
        <v>0</v>
      </c>
      <c r="AE560" s="89">
        <f t="shared" si="1162"/>
        <v>0</v>
      </c>
      <c r="AF560" s="518">
        <f t="shared" si="1162"/>
        <v>0</v>
      </c>
      <c r="AG560" s="518">
        <f t="shared" si="1163"/>
        <v>0</v>
      </c>
      <c r="AH560" s="518">
        <f t="shared" si="1163"/>
        <v>0</v>
      </c>
      <c r="AI560" s="518">
        <f t="shared" si="1163"/>
        <v>0</v>
      </c>
      <c r="AJ560" s="89">
        <f t="shared" si="1164"/>
        <v>0</v>
      </c>
      <c r="AK560" s="518">
        <f t="shared" si="1164"/>
        <v>0</v>
      </c>
      <c r="AL560" s="518">
        <f t="shared" si="1165"/>
        <v>0</v>
      </c>
      <c r="AM560" s="518">
        <f t="shared" si="1165"/>
        <v>0</v>
      </c>
      <c r="AN560" s="518">
        <f t="shared" si="1165"/>
        <v>0</v>
      </c>
      <c r="AO560" s="89">
        <f t="shared" si="1166"/>
        <v>0</v>
      </c>
      <c r="AP560" s="518">
        <f t="shared" si="1166"/>
        <v>0</v>
      </c>
      <c r="AQ560" s="518">
        <f t="shared" si="1167"/>
        <v>-0.35599999999999998</v>
      </c>
      <c r="AR560" s="518">
        <f t="shared" si="1167"/>
        <v>-7.7000000000000013E-2</v>
      </c>
      <c r="AS560" s="518">
        <f t="shared" si="1167"/>
        <v>0</v>
      </c>
      <c r="AT560" s="89">
        <f t="shared" si="1168"/>
        <v>-0.433</v>
      </c>
      <c r="AU560" s="518">
        <f t="shared" si="1168"/>
        <v>0</v>
      </c>
      <c r="AV560" s="518">
        <f t="shared" si="1169"/>
        <v>0</v>
      </c>
      <c r="AW560" s="518">
        <f t="shared" si="1169"/>
        <v>0</v>
      </c>
      <c r="AX560" s="518">
        <f t="shared" si="1169"/>
        <v>0</v>
      </c>
      <c r="AY560" s="89">
        <f t="shared" si="1170"/>
        <v>0</v>
      </c>
      <c r="AZ560" s="518">
        <f t="shared" si="1170"/>
        <v>0</v>
      </c>
      <c r="BA560" s="518">
        <f t="shared" si="1171"/>
        <v>0</v>
      </c>
      <c r="BB560" s="518">
        <f t="shared" si="1171"/>
        <v>0</v>
      </c>
      <c r="BC560" s="518">
        <f t="shared" si="1171"/>
        <v>0</v>
      </c>
      <c r="BD560" s="89">
        <f t="shared" si="1172"/>
        <v>0</v>
      </c>
      <c r="BE560" s="518">
        <f t="shared" si="1172"/>
        <v>0</v>
      </c>
      <c r="BF560" s="518">
        <f>BF491-BE491</f>
        <v>0</v>
      </c>
      <c r="BG560" s="518">
        <f t="shared" si="1174"/>
        <v>0</v>
      </c>
      <c r="BH560" s="518">
        <f t="shared" si="1175"/>
        <v>0</v>
      </c>
      <c r="BI560" s="89">
        <f t="shared" si="1176"/>
        <v>0</v>
      </c>
      <c r="BJ560" s="518">
        <f t="shared" si="1177"/>
        <v>0</v>
      </c>
      <c r="BK560" s="518">
        <f t="shared" si="1178"/>
        <v>0</v>
      </c>
      <c r="BL560" s="520">
        <f t="shared" si="1179"/>
        <v>0</v>
      </c>
      <c r="BM560" s="518"/>
      <c r="BN560" s="89">
        <f t="shared" si="1180"/>
        <v>0</v>
      </c>
      <c r="BO560" s="518"/>
      <c r="BP560" s="518"/>
      <c r="BQ560" s="518"/>
      <c r="BR560" s="518"/>
      <c r="BS560" s="89">
        <f t="shared" si="1181"/>
        <v>0</v>
      </c>
      <c r="BT560" s="89"/>
      <c r="BU560" s="89"/>
      <c r="BV560" s="89"/>
      <c r="BW560" s="519"/>
    </row>
    <row r="561" spans="1:75" s="444" customFormat="1">
      <c r="A561" s="18" t="str">
        <f t="shared" si="1151"/>
        <v>Net CFF</v>
      </c>
      <c r="B561" s="49"/>
      <c r="C561" s="676">
        <f t="shared" ref="C561:AH561" si="1182">SUM(C548:C560)</f>
        <v>7.1999999999999995E-2</v>
      </c>
      <c r="D561" s="676">
        <f t="shared" si="1182"/>
        <v>24.632999999999999</v>
      </c>
      <c r="E561" s="676">
        <f t="shared" si="1182"/>
        <v>1.5819999999999999</v>
      </c>
      <c r="F561" s="676">
        <f t="shared" si="1182"/>
        <v>114.17299999999999</v>
      </c>
      <c r="G561" s="560">
        <f t="shared" si="1182"/>
        <v>1.5760000000000001</v>
      </c>
      <c r="H561" s="560">
        <f t="shared" si="1182"/>
        <v>2.835</v>
      </c>
      <c r="I561" s="560">
        <f t="shared" si="1182"/>
        <v>4.923</v>
      </c>
      <c r="J561" s="560">
        <f t="shared" si="1182"/>
        <v>282.38599999999997</v>
      </c>
      <c r="K561" s="676">
        <f t="shared" si="1182"/>
        <v>291.71999999999997</v>
      </c>
      <c r="L561" s="560">
        <f t="shared" si="1182"/>
        <v>6.4130000000000003</v>
      </c>
      <c r="M561" s="560">
        <f t="shared" si="1182"/>
        <v>8.3329999999999966</v>
      </c>
      <c r="N561" s="560">
        <f t="shared" si="1182"/>
        <v>6.5209999999999999</v>
      </c>
      <c r="O561" s="560">
        <f t="shared" si="1182"/>
        <v>8.2820000000000036</v>
      </c>
      <c r="P561" s="676">
        <f t="shared" si="1182"/>
        <v>29.548999999999999</v>
      </c>
      <c r="Q561" s="560">
        <f t="shared" si="1182"/>
        <v>4.0449999999999999</v>
      </c>
      <c r="R561" s="560">
        <f t="shared" si="1182"/>
        <v>13.106000000000002</v>
      </c>
      <c r="S561" s="560">
        <f t="shared" si="1182"/>
        <v>1.6149999999999989</v>
      </c>
      <c r="T561" s="560">
        <f t="shared" si="1182"/>
        <v>7.676000000000001</v>
      </c>
      <c r="U561" s="676">
        <f t="shared" si="1182"/>
        <v>26.442000000000004</v>
      </c>
      <c r="V561" s="560">
        <f t="shared" si="1182"/>
        <v>1.0449999999999999</v>
      </c>
      <c r="W561" s="560">
        <f t="shared" si="1182"/>
        <v>6.8100000000000005</v>
      </c>
      <c r="X561" s="560">
        <f t="shared" si="1182"/>
        <v>10.199999999999999</v>
      </c>
      <c r="Y561" s="560">
        <f t="shared" si="1182"/>
        <v>11.466999999999999</v>
      </c>
      <c r="Z561" s="676">
        <f t="shared" si="1182"/>
        <v>29.521999999999998</v>
      </c>
      <c r="AA561" s="560">
        <f t="shared" si="1182"/>
        <v>3.2869999999999999</v>
      </c>
      <c r="AB561" s="560">
        <f t="shared" si="1182"/>
        <v>16.067</v>
      </c>
      <c r="AC561" s="560">
        <f t="shared" si="1182"/>
        <v>2.4590000000000014</v>
      </c>
      <c r="AD561" s="560">
        <f t="shared" si="1182"/>
        <v>5.349000000000002</v>
      </c>
      <c r="AE561" s="676">
        <f t="shared" si="1182"/>
        <v>27.162000000000006</v>
      </c>
      <c r="AF561" s="560">
        <f t="shared" si="1182"/>
        <v>-39.973999999999997</v>
      </c>
      <c r="AG561" s="560">
        <f t="shared" si="1182"/>
        <v>-37.547000000000004</v>
      </c>
      <c r="AH561" s="560">
        <f t="shared" si="1182"/>
        <v>-13.717999999999996</v>
      </c>
      <c r="AI561" s="560">
        <f t="shared" ref="AI561:AQ561" si="1183">SUM(AI548:AI560)</f>
        <v>-116.50800000000001</v>
      </c>
      <c r="AJ561" s="676">
        <f t="shared" si="1183"/>
        <v>-207.74700000000001</v>
      </c>
      <c r="AK561" s="560">
        <f t="shared" si="1183"/>
        <v>-113.47800000000001</v>
      </c>
      <c r="AL561" s="560">
        <f t="shared" si="1183"/>
        <v>-295.54199999999997</v>
      </c>
      <c r="AM561" s="560">
        <f t="shared" si="1183"/>
        <v>-82.943999999999988</v>
      </c>
      <c r="AN561" s="560">
        <f t="shared" si="1183"/>
        <v>0.44499999999996476</v>
      </c>
      <c r="AO561" s="676">
        <f t="shared" si="1183"/>
        <v>-491.51900000000001</v>
      </c>
      <c r="AP561" s="560">
        <f t="shared" si="1183"/>
        <v>-8.9289999999999985</v>
      </c>
      <c r="AQ561" s="560">
        <f t="shared" si="1183"/>
        <v>6.8239999999999981</v>
      </c>
      <c r="AR561" s="560">
        <f t="shared" ref="AR561:AW561" si="1184">SUM(AR548:AR560)</f>
        <v>0.73499999999999943</v>
      </c>
      <c r="AS561" s="560">
        <f t="shared" si="1184"/>
        <v>-19.681999999999999</v>
      </c>
      <c r="AT561" s="676">
        <f t="shared" si="1184"/>
        <v>-21.052</v>
      </c>
      <c r="AU561" s="560">
        <f t="shared" si="1184"/>
        <v>-60.281999999999996</v>
      </c>
      <c r="AV561" s="560">
        <f t="shared" si="1184"/>
        <v>-73.111999999999995</v>
      </c>
      <c r="AW561" s="560">
        <f t="shared" si="1184"/>
        <v>-76.811000000000007</v>
      </c>
      <c r="AX561" s="560">
        <f t="shared" ref="AX561:BA561" si="1185">SUM(AX548:AX560)</f>
        <v>-90.284000000000006</v>
      </c>
      <c r="AY561" s="676">
        <f t="shared" si="1185"/>
        <v>-300.48899999999998</v>
      </c>
      <c r="AZ561" s="560">
        <f t="shared" si="1185"/>
        <v>-67.953000000000003</v>
      </c>
      <c r="BA561" s="560">
        <f t="shared" si="1185"/>
        <v>-53.073</v>
      </c>
      <c r="BB561" s="560">
        <f t="shared" ref="BB561:BN561" si="1186">SUM(BB548:BB560)</f>
        <v>-60.998000000000005</v>
      </c>
      <c r="BC561" s="560">
        <f t="shared" si="1186"/>
        <v>-55.508000000000003</v>
      </c>
      <c r="BD561" s="676">
        <f t="shared" si="1186"/>
        <v>-237.53200000000001</v>
      </c>
      <c r="BE561" s="560">
        <f t="shared" ref="BE561:BM561" si="1187">SUM(BE548:BE560)</f>
        <v>-54.706000000000003</v>
      </c>
      <c r="BF561" s="560">
        <f t="shared" si="1187"/>
        <v>-58.198999999999998</v>
      </c>
      <c r="BG561" s="560">
        <f t="shared" si="1187"/>
        <v>-70.326999999999998</v>
      </c>
      <c r="BH561" s="560">
        <f t="shared" si="1187"/>
        <v>-63.546000000000006</v>
      </c>
      <c r="BI561" s="676">
        <f t="shared" si="1187"/>
        <v>-246.77800000000002</v>
      </c>
      <c r="BJ561" s="560">
        <f>SUM(BJ548:BJ560)</f>
        <v>-83.834000000000003</v>
      </c>
      <c r="BK561" s="560">
        <f>SUM(BK548:BK560)</f>
        <v>-66.576999999999998</v>
      </c>
      <c r="BL561" s="561">
        <f>SUM(BL548:BL560)</f>
        <v>-82.596000000000004</v>
      </c>
      <c r="BM561" s="560" t="e">
        <f t="shared" si="1187"/>
        <v>#REF!</v>
      </c>
      <c r="BN561" s="676" t="e">
        <f t="shared" si="1186"/>
        <v>#REF!</v>
      </c>
      <c r="BO561" s="560" t="e">
        <f t="shared" ref="BO561:BV561" si="1188">SUM(BO548:BO560)</f>
        <v>#REF!</v>
      </c>
      <c r="BP561" s="560" t="e">
        <f t="shared" si="1188"/>
        <v>#REF!</v>
      </c>
      <c r="BQ561" s="560" t="e">
        <f t="shared" si="1188"/>
        <v>#REF!</v>
      </c>
      <c r="BR561" s="560" t="e">
        <f t="shared" si="1188"/>
        <v>#REF!</v>
      </c>
      <c r="BS561" s="676" t="e">
        <f t="shared" si="1188"/>
        <v>#REF!</v>
      </c>
      <c r="BT561" s="676" t="e">
        <f t="shared" si="1188"/>
        <v>#REF!</v>
      </c>
      <c r="BU561" s="676" t="e">
        <f t="shared" si="1188"/>
        <v>#REF!</v>
      </c>
      <c r="BV561" s="676" t="e">
        <f t="shared" si="1188"/>
        <v>#REF!</v>
      </c>
      <c r="BW561" s="318"/>
    </row>
    <row r="562" spans="1:75" s="444" customFormat="1">
      <c r="A562" s="28"/>
      <c r="B562" s="30"/>
      <c r="C562" s="700"/>
      <c r="D562" s="700"/>
      <c r="E562" s="700"/>
      <c r="F562" s="700"/>
      <c r="G562" s="523"/>
      <c r="H562" s="523"/>
      <c r="I562" s="523"/>
      <c r="J562" s="523"/>
      <c r="K562" s="700"/>
      <c r="L562" s="523"/>
      <c r="M562" s="523"/>
      <c r="N562" s="523"/>
      <c r="O562" s="523"/>
      <c r="P562" s="700"/>
      <c r="Q562" s="523"/>
      <c r="R562" s="523"/>
      <c r="S562" s="523"/>
      <c r="T562" s="523"/>
      <c r="U562" s="700"/>
      <c r="V562" s="523"/>
      <c r="W562" s="523"/>
      <c r="X562" s="523"/>
      <c r="Y562" s="523"/>
      <c r="Z562" s="700"/>
      <c r="AA562" s="523"/>
      <c r="AB562" s="523"/>
      <c r="AC562" s="523"/>
      <c r="AD562" s="523"/>
      <c r="AE562" s="700"/>
      <c r="AF562" s="523"/>
      <c r="AG562" s="523"/>
      <c r="AH562" s="523"/>
      <c r="AI562" s="523"/>
      <c r="AJ562" s="700"/>
      <c r="AK562" s="523"/>
      <c r="AL562" s="523"/>
      <c r="AM562" s="523"/>
      <c r="AN562" s="523"/>
      <c r="AO562" s="700"/>
      <c r="AP562" s="523"/>
      <c r="AQ562" s="523"/>
      <c r="AR562" s="523"/>
      <c r="AS562" s="523"/>
      <c r="AT562" s="700"/>
      <c r="AU562" s="523"/>
      <c r="AV562" s="523"/>
      <c r="AW562" s="523"/>
      <c r="AX562" s="523"/>
      <c r="AY562" s="700"/>
      <c r="AZ562" s="523"/>
      <c r="BA562" s="523"/>
      <c r="BB562" s="523"/>
      <c r="BC562" s="523"/>
      <c r="BD562" s="700"/>
      <c r="BE562" s="523"/>
      <c r="BF562" s="523"/>
      <c r="BG562" s="523"/>
      <c r="BH562" s="523"/>
      <c r="BI562" s="700"/>
      <c r="BJ562" s="523"/>
      <c r="BK562" s="523"/>
      <c r="BL562" s="563"/>
      <c r="BM562" s="523"/>
      <c r="BN562" s="700"/>
      <c r="BO562" s="523"/>
      <c r="BP562" s="523"/>
      <c r="BQ562" s="523"/>
      <c r="BR562" s="523"/>
      <c r="BS562" s="700"/>
      <c r="BT562" s="700"/>
      <c r="BU562" s="700"/>
      <c r="BV562" s="700"/>
      <c r="BW562" s="318"/>
    </row>
    <row r="563" spans="1:75" s="439" customFormat="1">
      <c r="A563" s="23" t="str">
        <f>A494</f>
        <v>FX</v>
      </c>
      <c r="B563" s="53"/>
      <c r="C563" s="89">
        <f>C494</f>
        <v>-8.9999999999999993E-3</v>
      </c>
      <c r="D563" s="89">
        <f>D494</f>
        <v>-2.1999999999999999E-2</v>
      </c>
      <c r="E563" s="89">
        <f>E494</f>
        <v>0.28299999999999997</v>
      </c>
      <c r="F563" s="89">
        <f>F494</f>
        <v>-9.4E-2</v>
      </c>
      <c r="G563" s="518">
        <f>G494</f>
        <v>-0.11600000000000001</v>
      </c>
      <c r="H563" s="518">
        <f>H494-G494</f>
        <v>-1.8000000000000002E-2</v>
      </c>
      <c r="I563" s="518">
        <f>I494-H494</f>
        <v>0.26600000000000001</v>
      </c>
      <c r="J563" s="518">
        <f>J494-I494</f>
        <v>0.183</v>
      </c>
      <c r="K563" s="89">
        <f>K494</f>
        <v>0.315</v>
      </c>
      <c r="L563" s="518">
        <f>L494</f>
        <v>5.5E-2</v>
      </c>
      <c r="M563" s="518">
        <f>M494-L494</f>
        <v>-1.9999999999999997E-2</v>
      </c>
      <c r="N563" s="518">
        <f>N494-M494</f>
        <v>-0.39100000000000001</v>
      </c>
      <c r="O563" s="518">
        <f>O494-N494</f>
        <v>-0.90299999999999991</v>
      </c>
      <c r="P563" s="89">
        <f>P494</f>
        <v>-1.2589999999999999</v>
      </c>
      <c r="Q563" s="518">
        <f>Q494</f>
        <v>-0.64800000000000002</v>
      </c>
      <c r="R563" s="518">
        <f>R494-Q494</f>
        <v>5.0000000000000044E-2</v>
      </c>
      <c r="S563" s="518">
        <f>S494-R494</f>
        <v>-4.1000000000000036E-2</v>
      </c>
      <c r="T563" s="518">
        <f>T494-S494</f>
        <v>-0.18199999999999994</v>
      </c>
      <c r="U563" s="89">
        <f>U494</f>
        <v>-0.82099999999999995</v>
      </c>
      <c r="V563" s="518">
        <f>V494</f>
        <v>0.159</v>
      </c>
      <c r="W563" s="518">
        <f>W494-V494</f>
        <v>-0.109</v>
      </c>
      <c r="X563" s="518">
        <f>X494-W494</f>
        <v>-2.2000000000000002E-2</v>
      </c>
      <c r="Y563" s="518">
        <f>Y494-X494</f>
        <v>-0.29000000000000004</v>
      </c>
      <c r="Z563" s="89">
        <f>Z494</f>
        <v>-0.26200000000000001</v>
      </c>
      <c r="AA563" s="518">
        <f>AA494</f>
        <v>0.13800000000000001</v>
      </c>
      <c r="AB563" s="518">
        <f>AB494-AA494</f>
        <v>0.41000000000000003</v>
      </c>
      <c r="AC563" s="518">
        <f>AC494-AB494</f>
        <v>0.31599999999999995</v>
      </c>
      <c r="AD563" s="518">
        <f>AD494-AC494</f>
        <v>7.6999999999999957E-2</v>
      </c>
      <c r="AE563" s="89">
        <f>AE494</f>
        <v>0.94099999999999995</v>
      </c>
      <c r="AF563" s="518">
        <f>AF494</f>
        <v>-0.1</v>
      </c>
      <c r="AG563" s="518">
        <f>AG494-AF494</f>
        <v>0.309</v>
      </c>
      <c r="AH563" s="518">
        <f>AH494-AG494</f>
        <v>-1.1999999999999983E-2</v>
      </c>
      <c r="AI563" s="518">
        <f>AI494-AH494</f>
        <v>0.16299999999999998</v>
      </c>
      <c r="AJ563" s="89">
        <f>AJ494</f>
        <v>0.36</v>
      </c>
      <c r="AK563" s="518">
        <f>AK494</f>
        <v>-6.5000000000000002E-2</v>
      </c>
      <c r="AL563" s="518">
        <f>AL494-AK494</f>
        <v>4.1000000000000002E-2</v>
      </c>
      <c r="AM563" s="518">
        <f>AM494-AL494</f>
        <v>0.28200000000000003</v>
      </c>
      <c r="AN563" s="518">
        <f>AN494-AM494</f>
        <v>-0.373</v>
      </c>
      <c r="AO563" s="89">
        <f>AO494</f>
        <v>-0.115</v>
      </c>
      <c r="AP563" s="518">
        <f>AP494</f>
        <v>-0.48599999999999999</v>
      </c>
      <c r="AQ563" s="518">
        <f>AQ494-AP494</f>
        <v>0.14599999999999996</v>
      </c>
      <c r="AR563" s="518">
        <f>AR494-AQ494</f>
        <v>0.20800000000000002</v>
      </c>
      <c r="AS563" s="518">
        <f>AS494-AR494</f>
        <v>0.34599999999999997</v>
      </c>
      <c r="AT563" s="89">
        <f>AT494</f>
        <v>0.214</v>
      </c>
      <c r="AU563" s="518">
        <f>AU494</f>
        <v>6.8000000000000005E-2</v>
      </c>
      <c r="AV563" s="518">
        <f>AV494-AU494</f>
        <v>0.129</v>
      </c>
      <c r="AW563" s="518">
        <f>AW494-AV494</f>
        <v>-0.33400000000000002</v>
      </c>
      <c r="AX563" s="518">
        <f>AX494-AW494</f>
        <v>-0.27799999999999997</v>
      </c>
      <c r="AY563" s="89">
        <f>AY494</f>
        <v>-0.41499999999999998</v>
      </c>
      <c r="AZ563" s="518">
        <f>AZ494</f>
        <v>-0.10100000000000001</v>
      </c>
      <c r="BA563" s="518">
        <f>BA494-AZ494</f>
        <v>-1.0529999999999999</v>
      </c>
      <c r="BB563" s="518">
        <f>BB494-BA494</f>
        <v>-1.8759999999999999</v>
      </c>
      <c r="BC563" s="518">
        <f>BC494-BB494</f>
        <v>0.89399999999999968</v>
      </c>
      <c r="BD563" s="89">
        <f>BD494</f>
        <v>-2.1360000000000001</v>
      </c>
      <c r="BE563" s="518">
        <f>BE494</f>
        <v>0.439</v>
      </c>
      <c r="BF563" s="518">
        <f>BF494-BE494</f>
        <v>0.73599999999999999</v>
      </c>
      <c r="BG563" s="518">
        <f>BG494-BF494</f>
        <v>-0.27200000000000002</v>
      </c>
      <c r="BH563" s="518">
        <f>BH494-BG494</f>
        <v>1.1429999999999998</v>
      </c>
      <c r="BI563" s="89">
        <f>BI494</f>
        <v>2.0459999999999998</v>
      </c>
      <c r="BJ563" s="518">
        <f>BJ494</f>
        <v>-0.48499999999999999</v>
      </c>
      <c r="BK563" s="518">
        <f>BK494-BJ494</f>
        <v>0.19</v>
      </c>
      <c r="BL563" s="520">
        <f>BL494-BK494</f>
        <v>0.875</v>
      </c>
      <c r="BM563" s="518"/>
      <c r="BN563" s="89">
        <f>SUM(BJ563,BK563,BL563,BM563)</f>
        <v>0.58000000000000007</v>
      </c>
      <c r="BO563" s="518"/>
      <c r="BP563" s="518"/>
      <c r="BQ563" s="518"/>
      <c r="BR563" s="518"/>
      <c r="BS563" s="89">
        <f>SUM(BO563,BP563,BQ563,BR563)</f>
        <v>0</v>
      </c>
      <c r="BT563" s="89"/>
      <c r="BU563" s="89"/>
      <c r="BV563" s="89"/>
      <c r="BW563" s="519"/>
    </row>
    <row r="564" spans="1:75" s="444" customFormat="1">
      <c r="A564" s="28" t="str">
        <f>A495</f>
        <v>Net Change in Cash Balance</v>
      </c>
      <c r="B564" s="30"/>
      <c r="C564" s="700">
        <f t="shared" ref="C564:AH564" si="1189">C561+C545+C527+C563</f>
        <v>0.20500000000000007</v>
      </c>
      <c r="D564" s="700">
        <f t="shared" si="1189"/>
        <v>11.999999999999996</v>
      </c>
      <c r="E564" s="700">
        <f t="shared" si="1189"/>
        <v>-5.3380000000000001</v>
      </c>
      <c r="F564" s="700">
        <f t="shared" si="1189"/>
        <v>73.387999999999991</v>
      </c>
      <c r="G564" s="523">
        <f t="shared" si="1189"/>
        <v>-0.62599999999999989</v>
      </c>
      <c r="H564" s="523">
        <f t="shared" si="1189"/>
        <v>2.2970000000000006</v>
      </c>
      <c r="I564" s="523">
        <f t="shared" si="1189"/>
        <v>4.4190000000000023</v>
      </c>
      <c r="J564" s="523">
        <f t="shared" si="1189"/>
        <v>288.54999999999995</v>
      </c>
      <c r="K564" s="700">
        <f t="shared" si="1189"/>
        <v>294.64</v>
      </c>
      <c r="L564" s="523">
        <f t="shared" si="1189"/>
        <v>9.5559999999999974</v>
      </c>
      <c r="M564" s="523">
        <f t="shared" si="1189"/>
        <v>-108.934</v>
      </c>
      <c r="N564" s="523">
        <f t="shared" si="1189"/>
        <v>0.18099999999999206</v>
      </c>
      <c r="O564" s="523">
        <f t="shared" si="1189"/>
        <v>-43.254999999999974</v>
      </c>
      <c r="P564" s="700">
        <f t="shared" si="1189"/>
        <v>-142.45199999999994</v>
      </c>
      <c r="Q564" s="523">
        <f t="shared" si="1189"/>
        <v>-74.682999999999993</v>
      </c>
      <c r="R564" s="523">
        <f t="shared" si="1189"/>
        <v>8.8310000000000066</v>
      </c>
      <c r="S564" s="523">
        <f t="shared" si="1189"/>
        <v>-9.6530000000000182</v>
      </c>
      <c r="T564" s="523">
        <f t="shared" si="1189"/>
        <v>-0.19399999999997686</v>
      </c>
      <c r="U564" s="700">
        <f t="shared" si="1189"/>
        <v>-75.699000000000012</v>
      </c>
      <c r="V564" s="523">
        <f t="shared" si="1189"/>
        <v>11.891999999999996</v>
      </c>
      <c r="W564" s="523">
        <f t="shared" si="1189"/>
        <v>12.789999999999988</v>
      </c>
      <c r="X564" s="523">
        <f t="shared" si="1189"/>
        <v>28.596000000000021</v>
      </c>
      <c r="Y564" s="523">
        <f t="shared" si="1189"/>
        <v>47.310000000000009</v>
      </c>
      <c r="Z564" s="700">
        <f t="shared" si="1189"/>
        <v>100.58799999999999</v>
      </c>
      <c r="AA564" s="523">
        <f t="shared" si="1189"/>
        <v>1.2249999999999961</v>
      </c>
      <c r="AB564" s="523">
        <f t="shared" si="1189"/>
        <v>47.550000000000004</v>
      </c>
      <c r="AC564" s="523">
        <f t="shared" si="1189"/>
        <v>42.703000000000024</v>
      </c>
      <c r="AD564" s="523">
        <f t="shared" si="1189"/>
        <v>185.40800000000002</v>
      </c>
      <c r="AE564" s="700">
        <f t="shared" si="1189"/>
        <v>276.88600000000002</v>
      </c>
      <c r="AF564" s="523">
        <f t="shared" si="1189"/>
        <v>-155.26899999999998</v>
      </c>
      <c r="AG564" s="523">
        <f t="shared" si="1189"/>
        <v>0.44699999999994838</v>
      </c>
      <c r="AH564" s="523">
        <f t="shared" si="1189"/>
        <v>34.03400000000002</v>
      </c>
      <c r="AI564" s="523">
        <f t="shared" ref="AI564:AQ564" si="1190">AI561+AI545+AI527+AI563</f>
        <v>-90.780999999999935</v>
      </c>
      <c r="AJ564" s="700">
        <f t="shared" si="1190"/>
        <v>-211.56899999999993</v>
      </c>
      <c r="AK564" s="523">
        <f t="shared" si="1190"/>
        <v>-37.360000000000014</v>
      </c>
      <c r="AL564" s="523">
        <f t="shared" si="1190"/>
        <v>-155.92900000000003</v>
      </c>
      <c r="AM564" s="523">
        <f t="shared" si="1190"/>
        <v>-16.017000000000021</v>
      </c>
      <c r="AN564" s="523">
        <f t="shared" si="1190"/>
        <v>46.788999999999966</v>
      </c>
      <c r="AO564" s="700">
        <f t="shared" si="1190"/>
        <v>-162.51700000000008</v>
      </c>
      <c r="AP564" s="523">
        <f t="shared" si="1190"/>
        <v>194.59</v>
      </c>
      <c r="AQ564" s="523">
        <f t="shared" si="1190"/>
        <v>139.69499999999996</v>
      </c>
      <c r="AR564" s="523">
        <f t="shared" ref="AR564:AW564" si="1191">AR561+AR545+AR527+AR563</f>
        <v>65.012000000000015</v>
      </c>
      <c r="AS564" s="523">
        <f t="shared" si="1191"/>
        <v>4.9249999999999865</v>
      </c>
      <c r="AT564" s="700">
        <f t="shared" si="1191"/>
        <v>404.22200000000004</v>
      </c>
      <c r="AU564" s="523">
        <f t="shared" si="1191"/>
        <v>-7.2589999999999986</v>
      </c>
      <c r="AV564" s="523">
        <f t="shared" si="1191"/>
        <v>-30.02699999999999</v>
      </c>
      <c r="AW564" s="523">
        <f t="shared" si="1191"/>
        <v>-26.579999999999995</v>
      </c>
      <c r="AX564" s="523">
        <f t="shared" ref="AX564:BA564" si="1192">AX561+AX545+AX527+AX563</f>
        <v>-52.033000000000015</v>
      </c>
      <c r="AY564" s="700">
        <f t="shared" si="1192"/>
        <v>-115.89900000000007</v>
      </c>
      <c r="AZ564" s="523">
        <f t="shared" si="1192"/>
        <v>-14.726000000000001</v>
      </c>
      <c r="BA564" s="523">
        <f t="shared" si="1192"/>
        <v>-43.701000000000001</v>
      </c>
      <c r="BB564" s="523">
        <f t="shared" ref="BB564:BN564" si="1193">BB561+BB545+BB527+BB563</f>
        <v>-90.098000000000042</v>
      </c>
      <c r="BC564" s="523">
        <f t="shared" si="1193"/>
        <v>-24.977999999999987</v>
      </c>
      <c r="BD564" s="700">
        <f t="shared" si="1193"/>
        <v>-173.50300000000001</v>
      </c>
      <c r="BE564" s="523">
        <f t="shared" ref="BE564:BM564" si="1194">BE561+BE545+BE527+BE563</f>
        <v>-17.303000000000004</v>
      </c>
      <c r="BF564" s="523">
        <f t="shared" si="1194"/>
        <v>-19.060999999999996</v>
      </c>
      <c r="BG564" s="523">
        <f t="shared" si="1194"/>
        <v>34.679999999999986</v>
      </c>
      <c r="BH564" s="523">
        <f t="shared" si="1194"/>
        <v>8.5479999999999876</v>
      </c>
      <c r="BI564" s="700">
        <f t="shared" si="1194"/>
        <v>6.863999999999983</v>
      </c>
      <c r="BJ564" s="523">
        <f>BJ561+BJ545+BJ527+BJ563</f>
        <v>-17.865999999999985</v>
      </c>
      <c r="BK564" s="523">
        <f>BK561+BK545+BK527+BK563</f>
        <v>-43.341999999999985</v>
      </c>
      <c r="BL564" s="563">
        <f>BL561+BL545+BL527+BL563</f>
        <v>9.1829999999999785</v>
      </c>
      <c r="BM564" s="523" t="e">
        <f t="shared" si="1194"/>
        <v>#REF!</v>
      </c>
      <c r="BN564" s="700" t="e">
        <f t="shared" si="1193"/>
        <v>#REF!</v>
      </c>
      <c r="BO564" s="523" t="e">
        <f t="shared" ref="BO564:BV564" si="1195">BO561+BO545+BO527+BO563</f>
        <v>#REF!</v>
      </c>
      <c r="BP564" s="523" t="e">
        <f t="shared" si="1195"/>
        <v>#REF!</v>
      </c>
      <c r="BQ564" s="523" t="e">
        <f t="shared" si="1195"/>
        <v>#REF!</v>
      </c>
      <c r="BR564" s="523" t="e">
        <f t="shared" si="1195"/>
        <v>#REF!</v>
      </c>
      <c r="BS564" s="700" t="e">
        <f t="shared" si="1195"/>
        <v>#REF!</v>
      </c>
      <c r="BT564" s="700" t="e">
        <f t="shared" si="1195"/>
        <v>#REF!</v>
      </c>
      <c r="BU564" s="700" t="e">
        <f t="shared" si="1195"/>
        <v>#REF!</v>
      </c>
      <c r="BV564" s="700" t="e">
        <f t="shared" si="1195"/>
        <v>#REF!</v>
      </c>
      <c r="BW564" s="318"/>
    </row>
    <row r="565" spans="1:75" s="444" customFormat="1">
      <c r="A565" s="28"/>
      <c r="B565" s="30"/>
      <c r="C565" s="700"/>
      <c r="D565" s="700"/>
      <c r="E565" s="700"/>
      <c r="F565" s="700"/>
      <c r="G565" s="523"/>
      <c r="H565" s="523"/>
      <c r="I565" s="523"/>
      <c r="J565" s="523"/>
      <c r="K565" s="700"/>
      <c r="L565" s="523"/>
      <c r="M565" s="523"/>
      <c r="N565" s="523"/>
      <c r="O565" s="523"/>
      <c r="P565" s="700"/>
      <c r="Q565" s="523"/>
      <c r="R565" s="523"/>
      <c r="S565" s="523"/>
      <c r="T565" s="523"/>
      <c r="U565" s="700"/>
      <c r="V565" s="523"/>
      <c r="W565" s="523"/>
      <c r="X565" s="523"/>
      <c r="Y565" s="523"/>
      <c r="Z565" s="700"/>
      <c r="AA565" s="523"/>
      <c r="AB565" s="523"/>
      <c r="AC565" s="523"/>
      <c r="AD565" s="523"/>
      <c r="AE565" s="700"/>
      <c r="AF565" s="523"/>
      <c r="AG565" s="523"/>
      <c r="AH565" s="523"/>
      <c r="AI565" s="523"/>
      <c r="AJ565" s="700"/>
      <c r="AK565" s="523"/>
      <c r="AL565" s="523"/>
      <c r="AM565" s="523"/>
      <c r="AN565" s="523"/>
      <c r="AO565" s="700"/>
      <c r="AP565" s="523"/>
      <c r="AQ565" s="523"/>
      <c r="AR565" s="523"/>
      <c r="AS565" s="523"/>
      <c r="AT565" s="700"/>
      <c r="AU565" s="523"/>
      <c r="AV565" s="523"/>
      <c r="AW565" s="523"/>
      <c r="AX565" s="523"/>
      <c r="AY565" s="700"/>
      <c r="AZ565" s="523"/>
      <c r="BA565" s="523"/>
      <c r="BB565" s="523"/>
      <c r="BC565" s="523"/>
      <c r="BD565" s="700"/>
      <c r="BE565" s="523"/>
      <c r="BF565" s="523"/>
      <c r="BG565" s="523"/>
      <c r="BH565" s="523"/>
      <c r="BI565" s="700"/>
      <c r="BJ565" s="523"/>
      <c r="BK565" s="523"/>
      <c r="BL565" s="563"/>
      <c r="BM565" s="523"/>
      <c r="BN565" s="700"/>
      <c r="BO565" s="523"/>
      <c r="BP565" s="523"/>
      <c r="BQ565" s="523"/>
      <c r="BR565" s="523"/>
      <c r="BS565" s="700"/>
      <c r="BT565" s="700"/>
      <c r="BU565" s="700"/>
      <c r="BV565" s="700"/>
      <c r="BW565" s="318"/>
    </row>
    <row r="566" spans="1:75" s="444" customFormat="1">
      <c r="A566" s="28" t="str">
        <f>A497</f>
        <v>Beginning Cash Balance</v>
      </c>
      <c r="B566" s="30"/>
      <c r="C566" s="714">
        <v>14.869</v>
      </c>
      <c r="D566" s="714">
        <v>15.074</v>
      </c>
      <c r="E566" s="700">
        <f t="shared" ref="E566:J566" si="1196">D567</f>
        <v>27.073999999999998</v>
      </c>
      <c r="F566" s="700">
        <f t="shared" si="1196"/>
        <v>21.735999999999997</v>
      </c>
      <c r="G566" s="523">
        <f t="shared" si="1196"/>
        <v>95.123999999999995</v>
      </c>
      <c r="H566" s="523">
        <f t="shared" si="1196"/>
        <v>94.49799999999999</v>
      </c>
      <c r="I566" s="523">
        <f t="shared" si="1196"/>
        <v>96.794999999999987</v>
      </c>
      <c r="J566" s="523">
        <f t="shared" si="1196"/>
        <v>101.21399999999998</v>
      </c>
      <c r="K566" s="700">
        <f>F567</f>
        <v>95.123999999999995</v>
      </c>
      <c r="L566" s="523">
        <f>K567</f>
        <v>389.76400000000001</v>
      </c>
      <c r="M566" s="523">
        <f>L567</f>
        <v>399.32</v>
      </c>
      <c r="N566" s="523">
        <f>M567</f>
        <v>290.38599999999997</v>
      </c>
      <c r="O566" s="523">
        <f>N567</f>
        <v>290.56699999999995</v>
      </c>
      <c r="P566" s="700">
        <f>K567</f>
        <v>389.76400000000001</v>
      </c>
      <c r="Q566" s="523">
        <f>P567</f>
        <v>247.31200000000007</v>
      </c>
      <c r="R566" s="523">
        <f>Q567</f>
        <v>172.62900000000008</v>
      </c>
      <c r="S566" s="523">
        <f>R567</f>
        <v>181.46000000000009</v>
      </c>
      <c r="T566" s="523">
        <f>S567</f>
        <v>171.80700000000007</v>
      </c>
      <c r="U566" s="700">
        <f>P567</f>
        <v>247.31200000000007</v>
      </c>
      <c r="V566" s="523">
        <f>U567</f>
        <v>171.61300000000006</v>
      </c>
      <c r="W566" s="523">
        <f>V567</f>
        <v>183.50500000000005</v>
      </c>
      <c r="X566" s="523">
        <f>W567</f>
        <v>196.29500000000004</v>
      </c>
      <c r="Y566" s="523">
        <f>X567</f>
        <v>224.89100000000008</v>
      </c>
      <c r="Z566" s="700">
        <f>U567</f>
        <v>171.61300000000006</v>
      </c>
      <c r="AA566" s="523">
        <f>AA497</f>
        <v>289.51799999999997</v>
      </c>
      <c r="AB566" s="523">
        <f>AA567</f>
        <v>290.74299999999999</v>
      </c>
      <c r="AC566" s="523">
        <f>AB567</f>
        <v>338.29300000000001</v>
      </c>
      <c r="AD566" s="523">
        <f>AC567</f>
        <v>380.99600000000004</v>
      </c>
      <c r="AE566" s="700">
        <f>AA566</f>
        <v>289.51799999999997</v>
      </c>
      <c r="AF566" s="629">
        <v>566.404</v>
      </c>
      <c r="AG566" s="523">
        <f>AF567</f>
        <v>411.13499999999999</v>
      </c>
      <c r="AH566" s="523">
        <f>AG567</f>
        <v>411.58199999999994</v>
      </c>
      <c r="AI566" s="523">
        <f>AH567</f>
        <v>445.61599999999999</v>
      </c>
      <c r="AJ566" s="700">
        <f>AF566</f>
        <v>566.404</v>
      </c>
      <c r="AK566" s="523">
        <f>AK497</f>
        <v>354.83499999999998</v>
      </c>
      <c r="AL566" s="523">
        <f>AK567</f>
        <v>317.47499999999997</v>
      </c>
      <c r="AM566" s="523">
        <f>AL567</f>
        <v>161.54599999999994</v>
      </c>
      <c r="AN566" s="523">
        <f>AM567</f>
        <v>145.52899999999991</v>
      </c>
      <c r="AO566" s="700">
        <f>AK566</f>
        <v>354.83499999999998</v>
      </c>
      <c r="AP566" s="523">
        <f>AP497</f>
        <v>192.31800000000001</v>
      </c>
      <c r="AQ566" s="523">
        <f>AP567</f>
        <v>386.90800000000002</v>
      </c>
      <c r="AR566" s="523">
        <f>AQ567</f>
        <v>526.60299999999995</v>
      </c>
      <c r="AS566" s="523">
        <f>AR567</f>
        <v>591.61500000000001</v>
      </c>
      <c r="AT566" s="700">
        <f>AP566</f>
        <v>192.31800000000001</v>
      </c>
      <c r="AU566" s="523">
        <f>AU497</f>
        <v>596.54000000000008</v>
      </c>
      <c r="AV566" s="523">
        <f>AU567</f>
        <v>589.28100000000006</v>
      </c>
      <c r="AW566" s="523">
        <f>AV567</f>
        <v>559.25400000000002</v>
      </c>
      <c r="AX566" s="523">
        <f>AW567</f>
        <v>532.67399999999998</v>
      </c>
      <c r="AY566" s="700">
        <f>AU566</f>
        <v>596.54000000000008</v>
      </c>
      <c r="AZ566" s="523">
        <f>AZ497</f>
        <v>480.64100000000002</v>
      </c>
      <c r="BA566" s="523">
        <f>AZ567</f>
        <v>465.91500000000002</v>
      </c>
      <c r="BB566" s="523">
        <f>BA567</f>
        <v>422.214</v>
      </c>
      <c r="BC566" s="523">
        <f>BB567</f>
        <v>332.11599999999999</v>
      </c>
      <c r="BD566" s="700">
        <f>AZ566</f>
        <v>480.64100000000002</v>
      </c>
      <c r="BE566" s="523">
        <f>BE497</f>
        <v>307.13800000000003</v>
      </c>
      <c r="BF566" s="523">
        <f>BE567</f>
        <v>289.83500000000004</v>
      </c>
      <c r="BG566" s="523">
        <f>BF567</f>
        <v>270.77400000000006</v>
      </c>
      <c r="BH566" s="523">
        <f>BG567</f>
        <v>305.45400000000006</v>
      </c>
      <c r="BI566" s="700">
        <f>BE566</f>
        <v>307.13800000000003</v>
      </c>
      <c r="BJ566" s="523">
        <f>BJ497</f>
        <v>314.00200000000001</v>
      </c>
      <c r="BK566" s="523">
        <f>BJ567</f>
        <v>296.13600000000002</v>
      </c>
      <c r="BL566" s="563">
        <f>BK567</f>
        <v>252.79400000000004</v>
      </c>
      <c r="BM566" s="523">
        <f>BL567</f>
        <v>261.97700000000003</v>
      </c>
      <c r="BN566" s="700">
        <f>BI567</f>
        <v>314.00200000000001</v>
      </c>
      <c r="BO566" s="523" t="e">
        <f>BN567</f>
        <v>#REF!</v>
      </c>
      <c r="BP566" s="523" t="e">
        <f>BO567</f>
        <v>#REF!</v>
      </c>
      <c r="BQ566" s="523" t="e">
        <f>BP567</f>
        <v>#REF!</v>
      </c>
      <c r="BR566" s="523" t="e">
        <f>BQ567</f>
        <v>#REF!</v>
      </c>
      <c r="BS566" s="700" t="e">
        <f>BN567</f>
        <v>#REF!</v>
      </c>
      <c r="BT566" s="700" t="e">
        <f>BS567</f>
        <v>#REF!</v>
      </c>
      <c r="BU566" s="700" t="e">
        <f>BT567</f>
        <v>#REF!</v>
      </c>
      <c r="BV566" s="700" t="e">
        <f>BU567</f>
        <v>#REF!</v>
      </c>
      <c r="BW566" s="318"/>
    </row>
    <row r="567" spans="1:75" s="444" customFormat="1">
      <c r="A567" s="28" t="str">
        <f>A498</f>
        <v>Ending Cash Balance</v>
      </c>
      <c r="B567" s="30"/>
      <c r="C567" s="700">
        <f t="shared" ref="C567:AH567" si="1197">C566+C564</f>
        <v>15.074</v>
      </c>
      <c r="D567" s="700">
        <f t="shared" si="1197"/>
        <v>27.073999999999998</v>
      </c>
      <c r="E567" s="700">
        <f t="shared" si="1197"/>
        <v>21.735999999999997</v>
      </c>
      <c r="F567" s="700">
        <f t="shared" si="1197"/>
        <v>95.123999999999995</v>
      </c>
      <c r="G567" s="523">
        <f t="shared" si="1197"/>
        <v>94.49799999999999</v>
      </c>
      <c r="H567" s="523">
        <f t="shared" si="1197"/>
        <v>96.794999999999987</v>
      </c>
      <c r="I567" s="523">
        <f t="shared" si="1197"/>
        <v>101.21399999999998</v>
      </c>
      <c r="J567" s="523">
        <f t="shared" si="1197"/>
        <v>389.76399999999995</v>
      </c>
      <c r="K567" s="700">
        <f t="shared" si="1197"/>
        <v>389.76400000000001</v>
      </c>
      <c r="L567" s="523">
        <f t="shared" si="1197"/>
        <v>399.32</v>
      </c>
      <c r="M567" s="523">
        <f t="shared" si="1197"/>
        <v>290.38599999999997</v>
      </c>
      <c r="N567" s="523">
        <f t="shared" si="1197"/>
        <v>290.56699999999995</v>
      </c>
      <c r="O567" s="523">
        <f t="shared" si="1197"/>
        <v>247.31199999999998</v>
      </c>
      <c r="P567" s="700">
        <f t="shared" si="1197"/>
        <v>247.31200000000007</v>
      </c>
      <c r="Q567" s="523">
        <f t="shared" si="1197"/>
        <v>172.62900000000008</v>
      </c>
      <c r="R567" s="523">
        <f t="shared" si="1197"/>
        <v>181.46000000000009</v>
      </c>
      <c r="S567" s="523">
        <f t="shared" si="1197"/>
        <v>171.80700000000007</v>
      </c>
      <c r="T567" s="523">
        <f t="shared" si="1197"/>
        <v>171.61300000000008</v>
      </c>
      <c r="U567" s="700">
        <f t="shared" si="1197"/>
        <v>171.61300000000006</v>
      </c>
      <c r="V567" s="523">
        <f t="shared" si="1197"/>
        <v>183.50500000000005</v>
      </c>
      <c r="W567" s="523">
        <f t="shared" si="1197"/>
        <v>196.29500000000004</v>
      </c>
      <c r="X567" s="523">
        <f t="shared" si="1197"/>
        <v>224.89100000000008</v>
      </c>
      <c r="Y567" s="523">
        <f t="shared" si="1197"/>
        <v>272.20100000000008</v>
      </c>
      <c r="Z567" s="700">
        <f t="shared" si="1197"/>
        <v>272.20100000000002</v>
      </c>
      <c r="AA567" s="523">
        <f t="shared" si="1197"/>
        <v>290.74299999999999</v>
      </c>
      <c r="AB567" s="523">
        <f t="shared" si="1197"/>
        <v>338.29300000000001</v>
      </c>
      <c r="AC567" s="523">
        <f t="shared" si="1197"/>
        <v>380.99600000000004</v>
      </c>
      <c r="AD567" s="523">
        <f t="shared" si="1197"/>
        <v>566.404</v>
      </c>
      <c r="AE567" s="700">
        <f t="shared" si="1197"/>
        <v>566.404</v>
      </c>
      <c r="AF567" s="523">
        <f t="shared" si="1197"/>
        <v>411.13499999999999</v>
      </c>
      <c r="AG567" s="523">
        <f t="shared" si="1197"/>
        <v>411.58199999999994</v>
      </c>
      <c r="AH567" s="523">
        <f t="shared" si="1197"/>
        <v>445.61599999999999</v>
      </c>
      <c r="AI567" s="523">
        <f t="shared" ref="AI567:AQ567" si="1198">AI566+AI564</f>
        <v>354.83500000000004</v>
      </c>
      <c r="AJ567" s="700">
        <f t="shared" si="1198"/>
        <v>354.83500000000004</v>
      </c>
      <c r="AK567" s="523">
        <f t="shared" si="1198"/>
        <v>317.47499999999997</v>
      </c>
      <c r="AL567" s="523">
        <f t="shared" si="1198"/>
        <v>161.54599999999994</v>
      </c>
      <c r="AM567" s="523">
        <f t="shared" si="1198"/>
        <v>145.52899999999991</v>
      </c>
      <c r="AN567" s="523">
        <f t="shared" si="1198"/>
        <v>192.31799999999987</v>
      </c>
      <c r="AO567" s="700">
        <f t="shared" si="1198"/>
        <v>192.3179999999999</v>
      </c>
      <c r="AP567" s="523">
        <f t="shared" si="1198"/>
        <v>386.90800000000002</v>
      </c>
      <c r="AQ567" s="523">
        <f t="shared" si="1198"/>
        <v>526.60299999999995</v>
      </c>
      <c r="AR567" s="523">
        <f t="shared" ref="AR567:AW567" si="1199">AR566+AR564</f>
        <v>591.61500000000001</v>
      </c>
      <c r="AS567" s="523">
        <f t="shared" si="1199"/>
        <v>596.54</v>
      </c>
      <c r="AT567" s="700">
        <f t="shared" si="1199"/>
        <v>596.54000000000008</v>
      </c>
      <c r="AU567" s="523">
        <f t="shared" si="1199"/>
        <v>589.28100000000006</v>
      </c>
      <c r="AV567" s="523">
        <f t="shared" si="1199"/>
        <v>559.25400000000002</v>
      </c>
      <c r="AW567" s="523">
        <f t="shared" si="1199"/>
        <v>532.67399999999998</v>
      </c>
      <c r="AX567" s="523">
        <f t="shared" ref="AX567:BA567" si="1200">AX566+AX564</f>
        <v>480.64099999999996</v>
      </c>
      <c r="AY567" s="700">
        <f t="shared" si="1200"/>
        <v>480.64100000000002</v>
      </c>
      <c r="AZ567" s="523">
        <f t="shared" si="1200"/>
        <v>465.91500000000002</v>
      </c>
      <c r="BA567" s="523">
        <f t="shared" si="1200"/>
        <v>422.214</v>
      </c>
      <c r="BB567" s="523">
        <f t="shared" ref="BB567:BN567" si="1201">BB566+BB564</f>
        <v>332.11599999999999</v>
      </c>
      <c r="BC567" s="523">
        <f t="shared" si="1201"/>
        <v>307.13799999999998</v>
      </c>
      <c r="BD567" s="700">
        <f t="shared" si="1201"/>
        <v>307.13800000000003</v>
      </c>
      <c r="BE567" s="523">
        <f t="shared" ref="BE567:BM567" si="1202">BE566+BE564</f>
        <v>289.83500000000004</v>
      </c>
      <c r="BF567" s="523">
        <f t="shared" si="1202"/>
        <v>270.77400000000006</v>
      </c>
      <c r="BG567" s="523">
        <f t="shared" si="1202"/>
        <v>305.45400000000006</v>
      </c>
      <c r="BH567" s="523">
        <f t="shared" si="1202"/>
        <v>314.00200000000007</v>
      </c>
      <c r="BI567" s="700">
        <f t="shared" si="1202"/>
        <v>314.00200000000001</v>
      </c>
      <c r="BJ567" s="523">
        <f>BJ566+BJ564</f>
        <v>296.13600000000002</v>
      </c>
      <c r="BK567" s="523">
        <f>BK566+BK564</f>
        <v>252.79400000000004</v>
      </c>
      <c r="BL567" s="563">
        <f>BL566+BL564</f>
        <v>261.97700000000003</v>
      </c>
      <c r="BM567" s="523" t="e">
        <f t="shared" si="1202"/>
        <v>#REF!</v>
      </c>
      <c r="BN567" s="700" t="e">
        <f t="shared" si="1201"/>
        <v>#REF!</v>
      </c>
      <c r="BO567" s="523" t="e">
        <f t="shared" ref="BO567:BV567" si="1203">BO566+BO564</f>
        <v>#REF!</v>
      </c>
      <c r="BP567" s="523" t="e">
        <f t="shared" si="1203"/>
        <v>#REF!</v>
      </c>
      <c r="BQ567" s="523" t="e">
        <f t="shared" si="1203"/>
        <v>#REF!</v>
      </c>
      <c r="BR567" s="523" t="e">
        <f t="shared" si="1203"/>
        <v>#REF!</v>
      </c>
      <c r="BS567" s="700" t="e">
        <f t="shared" si="1203"/>
        <v>#REF!</v>
      </c>
      <c r="BT567" s="700" t="e">
        <f t="shared" si="1203"/>
        <v>#REF!</v>
      </c>
      <c r="BU567" s="700" t="e">
        <f t="shared" si="1203"/>
        <v>#REF!</v>
      </c>
      <c r="BV567" s="700" t="e">
        <f t="shared" si="1203"/>
        <v>#REF!</v>
      </c>
      <c r="BW567" s="318"/>
    </row>
    <row r="568" spans="1:75" s="444" customFormat="1">
      <c r="A568" s="28"/>
      <c r="B568" s="30"/>
      <c r="C568" s="700"/>
      <c r="D568" s="700"/>
      <c r="E568" s="700"/>
      <c r="F568" s="700"/>
      <c r="G568" s="523"/>
      <c r="H568" s="523"/>
      <c r="I568" s="523"/>
      <c r="J568" s="523"/>
      <c r="K568" s="700"/>
      <c r="L568" s="523"/>
      <c r="M568" s="523"/>
      <c r="N568" s="523"/>
      <c r="O568" s="523"/>
      <c r="P568" s="700"/>
      <c r="Q568" s="523"/>
      <c r="R568" s="523"/>
      <c r="S568" s="523"/>
      <c r="T568" s="523"/>
      <c r="U568" s="700"/>
      <c r="V568" s="523"/>
      <c r="W568" s="523"/>
      <c r="X568" s="523"/>
      <c r="Y568" s="523"/>
      <c r="Z568" s="700"/>
      <c r="AA568" s="523"/>
      <c r="AB568" s="523"/>
      <c r="AC568" s="523"/>
      <c r="AD568" s="523"/>
      <c r="AE568" s="700"/>
      <c r="AF568" s="523"/>
      <c r="AG568" s="523"/>
      <c r="AH568" s="523"/>
      <c r="AI568" s="523"/>
      <c r="AJ568" s="700"/>
      <c r="AK568" s="523"/>
      <c r="AL568" s="523"/>
      <c r="AM568" s="523"/>
      <c r="AN568" s="523"/>
      <c r="AO568" s="700"/>
      <c r="AP568" s="523"/>
      <c r="AQ568" s="523"/>
      <c r="AR568" s="523"/>
      <c r="AS568" s="523"/>
      <c r="AT568" s="700"/>
      <c r="AU568" s="523"/>
      <c r="AV568" s="523"/>
      <c r="AW568" s="523"/>
      <c r="AX568" s="523"/>
      <c r="AY568" s="700"/>
      <c r="AZ568" s="523"/>
      <c r="BA568" s="523"/>
      <c r="BB568" s="523"/>
      <c r="BC568" s="523"/>
      <c r="BD568" s="700"/>
      <c r="BE568" s="523"/>
      <c r="BF568" s="523"/>
      <c r="BG568" s="523"/>
      <c r="BH568" s="523"/>
      <c r="BI568" s="700"/>
      <c r="BJ568" s="523"/>
      <c r="BK568" s="523"/>
      <c r="BL568" s="563"/>
      <c r="BM568" s="523"/>
      <c r="BN568" s="700"/>
      <c r="BO568" s="523"/>
      <c r="BP568" s="523"/>
      <c r="BQ568" s="523"/>
      <c r="BR568" s="523"/>
      <c r="BS568" s="700"/>
      <c r="BT568" s="700"/>
      <c r="BU568" s="700"/>
      <c r="BV568" s="700"/>
      <c r="BW568" s="318"/>
    </row>
    <row r="569" spans="1:75" s="439" customFormat="1">
      <c r="A569" s="23" t="str">
        <f>A500</f>
        <v>Cash paid (refund received) for income taxes, net</v>
      </c>
      <c r="B569" s="53"/>
      <c r="C569" s="89"/>
      <c r="D569" s="89">
        <f>D500</f>
        <v>2.1000000000000001E-2</v>
      </c>
      <c r="E569" s="89">
        <f>E500</f>
        <v>9.1999999999999998E-2</v>
      </c>
      <c r="F569" s="89">
        <f>F500</f>
        <v>0.11</v>
      </c>
      <c r="G569" s="518">
        <f>G500</f>
        <v>1.2999999999999999E-2</v>
      </c>
      <c r="H569" s="518">
        <f>H500-G500</f>
        <v>7.0000000000000007E-2</v>
      </c>
      <c r="I569" s="518">
        <f>I500-H500</f>
        <v>3.3000000000000002E-2</v>
      </c>
      <c r="J569" s="518">
        <f>J500-I500</f>
        <v>0.17499999999999999</v>
      </c>
      <c r="K569" s="89">
        <f>K500</f>
        <v>0.29099999999999998</v>
      </c>
      <c r="L569" s="518">
        <f>L500</f>
        <v>0.115</v>
      </c>
      <c r="M569" s="518">
        <f>M500-L500</f>
        <v>0.14500000000000002</v>
      </c>
      <c r="N569" s="518">
        <f>N500-M500</f>
        <v>0.22599999999999998</v>
      </c>
      <c r="O569" s="518">
        <f>O500-N500</f>
        <v>1.486</v>
      </c>
      <c r="P569" s="89">
        <f>P500</f>
        <v>1.972</v>
      </c>
      <c r="Q569" s="518">
        <f>Q500</f>
        <v>0.42199999999999999</v>
      </c>
      <c r="R569" s="518">
        <f>R500-Q500</f>
        <v>-0.42599999999999999</v>
      </c>
      <c r="S569" s="518">
        <f>S500-R500</f>
        <v>0.14100000000000001</v>
      </c>
      <c r="T569" s="518">
        <f>T500-S500</f>
        <v>0.21499999999999997</v>
      </c>
      <c r="U569" s="89">
        <f>U500</f>
        <v>0.35199999999999998</v>
      </c>
      <c r="V569" s="518">
        <f>V500</f>
        <v>0.51600000000000001</v>
      </c>
      <c r="W569" s="518">
        <f>W500-V500</f>
        <v>5.4999999999999938E-2</v>
      </c>
      <c r="X569" s="518">
        <f>X500-W500</f>
        <v>0.11699999999999999</v>
      </c>
      <c r="Y569" s="518">
        <f>Y500-X500</f>
        <v>0.125</v>
      </c>
      <c r="Z569" s="89">
        <f>Z500</f>
        <v>0.81299999999999994</v>
      </c>
      <c r="AA569" s="518">
        <f>AA500</f>
        <v>-0.107</v>
      </c>
      <c r="AB569" s="518">
        <f>AB500-AA500</f>
        <v>0.108</v>
      </c>
      <c r="AC569" s="518">
        <f>AC500-AB500</f>
        <v>8.1000000000000003E-2</v>
      </c>
      <c r="AD569" s="518">
        <f>AD500-AC500</f>
        <v>0.44800000000000001</v>
      </c>
      <c r="AE569" s="89">
        <f>AE500</f>
        <v>0.53</v>
      </c>
      <c r="AF569" s="518">
        <f>AF500</f>
        <v>0.20599999999999999</v>
      </c>
      <c r="AG569" s="518">
        <f>AG500-AF500</f>
        <v>28.609000000000002</v>
      </c>
      <c r="AH569" s="518">
        <f>AH500-AG500</f>
        <v>4.9999999999990052E-3</v>
      </c>
      <c r="AI569" s="518">
        <f>AI500-AH500</f>
        <v>0.33899999999999864</v>
      </c>
      <c r="AJ569" s="89">
        <f>AJ500</f>
        <v>29.158999999999999</v>
      </c>
      <c r="AK569" s="518">
        <f>AK500</f>
        <v>-0.40799999999999997</v>
      </c>
      <c r="AL569" s="518">
        <f>AL500-AK500</f>
        <v>3.2509999999999999</v>
      </c>
      <c r="AM569" s="518">
        <f>AM500-AL500</f>
        <v>2.859</v>
      </c>
      <c r="AN569" s="518">
        <f>AN500-AM500</f>
        <v>1.21</v>
      </c>
      <c r="AO569" s="89">
        <f>AO500</f>
        <v>6.9119999999999999</v>
      </c>
      <c r="AP569" s="518">
        <f>AP500</f>
        <v>-0.28999999999999998</v>
      </c>
      <c r="AQ569" s="518">
        <f>AQ500-AP500</f>
        <v>-8.0000000000000071E-3</v>
      </c>
      <c r="AR569" s="518">
        <f>AR500-AQ500</f>
        <v>0.40699999999999997</v>
      </c>
      <c r="AS569" s="518">
        <f>AS500-AR500</f>
        <v>0.105</v>
      </c>
      <c r="AT569" s="89">
        <f>AT500</f>
        <v>0.214</v>
      </c>
      <c r="AU569" s="518">
        <f>AU500</f>
        <v>-0.70399999999999996</v>
      </c>
      <c r="AV569" s="518">
        <f>AV500-AU500</f>
        <v>0.11799999999999999</v>
      </c>
      <c r="AW569" s="518">
        <f>AW500-AV500</f>
        <v>0.23699999999999999</v>
      </c>
      <c r="AX569" s="518">
        <f>AX500-AW500</f>
        <v>2.8719999999999999</v>
      </c>
      <c r="AY569" s="89">
        <f>AY500</f>
        <v>2.5230000000000001</v>
      </c>
      <c r="AZ569" s="518">
        <f>AZ500</f>
        <v>-1.0049999999999999</v>
      </c>
      <c r="BA569" s="518">
        <f>BA500-AZ500</f>
        <v>24.731999999999999</v>
      </c>
      <c r="BB569" s="518">
        <f>BB500-BA500</f>
        <v>16.401999999999997</v>
      </c>
      <c r="BC569" s="518">
        <f>BC500-BB500</f>
        <v>10.286999999999999</v>
      </c>
      <c r="BD569" s="89">
        <f>BD500</f>
        <v>50.415999999999997</v>
      </c>
      <c r="BE569" s="518">
        <f>BE500</f>
        <v>-0.18099999999999999</v>
      </c>
      <c r="BF569" s="518">
        <f>BF500-BE500</f>
        <v>8.4099999999999984</v>
      </c>
      <c r="BG569" s="518">
        <f>BG500-BF500</f>
        <v>0.57100000000000151</v>
      </c>
      <c r="BH569" s="518">
        <f>BH500-BG500</f>
        <v>21.824999999999999</v>
      </c>
      <c r="BI569" s="89">
        <f>BI500</f>
        <v>30.625</v>
      </c>
      <c r="BJ569" s="518">
        <f>BJ500</f>
        <v>0.14599999999999999</v>
      </c>
      <c r="BK569" s="518">
        <f>BK500-BJ500</f>
        <v>20.218999999999998</v>
      </c>
      <c r="BL569" s="520">
        <f>BL500-BK500</f>
        <v>15.366000000000003</v>
      </c>
      <c r="BM569" s="518"/>
      <c r="BN569" s="89"/>
      <c r="BO569" s="518"/>
      <c r="BP569" s="518"/>
      <c r="BQ569" s="518"/>
      <c r="BR569" s="518"/>
      <c r="BS569" s="89"/>
      <c r="BT569" s="89"/>
      <c r="BU569" s="89"/>
      <c r="BV569" s="89"/>
      <c r="BW569" s="519"/>
    </row>
    <row r="570" spans="1:75" s="444" customFormat="1">
      <c r="A570" s="28"/>
      <c r="B570" s="30"/>
      <c r="C570" s="700"/>
      <c r="D570" s="700"/>
      <c r="E570" s="700"/>
      <c r="F570" s="700"/>
      <c r="G570" s="523"/>
      <c r="H570" s="523"/>
      <c r="I570" s="523"/>
      <c r="J570" s="523"/>
      <c r="K570" s="700"/>
      <c r="L570" s="523"/>
      <c r="M570" s="523"/>
      <c r="N570" s="523"/>
      <c r="O570" s="523"/>
      <c r="P570" s="700"/>
      <c r="Q570" s="523"/>
      <c r="R570" s="523"/>
      <c r="S570" s="523"/>
      <c r="T570" s="523"/>
      <c r="U570" s="700"/>
      <c r="V570" s="523"/>
      <c r="W570" s="523"/>
      <c r="X570" s="523"/>
      <c r="Y570" s="523"/>
      <c r="Z570" s="700"/>
      <c r="AA570" s="523"/>
      <c r="AB570" s="523"/>
      <c r="AC570" s="523"/>
      <c r="AD570" s="523"/>
      <c r="AE570" s="700"/>
      <c r="AF570" s="523"/>
      <c r="AG570" s="523"/>
      <c r="AH570" s="523"/>
      <c r="AI570" s="523"/>
      <c r="AJ570" s="700"/>
      <c r="AK570" s="523"/>
      <c r="AL570" s="523"/>
      <c r="AM570" s="523"/>
      <c r="AN570" s="523"/>
      <c r="AO570" s="700"/>
      <c r="AP570" s="523"/>
      <c r="AQ570" s="523"/>
      <c r="AR570" s="523"/>
      <c r="AS570" s="523"/>
      <c r="AT570" s="700"/>
      <c r="AU570" s="523"/>
      <c r="AV570" s="523"/>
      <c r="AW570" s="523"/>
      <c r="AX570" s="523"/>
      <c r="AY570" s="700"/>
      <c r="AZ570" s="523"/>
      <c r="BA570" s="523"/>
      <c r="BB570" s="523"/>
      <c r="BC570" s="523"/>
      <c r="BD570" s="700"/>
      <c r="BE570" s="523"/>
      <c r="BF570" s="523"/>
      <c r="BG570" s="523"/>
      <c r="BH570" s="523"/>
      <c r="BI570" s="700"/>
      <c r="BJ570" s="523"/>
      <c r="BK570" s="523"/>
      <c r="BL570" s="563"/>
      <c r="BM570" s="523"/>
      <c r="BN570" s="700"/>
      <c r="BO570" s="523"/>
      <c r="BP570" s="523"/>
      <c r="BQ570" s="523"/>
      <c r="BR570" s="523"/>
      <c r="BS570" s="700"/>
      <c r="BT570" s="700"/>
      <c r="BU570" s="700"/>
      <c r="BV570" s="700"/>
      <c r="BW570" s="318"/>
    </row>
    <row r="571" spans="1:75" s="439" customFormat="1">
      <c r="A571" s="528" t="s">
        <v>486</v>
      </c>
      <c r="B571" s="528"/>
      <c r="C571" s="588">
        <f t="shared" ref="C571:Z571" si="1204">ROUND(C567-C604,6)</f>
        <v>0</v>
      </c>
      <c r="D571" s="588">
        <f t="shared" si="1204"/>
        <v>0</v>
      </c>
      <c r="E571" s="588">
        <f t="shared" si="1204"/>
        <v>0</v>
      </c>
      <c r="F571" s="588">
        <f t="shared" si="1204"/>
        <v>0</v>
      </c>
      <c r="G571" s="588">
        <f t="shared" si="1204"/>
        <v>0</v>
      </c>
      <c r="H571" s="588">
        <f t="shared" si="1204"/>
        <v>0</v>
      </c>
      <c r="I571" s="588">
        <f t="shared" si="1204"/>
        <v>0</v>
      </c>
      <c r="J571" s="588">
        <f t="shared" si="1204"/>
        <v>0</v>
      </c>
      <c r="K571" s="588">
        <f t="shared" si="1204"/>
        <v>0</v>
      </c>
      <c r="L571" s="588">
        <f t="shared" si="1204"/>
        <v>0</v>
      </c>
      <c r="M571" s="588">
        <f t="shared" si="1204"/>
        <v>0</v>
      </c>
      <c r="N571" s="588">
        <f t="shared" si="1204"/>
        <v>0</v>
      </c>
      <c r="O571" s="588">
        <f t="shared" si="1204"/>
        <v>0</v>
      </c>
      <c r="P571" s="588">
        <f t="shared" si="1204"/>
        <v>0</v>
      </c>
      <c r="Q571" s="588">
        <f t="shared" si="1204"/>
        <v>0</v>
      </c>
      <c r="R571" s="588">
        <f t="shared" si="1204"/>
        <v>0</v>
      </c>
      <c r="S571" s="588">
        <f t="shared" si="1204"/>
        <v>0</v>
      </c>
      <c r="T571" s="588">
        <f t="shared" si="1204"/>
        <v>0</v>
      </c>
      <c r="U571" s="588">
        <f t="shared" si="1204"/>
        <v>0</v>
      </c>
      <c r="V571" s="588">
        <f t="shared" si="1204"/>
        <v>0</v>
      </c>
      <c r="W571" s="588">
        <f t="shared" si="1204"/>
        <v>0</v>
      </c>
      <c r="X571" s="588">
        <f t="shared" si="1204"/>
        <v>0</v>
      </c>
      <c r="Y571" s="588">
        <f t="shared" si="1204"/>
        <v>0</v>
      </c>
      <c r="Z571" s="588">
        <f t="shared" si="1204"/>
        <v>0</v>
      </c>
      <c r="AA571" s="588">
        <f t="shared" ref="AA571:AQ571" si="1205">ROUND(AA567-AA604-AA618,6)</f>
        <v>0</v>
      </c>
      <c r="AB571" s="588">
        <f t="shared" si="1205"/>
        <v>0</v>
      </c>
      <c r="AC571" s="588">
        <f t="shared" si="1205"/>
        <v>0</v>
      </c>
      <c r="AD571" s="588">
        <f t="shared" si="1205"/>
        <v>0</v>
      </c>
      <c r="AE571" s="588">
        <f t="shared" si="1205"/>
        <v>0</v>
      </c>
      <c r="AF571" s="588">
        <f t="shared" si="1205"/>
        <v>0</v>
      </c>
      <c r="AG571" s="588">
        <f t="shared" si="1205"/>
        <v>0</v>
      </c>
      <c r="AH571" s="588">
        <f t="shared" si="1205"/>
        <v>0</v>
      </c>
      <c r="AI571" s="588">
        <f t="shared" si="1205"/>
        <v>0</v>
      </c>
      <c r="AJ571" s="588">
        <f t="shared" si="1205"/>
        <v>0</v>
      </c>
      <c r="AK571" s="588">
        <f t="shared" si="1205"/>
        <v>0</v>
      </c>
      <c r="AL571" s="588">
        <f t="shared" si="1205"/>
        <v>0</v>
      </c>
      <c r="AM571" s="588">
        <f t="shared" si="1205"/>
        <v>0</v>
      </c>
      <c r="AN571" s="588">
        <f t="shared" si="1205"/>
        <v>0</v>
      </c>
      <c r="AO571" s="588">
        <f t="shared" si="1205"/>
        <v>0</v>
      </c>
      <c r="AP571" s="588">
        <f t="shared" si="1205"/>
        <v>0</v>
      </c>
      <c r="AQ571" s="588">
        <f t="shared" si="1205"/>
        <v>0</v>
      </c>
      <c r="AR571" s="588">
        <f t="shared" ref="AR571:AW571" si="1206">ROUND(AR567-AR604-AR618,6)</f>
        <v>0</v>
      </c>
      <c r="AS571" s="588">
        <f t="shared" si="1206"/>
        <v>0</v>
      </c>
      <c r="AT571" s="588">
        <f t="shared" si="1206"/>
        <v>0</v>
      </c>
      <c r="AU571" s="588">
        <f t="shared" si="1206"/>
        <v>0</v>
      </c>
      <c r="AV571" s="588">
        <f t="shared" si="1206"/>
        <v>0</v>
      </c>
      <c r="AW571" s="588">
        <f t="shared" si="1206"/>
        <v>0</v>
      </c>
      <c r="AX571" s="588">
        <f t="shared" ref="AX571:BA571" si="1207">ROUND(AX567-AX604-AX618,6)</f>
        <v>0</v>
      </c>
      <c r="AY571" s="588">
        <f t="shared" si="1207"/>
        <v>0</v>
      </c>
      <c r="AZ571" s="588">
        <f t="shared" si="1207"/>
        <v>0</v>
      </c>
      <c r="BA571" s="588">
        <f t="shared" si="1207"/>
        <v>0</v>
      </c>
      <c r="BB571" s="588">
        <f t="shared" ref="BB571:BN571" si="1208">ROUND(BB567-BB604-BB618,6)</f>
        <v>0</v>
      </c>
      <c r="BC571" s="588">
        <f t="shared" si="1208"/>
        <v>0</v>
      </c>
      <c r="BD571" s="588">
        <f t="shared" ref="BD571:BM571" si="1209">ROUND(BD567-BD604-BD618,6)</f>
        <v>0</v>
      </c>
      <c r="BE571" s="588">
        <f t="shared" si="1209"/>
        <v>0</v>
      </c>
      <c r="BF571" s="588">
        <f t="shared" si="1209"/>
        <v>0</v>
      </c>
      <c r="BG571" s="588">
        <f t="shared" si="1209"/>
        <v>0</v>
      </c>
      <c r="BH571" s="588">
        <f t="shared" si="1209"/>
        <v>0</v>
      </c>
      <c r="BI571" s="588">
        <f t="shared" si="1209"/>
        <v>0</v>
      </c>
      <c r="BJ571" s="588">
        <f>ROUND(BJ567-BJ604-BJ618,6)</f>
        <v>0</v>
      </c>
      <c r="BK571" s="588">
        <f>ROUND(BK567-BK604-BK618,6)</f>
        <v>0</v>
      </c>
      <c r="BL571" s="589">
        <f>ROUND(BL567-BL604-BL618,6)</f>
        <v>0</v>
      </c>
      <c r="BM571" s="588" t="e">
        <f t="shared" si="1209"/>
        <v>#REF!</v>
      </c>
      <c r="BN571" s="588" t="e">
        <f t="shared" si="1208"/>
        <v>#REF!</v>
      </c>
      <c r="BO571" s="588" t="e">
        <f t="shared" ref="BO571:BV571" si="1210">ROUND(BO567-BO604-BO618,6)</f>
        <v>#REF!</v>
      </c>
      <c r="BP571" s="588" t="e">
        <f t="shared" si="1210"/>
        <v>#REF!</v>
      </c>
      <c r="BQ571" s="588" t="e">
        <f t="shared" si="1210"/>
        <v>#REF!</v>
      </c>
      <c r="BR571" s="588" t="e">
        <f t="shared" si="1210"/>
        <v>#REF!</v>
      </c>
      <c r="BS571" s="588" t="e">
        <f t="shared" si="1210"/>
        <v>#REF!</v>
      </c>
      <c r="BT571" s="588" t="e">
        <f t="shared" si="1210"/>
        <v>#REF!</v>
      </c>
      <c r="BU571" s="588" t="e">
        <f t="shared" si="1210"/>
        <v>#REF!</v>
      </c>
      <c r="BV571" s="588" t="e">
        <f t="shared" si="1210"/>
        <v>#REF!</v>
      </c>
      <c r="BW571" s="519"/>
    </row>
    <row r="572" spans="1:75" s="444" customFormat="1">
      <c r="A572" s="28"/>
      <c r="B572" s="30"/>
      <c r="C572" s="700"/>
      <c r="D572" s="700"/>
      <c r="E572" s="700"/>
      <c r="F572" s="700"/>
      <c r="G572" s="523"/>
      <c r="H572" s="523"/>
      <c r="I572" s="523"/>
      <c r="J572" s="523"/>
      <c r="K572" s="700"/>
      <c r="L572" s="523"/>
      <c r="M572" s="523"/>
      <c r="N572" s="523"/>
      <c r="O572" s="523"/>
      <c r="P572" s="700"/>
      <c r="Q572" s="523"/>
      <c r="R572" s="523"/>
      <c r="S572" s="523"/>
      <c r="T572" s="523"/>
      <c r="U572" s="700"/>
      <c r="V572" s="523"/>
      <c r="W572" s="523"/>
      <c r="X572" s="523"/>
      <c r="Y572" s="523"/>
      <c r="Z572" s="700"/>
      <c r="AA572" s="523"/>
      <c r="AB572" s="523"/>
      <c r="AC572" s="523"/>
      <c r="AD572" s="523"/>
      <c r="AE572" s="700"/>
      <c r="AF572" s="523"/>
      <c r="AG572" s="523"/>
      <c r="AH572" s="523"/>
      <c r="AI572" s="523"/>
      <c r="AJ572" s="700"/>
      <c r="AK572" s="523"/>
      <c r="AL572" s="523"/>
      <c r="AM572" s="523"/>
      <c r="AN572" s="523"/>
      <c r="AO572" s="700"/>
      <c r="AP572" s="523"/>
      <c r="AQ572" s="523"/>
      <c r="AR572" s="523"/>
      <c r="AS572" s="523"/>
      <c r="AT572" s="700"/>
      <c r="AU572" s="523"/>
      <c r="AV572" s="523"/>
      <c r="AW572" s="523"/>
      <c r="AX572" s="523"/>
      <c r="AY572" s="700"/>
      <c r="AZ572" s="523"/>
      <c r="BA572" s="523"/>
      <c r="BB572" s="523"/>
      <c r="BC572" s="523"/>
      <c r="BD572" s="700"/>
      <c r="BE572" s="523"/>
      <c r="BF572" s="523"/>
      <c r="BG572" s="523"/>
      <c r="BH572" s="523"/>
      <c r="BI572" s="700"/>
      <c r="BJ572" s="523"/>
      <c r="BK572" s="523"/>
      <c r="BL572" s="563"/>
      <c r="BM572" s="523"/>
      <c r="BN572" s="700"/>
      <c r="BO572" s="523"/>
      <c r="BP572" s="523"/>
      <c r="BQ572" s="523"/>
      <c r="BR572" s="523"/>
      <c r="BS572" s="700"/>
      <c r="BT572" s="700"/>
      <c r="BU572" s="700"/>
      <c r="BV572" s="700"/>
      <c r="BW572" s="318"/>
    </row>
    <row r="573" spans="1:75" s="444" customFormat="1">
      <c r="A573" s="149" t="s">
        <v>487</v>
      </c>
      <c r="B573" s="150"/>
      <c r="C573" s="517"/>
      <c r="D573" s="517"/>
      <c r="E573" s="517"/>
      <c r="F573" s="517"/>
      <c r="G573" s="517"/>
      <c r="H573" s="517"/>
      <c r="I573" s="517"/>
      <c r="J573" s="517"/>
      <c r="K573" s="517"/>
      <c r="L573" s="517"/>
      <c r="M573" s="517"/>
      <c r="N573" s="517"/>
      <c r="O573" s="517"/>
      <c r="P573" s="517"/>
      <c r="Q573" s="517"/>
      <c r="R573" s="517"/>
      <c r="S573" s="517"/>
      <c r="T573" s="517"/>
      <c r="U573" s="517"/>
      <c r="V573" s="517"/>
      <c r="W573" s="517"/>
      <c r="X573" s="517"/>
      <c r="Y573" s="517"/>
      <c r="Z573" s="517"/>
      <c r="AA573" s="517"/>
      <c r="AB573" s="517"/>
      <c r="AC573" s="517"/>
      <c r="AD573" s="517"/>
      <c r="AE573" s="517"/>
      <c r="AF573" s="517"/>
      <c r="AG573" s="517"/>
      <c r="AH573" s="517"/>
      <c r="AI573" s="517"/>
      <c r="AJ573" s="517"/>
      <c r="AK573" s="517"/>
      <c r="AL573" s="517"/>
      <c r="AM573" s="517"/>
      <c r="AN573" s="517"/>
      <c r="AO573" s="517"/>
      <c r="AP573" s="517"/>
      <c r="AQ573" s="517"/>
      <c r="AR573" s="517"/>
      <c r="AS573" s="517"/>
      <c r="AT573" s="517"/>
      <c r="AU573" s="517"/>
      <c r="AV573" s="517"/>
      <c r="AW573" s="517"/>
      <c r="AX573" s="517"/>
      <c r="AY573" s="517"/>
      <c r="AZ573" s="517"/>
      <c r="BA573" s="517"/>
      <c r="BB573" s="517"/>
      <c r="BC573" s="517"/>
      <c r="BD573" s="517"/>
      <c r="BE573" s="517"/>
      <c r="BF573" s="517"/>
      <c r="BG573" s="517"/>
      <c r="BH573" s="517"/>
      <c r="BI573" s="517"/>
      <c r="BJ573" s="517"/>
      <c r="BK573" s="517"/>
      <c r="BL573" s="562"/>
      <c r="BM573" s="517"/>
      <c r="BN573" s="517"/>
      <c r="BO573" s="517"/>
      <c r="BP573" s="517"/>
      <c r="BQ573" s="517"/>
      <c r="BR573" s="517"/>
      <c r="BS573" s="517"/>
      <c r="BT573" s="517"/>
      <c r="BU573" s="517"/>
      <c r="BV573" s="517"/>
      <c r="BW573" s="318"/>
    </row>
    <row r="574" spans="1:75" s="442" customFormat="1">
      <c r="A574" s="68" t="s">
        <v>488</v>
      </c>
      <c r="B574" s="73"/>
      <c r="C574" s="170">
        <f>C608/C$214</f>
        <v>0</v>
      </c>
      <c r="D574" s="170">
        <f>D608/D$214</f>
        <v>0</v>
      </c>
      <c r="E574" s="170">
        <f>E608/E$214</f>
        <v>9.9141502071201301E-2</v>
      </c>
      <c r="F574" s="170">
        <f>F608/F$214</f>
        <v>8.5325695842752972E-2</v>
      </c>
      <c r="G574" s="34"/>
      <c r="H574" s="34"/>
      <c r="I574" s="34"/>
      <c r="J574" s="34"/>
      <c r="K574" s="170">
        <f>K608/K$214</f>
        <v>9.1493982522705034E-2</v>
      </c>
      <c r="L574" s="34">
        <f>L608/(L$214+J$214+I$214+H$214)</f>
        <v>8.1196678593948232E-2</v>
      </c>
      <c r="M574" s="34">
        <f>M608/(M$214+L$214+J$214+I$214)</f>
        <v>8.5682734844761063E-2</v>
      </c>
      <c r="N574" s="34">
        <f>N608/(N$214+M$214+L$214+J$214)</f>
        <v>9.2151936151344954E-2</v>
      </c>
      <c r="O574" s="34">
        <f>O608/(O$214+N$214+M$214+L$214)</f>
        <v>9.4277102051195133E-2</v>
      </c>
      <c r="P574" s="170">
        <f>P608/P$214</f>
        <v>9.4277102051195133E-2</v>
      </c>
      <c r="Q574" s="34">
        <f>Q608/(Q$214+O$214+N$214+M$214)</f>
        <v>9.2863594011014294E-2</v>
      </c>
      <c r="R574" s="34">
        <f>R608/(R$214+Q$214+O$214+N$214)</f>
        <v>8.8946409245142147E-2</v>
      </c>
      <c r="S574" s="34">
        <f>S608/(S$214+R$214+Q$214+O$214)</f>
        <v>9.2795141806047837E-2</v>
      </c>
      <c r="T574" s="34">
        <f>T608/(T$214+S$214+R$214+Q$214)</f>
        <v>9.5968608959980786E-2</v>
      </c>
      <c r="U574" s="170">
        <f>U608/U$214</f>
        <v>9.5968608959980786E-2</v>
      </c>
      <c r="V574" s="34">
        <f>V608/(V$214+T$214+S$214+R$214)</f>
        <v>9.2866249813501153E-2</v>
      </c>
      <c r="W574" s="34">
        <f>W608/(W$214+V$214+T$214+S$214)</f>
        <v>9.5159780783085526E-2</v>
      </c>
      <c r="X574" s="34">
        <f>X608/(X$214+W$214+V$214+T$214)</f>
        <v>9.9088695900619639E-2</v>
      </c>
      <c r="Y574" s="34">
        <f>Y608/(Y$214+X$214+W$214+V$214)</f>
        <v>9.6379172282065273E-2</v>
      </c>
      <c r="Z574" s="170">
        <f>Z608/Z$214</f>
        <v>9.6379172282065273E-2</v>
      </c>
      <c r="AA574" s="34">
        <f>AA608/(AA$214+Y$214+X$214+W$214)</f>
        <v>9.0507952114584872E-2</v>
      </c>
      <c r="AB574" s="34">
        <f>AB608/(AB$214+AA$214+Y$214+X$214)</f>
        <v>8.7154864683005845E-2</v>
      </c>
      <c r="AC574" s="34">
        <f>AC608/(AC$214+AB$214+AA$214+Y$214)</f>
        <v>8.288893031002105E-2</v>
      </c>
      <c r="AD574" s="34">
        <f>AD608/(AD$214+AC$214+AB$214+AA$214)</f>
        <v>8.9526084008053161E-2</v>
      </c>
      <c r="AE574" s="170">
        <f>AE608/AE$214</f>
        <v>8.9526084008053161E-2</v>
      </c>
      <c r="AF574" s="34">
        <f>AF608/(AF$214+AD$214+AC$214+AB$214)</f>
        <v>8.624979588853858E-2</v>
      </c>
      <c r="AG574" s="34">
        <f>AG608/(AG$214+AF$214+AD$214+AC$214)</f>
        <v>8.7104528320740782E-2</v>
      </c>
      <c r="AH574" s="34">
        <f>AH608/(AH$214+AG$214+AF$214+AD$214)</f>
        <v>8.9098874872886979E-2</v>
      </c>
      <c r="AI574" s="34">
        <f>AI608/(AI$214+AH$214+AG$214+AF$214)</f>
        <v>9.2604476369178998E-2</v>
      </c>
      <c r="AJ574" s="170">
        <f>AJ608/AJ$214</f>
        <v>9.2604476369179012E-2</v>
      </c>
      <c r="AK574" s="34">
        <f>AK608/(AK$214+AI$214+AH$214+AG$214)</f>
        <v>9.3446179056779682E-2</v>
      </c>
      <c r="AL574" s="34">
        <f>AL608/(AL$214+AK$214+AI$214+AH$214)</f>
        <v>9.8923980064749256E-2</v>
      </c>
      <c r="AM574" s="34">
        <f>AM608/(AM$214+AL$214+AK$214+AI$214)</f>
        <v>0.10255775135449914</v>
      </c>
      <c r="AN574" s="34">
        <f>AN608/(AN$214+AM$214+AL$214+AK$214)</f>
        <v>0.10533684876857881</v>
      </c>
      <c r="AO574" s="170">
        <f>AO608/AO$214</f>
        <v>0.10533684876857879</v>
      </c>
      <c r="AP574" s="34">
        <f>AP608/(AP$214+AN$214+AM$214+AL$214)</f>
        <v>8.3523561182041989E-2</v>
      </c>
      <c r="AQ574" s="34">
        <f>AQ608/(AQ$214+AP$214+AN$214+AM$214)</f>
        <v>7.5797598050152196E-2</v>
      </c>
      <c r="AR574" s="34">
        <f>AR608/(AR$214+AQ$214+AP$214+AN$214)</f>
        <v>9.3348712964787181E-2</v>
      </c>
      <c r="AS574" s="34">
        <f>AS608/(AS$214+AR$214+AQ$214+AP$214)</f>
        <v>0.10126779489376619</v>
      </c>
      <c r="AT574" s="170">
        <f>AT608/AT$214</f>
        <v>0.10126779489376619</v>
      </c>
      <c r="AU574" s="34">
        <f>AU608/(AU$214+AS$214+AR$214+AQ$214)</f>
        <v>0.10378563209250546</v>
      </c>
      <c r="AV574" s="34">
        <f>AV608/(AV$214+AU$214+AS$214+AR$214)</f>
        <v>0.10764709748687036</v>
      </c>
      <c r="AW574" s="34">
        <f>AW608/(AW$214+AV$214+AU$214+AS$214)</f>
        <v>0.10673595298265287</v>
      </c>
      <c r="AX574" s="34">
        <f>AX608/(AX$214+AW$214+AV$214+AU$214)</f>
        <v>0.10404530164105059</v>
      </c>
      <c r="AY574" s="170">
        <f>AY608/AY$214</f>
        <v>0.10404530164105059</v>
      </c>
      <c r="AZ574" s="34">
        <f>AZ608/(AZ$214+AX$214+AW$214+AV$214)</f>
        <v>0.10383222885046141</v>
      </c>
      <c r="BA574" s="34">
        <f>BA608/(BA$214+AZ$214+AX$214+AW$214)</f>
        <v>0.11152283360478397</v>
      </c>
      <c r="BB574" s="34">
        <f>BB608/(BB$214+BA$214+AZ$214+AX$214)</f>
        <v>0.1098908881735494</v>
      </c>
      <c r="BC574" s="34">
        <f>BC608/(BC$214+BB$214+BA$214+AZ$214)</f>
        <v>0.11051641131255308</v>
      </c>
      <c r="BD574" s="170">
        <f>BD608/BD$214</f>
        <v>0.11051641131255308</v>
      </c>
      <c r="BE574" s="34">
        <f>BE608/(BE$214+BC$214+BB$214+BA$214)</f>
        <v>0.11421066674475888</v>
      </c>
      <c r="BF574" s="34">
        <f>BF608/(BF$214+BE$214+BC$214+BB$214)</f>
        <v>0.11964344037905958</v>
      </c>
      <c r="BG574" s="34">
        <f>BG608/(BG$214+BF$214+BE$214+BC$214)</f>
        <v>0.1224377564161072</v>
      </c>
      <c r="BH574" s="34">
        <f>BH608/(BH$214+BG$214+BF$214+BE$214)</f>
        <v>0.1093045797427494</v>
      </c>
      <c r="BI574" s="170">
        <f>BI608/BI$214</f>
        <v>0.1093045797427494</v>
      </c>
      <c r="BJ574" s="34">
        <f>BJ608/(BJ$214+BH$214+BG$214+BF$214)</f>
        <v>0.10880183530576643</v>
      </c>
      <c r="BK574" s="34">
        <f>BK608/(BK$214+BJ$214+BH$214+BG$214)</f>
        <v>0.11172061170463803</v>
      </c>
      <c r="BL574" s="394">
        <f>BL608/(BL$214+BK$214+BJ$214+BH$214)</f>
        <v>0.11140562791205381</v>
      </c>
      <c r="BM574" s="34">
        <f>BH574+BM577</f>
        <v>4.9304579742749405E-2</v>
      </c>
      <c r="BN574" s="170">
        <f>BN608/BN$214</f>
        <v>4.9304579742749398E-2</v>
      </c>
      <c r="BO574" s="34">
        <f t="shared" ref="BO574:BR575" si="1211">BJ574+BO577</f>
        <v>0.10880183530576643</v>
      </c>
      <c r="BP574" s="34">
        <f t="shared" si="1211"/>
        <v>0.11172061170463803</v>
      </c>
      <c r="BQ574" s="34">
        <f t="shared" si="1211"/>
        <v>5.1405627912053817E-2</v>
      </c>
      <c r="BR574" s="34">
        <f t="shared" si="1211"/>
        <v>-1.0695420257250593E-2</v>
      </c>
      <c r="BS574" s="170">
        <f>BS608/BS$214</f>
        <v>-1.0695420257250593E-2</v>
      </c>
      <c r="BT574" s="170">
        <f t="shared" ref="BT574:BV575" si="1212">BS574+BT577</f>
        <v>-1.0695420257250593E-2</v>
      </c>
      <c r="BU574" s="170">
        <f t="shared" si="1212"/>
        <v>-1.0695420257250593E-2</v>
      </c>
      <c r="BV574" s="170">
        <f t="shared" si="1212"/>
        <v>-1.0695420257250593E-2</v>
      </c>
      <c r="BW574" s="84"/>
    </row>
    <row r="575" spans="1:75" s="442" customFormat="1">
      <c r="A575" s="68" t="s">
        <v>489</v>
      </c>
      <c r="B575" s="73"/>
      <c r="C575" s="170">
        <f>C627/C$214</f>
        <v>0</v>
      </c>
      <c r="D575" s="170">
        <f>D627/D$214</f>
        <v>0</v>
      </c>
      <c r="E575" s="170">
        <f>E627/E$214</f>
        <v>9.2273518640811666E-2</v>
      </c>
      <c r="F575" s="170">
        <f>F627/F$214</f>
        <v>0.10884877914034616</v>
      </c>
      <c r="G575" s="34"/>
      <c r="H575" s="34"/>
      <c r="I575" s="34"/>
      <c r="J575" s="34"/>
      <c r="K575" s="170">
        <f>K627/K$214</f>
        <v>8.1566432605971129E-2</v>
      </c>
      <c r="L575" s="34">
        <f>L627/(L$214+J$214+I$214+H$214)</f>
        <v>9.1133547568581871E-2</v>
      </c>
      <c r="M575" s="34">
        <f>M627/(M$214+L$214+J$214+I$214)</f>
        <v>7.2791607468706443E-2</v>
      </c>
      <c r="N575" s="34">
        <f>N627/(N$214+M$214+L$214+J$214)</f>
        <v>8.1037540644398456E-2</v>
      </c>
      <c r="O575" s="34">
        <f>O627/(O$214+N$214+M$214+L$214)</f>
        <v>7.835279284624512E-2</v>
      </c>
      <c r="P575" s="170">
        <f>P627/P$214</f>
        <v>7.835279284624512E-2</v>
      </c>
      <c r="Q575" s="34">
        <f>Q627/(Q$214+O$214+N$214+M$214)</f>
        <v>9.9819605992798544E-2</v>
      </c>
      <c r="R575" s="34">
        <f>R627/(R$214+Q$214+O$214+N$214)</f>
        <v>8.1151038271118831E-2</v>
      </c>
      <c r="S575" s="34">
        <f>S627/(S$214+R$214+Q$214+O$214)</f>
        <v>9.7349698636202811E-2</v>
      </c>
      <c r="T575" s="34">
        <f>T627/(T$214+S$214+R$214+Q$214)</f>
        <v>7.9056085834192866E-2</v>
      </c>
      <c r="U575" s="170">
        <f>U627/U$214</f>
        <v>7.9056085834192866E-2</v>
      </c>
      <c r="V575" s="34">
        <f>V627/(V$214+T$214+S$214+R$214)</f>
        <v>8.9458407367721454E-2</v>
      </c>
      <c r="W575" s="34">
        <f>W627/(W$214+V$214+T$214+S$214)</f>
        <v>8.1933036827996714E-2</v>
      </c>
      <c r="X575" s="34">
        <f>X627/(X$214+W$214+V$214+T$214)</f>
        <v>8.8288164951399115E-2</v>
      </c>
      <c r="Y575" s="34">
        <f>Y627/(Y$214+X$214+W$214+V$214)</f>
        <v>7.7246381486223634E-2</v>
      </c>
      <c r="Z575" s="170">
        <f>Z627/Z$214</f>
        <v>7.7246381486223634E-2</v>
      </c>
      <c r="AA575" s="34">
        <f>AA627/(AA$214+Y$214+X$214+W$214)</f>
        <v>6.1080477791212152E-2</v>
      </c>
      <c r="AB575" s="34">
        <f>AB627/(AB$214+AA$214+Y$214+X$214)</f>
        <v>5.1873732016975295E-2</v>
      </c>
      <c r="AC575" s="34">
        <f>AC627/(AC$214+AB$214+AA$214+Y$214)</f>
        <v>5.8484486844621542E-2</v>
      </c>
      <c r="AD575" s="34">
        <f>AD627/(AD$214+AC$214+AB$214+AA$214)</f>
        <v>8.6578433020272752E-2</v>
      </c>
      <c r="AE575" s="170">
        <f>AE627/AE$214</f>
        <v>8.6578433020272752E-2</v>
      </c>
      <c r="AF575" s="34">
        <f>AF627/(AF$214+AD$214+AC$214+AB$214)</f>
        <v>9.5247828425332873E-2</v>
      </c>
      <c r="AG575" s="34">
        <f>AG627/(AG$214+AF$214+AD$214+AC$214)</f>
        <v>5.8255844292828075E-2</v>
      </c>
      <c r="AH575" s="34">
        <f>AH627/(AH$214+AG$214+AF$214+AD$214)</f>
        <v>6.37622839623114E-2</v>
      </c>
      <c r="AI575" s="34">
        <f>AI627/(AI$214+AH$214+AG$214+AF$214)</f>
        <v>5.7831524661822085E-2</v>
      </c>
      <c r="AJ575" s="170">
        <f>AJ627/AJ$214</f>
        <v>5.7831524661822092E-2</v>
      </c>
      <c r="AK575" s="34">
        <f>AK627/(AK$214+AI$214+AH$214+AG$214)</f>
        <v>7.1251652032510104E-2</v>
      </c>
      <c r="AL575" s="34">
        <f>AL627/(AL$214+AK$214+AI$214+AH$214)</f>
        <v>7.4098950846979483E-2</v>
      </c>
      <c r="AM575" s="34">
        <f>AM627/(AM$214+AL$214+AK$214+AI$214)</f>
        <v>7.2528765730034347E-2</v>
      </c>
      <c r="AN575" s="34">
        <f>AN627/(AN$214+AM$214+AL$214+AK$214)</f>
        <v>6.5402674439012667E-2</v>
      </c>
      <c r="AO575" s="170">
        <f>AO627/AO$214</f>
        <v>6.5402674439012654E-2</v>
      </c>
      <c r="AP575" s="34">
        <f>AP627/(AP$214+AN$214+AM$214+AL$214)</f>
        <v>7.2656501512907132E-2</v>
      </c>
      <c r="AQ575" s="34">
        <f>AQ627/(AQ$214+AP$214+AN$214+AM$214)</f>
        <v>6.3359530554772128E-2</v>
      </c>
      <c r="AR575" s="34">
        <f>AR627/(AR$214+AQ$214+AP$214+AN$214)</f>
        <v>0.11378212359984637</v>
      </c>
      <c r="AS575" s="34">
        <f>AS627/(AS$214+AR$214+AQ$214+AP$214)</f>
        <v>0.10053463438774798</v>
      </c>
      <c r="AT575" s="170">
        <f>AT627/AT$214</f>
        <v>0.10053463438774798</v>
      </c>
      <c r="AU575" s="34">
        <f>AU627/(AU$214+AS$214+AR$214+AQ$214)</f>
        <v>0.11377477991598919</v>
      </c>
      <c r="AV575" s="34">
        <f>AV627/(AV$214+AU$214+AS$214+AR$214)</f>
        <v>0.11257455321079714</v>
      </c>
      <c r="AW575" s="34">
        <f>AW627/(AW$214+AV$214+AU$214+AS$214)</f>
        <v>0.10730571965059689</v>
      </c>
      <c r="AX575" s="34">
        <f>AX627/(AX$214+AW$214+AV$214+AU$214)</f>
        <v>0.11592893852626235</v>
      </c>
      <c r="AY575" s="170">
        <f>AY627/AY$214</f>
        <v>0.11592893852626235</v>
      </c>
      <c r="AZ575" s="34">
        <f>AZ627/(AZ$214+AX$214+AW$214+AV$214)</f>
        <v>0.13590388444133109</v>
      </c>
      <c r="BA575" s="34">
        <f>BA627/(BA$214+AZ$214+AX$214+AW$214)</f>
        <v>0.11867625106545492</v>
      </c>
      <c r="BB575" s="34">
        <f>BB627/(BB$214+BA$214+AZ$214+AX$214)</f>
        <v>0.13025013754498824</v>
      </c>
      <c r="BC575" s="34">
        <f>BC627/(BC$214+BB$214+BA$214+AZ$214)</f>
        <v>0.1155838345177988</v>
      </c>
      <c r="BD575" s="170">
        <f>BD627/BD$214</f>
        <v>0.1155838345177988</v>
      </c>
      <c r="BE575" s="34">
        <f>BE627/(BE$214+BC$214+BB$214+BA$214)</f>
        <v>0.12434557103299722</v>
      </c>
      <c r="BF575" s="34">
        <f>BF627/(BF$214+BE$214+BC$214+BB$214)</f>
        <v>0.13559221747643896</v>
      </c>
      <c r="BG575" s="34">
        <f>BG627/(BG$214+BF$214+BE$214+BC$214)</f>
        <v>0.11036218283786715</v>
      </c>
      <c r="BH575" s="34">
        <f>BH627/(BH$214+BG$214+BF$214+BE$214)</f>
        <v>9.9328976517169737E-2</v>
      </c>
      <c r="BI575" s="170">
        <f>BI627/BI$214</f>
        <v>9.9328976517169737E-2</v>
      </c>
      <c r="BJ575" s="34">
        <f>BJ627/(BJ$214+BH$214+BG$214+BF$214)</f>
        <v>0.10678176128058844</v>
      </c>
      <c r="BK575" s="34">
        <f>BK627/(BK$214+BJ$214+BH$214+BG$214)</f>
        <v>8.550418002041725E-2</v>
      </c>
      <c r="BL575" s="394">
        <f>BL627/(BL$214+BK$214+BJ$214+BH$214)</f>
        <v>9.676636351623856E-2</v>
      </c>
      <c r="BM575" s="34">
        <f>BH575+BM578</f>
        <v>0.15932897651716973</v>
      </c>
      <c r="BN575" s="170">
        <f>BN627/BN$214</f>
        <v>0.15932897651716971</v>
      </c>
      <c r="BO575" s="34">
        <f t="shared" si="1211"/>
        <v>0.10678176128058844</v>
      </c>
      <c r="BP575" s="34">
        <f t="shared" si="1211"/>
        <v>8.550418002041725E-2</v>
      </c>
      <c r="BQ575" s="34">
        <f t="shared" si="1211"/>
        <v>0.15676636351623857</v>
      </c>
      <c r="BR575" s="34">
        <f t="shared" si="1211"/>
        <v>0.21932897651716973</v>
      </c>
      <c r="BS575" s="170">
        <f>BS627/BS$214</f>
        <v>0.21932897651716973</v>
      </c>
      <c r="BT575" s="170">
        <f t="shared" si="1212"/>
        <v>0.21932897651716973</v>
      </c>
      <c r="BU575" s="170">
        <f t="shared" si="1212"/>
        <v>0.21932897651716973</v>
      </c>
      <c r="BV575" s="170">
        <f t="shared" si="1212"/>
        <v>0.21932897651716973</v>
      </c>
      <c r="BW575" s="84"/>
    </row>
    <row r="576" spans="1:75" s="442" customFormat="1">
      <c r="A576" s="68"/>
      <c r="B576" s="73"/>
      <c r="C576" s="170"/>
      <c r="D576" s="170"/>
      <c r="E576" s="170"/>
      <c r="F576" s="170"/>
      <c r="G576" s="34"/>
      <c r="H576" s="34"/>
      <c r="I576" s="34"/>
      <c r="J576" s="34"/>
      <c r="K576" s="170"/>
      <c r="L576" s="34"/>
      <c r="M576" s="34"/>
      <c r="N576" s="34"/>
      <c r="O576" s="34"/>
      <c r="P576" s="170"/>
      <c r="Q576" s="34"/>
      <c r="R576" s="34"/>
      <c r="S576" s="34"/>
      <c r="T576" s="34"/>
      <c r="U576" s="170"/>
      <c r="V576" s="34"/>
      <c r="W576" s="34"/>
      <c r="X576" s="34"/>
      <c r="Y576" s="34"/>
      <c r="Z576" s="170"/>
      <c r="AA576" s="34"/>
      <c r="AB576" s="34"/>
      <c r="AC576" s="34"/>
      <c r="AD576" s="34"/>
      <c r="AE576" s="170"/>
      <c r="AF576" s="34"/>
      <c r="AG576" s="34"/>
      <c r="AH576" s="34"/>
      <c r="AI576" s="34"/>
      <c r="AJ576" s="170"/>
      <c r="AK576" s="34"/>
      <c r="AL576" s="34"/>
      <c r="AM576" s="34"/>
      <c r="AN576" s="34"/>
      <c r="AO576" s="170"/>
      <c r="AP576" s="34"/>
      <c r="AQ576" s="34"/>
      <c r="AR576" s="34"/>
      <c r="AS576" s="34"/>
      <c r="AT576" s="170"/>
      <c r="AU576" s="34"/>
      <c r="AV576" s="34"/>
      <c r="AW576" s="34"/>
      <c r="AX576" s="34"/>
      <c r="AY576" s="170"/>
      <c r="AZ576" s="34"/>
      <c r="BA576" s="34"/>
      <c r="BB576" s="34"/>
      <c r="BC576" s="34"/>
      <c r="BD576" s="170"/>
      <c r="BE576" s="34"/>
      <c r="BF576" s="34"/>
      <c r="BG576" s="34"/>
      <c r="BH576" s="34"/>
      <c r="BI576" s="170"/>
      <c r="BJ576" s="34"/>
      <c r="BK576" s="34"/>
      <c r="BL576" s="394"/>
      <c r="BM576" s="34"/>
      <c r="BN576" s="170"/>
      <c r="BO576" s="34"/>
      <c r="BP576" s="34"/>
      <c r="BQ576" s="34"/>
      <c r="BR576" s="34"/>
      <c r="BS576" s="170"/>
      <c r="BT576" s="170"/>
      <c r="BU576" s="170"/>
      <c r="BV576" s="170"/>
      <c r="BW576" s="84"/>
    </row>
    <row r="577" spans="1:75" s="442" customFormat="1">
      <c r="A577" s="151" t="s">
        <v>490</v>
      </c>
      <c r="B577" s="152"/>
      <c r="C577" s="689"/>
      <c r="D577" s="689">
        <f t="shared" ref="D577:F578" si="1213">D574-C574</f>
        <v>0</v>
      </c>
      <c r="E577" s="689">
        <f t="shared" si="1213"/>
        <v>9.9141502071201301E-2</v>
      </c>
      <c r="F577" s="689">
        <f t="shared" si="1213"/>
        <v>-1.381580622844833E-2</v>
      </c>
      <c r="G577" s="179"/>
      <c r="H577" s="179"/>
      <c r="I577" s="179"/>
      <c r="J577" s="179"/>
      <c r="K577" s="689">
        <f>K574-F574</f>
        <v>6.1682866799520619E-3</v>
      </c>
      <c r="L577" s="179"/>
      <c r="M577" s="179"/>
      <c r="N577" s="179"/>
      <c r="O577" s="179"/>
      <c r="P577" s="689">
        <f t="shared" ref="P577:Y578" si="1214">P574-K574</f>
        <v>2.7831195284900995E-3</v>
      </c>
      <c r="Q577" s="179">
        <f t="shared" si="1214"/>
        <v>1.1666915417066062E-2</v>
      </c>
      <c r="R577" s="179">
        <f t="shared" si="1214"/>
        <v>3.2636744003810836E-3</v>
      </c>
      <c r="S577" s="179">
        <f t="shared" si="1214"/>
        <v>6.4320565470288305E-4</v>
      </c>
      <c r="T577" s="179">
        <f t="shared" si="1214"/>
        <v>1.6915069087856532E-3</v>
      </c>
      <c r="U577" s="689">
        <f t="shared" si="1214"/>
        <v>1.6915069087856532E-3</v>
      </c>
      <c r="V577" s="179">
        <f t="shared" si="1214"/>
        <v>2.6558024868589269E-6</v>
      </c>
      <c r="W577" s="179">
        <f t="shared" si="1214"/>
        <v>6.2133715379433796E-3</v>
      </c>
      <c r="X577" s="179">
        <f t="shared" si="1214"/>
        <v>6.2935540945718016E-3</v>
      </c>
      <c r="Y577" s="179">
        <f t="shared" si="1214"/>
        <v>4.1056332208448676E-4</v>
      </c>
      <c r="Z577" s="689">
        <f t="shared" ref="Z577:AI578" si="1215">Z574-U574</f>
        <v>4.1056332208448676E-4</v>
      </c>
      <c r="AA577" s="179">
        <f t="shared" si="1215"/>
        <v>-2.3582976989162813E-3</v>
      </c>
      <c r="AB577" s="179">
        <f t="shared" si="1215"/>
        <v>-8.0049161000796815E-3</v>
      </c>
      <c r="AC577" s="179">
        <f t="shared" si="1215"/>
        <v>-1.6199765590598589E-2</v>
      </c>
      <c r="AD577" s="179">
        <f t="shared" si="1215"/>
        <v>-6.8530882740121118E-3</v>
      </c>
      <c r="AE577" s="689">
        <f t="shared" si="1215"/>
        <v>-6.8530882740121118E-3</v>
      </c>
      <c r="AF577" s="179">
        <f t="shared" si="1215"/>
        <v>-4.2581562260462918E-3</v>
      </c>
      <c r="AG577" s="179">
        <f t="shared" si="1215"/>
        <v>-5.0336362265063217E-5</v>
      </c>
      <c r="AH577" s="179">
        <f t="shared" si="1215"/>
        <v>6.2099445628659294E-3</v>
      </c>
      <c r="AI577" s="179">
        <f t="shared" si="1215"/>
        <v>3.0783923611258368E-3</v>
      </c>
      <c r="AJ577" s="689">
        <f t="shared" ref="AJ577:AQ578" si="1216">AJ574-AE574</f>
        <v>3.0783923611258507E-3</v>
      </c>
      <c r="AK577" s="179">
        <f t="shared" si="1216"/>
        <v>7.1963831682411022E-3</v>
      </c>
      <c r="AL577" s="179">
        <f t="shared" si="1216"/>
        <v>1.1819451744008475E-2</v>
      </c>
      <c r="AM577" s="179">
        <f t="shared" si="1216"/>
        <v>1.3458876481612161E-2</v>
      </c>
      <c r="AN577" s="179">
        <f t="shared" si="1216"/>
        <v>1.2732372399399811E-2</v>
      </c>
      <c r="AO577" s="689">
        <f t="shared" si="1216"/>
        <v>1.2732372399399783E-2</v>
      </c>
      <c r="AP577" s="179">
        <f t="shared" si="1216"/>
        <v>-9.9226178747376936E-3</v>
      </c>
      <c r="AQ577" s="179">
        <f t="shared" si="1216"/>
        <v>-2.3126382014597061E-2</v>
      </c>
      <c r="AR577" s="179">
        <f t="shared" ref="AR577:AT578" si="1217">AR574-AM574</f>
        <v>-9.2090383897119599E-3</v>
      </c>
      <c r="AS577" s="179">
        <f t="shared" si="1217"/>
        <v>-4.0690538748126143E-3</v>
      </c>
      <c r="AT577" s="689">
        <f t="shared" si="1217"/>
        <v>-4.0690538748126004E-3</v>
      </c>
      <c r="AU577" s="179">
        <f t="shared" ref="AU577:AW578" si="1218">AU574-AP574</f>
        <v>2.0262070910463476E-2</v>
      </c>
      <c r="AV577" s="179">
        <f t="shared" si="1218"/>
        <v>3.1849499436718165E-2</v>
      </c>
      <c r="AW577" s="179">
        <f t="shared" si="1218"/>
        <v>1.338724001786569E-2</v>
      </c>
      <c r="AX577" s="179">
        <f t="shared" ref="AX577:AZ578" si="1219">AX574-AS574</f>
        <v>2.7775067472844001E-3</v>
      </c>
      <c r="AY577" s="689">
        <f t="shared" si="1219"/>
        <v>2.7775067472844001E-3</v>
      </c>
      <c r="AZ577" s="179">
        <f t="shared" si="1219"/>
        <v>4.6596757955943979E-5</v>
      </c>
      <c r="BA577" s="179">
        <f t="shared" ref="BA577:BD578" si="1220">BA574-AV574</f>
        <v>3.8757361179136141E-3</v>
      </c>
      <c r="BB577" s="179">
        <f t="shared" si="1220"/>
        <v>3.1549351908965323E-3</v>
      </c>
      <c r="BC577" s="179">
        <f t="shared" si="1220"/>
        <v>6.4711096715024813E-3</v>
      </c>
      <c r="BD577" s="689">
        <f t="shared" si="1220"/>
        <v>6.4711096715024813E-3</v>
      </c>
      <c r="BE577" s="179">
        <f t="shared" ref="BE577:BG578" si="1221">BE574-AZ574</f>
        <v>1.0378437894297474E-2</v>
      </c>
      <c r="BF577" s="179">
        <f t="shared" si="1221"/>
        <v>8.1206067742756044E-3</v>
      </c>
      <c r="BG577" s="179">
        <f t="shared" si="1221"/>
        <v>1.2546868242557796E-2</v>
      </c>
      <c r="BH577" s="179">
        <f t="shared" ref="BH577:BJ578" si="1222">BH574-BC574</f>
        <v>-1.211831569803673E-3</v>
      </c>
      <c r="BI577" s="689">
        <f t="shared" si="1222"/>
        <v>-1.211831569803673E-3</v>
      </c>
      <c r="BJ577" s="179">
        <f t="shared" si="1222"/>
        <v>-5.4088314389924563E-3</v>
      </c>
      <c r="BK577" s="179">
        <f>BK574-BF574</f>
        <v>-7.9228286744215531E-3</v>
      </c>
      <c r="BL577" s="497">
        <f>BL574-BG574</f>
        <v>-1.1032128504053385E-2</v>
      </c>
      <c r="BM577" s="648">
        <v>-0.06</v>
      </c>
      <c r="BN577" s="689">
        <f>BN574-BI574</f>
        <v>-6.0000000000000005E-2</v>
      </c>
      <c r="BO577" s="648">
        <v>0</v>
      </c>
      <c r="BP577" s="648">
        <v>0</v>
      </c>
      <c r="BQ577" s="648">
        <v>-0.06</v>
      </c>
      <c r="BR577" s="648">
        <v>-0.06</v>
      </c>
      <c r="BS577" s="689">
        <f>BS574-BN574</f>
        <v>-5.9999999999999991E-2</v>
      </c>
      <c r="BT577" s="774">
        <v>0</v>
      </c>
      <c r="BU577" s="774">
        <v>0</v>
      </c>
      <c r="BV577" s="774">
        <v>0</v>
      </c>
      <c r="BW577" s="84"/>
    </row>
    <row r="578" spans="1:75" s="442" customFormat="1">
      <c r="A578" s="151" t="s">
        <v>491</v>
      </c>
      <c r="B578" s="152"/>
      <c r="C578" s="689"/>
      <c r="D578" s="689">
        <f t="shared" si="1213"/>
        <v>0</v>
      </c>
      <c r="E578" s="689">
        <f t="shared" si="1213"/>
        <v>9.2273518640811666E-2</v>
      </c>
      <c r="F578" s="689">
        <f t="shared" si="1213"/>
        <v>1.6575260499534492E-2</v>
      </c>
      <c r="G578" s="179"/>
      <c r="H578" s="179"/>
      <c r="I578" s="179"/>
      <c r="J578" s="179"/>
      <c r="K578" s="689">
        <f>K575-F575</f>
        <v>-2.7282346534375029E-2</v>
      </c>
      <c r="L578" s="179"/>
      <c r="M578" s="179"/>
      <c r="N578" s="179"/>
      <c r="O578" s="179"/>
      <c r="P578" s="689">
        <f t="shared" si="1214"/>
        <v>-3.2136397597260086E-3</v>
      </c>
      <c r="Q578" s="179">
        <f t="shared" si="1214"/>
        <v>8.6860584242166722E-3</v>
      </c>
      <c r="R578" s="179">
        <f t="shared" si="1214"/>
        <v>8.3594308024123876E-3</v>
      </c>
      <c r="S578" s="179">
        <f t="shared" si="1214"/>
        <v>1.6312157991804355E-2</v>
      </c>
      <c r="T578" s="179">
        <f t="shared" si="1214"/>
        <v>7.0329298794774564E-4</v>
      </c>
      <c r="U578" s="689">
        <f t="shared" si="1214"/>
        <v>7.0329298794774564E-4</v>
      </c>
      <c r="V578" s="179">
        <f t="shared" si="1214"/>
        <v>-1.0361198625077089E-2</v>
      </c>
      <c r="W578" s="179">
        <f t="shared" si="1214"/>
        <v>7.8199855687788311E-4</v>
      </c>
      <c r="X578" s="179">
        <f t="shared" si="1214"/>
        <v>-9.0615336848036965E-3</v>
      </c>
      <c r="Y578" s="179">
        <f t="shared" si="1214"/>
        <v>-1.8097043479692321E-3</v>
      </c>
      <c r="Z578" s="689">
        <f t="shared" si="1215"/>
        <v>-1.8097043479692321E-3</v>
      </c>
      <c r="AA578" s="179">
        <f t="shared" si="1215"/>
        <v>-2.8377929576509302E-2</v>
      </c>
      <c r="AB578" s="179">
        <f t="shared" si="1215"/>
        <v>-3.0059304811021419E-2</v>
      </c>
      <c r="AC578" s="179">
        <f t="shared" si="1215"/>
        <v>-2.9803678106777573E-2</v>
      </c>
      <c r="AD578" s="179">
        <f t="shared" si="1215"/>
        <v>9.3320515340491184E-3</v>
      </c>
      <c r="AE578" s="689">
        <f t="shared" si="1215"/>
        <v>9.3320515340491184E-3</v>
      </c>
      <c r="AF578" s="179">
        <f t="shared" si="1215"/>
        <v>3.416735063412072E-2</v>
      </c>
      <c r="AG578" s="179">
        <f t="shared" si="1215"/>
        <v>6.3821122758527804E-3</v>
      </c>
      <c r="AH578" s="179">
        <f t="shared" si="1215"/>
        <v>5.2777971176898586E-3</v>
      </c>
      <c r="AI578" s="179">
        <f t="shared" si="1215"/>
        <v>-2.8746908358450667E-2</v>
      </c>
      <c r="AJ578" s="689">
        <f t="shared" si="1216"/>
        <v>-2.874690835845066E-2</v>
      </c>
      <c r="AK578" s="179">
        <f t="shared" si="1216"/>
        <v>-2.3996176392822768E-2</v>
      </c>
      <c r="AL578" s="179">
        <f t="shared" si="1216"/>
        <v>1.5843106554151408E-2</v>
      </c>
      <c r="AM578" s="179">
        <f t="shared" si="1216"/>
        <v>8.7664817677229473E-3</v>
      </c>
      <c r="AN578" s="179">
        <f t="shared" si="1216"/>
        <v>7.571149777190582E-3</v>
      </c>
      <c r="AO578" s="689">
        <f t="shared" si="1216"/>
        <v>7.5711497771905611E-3</v>
      </c>
      <c r="AP578" s="179">
        <f t="shared" si="1216"/>
        <v>1.4048494803970274E-3</v>
      </c>
      <c r="AQ578" s="179">
        <f t="shared" si="1216"/>
        <v>-1.0739420292207355E-2</v>
      </c>
      <c r="AR578" s="179">
        <f t="shared" si="1217"/>
        <v>4.1253357869812018E-2</v>
      </c>
      <c r="AS578" s="179">
        <f t="shared" si="1217"/>
        <v>3.5131959948735317E-2</v>
      </c>
      <c r="AT578" s="689">
        <f t="shared" si="1217"/>
        <v>3.5131959948735331E-2</v>
      </c>
      <c r="AU578" s="179">
        <f t="shared" si="1218"/>
        <v>4.1118278403082062E-2</v>
      </c>
      <c r="AV578" s="179">
        <f t="shared" si="1218"/>
        <v>4.9215022656025009E-2</v>
      </c>
      <c r="AW578" s="179">
        <f t="shared" si="1218"/>
        <v>-6.4764039492494763E-3</v>
      </c>
      <c r="AX578" s="179">
        <f t="shared" si="1219"/>
        <v>1.5394304138514364E-2</v>
      </c>
      <c r="AY578" s="689">
        <f t="shared" si="1219"/>
        <v>1.5394304138514364E-2</v>
      </c>
      <c r="AZ578" s="179">
        <f t="shared" si="1219"/>
        <v>2.2129104525341892E-2</v>
      </c>
      <c r="BA578" s="179">
        <f t="shared" si="1220"/>
        <v>6.1016978546577783E-3</v>
      </c>
      <c r="BB578" s="179">
        <f t="shared" si="1220"/>
        <v>2.2944417894391347E-2</v>
      </c>
      <c r="BC578" s="179">
        <f t="shared" si="1220"/>
        <v>-3.4510400846354816E-4</v>
      </c>
      <c r="BD578" s="689">
        <f t="shared" si="1220"/>
        <v>-3.4510400846354816E-4</v>
      </c>
      <c r="BE578" s="179">
        <f t="shared" si="1221"/>
        <v>-1.1558313408333867E-2</v>
      </c>
      <c r="BF578" s="179">
        <f t="shared" si="1221"/>
        <v>1.6915966410984043E-2</v>
      </c>
      <c r="BG578" s="179">
        <f t="shared" si="1221"/>
        <v>-1.9887954707121083E-2</v>
      </c>
      <c r="BH578" s="179">
        <f t="shared" si="1222"/>
        <v>-1.6254858000629063E-2</v>
      </c>
      <c r="BI578" s="689">
        <f t="shared" si="1222"/>
        <v>-1.6254858000629063E-2</v>
      </c>
      <c r="BJ578" s="179">
        <f t="shared" si="1222"/>
        <v>-1.7563809752408774E-2</v>
      </c>
      <c r="BK578" s="179">
        <f>BK575-BF575</f>
        <v>-5.0088037456021708E-2</v>
      </c>
      <c r="BL578" s="497">
        <f>BL575-BG575</f>
        <v>-1.3595819321628594E-2</v>
      </c>
      <c r="BM578" s="648">
        <v>0.06</v>
      </c>
      <c r="BN578" s="689">
        <f>BN575-BI575</f>
        <v>5.999999999999997E-2</v>
      </c>
      <c r="BO578" s="648">
        <v>0</v>
      </c>
      <c r="BP578" s="648">
        <v>0</v>
      </c>
      <c r="BQ578" s="648">
        <v>0.06</v>
      </c>
      <c r="BR578" s="648">
        <v>0.06</v>
      </c>
      <c r="BS578" s="689">
        <f>BS575-BN575</f>
        <v>6.0000000000000026E-2</v>
      </c>
      <c r="BT578" s="774">
        <v>0</v>
      </c>
      <c r="BU578" s="774">
        <v>0</v>
      </c>
      <c r="BV578" s="774">
        <v>0</v>
      </c>
      <c r="BW578" s="84"/>
    </row>
    <row r="579" spans="1:75" s="444" customFormat="1">
      <c r="A579" s="31"/>
      <c r="B579" s="53"/>
      <c r="C579" s="762"/>
      <c r="D579" s="762"/>
      <c r="E579" s="762"/>
      <c r="F579" s="762"/>
      <c r="G579" s="525"/>
      <c r="H579" s="525"/>
      <c r="I579" s="525"/>
      <c r="J579" s="525"/>
      <c r="K579" s="762"/>
      <c r="L579" s="525"/>
      <c r="M579" s="525"/>
      <c r="N579" s="525"/>
      <c r="O579" s="525"/>
      <c r="P579" s="762"/>
      <c r="Q579" s="525"/>
      <c r="R579" s="525"/>
      <c r="S579" s="525"/>
      <c r="T579" s="525"/>
      <c r="U579" s="762"/>
      <c r="V579" s="525"/>
      <c r="W579" s="525"/>
      <c r="X579" s="525"/>
      <c r="Y579" s="525"/>
      <c r="Z579" s="762"/>
      <c r="AA579" s="525"/>
      <c r="AB579" s="525"/>
      <c r="AC579" s="525"/>
      <c r="AD579" s="525"/>
      <c r="AE579" s="762"/>
      <c r="AF579" s="525"/>
      <c r="AG579" s="525"/>
      <c r="AH579" s="525"/>
      <c r="AI579" s="525"/>
      <c r="AJ579" s="762"/>
      <c r="AK579" s="525"/>
      <c r="AL579" s="525"/>
      <c r="AM579" s="525"/>
      <c r="AN579" s="525"/>
      <c r="AO579" s="762"/>
      <c r="AP579" s="525"/>
      <c r="AQ579" s="525"/>
      <c r="AR579" s="525"/>
      <c r="AS579" s="525"/>
      <c r="AT579" s="762"/>
      <c r="AU579" s="525"/>
      <c r="AV579" s="525"/>
      <c r="AW579" s="525"/>
      <c r="AX579" s="525"/>
      <c r="AY579" s="762"/>
      <c r="AZ579" s="525"/>
      <c r="BA579" s="525"/>
      <c r="BB579" s="525"/>
      <c r="BC579" s="525"/>
      <c r="BD579" s="762"/>
      <c r="BE579" s="525"/>
      <c r="BF579" s="525"/>
      <c r="BG579" s="525"/>
      <c r="BH579" s="525"/>
      <c r="BI579" s="762"/>
      <c r="BJ579" s="525"/>
      <c r="BK579" s="525"/>
      <c r="BL579" s="581"/>
      <c r="BM579" s="525"/>
      <c r="BN579" s="762"/>
      <c r="BO579" s="525"/>
      <c r="BP579" s="525"/>
      <c r="BQ579" s="525"/>
      <c r="BR579" s="525"/>
      <c r="BS579" s="762"/>
      <c r="BT579" s="762"/>
      <c r="BU579" s="762"/>
      <c r="BV579" s="762"/>
      <c r="BW579" s="318"/>
    </row>
    <row r="580" spans="1:75" s="444" customFormat="1">
      <c r="A580" s="149" t="s">
        <v>492</v>
      </c>
      <c r="B580" s="150"/>
      <c r="C580" s="582"/>
      <c r="D580" s="582"/>
      <c r="E580" s="582"/>
      <c r="F580" s="582"/>
      <c r="G580" s="582"/>
      <c r="H580" s="582"/>
      <c r="I580" s="582"/>
      <c r="J580" s="582"/>
      <c r="K580" s="582"/>
      <c r="L580" s="582"/>
      <c r="M580" s="582"/>
      <c r="N580" s="582"/>
      <c r="O580" s="582"/>
      <c r="P580" s="582"/>
      <c r="Q580" s="582"/>
      <c r="R580" s="582"/>
      <c r="S580" s="582"/>
      <c r="T580" s="582"/>
      <c r="U580" s="582"/>
      <c r="V580" s="582"/>
      <c r="W580" s="582"/>
      <c r="X580" s="582"/>
      <c r="Y580" s="582"/>
      <c r="Z580" s="582"/>
      <c r="AA580" s="582"/>
      <c r="AB580" s="582"/>
      <c r="AC580" s="582"/>
      <c r="AD580" s="582"/>
      <c r="AE580" s="582"/>
      <c r="AF580" s="582"/>
      <c r="AG580" s="582"/>
      <c r="AH580" s="582"/>
      <c r="AI580" s="582"/>
      <c r="AJ580" s="582"/>
      <c r="AK580" s="582"/>
      <c r="AL580" s="582"/>
      <c r="AM580" s="582"/>
      <c r="AN580" s="582"/>
      <c r="AO580" s="582"/>
      <c r="AP580" s="582"/>
      <c r="AQ580" s="582"/>
      <c r="AR580" s="582"/>
      <c r="AS580" s="582"/>
      <c r="AT580" s="582"/>
      <c r="AU580" s="582"/>
      <c r="AV580" s="582"/>
      <c r="AW580" s="582"/>
      <c r="AX580" s="582"/>
      <c r="AY580" s="582"/>
      <c r="AZ580" s="582"/>
      <c r="BA580" s="582"/>
      <c r="BB580" s="582"/>
      <c r="BC580" s="582"/>
      <c r="BD580" s="582"/>
      <c r="BE580" s="582"/>
      <c r="BF580" s="582"/>
      <c r="BG580" s="582"/>
      <c r="BH580" s="582"/>
      <c r="BI580" s="582"/>
      <c r="BJ580" s="582"/>
      <c r="BK580" s="582"/>
      <c r="BL580" s="583"/>
      <c r="BM580" s="582"/>
      <c r="BN580" s="582"/>
      <c r="BO580" s="582"/>
      <c r="BP580" s="582"/>
      <c r="BQ580" s="582"/>
      <c r="BR580" s="582"/>
      <c r="BS580" s="582"/>
      <c r="BT580" s="582"/>
      <c r="BU580" s="582"/>
      <c r="BV580" s="582"/>
      <c r="BW580" s="318"/>
    </row>
    <row r="581" spans="1:75" s="444" customFormat="1">
      <c r="A581" s="28" t="s">
        <v>493</v>
      </c>
      <c r="B581" s="30"/>
      <c r="C581" s="775"/>
      <c r="D581" s="775">
        <f t="shared" ref="D581:J581" si="1223">C585</f>
        <v>2.1840000000000002</v>
      </c>
      <c r="E581" s="775">
        <f t="shared" si="1223"/>
        <v>5.2560000000000002</v>
      </c>
      <c r="F581" s="775">
        <f t="shared" si="1223"/>
        <v>9.8810000000000002</v>
      </c>
      <c r="G581" s="584">
        <f t="shared" si="1223"/>
        <v>14.798999999999999</v>
      </c>
      <c r="H581" s="584">
        <f t="shared" si="1223"/>
        <v>15.772</v>
      </c>
      <c r="I581" s="584">
        <f t="shared" si="1223"/>
        <v>19.779</v>
      </c>
      <c r="J581" s="584">
        <f t="shared" si="1223"/>
        <v>25.920999999999999</v>
      </c>
      <c r="K581" s="775">
        <f>F585</f>
        <v>14.798999999999999</v>
      </c>
      <c r="L581" s="584">
        <f>K585</f>
        <v>30.666</v>
      </c>
      <c r="M581" s="584">
        <f>L585</f>
        <v>33.298000000000002</v>
      </c>
      <c r="N581" s="584">
        <f>M585</f>
        <v>37.462000000000003</v>
      </c>
      <c r="O581" s="584">
        <f>N585</f>
        <v>43.332999999999998</v>
      </c>
      <c r="P581" s="775">
        <f>K585</f>
        <v>30.666</v>
      </c>
      <c r="Q581" s="584">
        <f>P585</f>
        <v>62.761000000000003</v>
      </c>
      <c r="R581" s="584">
        <f>Q585</f>
        <v>68.593999999999994</v>
      </c>
      <c r="S581" s="584">
        <f>R585</f>
        <v>72.602999999999994</v>
      </c>
      <c r="T581" s="584">
        <f>S585</f>
        <v>78.341999999999999</v>
      </c>
      <c r="U581" s="775">
        <f>P585</f>
        <v>62.761000000000003</v>
      </c>
      <c r="V581" s="584">
        <f>U585</f>
        <v>80.466999999999999</v>
      </c>
      <c r="W581" s="584">
        <f>V585</f>
        <v>84.775999999999996</v>
      </c>
      <c r="X581" s="584">
        <f>W585</f>
        <v>89.501999999999995</v>
      </c>
      <c r="Y581" s="584">
        <f>X585</f>
        <v>93.837999999999994</v>
      </c>
      <c r="Z581" s="775">
        <f>U585</f>
        <v>80.466999999999999</v>
      </c>
      <c r="AA581" s="584">
        <f>Z585</f>
        <v>92.44</v>
      </c>
      <c r="AB581" s="584">
        <f>AA585</f>
        <v>91.727000000000004</v>
      </c>
      <c r="AC581" s="584">
        <f>AB585</f>
        <v>91.713999999999999</v>
      </c>
      <c r="AD581" s="584">
        <f>AC585</f>
        <v>94.347999999999999</v>
      </c>
      <c r="AE581" s="775">
        <f>Z585</f>
        <v>92.44</v>
      </c>
      <c r="AF581" s="584">
        <f>AE585</f>
        <v>103.651</v>
      </c>
      <c r="AG581" s="584">
        <f>AF585</f>
        <v>107.889</v>
      </c>
      <c r="AH581" s="584">
        <f>AG585</f>
        <v>109.673</v>
      </c>
      <c r="AI581" s="584">
        <f>AH585</f>
        <v>110.899</v>
      </c>
      <c r="AJ581" s="775">
        <f>AE585</f>
        <v>103.651</v>
      </c>
      <c r="AK581" s="584">
        <f>AJ585</f>
        <v>114.8</v>
      </c>
      <c r="AL581" s="584">
        <f>AK585</f>
        <v>111.477</v>
      </c>
      <c r="AM581" s="584">
        <f>AL585</f>
        <v>114.105</v>
      </c>
      <c r="AN581" s="584">
        <f>AM585</f>
        <v>113.935</v>
      </c>
      <c r="AO581" s="775">
        <f>AJ585</f>
        <v>114.8</v>
      </c>
      <c r="AP581" s="584">
        <f>AO585</f>
        <v>110.949</v>
      </c>
      <c r="AQ581" s="584">
        <f>AP585</f>
        <v>110.14100000000001</v>
      </c>
      <c r="AR581" s="584">
        <f>AQ585</f>
        <v>106.732</v>
      </c>
      <c r="AS581" s="584">
        <f>AR585</f>
        <v>105.488</v>
      </c>
      <c r="AT581" s="775">
        <f>AO585</f>
        <v>110.949</v>
      </c>
      <c r="AU581" s="584">
        <f>AT585</f>
        <v>101.718</v>
      </c>
      <c r="AV581" s="584">
        <f>AU585</f>
        <v>98.004000000000005</v>
      </c>
      <c r="AW581" s="584">
        <f>AV585</f>
        <v>92.626999999999995</v>
      </c>
      <c r="AX581" s="584">
        <f>AW585</f>
        <v>92.429000000000002</v>
      </c>
      <c r="AY581" s="775">
        <f>AT585</f>
        <v>101.718</v>
      </c>
      <c r="AZ581" s="584">
        <f>AY585</f>
        <v>83.856999999999999</v>
      </c>
      <c r="BA581" s="584">
        <f>AZ585</f>
        <v>83.138000000000005</v>
      </c>
      <c r="BB581" s="584">
        <f>BA585</f>
        <v>82.212000000000003</v>
      </c>
      <c r="BC581" s="584">
        <f>BB585</f>
        <v>78.698999999999998</v>
      </c>
      <c r="BD581" s="775">
        <f>AY585</f>
        <v>83.856999999999999</v>
      </c>
      <c r="BE581" s="584">
        <f>BD585</f>
        <v>77.224000000000004</v>
      </c>
      <c r="BF581" s="584">
        <f>BE585</f>
        <v>76.936000000000007</v>
      </c>
      <c r="BG581" s="584">
        <f>BF585</f>
        <v>75.587999999999994</v>
      </c>
      <c r="BH581" s="584">
        <f>BG585</f>
        <v>72.373000000000005</v>
      </c>
      <c r="BI581" s="775">
        <f>BD585</f>
        <v>77.224000000000004</v>
      </c>
      <c r="BJ581" s="584">
        <f>BI585</f>
        <v>68.683999999999997</v>
      </c>
      <c r="BK581" s="584">
        <f>BJ585</f>
        <v>68.165999999999997</v>
      </c>
      <c r="BL581" s="585">
        <f>BK585</f>
        <v>70.616</v>
      </c>
      <c r="BM581" s="584">
        <f>BL585</f>
        <v>73.991</v>
      </c>
      <c r="BN581" s="775">
        <f>BI585</f>
        <v>68.683999999999997</v>
      </c>
      <c r="BO581" s="584">
        <f>BN585</f>
        <v>74.761643169398909</v>
      </c>
      <c r="BP581" s="584">
        <f>BO585</f>
        <v>75.544454285500407</v>
      </c>
      <c r="BQ581" s="584">
        <f>BP585</f>
        <v>76.127268888266798</v>
      </c>
      <c r="BR581" s="584">
        <f>BQ585</f>
        <v>76.533147329745503</v>
      </c>
      <c r="BS581" s="775">
        <f>BN585</f>
        <v>74.761643169398909</v>
      </c>
      <c r="BT581" s="775">
        <f>BS585</f>
        <v>76.887873967640587</v>
      </c>
      <c r="BU581" s="775">
        <f>BT585</f>
        <v>78.443936983820294</v>
      </c>
      <c r="BV581" s="775">
        <f>BU585</f>
        <v>79.221968491910147</v>
      </c>
      <c r="BW581" s="318"/>
    </row>
    <row r="582" spans="1:75" s="444" customFormat="1">
      <c r="A582" s="31" t="s">
        <v>494</v>
      </c>
      <c r="B582" s="53"/>
      <c r="C582" s="762"/>
      <c r="D582" s="762">
        <f t="shared" ref="D582:AI582" si="1224">-D208</f>
        <v>-2.2999999999999998</v>
      </c>
      <c r="E582" s="762">
        <f t="shared" si="1224"/>
        <v>-4.2</v>
      </c>
      <c r="F582" s="762">
        <f t="shared" si="1224"/>
        <v>-5.9</v>
      </c>
      <c r="G582" s="525">
        <f t="shared" si="1224"/>
        <v>-1.7</v>
      </c>
      <c r="H582" s="525">
        <f t="shared" si="1224"/>
        <v>-1.7</v>
      </c>
      <c r="I582" s="525">
        <f t="shared" si="1224"/>
        <v>-1.9</v>
      </c>
      <c r="J582" s="525">
        <f t="shared" si="1224"/>
        <v>-2.6000000000000005</v>
      </c>
      <c r="K582" s="762">
        <f t="shared" si="1224"/>
        <v>-7.9</v>
      </c>
      <c r="L582" s="525">
        <f t="shared" si="1224"/>
        <v>-2.8</v>
      </c>
      <c r="M582" s="525">
        <f t="shared" si="1224"/>
        <v>-3.1</v>
      </c>
      <c r="N582" s="525">
        <f t="shared" si="1224"/>
        <v>-3.7</v>
      </c>
      <c r="O582" s="525">
        <f t="shared" si="1224"/>
        <v>-4.6999999999999993</v>
      </c>
      <c r="P582" s="762">
        <f t="shared" si="1224"/>
        <v>-14.3</v>
      </c>
      <c r="Q582" s="525">
        <f t="shared" si="1224"/>
        <v>-5.6</v>
      </c>
      <c r="R582" s="525">
        <f t="shared" si="1224"/>
        <v>-5.3</v>
      </c>
      <c r="S582" s="525">
        <f t="shared" si="1224"/>
        <v>-5.8</v>
      </c>
      <c r="T582" s="525">
        <f t="shared" si="1224"/>
        <v>-6.3000000000000007</v>
      </c>
      <c r="U582" s="762">
        <f t="shared" si="1224"/>
        <v>-23</v>
      </c>
      <c r="V582" s="525">
        <f t="shared" si="1224"/>
        <v>-6.5</v>
      </c>
      <c r="W582" s="525">
        <f t="shared" si="1224"/>
        <v>-6.8</v>
      </c>
      <c r="X582" s="525">
        <f t="shared" si="1224"/>
        <v>-7.5</v>
      </c>
      <c r="Y582" s="525">
        <f t="shared" si="1224"/>
        <v>-7.6999999999999993</v>
      </c>
      <c r="Z582" s="762">
        <f t="shared" si="1224"/>
        <v>-28.5</v>
      </c>
      <c r="AA582" s="525">
        <f t="shared" si="1224"/>
        <v>-8.1999999999999993</v>
      </c>
      <c r="AB582" s="525">
        <f t="shared" si="1224"/>
        <v>-8.3000000000000007</v>
      </c>
      <c r="AC582" s="525">
        <f t="shared" si="1224"/>
        <v>-9.1999999999999993</v>
      </c>
      <c r="AD582" s="525">
        <f t="shared" si="1224"/>
        <v>-8.9000000000000021</v>
      </c>
      <c r="AE582" s="762">
        <f t="shared" si="1224"/>
        <v>-34.6</v>
      </c>
      <c r="AF582" s="525">
        <f t="shared" si="1224"/>
        <v>-9.1</v>
      </c>
      <c r="AG582" s="525">
        <f t="shared" si="1224"/>
        <v>-9.6</v>
      </c>
      <c r="AH582" s="525">
        <f t="shared" si="1224"/>
        <v>-9.8000000000000007</v>
      </c>
      <c r="AI582" s="525">
        <f t="shared" si="1224"/>
        <v>-10.799999999999997</v>
      </c>
      <c r="AJ582" s="762">
        <f t="shared" ref="AJ582:BG582" si="1225">-AJ208</f>
        <v>-39.299999999999997</v>
      </c>
      <c r="AK582" s="525">
        <f t="shared" si="1225"/>
        <v>-11</v>
      </c>
      <c r="AL582" s="525">
        <f t="shared" si="1225"/>
        <v>-11.3</v>
      </c>
      <c r="AM582" s="525">
        <f t="shared" si="1225"/>
        <v>-11.6</v>
      </c>
      <c r="AN582" s="525">
        <f t="shared" si="1225"/>
        <v>-12.200000000000003</v>
      </c>
      <c r="AO582" s="762">
        <f t="shared" si="1225"/>
        <v>-46.1</v>
      </c>
      <c r="AP582" s="525">
        <f t="shared" si="1225"/>
        <v>-11.7</v>
      </c>
      <c r="AQ582" s="525">
        <f t="shared" si="1225"/>
        <v>-12</v>
      </c>
      <c r="AR582" s="525">
        <f t="shared" si="1225"/>
        <v>-11.9</v>
      </c>
      <c r="AS582" s="525">
        <f t="shared" si="1225"/>
        <v>-12.399999999999999</v>
      </c>
      <c r="AT582" s="762">
        <f t="shared" si="1225"/>
        <v>-48</v>
      </c>
      <c r="AU582" s="525">
        <f t="shared" si="1225"/>
        <v>-12.4</v>
      </c>
      <c r="AV582" s="525">
        <f t="shared" si="1225"/>
        <v>-12.1</v>
      </c>
      <c r="AW582" s="525">
        <f t="shared" si="1225"/>
        <v>-11.9</v>
      </c>
      <c r="AX582" s="525">
        <f t="shared" si="1225"/>
        <v>-16.399999999999999</v>
      </c>
      <c r="AY582" s="762">
        <f t="shared" si="1225"/>
        <v>-52.8</v>
      </c>
      <c r="AZ582" s="525">
        <f t="shared" si="1225"/>
        <v>-10.8</v>
      </c>
      <c r="BA582" s="525">
        <f t="shared" si="1225"/>
        <v>-11</v>
      </c>
      <c r="BB582" s="525">
        <f t="shared" si="1225"/>
        <v>-11</v>
      </c>
      <c r="BC582" s="525">
        <f t="shared" si="1225"/>
        <v>-10.400000000000006</v>
      </c>
      <c r="BD582" s="762">
        <f t="shared" si="1225"/>
        <v>-43.2</v>
      </c>
      <c r="BE582" s="525">
        <f t="shared" si="1225"/>
        <v>-10.5</v>
      </c>
      <c r="BF582" s="525">
        <f t="shared" si="1225"/>
        <v>-10.199999999999999</v>
      </c>
      <c r="BG582" s="525">
        <f t="shared" si="1225"/>
        <v>-10.199999999999999</v>
      </c>
      <c r="BH582" s="525">
        <f>-BH208</f>
        <v>-9.8999999999999986</v>
      </c>
      <c r="BI582" s="762">
        <f>-BI208</f>
        <v>-40.799999999999997</v>
      </c>
      <c r="BJ582" s="525">
        <f>-BJ208</f>
        <v>-9.6</v>
      </c>
      <c r="BK582" s="525">
        <f>-BK208</f>
        <v>-9.1999999999999993</v>
      </c>
      <c r="BL582" s="581">
        <f>-BL208</f>
        <v>-9</v>
      </c>
      <c r="BM582" s="525">
        <f>-BM581*BM593*BM3/BN3</f>
        <v>-10.229356830601093</v>
      </c>
      <c r="BN582" s="762">
        <f>IF(OR(ISBLANK(BJ582),ISBLANK(BK582),ISBLANK(BL582),ISBLANK(BM582)),"n/a",SUM(BJ582,BK582,BL582,BM582))</f>
        <v>-38.029356830601088</v>
      </c>
      <c r="BO582" s="525">
        <f>-BO581*BO593*BO3/BS3</f>
        <v>-9.2171888838984959</v>
      </c>
      <c r="BP582" s="525">
        <f>-BP581*BP593*BP3/BS3</f>
        <v>-9.417185397233613</v>
      </c>
      <c r="BQ582" s="525">
        <f>-BQ581*BQ593*BQ3/BS3</f>
        <v>-9.5941215585212944</v>
      </c>
      <c r="BR582" s="525">
        <f>-BR581*BR593*BR3/BS3</f>
        <v>-9.6452733621049127</v>
      </c>
      <c r="BS582" s="762">
        <f>IF(OR(ISBLANK(BO582),ISBLANK(BP582),ISBLANK(BQ582),ISBLANK(BR582)),"n/a",SUM(BO582,BP582,BQ582,BR582))</f>
        <v>-37.873769201758321</v>
      </c>
      <c r="BT582" s="762">
        <f>-BT581*BT593</f>
        <v>-38.443936983820294</v>
      </c>
      <c r="BU582" s="762">
        <f>-BU581*BU593</f>
        <v>-39.221968491910147</v>
      </c>
      <c r="BV582" s="762">
        <f>-BV581*BV593</f>
        <v>-39.610984245955073</v>
      </c>
      <c r="BW582" s="318"/>
    </row>
    <row r="583" spans="1:75" s="444" customFormat="1">
      <c r="A583" s="31" t="s">
        <v>495</v>
      </c>
      <c r="B583" s="53"/>
      <c r="C583" s="762"/>
      <c r="D583" s="762">
        <f t="shared" ref="D583:AV583" si="1226">D599+D534</f>
        <v>4.8000000000000007</v>
      </c>
      <c r="E583" s="762">
        <f t="shared" si="1226"/>
        <v>7.3040000000000003</v>
      </c>
      <c r="F583" s="762">
        <f t="shared" si="1226"/>
        <v>10.454000000000001</v>
      </c>
      <c r="G583" s="525">
        <f t="shared" si="1226"/>
        <v>1.9119999999999999</v>
      </c>
      <c r="H583" s="525">
        <f t="shared" si="1226"/>
        <v>5.1930000000000005</v>
      </c>
      <c r="I583" s="525">
        <f t="shared" si="1226"/>
        <v>5.7070000000000007</v>
      </c>
      <c r="J583" s="525">
        <f t="shared" si="1226"/>
        <v>8.2869999999999973</v>
      </c>
      <c r="K583" s="762">
        <f t="shared" si="1226"/>
        <v>21.098999999999997</v>
      </c>
      <c r="L583" s="525">
        <f t="shared" si="1226"/>
        <v>5.838000000000001</v>
      </c>
      <c r="M583" s="525">
        <f t="shared" si="1226"/>
        <v>5.7009999999999987</v>
      </c>
      <c r="N583" s="525">
        <f t="shared" si="1226"/>
        <v>9.1730000000000018</v>
      </c>
      <c r="O583" s="525">
        <f t="shared" si="1226"/>
        <v>19.690999999999999</v>
      </c>
      <c r="P583" s="762">
        <f t="shared" si="1226"/>
        <v>40.402999999999999</v>
      </c>
      <c r="Q583" s="525">
        <f t="shared" si="1226"/>
        <v>14.077</v>
      </c>
      <c r="R583" s="525">
        <f t="shared" si="1226"/>
        <v>9.9939999999999998</v>
      </c>
      <c r="S583" s="525">
        <f t="shared" si="1226"/>
        <v>9.9449999999999985</v>
      </c>
      <c r="T583" s="525">
        <f t="shared" si="1226"/>
        <v>8.8449999999999989</v>
      </c>
      <c r="U583" s="762">
        <f t="shared" si="1226"/>
        <v>42.860999999999997</v>
      </c>
      <c r="V583" s="525">
        <f t="shared" si="1226"/>
        <v>10.77</v>
      </c>
      <c r="W583" s="525">
        <f t="shared" si="1226"/>
        <v>8.6609999999999996</v>
      </c>
      <c r="X583" s="525">
        <f t="shared" si="1226"/>
        <v>8.9629999999999974</v>
      </c>
      <c r="Y583" s="525">
        <f t="shared" si="1226"/>
        <v>8.7910000000000021</v>
      </c>
      <c r="Z583" s="762">
        <f t="shared" si="1226"/>
        <v>37.184999999999995</v>
      </c>
      <c r="AA583" s="525">
        <f t="shared" si="1226"/>
        <v>6.66</v>
      </c>
      <c r="AB583" s="525">
        <f t="shared" si="1226"/>
        <v>5.448999999999999</v>
      </c>
      <c r="AC583" s="525">
        <f t="shared" si="1226"/>
        <v>8.0190000000000019</v>
      </c>
      <c r="AD583" s="525">
        <f t="shared" si="1226"/>
        <v>10.117000000000001</v>
      </c>
      <c r="AE583" s="762">
        <f t="shared" si="1226"/>
        <v>30.245000000000001</v>
      </c>
      <c r="AF583" s="525">
        <f t="shared" si="1226"/>
        <v>15.625</v>
      </c>
      <c r="AG583" s="525">
        <f t="shared" si="1226"/>
        <v>9.532</v>
      </c>
      <c r="AH583" s="525">
        <f t="shared" si="1226"/>
        <v>8.7800000000000011</v>
      </c>
      <c r="AI583" s="525">
        <f t="shared" si="1226"/>
        <v>11.035</v>
      </c>
      <c r="AJ583" s="762">
        <f t="shared" si="1226"/>
        <v>44.972000000000001</v>
      </c>
      <c r="AK583" s="525">
        <f t="shared" si="1226"/>
        <v>8.9909999999999997</v>
      </c>
      <c r="AL583" s="525">
        <f t="shared" si="1226"/>
        <v>10.222999999999999</v>
      </c>
      <c r="AM583" s="525">
        <f t="shared" si="1226"/>
        <v>10.736000000000001</v>
      </c>
      <c r="AN583" s="525">
        <f t="shared" si="1226"/>
        <v>7.5719999999999992</v>
      </c>
      <c r="AO583" s="762">
        <f t="shared" si="1226"/>
        <v>37.521999999999998</v>
      </c>
      <c r="AP583" s="525">
        <f t="shared" si="1226"/>
        <v>7.0529999999999999</v>
      </c>
      <c r="AQ583" s="525">
        <f t="shared" si="1226"/>
        <v>9.9510000000000005</v>
      </c>
      <c r="AR583" s="525">
        <f t="shared" si="1226"/>
        <v>7.0679999999999978</v>
      </c>
      <c r="AS583" s="525">
        <f t="shared" si="1226"/>
        <v>7.9300000000000033</v>
      </c>
      <c r="AT583" s="762">
        <f t="shared" si="1226"/>
        <v>32.002000000000002</v>
      </c>
      <c r="AU583" s="525">
        <f t="shared" si="1226"/>
        <v>6.0049999999999999</v>
      </c>
      <c r="AV583" s="525">
        <f t="shared" si="1226"/>
        <v>7.2809999999999997</v>
      </c>
      <c r="AW583" s="525">
        <f t="shared" ref="AW583:BB583" si="1227">AW599+AW534</f>
        <v>8.3140000000000018</v>
      </c>
      <c r="AX583" s="525">
        <f t="shared" si="1227"/>
        <v>6.6819999999999986</v>
      </c>
      <c r="AY583" s="762">
        <f t="shared" si="1227"/>
        <v>28.282</v>
      </c>
      <c r="AZ583" s="525">
        <f t="shared" si="1227"/>
        <v>6.6360000000000001</v>
      </c>
      <c r="BA583" s="525">
        <f t="shared" si="1227"/>
        <v>7.8619999999999992</v>
      </c>
      <c r="BB583" s="525">
        <f t="shared" si="1227"/>
        <v>5.6059999999999999</v>
      </c>
      <c r="BC583" s="525">
        <f t="shared" ref="BC583:BI583" si="1228">BC599+BC534</f>
        <v>11.875</v>
      </c>
      <c r="BD583" s="762">
        <f t="shared" si="1228"/>
        <v>31.978999999999999</v>
      </c>
      <c r="BE583" s="525">
        <f t="shared" si="1228"/>
        <v>7.5179999999999998</v>
      </c>
      <c r="BF583" s="525">
        <f t="shared" si="1228"/>
        <v>7.6350000000000007</v>
      </c>
      <c r="BG583" s="525">
        <f t="shared" si="1228"/>
        <v>5.697000000000001</v>
      </c>
      <c r="BH583" s="525">
        <f t="shared" si="1228"/>
        <v>5.9969999999999999</v>
      </c>
      <c r="BI583" s="762">
        <f t="shared" si="1228"/>
        <v>26.847000000000001</v>
      </c>
      <c r="BJ583" s="525">
        <f>BJ599+BJ534</f>
        <v>6.9870000000000001</v>
      </c>
      <c r="BK583" s="525">
        <f>BK599+BK534</f>
        <v>9.5870000000000015</v>
      </c>
      <c r="BL583" s="581">
        <f>BL599+BL534</f>
        <v>9.7629999999999981</v>
      </c>
      <c r="BM583" s="525">
        <f>BM599*(1-BM600)</f>
        <v>11</v>
      </c>
      <c r="BN583" s="762">
        <f>IF(OR(ISBLANK(BJ583),ISBLANK(BK583),ISBLANK(BL583),ISBLANK(BM583)),"n/a",SUM(BJ583,BK583,BL583,BM583))</f>
        <v>37.337000000000003</v>
      </c>
      <c r="BO583" s="525">
        <f>BO599*(1-BO600)</f>
        <v>10</v>
      </c>
      <c r="BP583" s="525">
        <f>BP599*(1-BP600)</f>
        <v>10</v>
      </c>
      <c r="BQ583" s="525">
        <f>BQ599*(1-BQ600)</f>
        <v>10</v>
      </c>
      <c r="BR583" s="525">
        <f>BR599*(1-BR600)</f>
        <v>10</v>
      </c>
      <c r="BS583" s="762">
        <f>IF(OR(ISBLANK(BO583),ISBLANK(BP583),ISBLANK(BQ583),ISBLANK(BR583)),"n/a",SUM(BO583,BP583,BQ583,BR583))</f>
        <v>40</v>
      </c>
      <c r="BT583" s="762">
        <f>BT599*(1-BT600)</f>
        <v>40</v>
      </c>
      <c r="BU583" s="762">
        <f>BU599*(1-BU600)</f>
        <v>40</v>
      </c>
      <c r="BV583" s="762">
        <f>BV599*(1-BV600)</f>
        <v>40</v>
      </c>
      <c r="BW583" s="318"/>
    </row>
    <row r="584" spans="1:75" s="444" customFormat="1">
      <c r="A584" s="31" t="s">
        <v>496</v>
      </c>
      <c r="B584" s="53"/>
      <c r="C584" s="762"/>
      <c r="D584" s="762">
        <f t="shared" ref="D584:AV584" si="1229">ROUND(D585-D581-D582-D583,6)</f>
        <v>0.57199999999999995</v>
      </c>
      <c r="E584" s="762">
        <f t="shared" si="1229"/>
        <v>1.5209999999999999</v>
      </c>
      <c r="F584" s="762">
        <f t="shared" si="1229"/>
        <v>0.36399999999999999</v>
      </c>
      <c r="G584" s="525">
        <f t="shared" si="1229"/>
        <v>0.76100000000000001</v>
      </c>
      <c r="H584" s="525">
        <f t="shared" si="1229"/>
        <v>0.51400000000000001</v>
      </c>
      <c r="I584" s="525">
        <f t="shared" si="1229"/>
        <v>2.335</v>
      </c>
      <c r="J584" s="525">
        <f t="shared" si="1229"/>
        <v>-0.94199999999999995</v>
      </c>
      <c r="K584" s="762">
        <f t="shared" si="1229"/>
        <v>2.6680000000000001</v>
      </c>
      <c r="L584" s="525">
        <f t="shared" si="1229"/>
        <v>-0.40600000000000003</v>
      </c>
      <c r="M584" s="525">
        <f t="shared" si="1229"/>
        <v>1.5629999999999999</v>
      </c>
      <c r="N584" s="525">
        <f t="shared" si="1229"/>
        <v>0.39800000000000002</v>
      </c>
      <c r="O584" s="525">
        <f t="shared" si="1229"/>
        <v>4.4370000000000003</v>
      </c>
      <c r="P584" s="762">
        <f t="shared" si="1229"/>
        <v>5.992</v>
      </c>
      <c r="Q584" s="525">
        <f t="shared" si="1229"/>
        <v>-2.6440000000000001</v>
      </c>
      <c r="R584" s="525">
        <f t="shared" si="1229"/>
        <v>-0.68500000000000005</v>
      </c>
      <c r="S584" s="525">
        <f t="shared" si="1229"/>
        <v>1.5940000000000001</v>
      </c>
      <c r="T584" s="525">
        <f t="shared" si="1229"/>
        <v>-0.42</v>
      </c>
      <c r="U584" s="762">
        <f t="shared" si="1229"/>
        <v>-2.1549999999999998</v>
      </c>
      <c r="V584" s="525">
        <f t="shared" si="1229"/>
        <v>3.9E-2</v>
      </c>
      <c r="W584" s="525">
        <f t="shared" si="1229"/>
        <v>2.8650000000000002</v>
      </c>
      <c r="X584" s="525">
        <f t="shared" si="1229"/>
        <v>2.8730000000000002</v>
      </c>
      <c r="Y584" s="525">
        <f t="shared" si="1229"/>
        <v>-2.4889999999999999</v>
      </c>
      <c r="Z584" s="762">
        <f t="shared" si="1229"/>
        <v>3.2879999999999998</v>
      </c>
      <c r="AA584" s="525">
        <f t="shared" si="1229"/>
        <v>0.82699999999999996</v>
      </c>
      <c r="AB584" s="525">
        <f t="shared" si="1229"/>
        <v>2.8380000000000001</v>
      </c>
      <c r="AC584" s="525">
        <f t="shared" si="1229"/>
        <v>3.8149999999999999</v>
      </c>
      <c r="AD584" s="525">
        <f t="shared" si="1229"/>
        <v>8.0860000000000003</v>
      </c>
      <c r="AE584" s="762">
        <f t="shared" si="1229"/>
        <v>15.566000000000001</v>
      </c>
      <c r="AF584" s="525">
        <f t="shared" si="1229"/>
        <v>-2.2869999999999999</v>
      </c>
      <c r="AG584" s="525">
        <f t="shared" si="1229"/>
        <v>1.8520000000000001</v>
      </c>
      <c r="AH584" s="525">
        <f t="shared" si="1229"/>
        <v>2.246</v>
      </c>
      <c r="AI584" s="525">
        <f t="shared" si="1229"/>
        <v>3.6659999999999999</v>
      </c>
      <c r="AJ584" s="762">
        <f t="shared" si="1229"/>
        <v>5.4770000000000003</v>
      </c>
      <c r="AK584" s="525">
        <f t="shared" si="1229"/>
        <v>-1.3140000000000001</v>
      </c>
      <c r="AL584" s="525">
        <f t="shared" si="1229"/>
        <v>3.7050000000000001</v>
      </c>
      <c r="AM584" s="525">
        <f t="shared" si="1229"/>
        <v>0.69399999999999995</v>
      </c>
      <c r="AN584" s="525">
        <f t="shared" si="1229"/>
        <v>1.6419999999999999</v>
      </c>
      <c r="AO584" s="762">
        <f t="shared" si="1229"/>
        <v>4.7270000000000003</v>
      </c>
      <c r="AP584" s="525">
        <f t="shared" si="1229"/>
        <v>3.839</v>
      </c>
      <c r="AQ584" s="525">
        <f t="shared" si="1229"/>
        <v>-1.36</v>
      </c>
      <c r="AR584" s="525">
        <f t="shared" si="1229"/>
        <v>3.5880000000000001</v>
      </c>
      <c r="AS584" s="525">
        <f t="shared" si="1229"/>
        <v>0.7</v>
      </c>
      <c r="AT584" s="762">
        <f t="shared" si="1229"/>
        <v>6.7670000000000003</v>
      </c>
      <c r="AU584" s="525">
        <f t="shared" si="1229"/>
        <v>2.681</v>
      </c>
      <c r="AV584" s="525">
        <f t="shared" si="1229"/>
        <v>-0.55800000000000005</v>
      </c>
      <c r="AW584" s="525">
        <f t="shared" ref="AW584:AY584" si="1230">ROUND(AW585-AW581-AW582-AW583,6)</f>
        <v>3.3879999999999999</v>
      </c>
      <c r="AX584" s="525">
        <f t="shared" si="1230"/>
        <v>1.1459999999999999</v>
      </c>
      <c r="AY584" s="762">
        <f t="shared" si="1230"/>
        <v>6.657</v>
      </c>
      <c r="AZ584" s="525">
        <f t="shared" ref="AZ584:BD584" si="1231">ROUND(AZ585-AZ581-AZ582-AZ583,6)</f>
        <v>3.4449999999999998</v>
      </c>
      <c r="BA584" s="525">
        <f t="shared" si="1231"/>
        <v>2.2120000000000002</v>
      </c>
      <c r="BB584" s="525">
        <f t="shared" si="1231"/>
        <v>1.881</v>
      </c>
      <c r="BC584" s="525">
        <f t="shared" si="1231"/>
        <v>-2.95</v>
      </c>
      <c r="BD584" s="762">
        <f t="shared" si="1231"/>
        <v>4.5880000000000001</v>
      </c>
      <c r="BE584" s="525">
        <f t="shared" ref="BE584:BM584" si="1232">ROUND(BE585-BE581-BE582-BE583,6)</f>
        <v>2.694</v>
      </c>
      <c r="BF584" s="525">
        <f t="shared" si="1232"/>
        <v>1.2170000000000001</v>
      </c>
      <c r="BG584" s="525">
        <f t="shared" si="1232"/>
        <v>1.288</v>
      </c>
      <c r="BH584" s="525">
        <f t="shared" si="1232"/>
        <v>0.214</v>
      </c>
      <c r="BI584" s="762">
        <f t="shared" si="1232"/>
        <v>5.4130000000000003</v>
      </c>
      <c r="BJ584" s="525">
        <f>ROUND(BJ585-BJ581-BJ582-BJ583,6)</f>
        <v>2.0950000000000002</v>
      </c>
      <c r="BK584" s="525">
        <f>ROUND(BK585-BK581-BK582-BK583,6)</f>
        <v>2.0630000000000002</v>
      </c>
      <c r="BL584" s="581">
        <f>ROUND(BL585-BL581-BL582-BL583,6)</f>
        <v>2.6120000000000001</v>
      </c>
      <c r="BM584" s="525">
        <f t="shared" si="1232"/>
        <v>0</v>
      </c>
      <c r="BN584" s="762">
        <f>ROUND(BN585-BN581-IF(ISNUMBER(BN582),BN582,0)-IF(ISNUMBER(BN583),BN583,0),6)</f>
        <v>6.77</v>
      </c>
      <c r="BO584" s="525">
        <f>ROUND(BO585-BO581-BO582-BO583,6)</f>
        <v>0</v>
      </c>
      <c r="BP584" s="525">
        <f>ROUND(BP585-BP581-BP582-BP583,6)</f>
        <v>0</v>
      </c>
      <c r="BQ584" s="525">
        <f>ROUND(BQ585-BQ581-BQ582-BQ583,6)</f>
        <v>0</v>
      </c>
      <c r="BR584" s="525">
        <f>ROUND(BR585-BR581-BR582-BR583,6)</f>
        <v>0</v>
      </c>
      <c r="BS584" s="762">
        <f>ROUND(BS585-BS581-IF(ISNUMBER(BS582),BS582,0)-IF(ISNUMBER(BS583),BS583,0),6)</f>
        <v>0</v>
      </c>
      <c r="BT584" s="762">
        <f>ROUND(BT585-BT581-BT582-BT583,6)</f>
        <v>0</v>
      </c>
      <c r="BU584" s="762">
        <f>ROUND(BU585-BU581-BU582-BU583,6)</f>
        <v>0</v>
      </c>
      <c r="BV584" s="762">
        <f>ROUND(BV585-BV581-BV582-BV583,6)</f>
        <v>0</v>
      </c>
      <c r="BW584" s="318"/>
    </row>
    <row r="585" spans="1:75" s="444" customFormat="1">
      <c r="A585" s="286" t="s">
        <v>497</v>
      </c>
      <c r="B585" s="287"/>
      <c r="C585" s="776">
        <f t="shared" ref="C585:AH585" si="1233">C614</f>
        <v>2.1840000000000002</v>
      </c>
      <c r="D585" s="776">
        <f t="shared" si="1233"/>
        <v>5.2560000000000002</v>
      </c>
      <c r="E585" s="776">
        <f t="shared" si="1233"/>
        <v>9.8810000000000002</v>
      </c>
      <c r="F585" s="776">
        <f t="shared" si="1233"/>
        <v>14.798999999999999</v>
      </c>
      <c r="G585" s="586">
        <f t="shared" si="1233"/>
        <v>15.772</v>
      </c>
      <c r="H585" s="586">
        <f t="shared" si="1233"/>
        <v>19.779</v>
      </c>
      <c r="I585" s="586">
        <f t="shared" si="1233"/>
        <v>25.920999999999999</v>
      </c>
      <c r="J585" s="586">
        <f t="shared" si="1233"/>
        <v>30.666</v>
      </c>
      <c r="K585" s="776">
        <f t="shared" si="1233"/>
        <v>30.666</v>
      </c>
      <c r="L585" s="586">
        <f t="shared" si="1233"/>
        <v>33.298000000000002</v>
      </c>
      <c r="M585" s="586">
        <f t="shared" si="1233"/>
        <v>37.462000000000003</v>
      </c>
      <c r="N585" s="586">
        <f t="shared" si="1233"/>
        <v>43.332999999999998</v>
      </c>
      <c r="O585" s="586">
        <f t="shared" si="1233"/>
        <v>62.761000000000003</v>
      </c>
      <c r="P585" s="776">
        <f t="shared" si="1233"/>
        <v>62.761000000000003</v>
      </c>
      <c r="Q585" s="586">
        <f t="shared" si="1233"/>
        <v>68.593999999999994</v>
      </c>
      <c r="R585" s="586">
        <f t="shared" si="1233"/>
        <v>72.602999999999994</v>
      </c>
      <c r="S585" s="586">
        <f t="shared" si="1233"/>
        <v>78.341999999999999</v>
      </c>
      <c r="T585" s="586">
        <f t="shared" si="1233"/>
        <v>80.466999999999999</v>
      </c>
      <c r="U585" s="776">
        <f t="shared" si="1233"/>
        <v>80.466999999999999</v>
      </c>
      <c r="V585" s="586">
        <f t="shared" si="1233"/>
        <v>84.775999999999996</v>
      </c>
      <c r="W585" s="586">
        <f t="shared" si="1233"/>
        <v>89.501999999999995</v>
      </c>
      <c r="X585" s="586">
        <f t="shared" si="1233"/>
        <v>93.837999999999994</v>
      </c>
      <c r="Y585" s="586">
        <f t="shared" si="1233"/>
        <v>92.44</v>
      </c>
      <c r="Z585" s="776">
        <f t="shared" si="1233"/>
        <v>92.44</v>
      </c>
      <c r="AA585" s="586">
        <f t="shared" si="1233"/>
        <v>91.727000000000004</v>
      </c>
      <c r="AB585" s="586">
        <f t="shared" si="1233"/>
        <v>91.713999999999999</v>
      </c>
      <c r="AC585" s="586">
        <f t="shared" si="1233"/>
        <v>94.347999999999999</v>
      </c>
      <c r="AD585" s="586">
        <f t="shared" si="1233"/>
        <v>103.651</v>
      </c>
      <c r="AE585" s="776">
        <f t="shared" si="1233"/>
        <v>103.651</v>
      </c>
      <c r="AF585" s="586">
        <f t="shared" si="1233"/>
        <v>107.889</v>
      </c>
      <c r="AG585" s="586">
        <f t="shared" si="1233"/>
        <v>109.673</v>
      </c>
      <c r="AH585" s="586">
        <f t="shared" si="1233"/>
        <v>110.899</v>
      </c>
      <c r="AI585" s="586">
        <f t="shared" ref="AI585:AV585" si="1234">AI614</f>
        <v>114.8</v>
      </c>
      <c r="AJ585" s="776">
        <f t="shared" si="1234"/>
        <v>114.8</v>
      </c>
      <c r="AK585" s="586">
        <f t="shared" si="1234"/>
        <v>111.477</v>
      </c>
      <c r="AL585" s="586">
        <f t="shared" si="1234"/>
        <v>114.105</v>
      </c>
      <c r="AM585" s="586">
        <f t="shared" si="1234"/>
        <v>113.935</v>
      </c>
      <c r="AN585" s="586">
        <f t="shared" si="1234"/>
        <v>110.949</v>
      </c>
      <c r="AO585" s="776">
        <f t="shared" si="1234"/>
        <v>110.949</v>
      </c>
      <c r="AP585" s="586">
        <f t="shared" si="1234"/>
        <v>110.14100000000001</v>
      </c>
      <c r="AQ585" s="586">
        <f t="shared" si="1234"/>
        <v>106.732</v>
      </c>
      <c r="AR585" s="586">
        <f t="shared" si="1234"/>
        <v>105.488</v>
      </c>
      <c r="AS585" s="586">
        <f t="shared" si="1234"/>
        <v>101.718</v>
      </c>
      <c r="AT585" s="776">
        <f t="shared" si="1234"/>
        <v>101.718</v>
      </c>
      <c r="AU585" s="586">
        <f t="shared" si="1234"/>
        <v>98.004000000000005</v>
      </c>
      <c r="AV585" s="586">
        <f t="shared" si="1234"/>
        <v>92.626999999999995</v>
      </c>
      <c r="AW585" s="586">
        <f t="shared" ref="AW585:BB585" si="1235">AW614</f>
        <v>92.429000000000002</v>
      </c>
      <c r="AX585" s="586">
        <f t="shared" si="1235"/>
        <v>83.856999999999999</v>
      </c>
      <c r="AY585" s="776">
        <f t="shared" si="1235"/>
        <v>83.856999999999999</v>
      </c>
      <c r="AZ585" s="586">
        <f t="shared" si="1235"/>
        <v>83.138000000000005</v>
      </c>
      <c r="BA585" s="586">
        <f t="shared" si="1235"/>
        <v>82.212000000000003</v>
      </c>
      <c r="BB585" s="586">
        <f t="shared" si="1235"/>
        <v>78.698999999999998</v>
      </c>
      <c r="BC585" s="586">
        <f t="shared" ref="BC585:BN585" si="1236">BC614</f>
        <v>77.224000000000004</v>
      </c>
      <c r="BD585" s="776">
        <f t="shared" si="1236"/>
        <v>77.224000000000004</v>
      </c>
      <c r="BE585" s="586">
        <f t="shared" ref="BE585:BM585" si="1237">BE614</f>
        <v>76.936000000000007</v>
      </c>
      <c r="BF585" s="586">
        <f t="shared" si="1237"/>
        <v>75.587999999999994</v>
      </c>
      <c r="BG585" s="586">
        <f t="shared" si="1237"/>
        <v>72.373000000000005</v>
      </c>
      <c r="BH585" s="586">
        <f t="shared" si="1237"/>
        <v>68.683999999999997</v>
      </c>
      <c r="BI585" s="776">
        <f t="shared" si="1237"/>
        <v>68.683999999999997</v>
      </c>
      <c r="BJ585" s="586">
        <f>BJ614</f>
        <v>68.165999999999997</v>
      </c>
      <c r="BK585" s="586">
        <f>BK614</f>
        <v>70.616</v>
      </c>
      <c r="BL585" s="587">
        <f>BL614</f>
        <v>73.991</v>
      </c>
      <c r="BM585" s="586">
        <f t="shared" si="1237"/>
        <v>74.761643169398909</v>
      </c>
      <c r="BN585" s="776">
        <f t="shared" si="1236"/>
        <v>74.761643169398909</v>
      </c>
      <c r="BO585" s="586">
        <f t="shared" ref="BO585:BV585" si="1238">BO614</f>
        <v>75.544454285500407</v>
      </c>
      <c r="BP585" s="586">
        <f t="shared" si="1238"/>
        <v>76.127268888266798</v>
      </c>
      <c r="BQ585" s="586">
        <f t="shared" si="1238"/>
        <v>76.533147329745503</v>
      </c>
      <c r="BR585" s="586">
        <f t="shared" si="1238"/>
        <v>76.887873967640587</v>
      </c>
      <c r="BS585" s="776">
        <f t="shared" si="1238"/>
        <v>76.887873967640587</v>
      </c>
      <c r="BT585" s="776">
        <f t="shared" si="1238"/>
        <v>78.443936983820294</v>
      </c>
      <c r="BU585" s="776">
        <f t="shared" si="1238"/>
        <v>79.221968491910147</v>
      </c>
      <c r="BV585" s="776">
        <f t="shared" si="1238"/>
        <v>79.61098424595508</v>
      </c>
      <c r="BW585" s="318"/>
    </row>
    <row r="586" spans="1:75" s="444" customFormat="1">
      <c r="A586" s="31"/>
      <c r="B586" s="53"/>
      <c r="C586" s="762"/>
      <c r="D586" s="762"/>
      <c r="E586" s="762"/>
      <c r="F586" s="762"/>
      <c r="G586" s="525"/>
      <c r="H586" s="525"/>
      <c r="I586" s="525"/>
      <c r="J586" s="525"/>
      <c r="K586" s="762"/>
      <c r="L586" s="525"/>
      <c r="M586" s="525"/>
      <c r="N586" s="525"/>
      <c r="O586" s="525"/>
      <c r="P586" s="762"/>
      <c r="Q586" s="525"/>
      <c r="R586" s="525"/>
      <c r="S586" s="525"/>
      <c r="T586" s="525"/>
      <c r="U586" s="762"/>
      <c r="V586" s="525"/>
      <c r="W586" s="525"/>
      <c r="X586" s="525"/>
      <c r="Y586" s="525"/>
      <c r="Z586" s="762"/>
      <c r="AA586" s="525"/>
      <c r="AB586" s="525"/>
      <c r="AC586" s="525"/>
      <c r="AD586" s="525"/>
      <c r="AE586" s="762"/>
      <c r="AF586" s="525"/>
      <c r="AG586" s="525"/>
      <c r="AH586" s="525"/>
      <c r="AI586" s="525"/>
      <c r="AJ586" s="762"/>
      <c r="AK586" s="525"/>
      <c r="AL586" s="525"/>
      <c r="AM586" s="525"/>
      <c r="AN586" s="525"/>
      <c r="AO586" s="762"/>
      <c r="AP586" s="525"/>
      <c r="AQ586" s="525"/>
      <c r="AR586" s="525"/>
      <c r="AS586" s="525"/>
      <c r="AT586" s="762"/>
      <c r="AU586" s="525"/>
      <c r="AV586" s="525"/>
      <c r="AW586" s="525"/>
      <c r="AX586" s="525"/>
      <c r="AY586" s="762"/>
      <c r="AZ586" s="525"/>
      <c r="BA586" s="525"/>
      <c r="BB586" s="525"/>
      <c r="BC586" s="525"/>
      <c r="BD586" s="762"/>
      <c r="BE586" s="525"/>
      <c r="BF586" s="525"/>
      <c r="BG586" s="525"/>
      <c r="BH586" s="525"/>
      <c r="BI586" s="762"/>
      <c r="BJ586" s="525"/>
      <c r="BK586" s="525"/>
      <c r="BL586" s="581"/>
      <c r="BM586" s="525"/>
      <c r="BN586" s="762"/>
      <c r="BO586" s="525"/>
      <c r="BP586" s="525"/>
      <c r="BQ586" s="525"/>
      <c r="BR586" s="525"/>
      <c r="BS586" s="762"/>
      <c r="BT586" s="762"/>
      <c r="BU586" s="762"/>
      <c r="BV586" s="762"/>
      <c r="BW586" s="318"/>
    </row>
    <row r="587" spans="1:75" s="444" customFormat="1">
      <c r="A587" s="28" t="s">
        <v>498</v>
      </c>
      <c r="B587" s="30"/>
      <c r="C587" s="775"/>
      <c r="D587" s="775"/>
      <c r="E587" s="775"/>
      <c r="F587" s="775">
        <f t="shared" ref="F587:J587" si="1239">E591</f>
        <v>0.13100000000000001</v>
      </c>
      <c r="G587" s="584">
        <f t="shared" si="1239"/>
        <v>5.9359999999999999</v>
      </c>
      <c r="H587" s="584">
        <f t="shared" si="1239"/>
        <v>5.1829999999999998</v>
      </c>
      <c r="I587" s="584">
        <f t="shared" si="1239"/>
        <v>4.7160000000000002</v>
      </c>
      <c r="J587" s="584">
        <f t="shared" si="1239"/>
        <v>5.7720000000000002</v>
      </c>
      <c r="K587" s="775">
        <f>F591</f>
        <v>5.9359999999999999</v>
      </c>
      <c r="L587" s="584">
        <f>K591</f>
        <v>5.2350000000000003</v>
      </c>
      <c r="M587" s="584">
        <f>L591</f>
        <v>4.6150000000000002</v>
      </c>
      <c r="N587" s="584">
        <f>M591</f>
        <v>3.996</v>
      </c>
      <c r="O587" s="584">
        <f>N591</f>
        <v>4.5410000000000004</v>
      </c>
      <c r="P587" s="775">
        <f>K591</f>
        <v>5.2350000000000003</v>
      </c>
      <c r="Q587" s="584">
        <f>P591</f>
        <v>5.7859999999999996</v>
      </c>
      <c r="R587" s="584">
        <f>Q591</f>
        <v>44.186999999999998</v>
      </c>
      <c r="S587" s="584">
        <f>R591</f>
        <v>42.457999999999998</v>
      </c>
      <c r="T587" s="584">
        <f>S591</f>
        <v>41.067999999999998</v>
      </c>
      <c r="U587" s="775">
        <f>P591</f>
        <v>5.7859999999999996</v>
      </c>
      <c r="V587" s="584">
        <f>U591</f>
        <v>39.293999999999997</v>
      </c>
      <c r="W587" s="584">
        <f>V591</f>
        <v>37.590000000000003</v>
      </c>
      <c r="X587" s="584">
        <f>W591</f>
        <v>35.991999999999997</v>
      </c>
      <c r="Y587" s="584">
        <f>X591</f>
        <v>34.302</v>
      </c>
      <c r="Z587" s="775">
        <f>U591</f>
        <v>39.293999999999997</v>
      </c>
      <c r="AA587" s="584">
        <f>Z591</f>
        <v>32.610999999999997</v>
      </c>
      <c r="AB587" s="584">
        <f>AA591</f>
        <v>43.393000000000001</v>
      </c>
      <c r="AC587" s="584">
        <f>AB591</f>
        <v>45.411000000000001</v>
      </c>
      <c r="AD587" s="584">
        <f>AC591</f>
        <v>17.815000000000001</v>
      </c>
      <c r="AE587" s="775">
        <f>Z591</f>
        <v>32.610999999999997</v>
      </c>
      <c r="AF587" s="584">
        <f>AE591</f>
        <v>16.893000000000001</v>
      </c>
      <c r="AG587" s="584">
        <f>AF591</f>
        <v>16.009</v>
      </c>
      <c r="AH587" s="584">
        <f>AG591</f>
        <v>15.125</v>
      </c>
      <c r="AI587" s="584">
        <f>AH591</f>
        <v>14.242000000000001</v>
      </c>
      <c r="AJ587" s="775">
        <f>AE591</f>
        <v>16.893000000000001</v>
      </c>
      <c r="AK587" s="584">
        <f>AJ591</f>
        <v>13.359</v>
      </c>
      <c r="AL587" s="584">
        <f>AK591</f>
        <v>12.477</v>
      </c>
      <c r="AM587" s="584">
        <f>AL591</f>
        <v>11.587999999999999</v>
      </c>
      <c r="AN587" s="584">
        <f>AM591</f>
        <v>10.778</v>
      </c>
      <c r="AO587" s="775">
        <f>AJ591</f>
        <v>13.359</v>
      </c>
      <c r="AP587" s="584">
        <f>AO591</f>
        <v>10.082000000000001</v>
      </c>
      <c r="AQ587" s="584">
        <f>AP591</f>
        <v>9.3040000000000003</v>
      </c>
      <c r="AR587" s="584">
        <f>AQ591</f>
        <v>8.7330000000000005</v>
      </c>
      <c r="AS587" s="584">
        <f>AR591</f>
        <v>14.24</v>
      </c>
      <c r="AT587" s="775">
        <f>AO591</f>
        <v>10.082000000000001</v>
      </c>
      <c r="AU587" s="584">
        <f>AT591</f>
        <v>13.521000000000001</v>
      </c>
      <c r="AV587" s="584">
        <f>AU591</f>
        <v>12.805999999999999</v>
      </c>
      <c r="AW587" s="584">
        <f>AV591</f>
        <v>12.095000000000001</v>
      </c>
      <c r="AX587" s="584">
        <f>AW591</f>
        <v>11.384</v>
      </c>
      <c r="AY587" s="775">
        <f>AT591</f>
        <v>13.521000000000001</v>
      </c>
      <c r="AZ587" s="584">
        <f>AY591</f>
        <v>10.673</v>
      </c>
      <c r="BA587" s="584">
        <f>AZ591</f>
        <v>10.02</v>
      </c>
      <c r="BB587" s="584">
        <f>BA591</f>
        <v>9.6790000000000003</v>
      </c>
      <c r="BC587" s="584">
        <f>BB591</f>
        <v>9.3379999999999992</v>
      </c>
      <c r="BD587" s="775">
        <f>AY591</f>
        <v>10.673</v>
      </c>
      <c r="BE587" s="584">
        <f>BD591</f>
        <v>8.9969999999999999</v>
      </c>
      <c r="BF587" s="584">
        <f>BE591</f>
        <v>8.6560000000000006</v>
      </c>
      <c r="BG587" s="584">
        <f>BF591</f>
        <v>8.3149999999999995</v>
      </c>
      <c r="BH587" s="584">
        <f>BG591</f>
        <v>7.9770000000000003</v>
      </c>
      <c r="BI587" s="775">
        <f>BD591</f>
        <v>8.9969999999999999</v>
      </c>
      <c r="BJ587" s="584">
        <f>BI591</f>
        <v>7.6379999999999999</v>
      </c>
      <c r="BK587" s="584">
        <f>BJ591</f>
        <v>7.3090000000000002</v>
      </c>
      <c r="BL587" s="585">
        <f>BK591</f>
        <v>6.9740000000000002</v>
      </c>
      <c r="BM587" s="584">
        <f>BL591</f>
        <v>6.6379999999999999</v>
      </c>
      <c r="BN587" s="775">
        <f>BI591</f>
        <v>7.6379999999999999</v>
      </c>
      <c r="BO587" s="584">
        <f>BN591</f>
        <v>6.3042863387978141</v>
      </c>
      <c r="BP587" s="584">
        <f>BO591</f>
        <v>6.0711141043491281</v>
      </c>
      <c r="BQ587" s="584">
        <f>BP591</f>
        <v>5.8440710700357981</v>
      </c>
      <c r="BR587" s="584">
        <f>BQ591</f>
        <v>5.6231171501275954</v>
      </c>
      <c r="BS587" s="775">
        <f>BN591</f>
        <v>6.3042863387978141</v>
      </c>
      <c r="BT587" s="775">
        <f>BS591</f>
        <v>5.4105171044515386</v>
      </c>
      <c r="BU587" s="775">
        <f>BT591</f>
        <v>4.5989395387838075</v>
      </c>
      <c r="BV587" s="775">
        <f>BU591</f>
        <v>3.9090986079662362</v>
      </c>
      <c r="BW587" s="318"/>
    </row>
    <row r="588" spans="1:75" s="444" customFormat="1">
      <c r="A588" s="31" t="s">
        <v>499</v>
      </c>
      <c r="B588" s="53"/>
      <c r="C588" s="762"/>
      <c r="D588" s="762"/>
      <c r="E588" s="762"/>
      <c r="F588" s="762">
        <f t="shared" ref="F588:AK588" si="1240">-F209</f>
        <v>-0.4</v>
      </c>
      <c r="G588" s="525">
        <f t="shared" si="1240"/>
        <v>-0.5</v>
      </c>
      <c r="H588" s="525">
        <f t="shared" si="1240"/>
        <v>-0.5</v>
      </c>
      <c r="I588" s="525">
        <f t="shared" si="1240"/>
        <v>-0.6</v>
      </c>
      <c r="J588" s="525">
        <f t="shared" si="1240"/>
        <v>-0.69999999999999973</v>
      </c>
      <c r="K588" s="762">
        <f t="shared" si="1240"/>
        <v>-2.2999999999999998</v>
      </c>
      <c r="L588" s="525">
        <f t="shared" si="1240"/>
        <v>-0.6</v>
      </c>
      <c r="M588" s="525">
        <f t="shared" si="1240"/>
        <v>-0.6</v>
      </c>
      <c r="N588" s="525">
        <f t="shared" si="1240"/>
        <v>-0.6</v>
      </c>
      <c r="O588" s="525">
        <f t="shared" si="1240"/>
        <v>-0.60000000000000009</v>
      </c>
      <c r="P588" s="762">
        <f t="shared" si="1240"/>
        <v>-2.4</v>
      </c>
      <c r="Q588" s="525">
        <f t="shared" si="1240"/>
        <v>-1.2</v>
      </c>
      <c r="R588" s="525">
        <f t="shared" si="1240"/>
        <v>-1.8</v>
      </c>
      <c r="S588" s="525">
        <f t="shared" si="1240"/>
        <v>-1.7</v>
      </c>
      <c r="T588" s="525">
        <f t="shared" si="1240"/>
        <v>-1.7999999999999998</v>
      </c>
      <c r="U588" s="762">
        <f t="shared" si="1240"/>
        <v>-6.5</v>
      </c>
      <c r="V588" s="525">
        <f t="shared" si="1240"/>
        <v>-1.7</v>
      </c>
      <c r="W588" s="525">
        <f t="shared" si="1240"/>
        <v>-1.7</v>
      </c>
      <c r="X588" s="525">
        <f t="shared" si="1240"/>
        <v>-1.7</v>
      </c>
      <c r="Y588" s="525">
        <f t="shared" si="1240"/>
        <v>-1.7000000000000002</v>
      </c>
      <c r="Z588" s="762">
        <f t="shared" si="1240"/>
        <v>-6.8</v>
      </c>
      <c r="AA588" s="525">
        <f t="shared" si="1240"/>
        <v>-1.9</v>
      </c>
      <c r="AB588" s="525">
        <f t="shared" si="1240"/>
        <v>-2.2999999999999998</v>
      </c>
      <c r="AC588" s="525">
        <f t="shared" si="1240"/>
        <v>-1.4</v>
      </c>
      <c r="AD588" s="525">
        <f t="shared" si="1240"/>
        <v>-1</v>
      </c>
      <c r="AE588" s="762">
        <f t="shared" si="1240"/>
        <v>-6.6</v>
      </c>
      <c r="AF588" s="525">
        <f t="shared" si="1240"/>
        <v>-0.9</v>
      </c>
      <c r="AG588" s="525">
        <f t="shared" si="1240"/>
        <v>-0.9</v>
      </c>
      <c r="AH588" s="525">
        <f t="shared" si="1240"/>
        <v>-0.9</v>
      </c>
      <c r="AI588" s="525">
        <f t="shared" si="1240"/>
        <v>-0.79999999999999982</v>
      </c>
      <c r="AJ588" s="762">
        <f t="shared" si="1240"/>
        <v>-3.5</v>
      </c>
      <c r="AK588" s="525">
        <f t="shared" si="1240"/>
        <v>-0.9</v>
      </c>
      <c r="AL588" s="525">
        <f t="shared" ref="AL588:BG588" si="1241">-AL209</f>
        <v>-0.9</v>
      </c>
      <c r="AM588" s="525">
        <f t="shared" si="1241"/>
        <v>-0.8</v>
      </c>
      <c r="AN588" s="525">
        <f t="shared" si="1241"/>
        <v>-0.69999999999999973</v>
      </c>
      <c r="AO588" s="762">
        <f t="shared" si="1241"/>
        <v>-3.3</v>
      </c>
      <c r="AP588" s="525">
        <f t="shared" si="1241"/>
        <v>-0.7</v>
      </c>
      <c r="AQ588" s="525">
        <f t="shared" si="1241"/>
        <v>-0.6</v>
      </c>
      <c r="AR588" s="525">
        <f t="shared" si="1241"/>
        <v>-0.6</v>
      </c>
      <c r="AS588" s="525">
        <f t="shared" si="1241"/>
        <v>-0.70000000000000018</v>
      </c>
      <c r="AT588" s="762">
        <f t="shared" si="1241"/>
        <v>-2.6</v>
      </c>
      <c r="AU588" s="525">
        <f t="shared" si="1241"/>
        <v>-0.7</v>
      </c>
      <c r="AV588" s="525">
        <f t="shared" si="1241"/>
        <v>-0.7</v>
      </c>
      <c r="AW588" s="525">
        <f t="shared" si="1241"/>
        <v>-0.7</v>
      </c>
      <c r="AX588" s="525">
        <f t="shared" si="1241"/>
        <v>-0.70000000000000018</v>
      </c>
      <c r="AY588" s="762">
        <f t="shared" si="1241"/>
        <v>-2.8</v>
      </c>
      <c r="AZ588" s="525">
        <f t="shared" si="1241"/>
        <v>-0.7</v>
      </c>
      <c r="BA588" s="525">
        <f t="shared" si="1241"/>
        <v>-0.3</v>
      </c>
      <c r="BB588" s="525">
        <f t="shared" si="1241"/>
        <v>-0.3</v>
      </c>
      <c r="BC588" s="525">
        <f t="shared" si="1241"/>
        <v>-0.39999999999999991</v>
      </c>
      <c r="BD588" s="762">
        <f t="shared" si="1241"/>
        <v>-1.7</v>
      </c>
      <c r="BE588" s="525">
        <f t="shared" si="1241"/>
        <v>-0.3</v>
      </c>
      <c r="BF588" s="525">
        <f t="shared" si="1241"/>
        <v>-0.4</v>
      </c>
      <c r="BG588" s="525">
        <f t="shared" si="1241"/>
        <v>-0.3</v>
      </c>
      <c r="BH588" s="525">
        <f>-BH209</f>
        <v>-0.39999999999999991</v>
      </c>
      <c r="BI588" s="762">
        <f>-BI209</f>
        <v>-1.4</v>
      </c>
      <c r="BJ588" s="525">
        <f>-BJ209</f>
        <v>-0.3</v>
      </c>
      <c r="BK588" s="525">
        <f>-BK209</f>
        <v>-0.4</v>
      </c>
      <c r="BL588" s="581">
        <f>-BL209</f>
        <v>-0.3</v>
      </c>
      <c r="BM588" s="525">
        <f>-BM587*BM594*BM3/BN3</f>
        <v>-0.33371366120218582</v>
      </c>
      <c r="BN588" s="762">
        <f>IF(OR(ISBLANK(BJ588),ISBLANK(BK588),ISBLANK(BL588),ISBLANK(BM588)),"n/a",SUM(BJ588,BK588,BL588,BM588))</f>
        <v>-1.3337136612021858</v>
      </c>
      <c r="BO588" s="525">
        <f>-BO587*BO594*BO3/BS3</f>
        <v>-0.23317223444868626</v>
      </c>
      <c r="BP588" s="525">
        <f>-BP587*BP594*BP3/BS3</f>
        <v>-0.22704303431333037</v>
      </c>
      <c r="BQ588" s="525">
        <f>-BQ587*BQ594*BQ3/BS3</f>
        <v>-0.22095391990820279</v>
      </c>
      <c r="BR588" s="525">
        <f>-BR587*BR594*BR3/BS3</f>
        <v>-0.212600045676057</v>
      </c>
      <c r="BS588" s="762">
        <f>IF(OR(ISBLANK(BO588),ISBLANK(BP588),ISBLANK(BQ588),ISBLANK(BR588)),"n/a",SUM(BO588,BP588,BQ588,BR588))</f>
        <v>-0.89376923434627642</v>
      </c>
      <c r="BT588" s="762">
        <f>-BT587*BT594</f>
        <v>-0.81157756566773076</v>
      </c>
      <c r="BU588" s="762">
        <f>-BU587*BU594</f>
        <v>-0.68984093081757114</v>
      </c>
      <c r="BV588" s="762">
        <f>-BV587*BV594</f>
        <v>-0.58636479119493545</v>
      </c>
      <c r="BW588" s="318"/>
    </row>
    <row r="589" spans="1:75" s="444" customFormat="1">
      <c r="A589" s="31" t="s">
        <v>500</v>
      </c>
      <c r="B589" s="53"/>
      <c r="C589" s="762"/>
      <c r="D589" s="762"/>
      <c r="E589" s="762"/>
      <c r="F589" s="762">
        <f t="shared" ref="F589:AV589" si="1242">-F534</f>
        <v>0</v>
      </c>
      <c r="G589" s="525">
        <f t="shared" si="1242"/>
        <v>0</v>
      </c>
      <c r="H589" s="525">
        <f t="shared" si="1242"/>
        <v>0</v>
      </c>
      <c r="I589" s="525">
        <f t="shared" si="1242"/>
        <v>0</v>
      </c>
      <c r="J589" s="525">
        <f t="shared" si="1242"/>
        <v>0</v>
      </c>
      <c r="K589" s="762">
        <f t="shared" si="1242"/>
        <v>0</v>
      </c>
      <c r="L589" s="525">
        <f t="shared" si="1242"/>
        <v>0</v>
      </c>
      <c r="M589" s="525">
        <f t="shared" si="1242"/>
        <v>0</v>
      </c>
      <c r="N589" s="525">
        <f t="shared" si="1242"/>
        <v>1.3340000000000001</v>
      </c>
      <c r="O589" s="525">
        <f t="shared" si="1242"/>
        <v>0.3899999999999999</v>
      </c>
      <c r="P589" s="762">
        <f t="shared" si="1242"/>
        <v>1.724</v>
      </c>
      <c r="Q589" s="525">
        <f t="shared" si="1242"/>
        <v>0.314</v>
      </c>
      <c r="R589" s="525">
        <f t="shared" si="1242"/>
        <v>0</v>
      </c>
      <c r="S589" s="525">
        <f t="shared" si="1242"/>
        <v>0.33300000000000002</v>
      </c>
      <c r="T589" s="525">
        <f t="shared" si="1242"/>
        <v>0</v>
      </c>
      <c r="U589" s="762">
        <f t="shared" si="1242"/>
        <v>0.64700000000000002</v>
      </c>
      <c r="V589" s="525">
        <f t="shared" si="1242"/>
        <v>0</v>
      </c>
      <c r="W589" s="525">
        <f t="shared" si="1242"/>
        <v>0.16200000000000001</v>
      </c>
      <c r="X589" s="525">
        <f t="shared" si="1242"/>
        <v>1.6999999999999987E-2</v>
      </c>
      <c r="Y589" s="525">
        <f t="shared" si="1242"/>
        <v>0</v>
      </c>
      <c r="Z589" s="762">
        <f t="shared" si="1242"/>
        <v>0.17899999999999999</v>
      </c>
      <c r="AA589" s="525">
        <f t="shared" si="1242"/>
        <v>0</v>
      </c>
      <c r="AB589" s="525">
        <f t="shared" si="1242"/>
        <v>0</v>
      </c>
      <c r="AC589" s="525">
        <f t="shared" si="1242"/>
        <v>0</v>
      </c>
      <c r="AD589" s="525">
        <f t="shared" si="1242"/>
        <v>0</v>
      </c>
      <c r="AE589" s="762">
        <f t="shared" si="1242"/>
        <v>0</v>
      </c>
      <c r="AF589" s="525">
        <f t="shared" si="1242"/>
        <v>0</v>
      </c>
      <c r="AG589" s="525">
        <f t="shared" si="1242"/>
        <v>0</v>
      </c>
      <c r="AH589" s="525">
        <f t="shared" si="1242"/>
        <v>0</v>
      </c>
      <c r="AI589" s="525">
        <f t="shared" si="1242"/>
        <v>0</v>
      </c>
      <c r="AJ589" s="762">
        <f t="shared" si="1242"/>
        <v>0</v>
      </c>
      <c r="AK589" s="525">
        <f t="shared" si="1242"/>
        <v>0</v>
      </c>
      <c r="AL589" s="525">
        <f t="shared" si="1242"/>
        <v>0</v>
      </c>
      <c r="AM589" s="525">
        <f t="shared" si="1242"/>
        <v>0</v>
      </c>
      <c r="AN589" s="525">
        <f t="shared" si="1242"/>
        <v>0</v>
      </c>
      <c r="AO589" s="762">
        <f t="shared" si="1242"/>
        <v>0</v>
      </c>
      <c r="AP589" s="525">
        <f t="shared" si="1242"/>
        <v>0</v>
      </c>
      <c r="AQ589" s="525">
        <f t="shared" si="1242"/>
        <v>0</v>
      </c>
      <c r="AR589" s="525">
        <f t="shared" si="1242"/>
        <v>0</v>
      </c>
      <c r="AS589" s="525">
        <f t="shared" si="1242"/>
        <v>6.1289999999999996</v>
      </c>
      <c r="AT589" s="762">
        <f t="shared" si="1242"/>
        <v>6.1289999999999996</v>
      </c>
      <c r="AU589" s="525">
        <f t="shared" si="1242"/>
        <v>0</v>
      </c>
      <c r="AV589" s="525">
        <f t="shared" si="1242"/>
        <v>0</v>
      </c>
      <c r="AW589" s="525">
        <f t="shared" ref="AW589:BB589" si="1243">-AW534</f>
        <v>0</v>
      </c>
      <c r="AX589" s="525">
        <f t="shared" si="1243"/>
        <v>0</v>
      </c>
      <c r="AY589" s="762">
        <f t="shared" si="1243"/>
        <v>0</v>
      </c>
      <c r="AZ589" s="525">
        <f t="shared" si="1243"/>
        <v>0</v>
      </c>
      <c r="BA589" s="525">
        <f t="shared" si="1243"/>
        <v>0</v>
      </c>
      <c r="BB589" s="525">
        <f t="shared" si="1243"/>
        <v>0</v>
      </c>
      <c r="BC589" s="525">
        <f t="shared" ref="BC589:BI589" si="1244">-BC534</f>
        <v>0</v>
      </c>
      <c r="BD589" s="762">
        <f t="shared" si="1244"/>
        <v>0</v>
      </c>
      <c r="BE589" s="525">
        <f t="shared" si="1244"/>
        <v>0</v>
      </c>
      <c r="BF589" s="525">
        <f t="shared" si="1244"/>
        <v>0</v>
      </c>
      <c r="BG589" s="525">
        <f t="shared" si="1244"/>
        <v>0</v>
      </c>
      <c r="BH589" s="525">
        <f t="shared" si="1244"/>
        <v>0</v>
      </c>
      <c r="BI589" s="762">
        <f t="shared" si="1244"/>
        <v>0</v>
      </c>
      <c r="BJ589" s="525">
        <f>-BJ534</f>
        <v>0</v>
      </c>
      <c r="BK589" s="525">
        <f>-BK534</f>
        <v>0</v>
      </c>
      <c r="BL589" s="581">
        <f>-BL534</f>
        <v>0</v>
      </c>
      <c r="BM589" s="525">
        <f>BM599*BM600</f>
        <v>0</v>
      </c>
      <c r="BN589" s="762">
        <f>IF(OR(ISBLANK(BJ589),ISBLANK(BK589),ISBLANK(BL589),ISBLANK(BM589)),"n/a",SUM(BJ589,BK589,BL589,BM589))</f>
        <v>0</v>
      </c>
      <c r="BO589" s="525">
        <f>BO599*BO600</f>
        <v>0</v>
      </c>
      <c r="BP589" s="525">
        <f>BP599*BP600</f>
        <v>0</v>
      </c>
      <c r="BQ589" s="525">
        <f>BQ599*BQ600</f>
        <v>0</v>
      </c>
      <c r="BR589" s="525">
        <f>BR599*BR600</f>
        <v>0</v>
      </c>
      <c r="BS589" s="762">
        <f>IF(OR(ISBLANK(BO589),ISBLANK(BP589),ISBLANK(BQ589),ISBLANK(BR589)),"n/a",SUM(BO589,BP589,BQ589,BR589))</f>
        <v>0</v>
      </c>
      <c r="BT589" s="762">
        <f>BT599*BT600</f>
        <v>0</v>
      </c>
      <c r="BU589" s="762">
        <f>BU599*BU600</f>
        <v>0</v>
      </c>
      <c r="BV589" s="762">
        <f>BV599*BV600</f>
        <v>0</v>
      </c>
      <c r="BW589" s="318"/>
    </row>
    <row r="590" spans="1:75" s="444" customFormat="1">
      <c r="A590" s="31" t="s">
        <v>501</v>
      </c>
      <c r="B590" s="53"/>
      <c r="C590" s="762"/>
      <c r="D590" s="762"/>
      <c r="E590" s="762"/>
      <c r="F590" s="762">
        <f t="shared" ref="F590:AV590" si="1245">ROUND(F591-F587-F588-F589,6)</f>
        <v>6.2050000000000001</v>
      </c>
      <c r="G590" s="525">
        <f t="shared" si="1245"/>
        <v>-0.253</v>
      </c>
      <c r="H590" s="525">
        <f t="shared" si="1245"/>
        <v>3.3000000000000002E-2</v>
      </c>
      <c r="I590" s="525">
        <f t="shared" si="1245"/>
        <v>1.6559999999999999</v>
      </c>
      <c r="J590" s="525">
        <f t="shared" si="1245"/>
        <v>0.16300000000000001</v>
      </c>
      <c r="K590" s="762">
        <f t="shared" si="1245"/>
        <v>1.599</v>
      </c>
      <c r="L590" s="525">
        <f t="shared" si="1245"/>
        <v>-0.02</v>
      </c>
      <c r="M590" s="525">
        <f t="shared" si="1245"/>
        <v>-1.9E-2</v>
      </c>
      <c r="N590" s="525">
        <f t="shared" si="1245"/>
        <v>-0.189</v>
      </c>
      <c r="O590" s="525">
        <f t="shared" si="1245"/>
        <v>1.4550000000000001</v>
      </c>
      <c r="P590" s="762">
        <f t="shared" si="1245"/>
        <v>1.2270000000000001</v>
      </c>
      <c r="Q590" s="525">
        <f t="shared" si="1245"/>
        <v>39.286999999999999</v>
      </c>
      <c r="R590" s="525">
        <f t="shared" si="1245"/>
        <v>7.0999999999999994E-2</v>
      </c>
      <c r="S590" s="525">
        <f t="shared" si="1245"/>
        <v>-2.3E-2</v>
      </c>
      <c r="T590" s="525">
        <f t="shared" si="1245"/>
        <v>2.5999999999999999E-2</v>
      </c>
      <c r="U590" s="762">
        <f t="shared" si="1245"/>
        <v>39.360999999999997</v>
      </c>
      <c r="V590" s="525">
        <f t="shared" si="1245"/>
        <v>-4.0000000000000001E-3</v>
      </c>
      <c r="W590" s="525">
        <f t="shared" si="1245"/>
        <v>-0.06</v>
      </c>
      <c r="X590" s="525">
        <f t="shared" si="1245"/>
        <v>-7.0000000000000001E-3</v>
      </c>
      <c r="Y590" s="525">
        <f t="shared" si="1245"/>
        <v>8.9999999999999993E-3</v>
      </c>
      <c r="Z590" s="762">
        <f t="shared" si="1245"/>
        <v>-6.2E-2</v>
      </c>
      <c r="AA590" s="525">
        <f t="shared" si="1245"/>
        <v>12.682</v>
      </c>
      <c r="AB590" s="525">
        <f t="shared" si="1245"/>
        <v>4.3179999999999996</v>
      </c>
      <c r="AC590" s="525">
        <f t="shared" si="1245"/>
        <v>-26.196000000000002</v>
      </c>
      <c r="AD590" s="525">
        <f t="shared" si="1245"/>
        <v>7.8E-2</v>
      </c>
      <c r="AE590" s="762">
        <f t="shared" si="1245"/>
        <v>-9.1180000000000003</v>
      </c>
      <c r="AF590" s="525">
        <f t="shared" si="1245"/>
        <v>1.6E-2</v>
      </c>
      <c r="AG590" s="525">
        <f t="shared" si="1245"/>
        <v>1.6E-2</v>
      </c>
      <c r="AH590" s="525">
        <f t="shared" si="1245"/>
        <v>1.7000000000000001E-2</v>
      </c>
      <c r="AI590" s="525">
        <f t="shared" si="1245"/>
        <v>-8.3000000000000004E-2</v>
      </c>
      <c r="AJ590" s="762">
        <f t="shared" si="1245"/>
        <v>-3.4000000000000002E-2</v>
      </c>
      <c r="AK590" s="525">
        <f t="shared" si="1245"/>
        <v>1.7999999999999999E-2</v>
      </c>
      <c r="AL590" s="525">
        <f t="shared" si="1245"/>
        <v>1.0999999999999999E-2</v>
      </c>
      <c r="AM590" s="525">
        <f t="shared" si="1245"/>
        <v>-0.01</v>
      </c>
      <c r="AN590" s="525">
        <f t="shared" si="1245"/>
        <v>4.0000000000000001E-3</v>
      </c>
      <c r="AO590" s="762">
        <f t="shared" si="1245"/>
        <v>2.3E-2</v>
      </c>
      <c r="AP590" s="525">
        <f t="shared" si="1245"/>
        <v>-7.8E-2</v>
      </c>
      <c r="AQ590" s="525">
        <f t="shared" si="1245"/>
        <v>2.9000000000000001E-2</v>
      </c>
      <c r="AR590" s="525">
        <f t="shared" si="1245"/>
        <v>6.1070000000000002</v>
      </c>
      <c r="AS590" s="525">
        <f t="shared" si="1245"/>
        <v>-6.1479999999999997</v>
      </c>
      <c r="AT590" s="762">
        <f t="shared" si="1245"/>
        <v>-0.09</v>
      </c>
      <c r="AU590" s="525">
        <f t="shared" si="1245"/>
        <v>-1.4999999999999999E-2</v>
      </c>
      <c r="AV590" s="525">
        <f t="shared" si="1245"/>
        <v>-1.0999999999999999E-2</v>
      </c>
      <c r="AW590" s="525">
        <f t="shared" ref="AW590:AY590" si="1246">ROUND(AW591-AW587-AW588-AW589,6)</f>
        <v>-1.0999999999999999E-2</v>
      </c>
      <c r="AX590" s="525">
        <f t="shared" si="1246"/>
        <v>-1.0999999999999999E-2</v>
      </c>
      <c r="AY590" s="762">
        <f t="shared" si="1246"/>
        <v>-4.8000000000000001E-2</v>
      </c>
      <c r="AZ590" s="525">
        <f t="shared" ref="AZ590:BD590" si="1247">ROUND(AZ591-AZ587-AZ588-AZ589,6)</f>
        <v>4.7E-2</v>
      </c>
      <c r="BA590" s="525">
        <f t="shared" si="1247"/>
        <v>-4.1000000000000002E-2</v>
      </c>
      <c r="BB590" s="525">
        <f t="shared" si="1247"/>
        <v>-4.1000000000000002E-2</v>
      </c>
      <c r="BC590" s="525">
        <f t="shared" si="1247"/>
        <v>5.8999999999999997E-2</v>
      </c>
      <c r="BD590" s="762">
        <f t="shared" si="1247"/>
        <v>2.4E-2</v>
      </c>
      <c r="BE590" s="525">
        <f t="shared" ref="BE590:BM590" si="1248">ROUND(BE591-BE587-BE588-BE589,6)</f>
        <v>-4.1000000000000002E-2</v>
      </c>
      <c r="BF590" s="525">
        <f t="shared" si="1248"/>
        <v>5.8999999999999997E-2</v>
      </c>
      <c r="BG590" s="525">
        <f t="shared" si="1248"/>
        <v>-3.7999999999999999E-2</v>
      </c>
      <c r="BH590" s="525">
        <f t="shared" si="1248"/>
        <v>6.0999999999999999E-2</v>
      </c>
      <c r="BI590" s="762">
        <f t="shared" si="1248"/>
        <v>4.1000000000000002E-2</v>
      </c>
      <c r="BJ590" s="525">
        <f>ROUND(BJ591-BJ587-BJ588-BJ589,6)</f>
        <v>-2.9000000000000001E-2</v>
      </c>
      <c r="BK590" s="525">
        <f>ROUND(BK591-BK587-BK588-BK589,6)</f>
        <v>6.5000000000000002E-2</v>
      </c>
      <c r="BL590" s="581">
        <f>ROUND(BL591-BL587-BL588-BL589,6)</f>
        <v>-3.5999999999999997E-2</v>
      </c>
      <c r="BM590" s="525">
        <f t="shared" si="1248"/>
        <v>0</v>
      </c>
      <c r="BN590" s="762">
        <f>ROUND(BN591-BN587-IF(ISNUMBER(BN588),BN588,0)-IF(ISNUMBER(BN589),BN589,0),6)</f>
        <v>0</v>
      </c>
      <c r="BO590" s="525">
        <f>ROUND(BO591-BO587-BO588-BO589,6)</f>
        <v>0</v>
      </c>
      <c r="BP590" s="525">
        <f>ROUND(BP591-BP587-BP588-BP589,6)</f>
        <v>0</v>
      </c>
      <c r="BQ590" s="525">
        <f>ROUND(BQ591-BQ587-BQ588-BQ589,6)</f>
        <v>0</v>
      </c>
      <c r="BR590" s="525">
        <f>ROUND(BR591-BR587-BR588-BR589,6)</f>
        <v>0</v>
      </c>
      <c r="BS590" s="762">
        <f>ROUND(BS591-BS587-IF(ISNUMBER(BS588),BS588,0)-IF(ISNUMBER(BS589),BS589,0),6)</f>
        <v>0</v>
      </c>
      <c r="BT590" s="762">
        <f>ROUND(BT591-BT587-BT588-BT589,6)</f>
        <v>0</v>
      </c>
      <c r="BU590" s="762">
        <f>ROUND(BU591-BU587-BU588-BU589,6)</f>
        <v>0</v>
      </c>
      <c r="BV590" s="762">
        <f>ROUND(BV591-BV587-BV588-BV589,6)</f>
        <v>0</v>
      </c>
      <c r="BW590" s="318"/>
    </row>
    <row r="591" spans="1:75" s="444" customFormat="1">
      <c r="A591" s="286" t="s">
        <v>502</v>
      </c>
      <c r="B591" s="287"/>
      <c r="C591" s="776">
        <f t="shared" ref="C591:AH591" si="1249">C617</f>
        <v>0</v>
      </c>
      <c r="D591" s="776">
        <f t="shared" si="1249"/>
        <v>0</v>
      </c>
      <c r="E591" s="776">
        <f t="shared" si="1249"/>
        <v>0.13100000000000001</v>
      </c>
      <c r="F591" s="776">
        <f t="shared" si="1249"/>
        <v>5.9359999999999999</v>
      </c>
      <c r="G591" s="586">
        <f t="shared" si="1249"/>
        <v>5.1829999999999998</v>
      </c>
      <c r="H591" s="586">
        <f t="shared" si="1249"/>
        <v>4.7160000000000002</v>
      </c>
      <c r="I591" s="586">
        <f t="shared" si="1249"/>
        <v>5.7720000000000002</v>
      </c>
      <c r="J591" s="586">
        <f t="shared" si="1249"/>
        <v>5.2350000000000003</v>
      </c>
      <c r="K591" s="776">
        <f t="shared" si="1249"/>
        <v>5.2350000000000003</v>
      </c>
      <c r="L591" s="586">
        <f t="shared" si="1249"/>
        <v>4.6150000000000002</v>
      </c>
      <c r="M591" s="586">
        <f t="shared" si="1249"/>
        <v>3.996</v>
      </c>
      <c r="N591" s="586">
        <f t="shared" si="1249"/>
        <v>4.5410000000000004</v>
      </c>
      <c r="O591" s="586">
        <f t="shared" si="1249"/>
        <v>5.7859999999999996</v>
      </c>
      <c r="P591" s="776">
        <f t="shared" si="1249"/>
        <v>5.7859999999999996</v>
      </c>
      <c r="Q591" s="586">
        <f t="shared" si="1249"/>
        <v>44.186999999999998</v>
      </c>
      <c r="R591" s="586">
        <f t="shared" si="1249"/>
        <v>42.457999999999998</v>
      </c>
      <c r="S591" s="586">
        <f t="shared" si="1249"/>
        <v>41.067999999999998</v>
      </c>
      <c r="T591" s="586">
        <f t="shared" si="1249"/>
        <v>39.293999999999997</v>
      </c>
      <c r="U591" s="776">
        <f t="shared" si="1249"/>
        <v>39.293999999999997</v>
      </c>
      <c r="V591" s="586">
        <f t="shared" si="1249"/>
        <v>37.590000000000003</v>
      </c>
      <c r="W591" s="586">
        <f t="shared" si="1249"/>
        <v>35.991999999999997</v>
      </c>
      <c r="X591" s="586">
        <f t="shared" si="1249"/>
        <v>34.302</v>
      </c>
      <c r="Y591" s="586">
        <f t="shared" si="1249"/>
        <v>32.610999999999997</v>
      </c>
      <c r="Z591" s="776">
        <f t="shared" si="1249"/>
        <v>32.610999999999997</v>
      </c>
      <c r="AA591" s="586">
        <f t="shared" si="1249"/>
        <v>43.393000000000001</v>
      </c>
      <c r="AB591" s="586">
        <f t="shared" si="1249"/>
        <v>45.411000000000001</v>
      </c>
      <c r="AC591" s="586">
        <f t="shared" si="1249"/>
        <v>17.815000000000001</v>
      </c>
      <c r="AD591" s="586">
        <f t="shared" si="1249"/>
        <v>16.893000000000001</v>
      </c>
      <c r="AE591" s="776">
        <f t="shared" si="1249"/>
        <v>16.893000000000001</v>
      </c>
      <c r="AF591" s="586">
        <f t="shared" si="1249"/>
        <v>16.009</v>
      </c>
      <c r="AG591" s="586">
        <f t="shared" si="1249"/>
        <v>15.125</v>
      </c>
      <c r="AH591" s="586">
        <f t="shared" si="1249"/>
        <v>14.242000000000001</v>
      </c>
      <c r="AI591" s="586">
        <f t="shared" ref="AI591:AV591" si="1250">AI617</f>
        <v>13.359</v>
      </c>
      <c r="AJ591" s="776">
        <f t="shared" si="1250"/>
        <v>13.359</v>
      </c>
      <c r="AK591" s="586">
        <f t="shared" si="1250"/>
        <v>12.477</v>
      </c>
      <c r="AL591" s="586">
        <f t="shared" si="1250"/>
        <v>11.587999999999999</v>
      </c>
      <c r="AM591" s="586">
        <f t="shared" si="1250"/>
        <v>10.778</v>
      </c>
      <c r="AN591" s="586">
        <f t="shared" si="1250"/>
        <v>10.082000000000001</v>
      </c>
      <c r="AO591" s="776">
        <f t="shared" si="1250"/>
        <v>10.082000000000001</v>
      </c>
      <c r="AP591" s="586">
        <f t="shared" si="1250"/>
        <v>9.3040000000000003</v>
      </c>
      <c r="AQ591" s="586">
        <f t="shared" si="1250"/>
        <v>8.7330000000000005</v>
      </c>
      <c r="AR591" s="586">
        <f t="shared" si="1250"/>
        <v>14.24</v>
      </c>
      <c r="AS591" s="586">
        <f t="shared" si="1250"/>
        <v>13.521000000000001</v>
      </c>
      <c r="AT591" s="776">
        <f t="shared" si="1250"/>
        <v>13.521000000000001</v>
      </c>
      <c r="AU591" s="586">
        <f t="shared" si="1250"/>
        <v>12.805999999999999</v>
      </c>
      <c r="AV591" s="586">
        <f t="shared" si="1250"/>
        <v>12.095000000000001</v>
      </c>
      <c r="AW591" s="586">
        <f t="shared" ref="AW591:BB591" si="1251">AW617</f>
        <v>11.384</v>
      </c>
      <c r="AX591" s="586">
        <f t="shared" si="1251"/>
        <v>10.673</v>
      </c>
      <c r="AY591" s="776">
        <f t="shared" si="1251"/>
        <v>10.673</v>
      </c>
      <c r="AZ591" s="586">
        <f t="shared" si="1251"/>
        <v>10.02</v>
      </c>
      <c r="BA591" s="586">
        <f t="shared" si="1251"/>
        <v>9.6790000000000003</v>
      </c>
      <c r="BB591" s="586">
        <f t="shared" si="1251"/>
        <v>9.3379999999999992</v>
      </c>
      <c r="BC591" s="586">
        <f t="shared" ref="BC591:BN591" si="1252">BC617</f>
        <v>8.9969999999999999</v>
      </c>
      <c r="BD591" s="776">
        <f t="shared" si="1252"/>
        <v>8.9969999999999999</v>
      </c>
      <c r="BE591" s="586">
        <f t="shared" ref="BE591:BM591" si="1253">BE617</f>
        <v>8.6560000000000006</v>
      </c>
      <c r="BF591" s="586">
        <f t="shared" si="1253"/>
        <v>8.3149999999999995</v>
      </c>
      <c r="BG591" s="586">
        <f t="shared" si="1253"/>
        <v>7.9770000000000003</v>
      </c>
      <c r="BH591" s="586">
        <f t="shared" si="1253"/>
        <v>7.6379999999999999</v>
      </c>
      <c r="BI591" s="776">
        <f t="shared" si="1253"/>
        <v>7.6379999999999999</v>
      </c>
      <c r="BJ591" s="586">
        <f>BJ617</f>
        <v>7.3090000000000002</v>
      </c>
      <c r="BK591" s="586">
        <f>BK617</f>
        <v>6.9740000000000002</v>
      </c>
      <c r="BL591" s="587">
        <f>BL617</f>
        <v>6.6379999999999999</v>
      </c>
      <c r="BM591" s="586">
        <f t="shared" si="1253"/>
        <v>6.3042863387978141</v>
      </c>
      <c r="BN591" s="776">
        <f t="shared" si="1252"/>
        <v>6.3042863387978141</v>
      </c>
      <c r="BO591" s="586">
        <f t="shared" ref="BO591:BV591" si="1254">BO617</f>
        <v>6.0711141043491281</v>
      </c>
      <c r="BP591" s="586">
        <f t="shared" si="1254"/>
        <v>5.8440710700357981</v>
      </c>
      <c r="BQ591" s="586">
        <f t="shared" si="1254"/>
        <v>5.6231171501275954</v>
      </c>
      <c r="BR591" s="586">
        <f t="shared" si="1254"/>
        <v>5.4105171044515386</v>
      </c>
      <c r="BS591" s="776">
        <f t="shared" si="1254"/>
        <v>5.4105171044515386</v>
      </c>
      <c r="BT591" s="776">
        <f t="shared" si="1254"/>
        <v>4.5989395387838075</v>
      </c>
      <c r="BU591" s="776">
        <f t="shared" si="1254"/>
        <v>3.9090986079662362</v>
      </c>
      <c r="BV591" s="776">
        <f t="shared" si="1254"/>
        <v>3.3227338167713008</v>
      </c>
      <c r="BW591" s="318"/>
    </row>
    <row r="592" spans="1:75" s="444" customFormat="1">
      <c r="A592" s="31"/>
      <c r="B592" s="53"/>
      <c r="C592" s="762"/>
      <c r="D592" s="762"/>
      <c r="E592" s="762"/>
      <c r="F592" s="762"/>
      <c r="G592" s="525"/>
      <c r="H592" s="525"/>
      <c r="I592" s="525"/>
      <c r="J592" s="525"/>
      <c r="K592" s="762"/>
      <c r="L592" s="525"/>
      <c r="M592" s="525"/>
      <c r="N592" s="525"/>
      <c r="O592" s="525"/>
      <c r="P592" s="762"/>
      <c r="Q592" s="525"/>
      <c r="R592" s="525"/>
      <c r="S592" s="525"/>
      <c r="T592" s="525"/>
      <c r="U592" s="762"/>
      <c r="V592" s="525"/>
      <c r="W592" s="525"/>
      <c r="X592" s="525"/>
      <c r="Y592" s="525"/>
      <c r="Z592" s="762"/>
      <c r="AA592" s="525"/>
      <c r="AB592" s="525"/>
      <c r="AC592" s="525"/>
      <c r="AD592" s="525"/>
      <c r="AE592" s="762"/>
      <c r="AF592" s="525"/>
      <c r="AG592" s="525"/>
      <c r="AH592" s="525"/>
      <c r="AI592" s="525"/>
      <c r="AJ592" s="762"/>
      <c r="AK592" s="525"/>
      <c r="AL592" s="525"/>
      <c r="AM592" s="525"/>
      <c r="AN592" s="525"/>
      <c r="AO592" s="762"/>
      <c r="AP592" s="525"/>
      <c r="AQ592" s="525"/>
      <c r="AR592" s="525"/>
      <c r="AS592" s="525"/>
      <c r="AT592" s="762"/>
      <c r="AU592" s="525"/>
      <c r="AV592" s="525"/>
      <c r="AW592" s="525"/>
      <c r="AX592" s="525"/>
      <c r="AY592" s="762"/>
      <c r="AZ592" s="525"/>
      <c r="BA592" s="525"/>
      <c r="BB592" s="525"/>
      <c r="BC592" s="525"/>
      <c r="BD592" s="762"/>
      <c r="BE592" s="525"/>
      <c r="BF592" s="525"/>
      <c r="BG592" s="525"/>
      <c r="BH592" s="525"/>
      <c r="BI592" s="762"/>
      <c r="BJ592" s="525"/>
      <c r="BK592" s="525"/>
      <c r="BL592" s="581"/>
      <c r="BM592" s="525"/>
      <c r="BN592" s="762"/>
      <c r="BO592" s="525"/>
      <c r="BP592" s="525"/>
      <c r="BQ592" s="525"/>
      <c r="BR592" s="525"/>
      <c r="BS592" s="762"/>
      <c r="BT592" s="762"/>
      <c r="BU592" s="762"/>
      <c r="BV592" s="762"/>
      <c r="BW592" s="318"/>
    </row>
    <row r="593" spans="1:75" s="444" customFormat="1">
      <c r="A593" s="288" t="s">
        <v>503</v>
      </c>
      <c r="B593" s="530"/>
      <c r="C593" s="709"/>
      <c r="D593" s="709">
        <f>IFERROR(-D582/D581,"n/a")</f>
        <v>1.0531135531135529</v>
      </c>
      <c r="E593" s="709">
        <f>IFERROR(-E582/E581,"n/a")</f>
        <v>0.79908675799086759</v>
      </c>
      <c r="F593" s="709">
        <f>IFERROR(-F582/F581,"n/a")</f>
        <v>0.59710555611780192</v>
      </c>
      <c r="G593" s="366">
        <f>IFERROR(-G582/G581*K3/G3,"n/a")</f>
        <v>0.46587231870021251</v>
      </c>
      <c r="H593" s="366">
        <f>IFERROR(-H582/H581*K3/H3,"n/a")</f>
        <v>0.43232826012435444</v>
      </c>
      <c r="I593" s="366">
        <f>IFERROR(-I582/I581*K3/I3,"n/a")</f>
        <v>0.38111347784321092</v>
      </c>
      <c r="J593" s="366">
        <f>IFERROR(-J582/J581*K3/J3,"n/a")</f>
        <v>0.3979482809808399</v>
      </c>
      <c r="K593" s="709">
        <f>IFERROR(-K582/K581,"n/a")</f>
        <v>0.53381985269274956</v>
      </c>
      <c r="L593" s="366">
        <f>IFERROR(-L582/L581*P3/L3,"n/a")</f>
        <v>0.37029790502692084</v>
      </c>
      <c r="M593" s="366">
        <f>IFERROR(-M582/M581*P3/M3,"n/a")</f>
        <v>0.37341780089092236</v>
      </c>
      <c r="N593" s="366">
        <f>IFERROR(-N582/N581*P3/N3,"n/a")</f>
        <v>0.39184634632659648</v>
      </c>
      <c r="O593" s="366">
        <f>IFERROR(-O582/O581*P3/O3,"n/a")</f>
        <v>0.43031267464599227</v>
      </c>
      <c r="P593" s="709">
        <f>IFERROR(-P582/P581,"n/a")</f>
        <v>0.46631448509750212</v>
      </c>
      <c r="Q593" s="366">
        <f>IFERROR(-Q582/Q581*U3/Q3,"n/a")</f>
        <v>0.3618666227611273</v>
      </c>
      <c r="R593" s="366">
        <f>IFERROR(-R582/R581*U3/R3,"n/a")</f>
        <v>0.30991401227865056</v>
      </c>
      <c r="S593" s="366">
        <f>IFERROR(-S582/S581*U3/S3,"n/a")</f>
        <v>0.31694102950590736</v>
      </c>
      <c r="T593" s="366">
        <f>IFERROR(-T582/T581*U3/T3,"n/a")</f>
        <v>0.31904425745310699</v>
      </c>
      <c r="U593" s="709">
        <f>IFERROR(-U582/U581,"n/a")</f>
        <v>0.36646962285495766</v>
      </c>
      <c r="V593" s="366">
        <f>IFERROR(-V582/V581*Z3/V3,"n/a")</f>
        <v>0.32488917373404186</v>
      </c>
      <c r="W593" s="366">
        <f>IFERROR(-W582/W581*Z3/W3,"n/a")</f>
        <v>0.32260840980289884</v>
      </c>
      <c r="X593" s="366">
        <f>IFERROR(-X582/X581*Z3/X3,"n/a")</f>
        <v>0.33336636635761357</v>
      </c>
      <c r="Y593" s="366">
        <f>IFERROR(-Y582/Y581*Z3/Y3,"n/a")</f>
        <v>0.32644140642013014</v>
      </c>
      <c r="Z593" s="709">
        <f>IFERROR(-Z582/Z581,"n/a")</f>
        <v>0.35418245989038988</v>
      </c>
      <c r="AA593" s="366">
        <f>IFERROR(-AA582/AA581*AE3/AA3,"n/a")</f>
        <v>0.35975287273426609</v>
      </c>
      <c r="AB593" s="366">
        <f>IFERROR(-AB582/AB581*AE3/AB3,"n/a")</f>
        <v>0.36293794402094026</v>
      </c>
      <c r="AC593" s="366">
        <f>IFERROR(-AC582/AC581*AE3/AC3,"n/a")</f>
        <v>0.39797631768323266</v>
      </c>
      <c r="AD593" s="366">
        <f>IFERROR(-AD582/AD581*AE3/AD3,"n/a")</f>
        <v>0.37425046221112962</v>
      </c>
      <c r="AE593" s="709">
        <f>IFERROR(-AE582/AE581,"n/a")</f>
        <v>0.37429684119428819</v>
      </c>
      <c r="AF593" s="366">
        <f>IFERROR(-AF582/AF581*AJ3/AF3,"n/a")</f>
        <v>0.35605595272168672</v>
      </c>
      <c r="AG593" s="366">
        <f>IFERROR(-AG582/AG581*AJ3/AG3,"n/a")</f>
        <v>0.35689916956774564</v>
      </c>
      <c r="AH593" s="366">
        <f>IFERROR(-AH582/AH581*AJ3/AH3,"n/a")</f>
        <v>0.35451236660443952</v>
      </c>
      <c r="AI593" s="366">
        <f>IFERROR(-AI582/AI581*AJ3/AI3,"n/a")</f>
        <v>0.38636801131621118</v>
      </c>
      <c r="AJ593" s="709">
        <f>IFERROR(-AJ582/AJ581,"n/a")</f>
        <v>0.37915697870739307</v>
      </c>
      <c r="AK593" s="366">
        <f>IFERROR(-AK582/AK581*AO3/AK3,"n/a")</f>
        <v>0.38859852884243129</v>
      </c>
      <c r="AL593" s="366">
        <f>IFERROR(-AL582/AL581*AO3/AL3,"n/a")</f>
        <v>0.40657871869691353</v>
      </c>
      <c r="AM593" s="366">
        <f>IFERROR(-AM582/AM581*AO3/AM3,"n/a")</f>
        <v>0.40332797975929874</v>
      </c>
      <c r="AN593" s="366">
        <f>IFERROR(-AN582/AN581*AO3/AN3,"n/a")</f>
        <v>0.42482269638867326</v>
      </c>
      <c r="AO593" s="709">
        <f>IFERROR(-AO582/AO581,"n/a")</f>
        <v>0.40156794425087111</v>
      </c>
      <c r="AP593" s="366">
        <f>IFERROR(-AP582/AP581*AT3/AP3,"n/a")</f>
        <v>0.42413309590120557</v>
      </c>
      <c r="AQ593" s="366">
        <f>IFERROR(-AQ582/AQ581*AT3/AQ3,"n/a")</f>
        <v>0.438199546615123</v>
      </c>
      <c r="AR593" s="366">
        <f>IFERROR(-AR582/AR581*AT3/AR3,"n/a")</f>
        <v>0.44355305201650946</v>
      </c>
      <c r="AS593" s="366">
        <f>IFERROR(-AS582/AS581*AT3/AS3,"n/a")</f>
        <v>0.46764025085894784</v>
      </c>
      <c r="AT593" s="709">
        <f>IFERROR(-AT582/AT581,"n/a")</f>
        <v>0.4326312089338345</v>
      </c>
      <c r="AU593" s="366">
        <f>IFERROR(-AU582/AU581*AY3/AU3,"n/a")</f>
        <v>0.49439517970161517</v>
      </c>
      <c r="AV593" s="366">
        <f>IFERROR(-AV582/AV581*AY3/AV3,"n/a")</f>
        <v>0.49521414465702446</v>
      </c>
      <c r="AW593" s="366">
        <f>IFERROR(-AW582/AW581*AY3/AW3,"n/a")</f>
        <v>0.50969972601659486</v>
      </c>
      <c r="AX593" s="366">
        <f>IFERROR(-AX582/AX581*AY3/AX3,"n/a")</f>
        <v>0.70394808329966063</v>
      </c>
      <c r="AY593" s="709">
        <f>AVERAGE(AU593,AV593,AW593,AX593)</f>
        <v>0.55081428341872374</v>
      </c>
      <c r="AZ593" s="366">
        <f>IFERROR(-AZ582/AZ581*BD3/AZ3,"n/a")</f>
        <v>0.52231775522615886</v>
      </c>
      <c r="BA593" s="366">
        <f>IFERROR(-BA582/BA581*BD3/BA3,"n/a")</f>
        <v>0.53069449735234331</v>
      </c>
      <c r="BB593" s="366">
        <f>IFERROR(-BB582/BB581*BD3/BB3,"n/a")</f>
        <v>0.53083861659886733</v>
      </c>
      <c r="BC593" s="366">
        <f>IFERROR(-BC582/BC581*BD3/BC3,"n/a")</f>
        <v>0.52428708833933624</v>
      </c>
      <c r="BD593" s="709">
        <f>AVERAGE(AZ593,BA593,BB593,BC593)</f>
        <v>0.52703448937917652</v>
      </c>
      <c r="BE593" s="366">
        <f>IFERROR(-BE582/BE581*BI3/BE3,"n/a")</f>
        <v>0.55142615421803243</v>
      </c>
      <c r="BF593" s="366">
        <f>IFERROR(-BF582/BF581*BI3/BF3,"n/a")</f>
        <v>0.53176780586575745</v>
      </c>
      <c r="BG593" s="366">
        <f>IFERROR(-BG582/BG581*BI3/BG3,"n/a")</f>
        <v>0.53536793279816675</v>
      </c>
      <c r="BH593" s="366">
        <f>IFERROR(-BH582/BH581*BI3/BH3,"n/a")</f>
        <v>0.54270479202248734</v>
      </c>
      <c r="BI593" s="709">
        <f>AVERAGE(BE593,BF593,BG593,BH593)</f>
        <v>0.54031667122611093</v>
      </c>
      <c r="BJ593" s="366">
        <f>IFERROR(-BJ582/BJ581*BN3/BJ3,"n/a")</f>
        <v>0.56215405350575121</v>
      </c>
      <c r="BK593" s="366">
        <f>IFERROR(-BK582/BK581*BN3/BK3,"n/a")</f>
        <v>0.54282483646096003</v>
      </c>
      <c r="BL593" s="399">
        <f>IFERROR(-BL582/BL581*BN3/BL3,"n/a")</f>
        <v>0.5070288295299501</v>
      </c>
      <c r="BM593" s="649">
        <v>0.55000000000000004</v>
      </c>
      <c r="BN593" s="709">
        <f>AVERAGE(BJ593,BK593,BL593,BM593)</f>
        <v>0.54050192987416534</v>
      </c>
      <c r="BO593" s="649">
        <v>0.5</v>
      </c>
      <c r="BP593" s="649">
        <v>0.5</v>
      </c>
      <c r="BQ593" s="649">
        <v>0.5</v>
      </c>
      <c r="BR593" s="649">
        <v>0.5</v>
      </c>
      <c r="BS593" s="709">
        <f>AVERAGE(BO593,BP593,BQ593,BR593)</f>
        <v>0.5</v>
      </c>
      <c r="BT593" s="777">
        <v>0.5</v>
      </c>
      <c r="BU593" s="777">
        <v>0.5</v>
      </c>
      <c r="BV593" s="777">
        <v>0.5</v>
      </c>
      <c r="BW593" s="318"/>
    </row>
    <row r="594" spans="1:75" s="444" customFormat="1">
      <c r="A594" s="288" t="s">
        <v>504</v>
      </c>
      <c r="B594" s="530"/>
      <c r="C594" s="709"/>
      <c r="D594" s="709" t="str">
        <f>IFERROR(-D588/D587,"n/a")</f>
        <v>n/a</v>
      </c>
      <c r="E594" s="709" t="str">
        <f>IFERROR(-E588/E587,"n/a")</f>
        <v>n/a</v>
      </c>
      <c r="F594" s="709">
        <f>IFERROR(-F588/F587,"n/a")</f>
        <v>3.053435114503817</v>
      </c>
      <c r="G594" s="366">
        <f>IFERROR(-G588/G587*K3/G3,"n/a")</f>
        <v>0.34160676849356092</v>
      </c>
      <c r="H594" s="366">
        <f>IFERROR(-H588/H587*K3/H3,"n/a")</f>
        <v>0.38693700665531655</v>
      </c>
      <c r="I594" s="366">
        <f>IFERROR(-I588/I587*K3/I3,"n/a")</f>
        <v>0.50475716340303134</v>
      </c>
      <c r="J594" s="366">
        <f>IFERROR(-J588/J587*K3/J3,"n/a")</f>
        <v>0.48114586158064399</v>
      </c>
      <c r="K594" s="709">
        <f>IFERROR(-K588/K587,"n/a")</f>
        <v>0.38746630727762799</v>
      </c>
      <c r="L594" s="366">
        <f>IFERROR(-L588/L587*P3/L3,"n/a")</f>
        <v>0.4648201209805794</v>
      </c>
      <c r="M594" s="366">
        <f>IFERROR(-M588/M587*P3/M3,"n/a")</f>
        <v>0.5214720274308573</v>
      </c>
      <c r="N594" s="366">
        <f>IFERROR(-N588/N587*P3/N3,"n/a")</f>
        <v>0.59570440005222614</v>
      </c>
      <c r="O594" s="366">
        <f>IFERROR(-O588/O587*P3/O3,"n/a")</f>
        <v>0.52420937736372952</v>
      </c>
      <c r="P594" s="709">
        <f>IFERROR(-P588/P587,"n/a")</f>
        <v>0.45845272206303722</v>
      </c>
      <c r="Q594" s="366">
        <f>IFERROR(-Q588/Q587*U3/Q3,"n/a")</f>
        <v>0.84111072704228607</v>
      </c>
      <c r="R594" s="366">
        <f>IFERROR(-R588/R587*U3/R3,"n/a")</f>
        <v>0.16339150021002152</v>
      </c>
      <c r="S594" s="366">
        <f>IFERROR(-S588/S587*U3/S3,"n/a")</f>
        <v>0.15885263595532773</v>
      </c>
      <c r="T594" s="366">
        <f>IFERROR(-T588/T587*U3/T3,"n/a")</f>
        <v>0.1738897523090018</v>
      </c>
      <c r="U594" s="709">
        <f>IFERROR(-U588/U587,"n/a")</f>
        <v>1.123401313515382</v>
      </c>
      <c r="V594" s="366">
        <f>IFERROR(-V588/V587*Z3/V3,"n/a")</f>
        <v>0.17400525875102149</v>
      </c>
      <c r="W594" s="366">
        <f>IFERROR(-W588/W587*Z3/W3,"n/a")</f>
        <v>0.1818931268252896</v>
      </c>
      <c r="X594" s="366">
        <f>IFERROR(-X588/X587*Z3/X3,"n/a")</f>
        <v>0.18790407530175787</v>
      </c>
      <c r="Y594" s="366">
        <f>IFERROR(-Y588/Y587*Z3/Y3,"n/a")</f>
        <v>0.19716178293571426</v>
      </c>
      <c r="Z594" s="709">
        <f>IFERROR(-Z588/Z587,"n/a")</f>
        <v>0.17305441034254596</v>
      </c>
      <c r="AA594" s="366">
        <f>IFERROR(-AA588/AA587*AE3/AA3,"n/a")</f>
        <v>0.23628700608860675</v>
      </c>
      <c r="AB594" s="366">
        <f>IFERROR(-AB588/AB587*AE3/AB3,"n/a")</f>
        <v>0.21259822379818691</v>
      </c>
      <c r="AC594" s="366">
        <f>IFERROR(-AC588/AC587*AE3/AC3,"n/a")</f>
        <v>0.12231282786300579</v>
      </c>
      <c r="AD594" s="366">
        <f>IFERROR(-AD588/AD587*AE3/AD3,"n/a")</f>
        <v>0.22269948382530597</v>
      </c>
      <c r="AE594" s="709">
        <f>IFERROR(-AE588/AE587,"n/a")</f>
        <v>0.20238569807733586</v>
      </c>
      <c r="AF594" s="366">
        <f>IFERROR(-AF588/AF587*AJ3/AF3,"n/a")</f>
        <v>0.21606582608180902</v>
      </c>
      <c r="AG594" s="366">
        <f>IFERROR(-AG588/AG587*AJ3/AG3,"n/a")</f>
        <v>0.22549129301581045</v>
      </c>
      <c r="AH594" s="366">
        <f>IFERROR(-AH588/AH587*AJ3/AH3,"n/a")</f>
        <v>0.23607617678763926</v>
      </c>
      <c r="AI594" s="366">
        <f>IFERROR(-AI588/AI587*AJ3/AI3,"n/a")</f>
        <v>0.22285585195044658</v>
      </c>
      <c r="AJ594" s="709">
        <f>IFERROR(-AJ588/AJ587,"n/a")</f>
        <v>0.2071864085715977</v>
      </c>
      <c r="AK594" s="366">
        <f>IFERROR(-AK588/AK587*AO3/AK3,"n/a")</f>
        <v>0.27322404371584696</v>
      </c>
      <c r="AL594" s="366">
        <f>IFERROR(-AL588/AL587*AO3/AL3,"n/a")</f>
        <v>0.28932356414924343</v>
      </c>
      <c r="AM594" s="366">
        <f>IFERROR(-AM588/AM587*AO3/AM3,"n/a")</f>
        <v>0.27389653464603564</v>
      </c>
      <c r="AN594" s="366">
        <f>IFERROR(-AN588/AN587*AO3/AN3,"n/a")</f>
        <v>0.25767061727996632</v>
      </c>
      <c r="AO594" s="709">
        <f>IFERROR(-AO588/AO587,"n/a")</f>
        <v>0.24702447788008083</v>
      </c>
      <c r="AP594" s="366">
        <f>IFERROR(-AP588/AP587*AT3/AP3,"n/a")</f>
        <v>0.2792486228312453</v>
      </c>
      <c r="AQ594" s="366">
        <f>IFERROR(-AQ588/AQ587*AT3/AQ3,"n/a")</f>
        <v>0.25937089565636429</v>
      </c>
      <c r="AR594" s="366">
        <f>IFERROR(-AR588/AR587*AT3/AR3,"n/a")</f>
        <v>0.27332606455274588</v>
      </c>
      <c r="AS594" s="366">
        <f>IFERROR(-AS588/AS587*AT3/AS3,"n/a")</f>
        <v>0.1955605764533464</v>
      </c>
      <c r="AT594" s="709">
        <f>IFERROR(-AT588/AT587,"n/a")</f>
        <v>0.2578853402102757</v>
      </c>
      <c r="AU594" s="366">
        <f>IFERROR(-AU588/AU587*AY3/AU3,"n/a")</f>
        <v>0.20996145912942005</v>
      </c>
      <c r="AV594" s="366">
        <f>IFERROR(-AV588/AV587*AY3/AV3,"n/a")</f>
        <v>0.21924818894989129</v>
      </c>
      <c r="AW594" s="366">
        <f>IFERROR(-AW588/AW587*AY3/AW3,"n/a")</f>
        <v>0.22961338677498785</v>
      </c>
      <c r="AX594" s="366">
        <f>IFERROR(-AX588/AX587*AY3/AX3,"n/a")</f>
        <v>0.24395413853157757</v>
      </c>
      <c r="AY594" s="709">
        <f>AVERAGE(AU594,AV594,AW594,AX594)</f>
        <v>0.22569429334646918</v>
      </c>
      <c r="AZ594" s="366">
        <f>IFERROR(-AZ588/AZ587*BD3/AZ3,"n/a")</f>
        <v>0.26598790301591763</v>
      </c>
      <c r="BA594" s="366">
        <f>IFERROR(-BA588/BA587*BD3/BA3,"n/a")</f>
        <v>0.12008949134697638</v>
      </c>
      <c r="BB594" s="366">
        <f>IFERROR(-BB588/BB587*BD3/BB3,"n/a")</f>
        <v>0.12296904549068578</v>
      </c>
      <c r="BC594" s="366">
        <f>IFERROR(-BC588/BC587*BD3/BC3,"n/a")</f>
        <v>0.16994608285919152</v>
      </c>
      <c r="BD594" s="709">
        <f>AVERAGE(AZ594,BA594,BB594,BC594)</f>
        <v>0.16974813067819283</v>
      </c>
      <c r="BE594" s="366">
        <f>IFERROR(-BE588/BE587*BI3/BE3,"n/a")</f>
        <v>0.13523026193916493</v>
      </c>
      <c r="BF594" s="366">
        <f>IFERROR(-BF588/BF587*BI3/BF3,"n/a")</f>
        <v>0.18535069366862342</v>
      </c>
      <c r="BG594" s="366">
        <f>IFERROR(-BG588/BG587*BI3/BG3,"n/a")</f>
        <v>0.1431409971502523</v>
      </c>
      <c r="BH594" s="366">
        <f>IFERROR(-BH588/BH587*BI3/BH3,"n/a")</f>
        <v>0.19894152209340979</v>
      </c>
      <c r="BI594" s="709">
        <f>AVERAGE(BE594,BF594,BG594,BH594)</f>
        <v>0.1656658687128626</v>
      </c>
      <c r="BJ594" s="366">
        <f>IFERROR(-BJ588/BJ587*BN3/BJ3,"n/a")</f>
        <v>0.15797242820023652</v>
      </c>
      <c r="BK594" s="366">
        <f>IFERROR(-BK588/BK587*BN3/BK3,"n/a")</f>
        <v>0.22011098765784773</v>
      </c>
      <c r="BL594" s="399">
        <f>IFERROR(-BL588/BL587*BN3/BL3,"n/a")</f>
        <v>0.17113252951958205</v>
      </c>
      <c r="BM594" s="649">
        <v>0.2</v>
      </c>
      <c r="BN594" s="709">
        <f>AVERAGE(BJ594,BK594,BL594,BM594)</f>
        <v>0.18730398634441658</v>
      </c>
      <c r="BO594" s="649">
        <v>0.15</v>
      </c>
      <c r="BP594" s="649">
        <v>0.15</v>
      </c>
      <c r="BQ594" s="649">
        <v>0.15</v>
      </c>
      <c r="BR594" s="649">
        <v>0.15</v>
      </c>
      <c r="BS594" s="709">
        <f>AVERAGE(BO594,BP594,BQ594,BR594)</f>
        <v>0.15</v>
      </c>
      <c r="BT594" s="777">
        <v>0.15</v>
      </c>
      <c r="BU594" s="777">
        <v>0.15</v>
      </c>
      <c r="BV594" s="777">
        <v>0.15</v>
      </c>
      <c r="BW594" s="318"/>
    </row>
    <row r="595" spans="1:75" s="444" customFormat="1">
      <c r="A595" s="28" t="s">
        <v>505</v>
      </c>
      <c r="B595" s="30"/>
      <c r="C595" s="778"/>
      <c r="D595" s="778">
        <f>IFERROR(-D581/D582,"n/a")</f>
        <v>0.94956521739130451</v>
      </c>
      <c r="E595" s="778">
        <f>IFERROR(-E581/E582,"n/a")</f>
        <v>1.2514285714285713</v>
      </c>
      <c r="F595" s="778">
        <f>IFERROR(-F581/F582,"n/a")</f>
        <v>1.6747457627118643</v>
      </c>
      <c r="G595" s="289">
        <f>IFERROR(-G581/G582*G3/K3,"n/a")</f>
        <v>2.1465108783239324</v>
      </c>
      <c r="H595" s="289">
        <f>IFERROR(-H581/H582*H3/K3,"n/a")</f>
        <v>2.3130572119258663</v>
      </c>
      <c r="I595" s="289">
        <f>IFERROR(-I581/I582*I3/K3,"n/a")</f>
        <v>2.6238904109589041</v>
      </c>
      <c r="J595" s="289">
        <f>IFERROR(-J581/J582*J3/K3,"n/a")</f>
        <v>2.5128893572181239</v>
      </c>
      <c r="K595" s="778">
        <f>IFERROR(-K581/K582,"n/a")</f>
        <v>1.8732911392405063</v>
      </c>
      <c r="L595" s="289">
        <f>IFERROR(-L581/L582*L3/P3,"n/a")</f>
        <v>2.7005283757338554</v>
      </c>
      <c r="M595" s="289">
        <f>IFERROR(-M581/M582*M3/P3,"n/a")</f>
        <v>2.6779655324790101</v>
      </c>
      <c r="N595" s="289">
        <f>IFERROR(-N581/N582*N3/P3,"n/a")</f>
        <v>2.5520207330618288</v>
      </c>
      <c r="O595" s="289">
        <f>IFERROR(-O581/O582*O3/P3,"n/a")</f>
        <v>2.3238915767997672</v>
      </c>
      <c r="P595" s="778">
        <f>IFERROR(-P581/P582,"n/a")</f>
        <v>2.1444755244755243</v>
      </c>
      <c r="Q595" s="289">
        <f>IFERROR(-Q581/Q582*Q3/U3,"n/a")</f>
        <v>2.7634491193737771</v>
      </c>
      <c r="R595" s="289">
        <f>IFERROR(-R581/R582*R3/U3,"n/a")</f>
        <v>3.2267014732489017</v>
      </c>
      <c r="S595" s="289">
        <f>IFERROR(-S581/S582*S3/U3,"n/a")</f>
        <v>3.1551610769957485</v>
      </c>
      <c r="T595" s="289">
        <f>IFERROR(-T581/T582*T3/U3,"n/a")</f>
        <v>3.1343613829093275</v>
      </c>
      <c r="U595" s="778">
        <f>IFERROR(-U581/U582,"n/a")</f>
        <v>2.7287391304347826</v>
      </c>
      <c r="V595" s="289">
        <f>IFERROR(-V581/V582*V3/Z3,"n/a")</f>
        <v>3.0779726775956284</v>
      </c>
      <c r="W595" s="289">
        <f>IFERROR(-W581/W582*W3/Z3,"n/a")</f>
        <v>3.099733204757313</v>
      </c>
      <c r="X595" s="289">
        <f>IFERROR(-X581/X582*X3/Z3,"n/a")</f>
        <v>2.9997027322404373</v>
      </c>
      <c r="Y595" s="289">
        <f>IFERROR(-Y581/Y582*Y3/Z3,"n/a")</f>
        <v>3.0633368816975373</v>
      </c>
      <c r="Z595" s="778">
        <f>IFERROR(-Z581/Z582,"n/a")</f>
        <v>2.8234035087719298</v>
      </c>
      <c r="AA595" s="289">
        <f>IFERROR(-AA581/AA582*AA3/AE3,"n/a")</f>
        <v>2.7796859338456401</v>
      </c>
      <c r="AB595" s="289">
        <f>IFERROR(-AB581/AB582*AB3/AE3,"n/a")</f>
        <v>2.7552919623700278</v>
      </c>
      <c r="AC595" s="289">
        <f>IFERROR(-AC581/AC582*AC3/AE3,"n/a")</f>
        <v>2.5127123287671234</v>
      </c>
      <c r="AD595" s="289">
        <f>IFERROR(-AD581/AD582*AD3/AE3,"n/a")</f>
        <v>2.6720073880252415</v>
      </c>
      <c r="AE595" s="778">
        <f>IFERROR(-AE581/AE582,"n/a")</f>
        <v>2.6716763005780346</v>
      </c>
      <c r="AF595" s="289">
        <f>IFERROR(-AF581/AF582*AF3/AJ3,"n/a")</f>
        <v>2.8085473430678913</v>
      </c>
      <c r="AG595" s="289">
        <f>IFERROR(-AG581/AG582*AG3/AJ3,"n/a")</f>
        <v>2.8019118150684932</v>
      </c>
      <c r="AH595" s="289">
        <f>IFERROR(-AH581/AH582*AH3/AJ3,"n/a")</f>
        <v>2.8207760693318424</v>
      </c>
      <c r="AI595" s="289">
        <f>IFERROR(-AI581/AI582*AI3/AJ3,"n/a")</f>
        <v>2.588205986808727</v>
      </c>
      <c r="AJ595" s="778">
        <f>IFERROR(-AJ581/AJ582,"n/a")</f>
        <v>2.6374300254452927</v>
      </c>
      <c r="AK595" s="289">
        <f>IFERROR(-AK581/AK582*AK3/AO3,"n/a")</f>
        <v>2.5733499377334992</v>
      </c>
      <c r="AL595" s="289">
        <f>IFERROR(-AL581/AL582*AL3/AO3,"n/a")</f>
        <v>2.4595483088859256</v>
      </c>
      <c r="AM595" s="289">
        <f>IFERROR(-AM581/AM582*AM3/AO3,"n/a")</f>
        <v>2.4793717524799246</v>
      </c>
      <c r="AN595" s="289">
        <f>IFERROR(-AN581/AN582*AN3/AO3,"n/a")</f>
        <v>2.3539231978441495</v>
      </c>
      <c r="AO595" s="778">
        <f>IFERROR(-AO581/AO582,"n/a")</f>
        <v>2.4902386117136657</v>
      </c>
      <c r="AP595" s="289">
        <f>IFERROR(-AP581/AP582*AP3/AT3,"n/a")</f>
        <v>2.3577504553734063</v>
      </c>
      <c r="AQ595" s="289">
        <f>IFERROR(-AQ581/AQ582*AQ3/AT3,"n/a")</f>
        <v>2.282065346083789</v>
      </c>
      <c r="AR595" s="289">
        <f>IFERROR(-AR581/AR582*AR3/AT3,"n/a")</f>
        <v>2.2545217431234787</v>
      </c>
      <c r="AS595" s="289">
        <f>IFERROR(-AS581/AS582*AS3/AT3,"n/a")</f>
        <v>2.1383959104530232</v>
      </c>
      <c r="AT595" s="778">
        <f>IFERROR(-AT581/AT582,"n/a")</f>
        <v>2.3114374999999998</v>
      </c>
      <c r="AU595" s="289">
        <f>IFERROR(-AU581/AU582*AU3/AY3,"n/a")</f>
        <v>2.0226734423331858</v>
      </c>
      <c r="AV595" s="289">
        <f>IFERROR(-AV581/AV582*AV3/AY3,"n/a")</f>
        <v>2.0193284274878298</v>
      </c>
      <c r="AW595" s="289">
        <f>IFERROR(-AW581/AW582*AW3/AY3,"n/a")</f>
        <v>1.9619394497525036</v>
      </c>
      <c r="AX595" s="289">
        <f>IFERROR(-AX581/AX582*AX3/AY3,"n/a")</f>
        <v>1.4205593050451055</v>
      </c>
      <c r="AY595" s="778">
        <f>AVERAGE(AU595,AV595,AW595,AX595)</f>
        <v>1.8561251561546563</v>
      </c>
      <c r="AZ595" s="289">
        <f>IFERROR(-AZ581/AZ582*AZ3/BD3,"n/a")</f>
        <v>1.9145433789954336</v>
      </c>
      <c r="BA595" s="289">
        <f>IFERROR(-BA581/BA582*BA3/BD3,"n/a")</f>
        <v>1.884323287671233</v>
      </c>
      <c r="BB595" s="289">
        <f>IFERROR(-BB581/BB582*BB3/BD3,"n/a")</f>
        <v>1.8838117061021171</v>
      </c>
      <c r="BC595" s="289">
        <f>IFERROR(-BC581/BC582*BC3/BD3,"n/a")</f>
        <v>1.9073519494204416</v>
      </c>
      <c r="BD595" s="778">
        <f>AVERAGE(AZ595,BA595,BB595,BC595)</f>
        <v>1.8975075805473063</v>
      </c>
      <c r="BE595" s="289">
        <f>IFERROR(-BE581/BE582*BE3/BI3,"n/a")</f>
        <v>1.8134794520547943</v>
      </c>
      <c r="BF595" s="289">
        <f>IFERROR(-BF581/BF582*BF3/BI3,"n/a")</f>
        <v>1.8805200107440239</v>
      </c>
      <c r="BG595" s="289">
        <f>IFERROR(-BG581/BG582*BG3/BI3,"n/a")</f>
        <v>1.8678742949234488</v>
      </c>
      <c r="BH595" s="289">
        <f>IFERROR(-BH581/BH582*BH3/BI3,"n/a")</f>
        <v>1.8426223882662243</v>
      </c>
      <c r="BI595" s="778">
        <f>AVERAGE(BE595,BF595,BG595,BH595)</f>
        <v>1.8511240364971229</v>
      </c>
      <c r="BJ595" s="289">
        <f>IFERROR(-BJ581/BJ582*BJ3/BN3,"n/a")</f>
        <v>1.7788718123861567</v>
      </c>
      <c r="BK595" s="289">
        <f>IFERROR(-BK581/BK582*BK3/BN3,"n/a")</f>
        <v>1.8422148966500358</v>
      </c>
      <c r="BL595" s="513">
        <f>IFERROR(-BL581/BL582*BL3/BN3,"n/a")</f>
        <v>1.972274438372799</v>
      </c>
      <c r="BM595" s="289">
        <f>IFERROR(-BM581/BM582*BM3/BN3,"n/a")</f>
        <v>1.8181818181818183</v>
      </c>
      <c r="BN595" s="778">
        <f>AVERAGE(BJ595,BK595,BL595,BM595)</f>
        <v>1.8528857413977025</v>
      </c>
      <c r="BO595" s="289">
        <f>IFERROR(-BO581/BO582*BO3/BS3,"n/a")</f>
        <v>2</v>
      </c>
      <c r="BP595" s="289">
        <f>IFERROR(-BP581/BP582*BP3/BS3,"n/a")</f>
        <v>2</v>
      </c>
      <c r="BQ595" s="289">
        <f>IFERROR(-BQ581/BQ582*BQ3/BS3,"n/a")</f>
        <v>2</v>
      </c>
      <c r="BR595" s="289">
        <f>IFERROR(-BR581/BR582*BR3/BS3,"n/a")</f>
        <v>2</v>
      </c>
      <c r="BS595" s="778">
        <f>AVERAGE(BO595,BP595,BQ595,BR595)</f>
        <v>2</v>
      </c>
      <c r="BT595" s="778">
        <f>IFERROR(-BT581/BT582,"n/a")</f>
        <v>2</v>
      </c>
      <c r="BU595" s="778">
        <f>IFERROR(-BU581/BU582,"n/a")</f>
        <v>2</v>
      </c>
      <c r="BV595" s="778">
        <f>IFERROR(-BV581/BV582,"n/a")</f>
        <v>2</v>
      </c>
      <c r="BW595" s="318"/>
    </row>
    <row r="596" spans="1:75" s="444" customFormat="1">
      <c r="A596" s="28" t="s">
        <v>506</v>
      </c>
      <c r="B596" s="30"/>
      <c r="C596" s="778"/>
      <c r="D596" s="778" t="str">
        <f>IFERROR(-D587/D588,"n/a")</f>
        <v>n/a</v>
      </c>
      <c r="E596" s="778" t="str">
        <f>IFERROR(-E587/E588,"n/a")</f>
        <v>n/a</v>
      </c>
      <c r="F596" s="778">
        <f>IFERROR(-F587/F588,"n/a")</f>
        <v>0.32750000000000001</v>
      </c>
      <c r="G596" s="289">
        <f>IFERROR(-G587/G588*G3/K3,"n/a")</f>
        <v>2.9273424657534246</v>
      </c>
      <c r="H596" s="289">
        <f>IFERROR(-H587/H588*H3/K3,"n/a")</f>
        <v>2.5843999999999996</v>
      </c>
      <c r="I596" s="289">
        <f>IFERROR(-I587/I588*I3/K3,"n/a")</f>
        <v>1.9811506849315068</v>
      </c>
      <c r="J596" s="289">
        <f>IFERROR(-J587/J588*J3/K3,"n/a")</f>
        <v>2.0783718199608621</v>
      </c>
      <c r="K596" s="778">
        <f>IFERROR(-K587/K588,"n/a")</f>
        <v>2.5808695652173914</v>
      </c>
      <c r="L596" s="289">
        <f>IFERROR(-L587/L588*L3/P3,"n/a")</f>
        <v>2.151369863013699</v>
      </c>
      <c r="M596" s="289">
        <f>IFERROR(-M587/M588*M3/P3,"n/a")</f>
        <v>1.9176484018264841</v>
      </c>
      <c r="N596" s="289">
        <f>IFERROR(-N587/N588*N3/P3,"n/a")</f>
        <v>1.6786849315068495</v>
      </c>
      <c r="O596" s="289">
        <f>IFERROR(-O587/O588*O3/P3,"n/a")</f>
        <v>1.907634703196347</v>
      </c>
      <c r="P596" s="778">
        <f>IFERROR(-P587/P588,"n/a")</f>
        <v>2.1812500000000004</v>
      </c>
      <c r="Q596" s="289">
        <f>IFERROR(-Q587/Q588*Q3/U3,"n/a")</f>
        <v>1.1889041095890411</v>
      </c>
      <c r="R596" s="289">
        <f>IFERROR(-R587/R588*R3/U3,"n/a")</f>
        <v>6.1202694063926932</v>
      </c>
      <c r="S596" s="289">
        <f>IFERROR(-S587/S588*S3/U3,"n/a")</f>
        <v>6.2951426269137798</v>
      </c>
      <c r="T596" s="289">
        <f>IFERROR(-T587/T588*T3/U3,"n/a")</f>
        <v>5.7507701674277012</v>
      </c>
      <c r="U596" s="778">
        <f>IFERROR(-U587/U588,"n/a")</f>
        <v>0.89015384615384607</v>
      </c>
      <c r="V596" s="289">
        <f>IFERROR(-V587/V588*V3/Z3,"n/a")</f>
        <v>5.7469527483124399</v>
      </c>
      <c r="W596" s="289">
        <f>IFERROR(-W587/W588*W3/Z3,"n/a")</f>
        <v>5.4977338476374156</v>
      </c>
      <c r="X596" s="289">
        <f>IFERROR(-X587/X588*X3/Z3,"n/a")</f>
        <v>5.321864352298296</v>
      </c>
      <c r="Y596" s="289">
        <f>IFERROR(-Y587/Y588*Y3/Z3,"n/a")</f>
        <v>5.0719768563162964</v>
      </c>
      <c r="Z596" s="778">
        <f>IFERROR(-Z587/Z588,"n/a")</f>
        <v>5.7785294117647057</v>
      </c>
      <c r="AA596" s="289">
        <f>IFERROR(-AA587/AA588*AA3/AE3,"n/a")</f>
        <v>4.232141312184571</v>
      </c>
      <c r="AB596" s="289">
        <f>IFERROR(-AB587/AB588*AB3/AE3,"n/a")</f>
        <v>4.7037081596188219</v>
      </c>
      <c r="AC596" s="289">
        <f>IFERROR(-AC587/AC588*AC3/AE3,"n/a")</f>
        <v>8.1757573385518594</v>
      </c>
      <c r="AD596" s="289">
        <f>IFERROR(-AD587/AD588*AD3/AE3,"n/a")</f>
        <v>4.4903561643835621</v>
      </c>
      <c r="AE596" s="778">
        <f>IFERROR(-AE587/AE588,"n/a")</f>
        <v>4.9410606060606055</v>
      </c>
      <c r="AF596" s="289">
        <f>IFERROR(-AF587/AF588*AF3/AJ3,"n/a")</f>
        <v>4.6282191780821913</v>
      </c>
      <c r="AG596" s="289">
        <f>IFERROR(-AG587/AG588*AG3/AJ3,"n/a")</f>
        <v>4.4347610350076101</v>
      </c>
      <c r="AH596" s="289">
        <f>IFERROR(-AH587/AH588*AH3/AJ3,"n/a")</f>
        <v>4.2359208523592082</v>
      </c>
      <c r="AI596" s="289">
        <f>IFERROR(-AI587/AI588*AI3/AJ3,"n/a")</f>
        <v>4.4872054794520562</v>
      </c>
      <c r="AJ596" s="778">
        <f>IFERROR(-AJ587/AJ588,"n/a")</f>
        <v>4.8265714285714285</v>
      </c>
      <c r="AK596" s="289">
        <f>IFERROR(-AK587/AK588*AK3/AO3,"n/a")</f>
        <v>3.66</v>
      </c>
      <c r="AL596" s="289">
        <f>IFERROR(-AL587/AL588*AL3/AO3,"n/a")</f>
        <v>3.4563378995433789</v>
      </c>
      <c r="AM596" s="289">
        <f>IFERROR(-AM587/AM588*AM3/AO3,"n/a")</f>
        <v>3.6510136986301367</v>
      </c>
      <c r="AN596" s="289">
        <f>IFERROR(-AN587/AN588*AN3/AO3,"n/a")</f>
        <v>3.8809236790606669</v>
      </c>
      <c r="AO596" s="778">
        <f>IFERROR(-AO587/AO588,"n/a")</f>
        <v>4.0481818181818188</v>
      </c>
      <c r="AP596" s="289">
        <f>IFERROR(-AP587/AP588*AP3/AT3,"n/a")</f>
        <v>3.5810382513661212</v>
      </c>
      <c r="AQ596" s="289">
        <f>IFERROR(-AQ587/AQ588*AQ3/AT3,"n/a")</f>
        <v>3.855482695810565</v>
      </c>
      <c r="AR596" s="289">
        <f>IFERROR(-AR587/AR588*AR3/AT3,"n/a")</f>
        <v>3.6586338797814211</v>
      </c>
      <c r="AS596" s="289">
        <f>IFERROR(-AS587/AS588*AS3/AT3,"n/a")</f>
        <v>5.1135050741608108</v>
      </c>
      <c r="AT596" s="778">
        <f>IFERROR(-AT587/AT588,"n/a")</f>
        <v>3.8776923076923078</v>
      </c>
      <c r="AU596" s="289">
        <f>IFERROR(-AU587/AU588*AU3/AY3,"n/a")</f>
        <v>4.7627788649706471</v>
      </c>
      <c r="AV596" s="289">
        <f>IFERROR(-AV587/AV588*AV3/AY3,"n/a")</f>
        <v>4.5610410958904106</v>
      </c>
      <c r="AW596" s="289">
        <f>IFERROR(-AW587/AW588*AW3/AY3,"n/a")</f>
        <v>4.355146771037183</v>
      </c>
      <c r="AX596" s="289">
        <f>IFERROR(-AX587/AX588*AX3/AY3,"n/a")</f>
        <v>4.0991311154598815</v>
      </c>
      <c r="AY596" s="778">
        <f>AVERAGE(AU596,AV596,AW596,AX596)</f>
        <v>4.4445244618395314</v>
      </c>
      <c r="AZ596" s="289">
        <f>IFERROR(-AZ587/AZ588*AZ3/BD3,"n/a")</f>
        <v>3.7595694716242662</v>
      </c>
      <c r="BA596" s="289">
        <f>IFERROR(-BA587/BA588*BA3/BD3,"n/a")</f>
        <v>8.3271232876712329</v>
      </c>
      <c r="BB596" s="289">
        <f>IFERROR(-BB587/BB588*BB3/BD3,"n/a")</f>
        <v>8.1321278538812791</v>
      </c>
      <c r="BC596" s="289">
        <f>IFERROR(-BC587/BC588*BC3/BD3,"n/a")</f>
        <v>5.8842191780821924</v>
      </c>
      <c r="BD596" s="778">
        <f>AVERAGE(AZ596,BA596,BB596,BC596)</f>
        <v>6.525759947814743</v>
      </c>
      <c r="BE596" s="289">
        <f>IFERROR(-BE587/BE588*BE3/BI3,"n/a")</f>
        <v>7.3947945205479462</v>
      </c>
      <c r="BF596" s="289">
        <f>IFERROR(-BF587/BF588*BF3/BI3,"n/a")</f>
        <v>5.395178082191781</v>
      </c>
      <c r="BG596" s="289">
        <f>IFERROR(-BG587/BG588*BG3/BI3,"n/a")</f>
        <v>6.9861187214611871</v>
      </c>
      <c r="BH596" s="289">
        <f>IFERROR(-BH587/BH588*BH3/BI3,"n/a")</f>
        <v>5.0266027397260284</v>
      </c>
      <c r="BI596" s="778">
        <f>AVERAGE(BE596,BF596,BG596,BH596)</f>
        <v>6.2006735159817357</v>
      </c>
      <c r="BJ596" s="289">
        <f>IFERROR(-BJ587/BJ588*BJ3/BN3,"n/a")</f>
        <v>6.3302185792349732</v>
      </c>
      <c r="BK596" s="289">
        <f>IFERROR(-BK587/BK588*BK3/BN3,"n/a")</f>
        <v>4.5431625683060108</v>
      </c>
      <c r="BL596" s="513">
        <f>IFERROR(-BL587/BL588*BL3/BN3,"n/a")</f>
        <v>5.843424408014573</v>
      </c>
      <c r="BM596" s="289">
        <f>IFERROR(-BM587/BM588*BM3/BN3,"n/a")</f>
        <v>5</v>
      </c>
      <c r="BN596" s="778">
        <f>AVERAGE(BJ596,BK596,BL596,BM596)</f>
        <v>5.429201388888889</v>
      </c>
      <c r="BO596" s="289">
        <f>IFERROR(-BO587/BO588*BO3/BS3,"n/a")</f>
        <v>6.666666666666667</v>
      </c>
      <c r="BP596" s="289">
        <f>IFERROR(-BP587/BP588*BP3/BS3,"n/a")</f>
        <v>6.6666666666666687</v>
      </c>
      <c r="BQ596" s="289">
        <f>IFERROR(-BQ587/BQ588*BQ3/BS3,"n/a")</f>
        <v>6.666666666666667</v>
      </c>
      <c r="BR596" s="289">
        <f>IFERROR(-BR587/BR588*BR3/BS3,"n/a")</f>
        <v>6.666666666666667</v>
      </c>
      <c r="BS596" s="778">
        <f>AVERAGE(BO596,BP596,BQ596,BR596)</f>
        <v>6.6666666666666679</v>
      </c>
      <c r="BT596" s="778">
        <f>IFERROR(-BT587/BT588,"n/a")</f>
        <v>6.666666666666667</v>
      </c>
      <c r="BU596" s="778">
        <f>IFERROR(-BU587/BU588,"n/a")</f>
        <v>6.6666666666666661</v>
      </c>
      <c r="BV596" s="778">
        <f>IFERROR(-BV587/BV588,"n/a")</f>
        <v>6.6666666666666661</v>
      </c>
      <c r="BW596" s="318"/>
    </row>
    <row r="597" spans="1:75" s="444" customFormat="1">
      <c r="A597" s="31"/>
      <c r="B597" s="53"/>
      <c r="C597" s="762"/>
      <c r="D597" s="762"/>
      <c r="E597" s="762"/>
      <c r="F597" s="762"/>
      <c r="G597" s="525"/>
      <c r="H597" s="525"/>
      <c r="I597" s="525"/>
      <c r="J597" s="525"/>
      <c r="K597" s="762"/>
      <c r="L597" s="525"/>
      <c r="M597" s="525"/>
      <c r="N597" s="525"/>
      <c r="O597" s="525"/>
      <c r="P597" s="762"/>
      <c r="Q597" s="525"/>
      <c r="R597" s="525"/>
      <c r="S597" s="525"/>
      <c r="T597" s="525"/>
      <c r="U597" s="762"/>
      <c r="V597" s="525"/>
      <c r="W597" s="525"/>
      <c r="X597" s="525"/>
      <c r="Y597" s="525"/>
      <c r="Z597" s="762"/>
      <c r="AA597" s="525"/>
      <c r="AB597" s="525"/>
      <c r="AC597" s="525"/>
      <c r="AD597" s="525"/>
      <c r="AE597" s="762"/>
      <c r="AF597" s="525"/>
      <c r="AG597" s="525"/>
      <c r="AH597" s="525"/>
      <c r="AI597" s="525"/>
      <c r="AJ597" s="762"/>
      <c r="AK597" s="525"/>
      <c r="AL597" s="525"/>
      <c r="AM597" s="525"/>
      <c r="AN597" s="525"/>
      <c r="AO597" s="762"/>
      <c r="AP597" s="525"/>
      <c r="AQ597" s="525"/>
      <c r="AR597" s="525"/>
      <c r="AS597" s="525"/>
      <c r="AT597" s="762"/>
      <c r="AU597" s="525"/>
      <c r="AV597" s="525"/>
      <c r="AW597" s="525"/>
      <c r="AX597" s="525"/>
      <c r="AY597" s="762"/>
      <c r="AZ597" s="525"/>
      <c r="BA597" s="525"/>
      <c r="BB597" s="525"/>
      <c r="BC597" s="525"/>
      <c r="BD597" s="762"/>
      <c r="BE597" s="525"/>
      <c r="BF597" s="525"/>
      <c r="BG597" s="525"/>
      <c r="BH597" s="525"/>
      <c r="BI597" s="762"/>
      <c r="BJ597" s="525"/>
      <c r="BK597" s="525"/>
      <c r="BL597" s="581"/>
      <c r="BM597" s="525"/>
      <c r="BN597" s="762"/>
      <c r="BO597" s="525"/>
      <c r="BP597" s="525"/>
      <c r="BQ597" s="525"/>
      <c r="BR597" s="525"/>
      <c r="BS597" s="762"/>
      <c r="BT597" s="762"/>
      <c r="BU597" s="762"/>
      <c r="BV597" s="762"/>
      <c r="BW597" s="318"/>
    </row>
    <row r="598" spans="1:75" s="444" customFormat="1">
      <c r="A598" s="28" t="s">
        <v>507</v>
      </c>
      <c r="B598" s="30"/>
      <c r="C598" s="775">
        <f t="shared" ref="C598:AH598" si="1255">C229</f>
        <v>1.2010000000000001</v>
      </c>
      <c r="D598" s="775">
        <f t="shared" si="1255"/>
        <v>2.3340000000000001</v>
      </c>
      <c r="E598" s="775">
        <f t="shared" si="1255"/>
        <v>4.2380000000000004</v>
      </c>
      <c r="F598" s="775">
        <f t="shared" si="1255"/>
        <v>7.2229999999999999</v>
      </c>
      <c r="G598" s="584">
        <f t="shared" si="1255"/>
        <v>2.4780000000000002</v>
      </c>
      <c r="H598" s="584">
        <f t="shared" si="1255"/>
        <v>2.637</v>
      </c>
      <c r="I598" s="584">
        <f t="shared" si="1255"/>
        <v>2.8159999999999998</v>
      </c>
      <c r="J598" s="584">
        <f t="shared" si="1255"/>
        <v>3.524</v>
      </c>
      <c r="K598" s="775">
        <f t="shared" si="1255"/>
        <v>11.455</v>
      </c>
      <c r="L598" s="584">
        <f t="shared" si="1255"/>
        <v>3.661</v>
      </c>
      <c r="M598" s="584">
        <f t="shared" si="1255"/>
        <v>4.3040000000000003</v>
      </c>
      <c r="N598" s="584">
        <f t="shared" si="1255"/>
        <v>4.6040000000000001</v>
      </c>
      <c r="O598" s="584">
        <f t="shared" si="1255"/>
        <v>5.2910000000000004</v>
      </c>
      <c r="P598" s="775">
        <f t="shared" si="1255"/>
        <v>17.59</v>
      </c>
      <c r="Q598" s="584">
        <f t="shared" si="1255"/>
        <v>6.8949999999999996</v>
      </c>
      <c r="R598" s="584">
        <f t="shared" si="1255"/>
        <v>7.1669999999999998</v>
      </c>
      <c r="S598" s="584">
        <f t="shared" si="1255"/>
        <v>7.5620000000000003</v>
      </c>
      <c r="T598" s="584">
        <f t="shared" si="1255"/>
        <v>7.98</v>
      </c>
      <c r="U598" s="775">
        <f t="shared" si="1255"/>
        <v>29.603999999999999</v>
      </c>
      <c r="V598" s="584">
        <f t="shared" si="1255"/>
        <v>8.1890000000000001</v>
      </c>
      <c r="W598" s="584">
        <f t="shared" si="1255"/>
        <v>8.5640000000000001</v>
      </c>
      <c r="X598" s="584">
        <f t="shared" si="1255"/>
        <v>9.1590000000000007</v>
      </c>
      <c r="Y598" s="584">
        <f t="shared" si="1255"/>
        <v>9.4339999999999993</v>
      </c>
      <c r="Z598" s="775">
        <f t="shared" si="1255"/>
        <v>35.345999999999997</v>
      </c>
      <c r="AA598" s="584">
        <f t="shared" si="1255"/>
        <v>10.151</v>
      </c>
      <c r="AB598" s="584">
        <f t="shared" si="1255"/>
        <v>10.662000000000001</v>
      </c>
      <c r="AC598" s="584">
        <f t="shared" si="1255"/>
        <v>10.656000000000001</v>
      </c>
      <c r="AD598" s="584">
        <f t="shared" si="1255"/>
        <v>9.7289999999999992</v>
      </c>
      <c r="AE598" s="775">
        <f t="shared" si="1255"/>
        <v>41.198</v>
      </c>
      <c r="AF598" s="584">
        <f t="shared" si="1255"/>
        <v>10.028</v>
      </c>
      <c r="AG598" s="584">
        <f t="shared" si="1255"/>
        <v>10.509</v>
      </c>
      <c r="AH598" s="584">
        <f t="shared" si="1255"/>
        <v>10.712999999999999</v>
      </c>
      <c r="AI598" s="584">
        <f t="shared" ref="AI598:BN598" si="1256">AI229</f>
        <v>11.557000000000002</v>
      </c>
      <c r="AJ598" s="775">
        <f t="shared" si="1256"/>
        <v>42.807000000000002</v>
      </c>
      <c r="AK598" s="584">
        <f t="shared" si="1256"/>
        <v>11.875999999999999</v>
      </c>
      <c r="AL598" s="584">
        <f t="shared" si="1256"/>
        <v>12.24</v>
      </c>
      <c r="AM598" s="584">
        <f t="shared" si="1256"/>
        <v>12.391</v>
      </c>
      <c r="AN598" s="584">
        <f t="shared" si="1256"/>
        <v>12.849000000000004</v>
      </c>
      <c r="AO598" s="775">
        <f t="shared" si="1256"/>
        <v>49.356000000000002</v>
      </c>
      <c r="AP598" s="584">
        <f t="shared" si="1256"/>
        <v>12.358000000000001</v>
      </c>
      <c r="AQ598" s="584">
        <f t="shared" si="1256"/>
        <v>12.582000000000001</v>
      </c>
      <c r="AR598" s="584">
        <f t="shared" si="1256"/>
        <v>12.544</v>
      </c>
      <c r="AS598" s="584">
        <f t="shared" si="1256"/>
        <v>13.125</v>
      </c>
      <c r="AT598" s="775">
        <f t="shared" si="1256"/>
        <v>50.609000000000002</v>
      </c>
      <c r="AU598" s="584">
        <f t="shared" si="1256"/>
        <v>13.083</v>
      </c>
      <c r="AV598" s="584">
        <f t="shared" si="1256"/>
        <v>12.833</v>
      </c>
      <c r="AW598" s="584">
        <f t="shared" si="1256"/>
        <v>12.627000000000001</v>
      </c>
      <c r="AX598" s="584">
        <f t="shared" si="1256"/>
        <v>17.14</v>
      </c>
      <c r="AY598" s="775">
        <f t="shared" si="1256"/>
        <v>55.683</v>
      </c>
      <c r="AZ598" s="584">
        <f t="shared" si="1256"/>
        <v>11.49</v>
      </c>
      <c r="BA598" s="584">
        <f t="shared" si="1256"/>
        <v>11.257999999999999</v>
      </c>
      <c r="BB598" s="584">
        <f t="shared" si="1256"/>
        <v>11.417</v>
      </c>
      <c r="BC598" s="584">
        <f t="shared" si="1256"/>
        <v>10.686999999999999</v>
      </c>
      <c r="BD598" s="775">
        <f t="shared" si="1256"/>
        <v>44.851999999999997</v>
      </c>
      <c r="BE598" s="584">
        <f t="shared" si="1256"/>
        <v>10.805</v>
      </c>
      <c r="BF598" s="584">
        <f t="shared" si="1256"/>
        <v>10.615</v>
      </c>
      <c r="BG598" s="584">
        <f t="shared" si="1256"/>
        <v>10.461</v>
      </c>
      <c r="BH598" s="584">
        <f t="shared" ref="BH598:BM598" si="1257">BH229</f>
        <v>10.303000000000001</v>
      </c>
      <c r="BI598" s="775">
        <f t="shared" si="1257"/>
        <v>42.183999999999997</v>
      </c>
      <c r="BJ598" s="584">
        <f>BJ229</f>
        <v>9.93</v>
      </c>
      <c r="BK598" s="584">
        <f>BK229</f>
        <v>9.5850000000000009</v>
      </c>
      <c r="BL598" s="585">
        <f>BL229</f>
        <v>9.3260000000000005</v>
      </c>
      <c r="BM598" s="584">
        <f t="shared" si="1257"/>
        <v>10.563070491803279</v>
      </c>
      <c r="BN598" s="775">
        <f t="shared" si="1256"/>
        <v>39.404070491803282</v>
      </c>
      <c r="BO598" s="584">
        <f t="shared" ref="BO598:BV598" si="1258">BO229</f>
        <v>9.4503611183471818</v>
      </c>
      <c r="BP598" s="584">
        <f t="shared" si="1258"/>
        <v>9.644228431546944</v>
      </c>
      <c r="BQ598" s="584">
        <f t="shared" si="1258"/>
        <v>9.8150754784294971</v>
      </c>
      <c r="BR598" s="584">
        <f t="shared" si="1258"/>
        <v>9.8578734077809695</v>
      </c>
      <c r="BS598" s="775">
        <f t="shared" si="1258"/>
        <v>38.767538436104594</v>
      </c>
      <c r="BT598" s="775">
        <f t="shared" si="1258"/>
        <v>39.255514549488026</v>
      </c>
      <c r="BU598" s="775">
        <f t="shared" si="1258"/>
        <v>39.911809422727721</v>
      </c>
      <c r="BV598" s="775">
        <f t="shared" si="1258"/>
        <v>40.197349037150012</v>
      </c>
      <c r="BW598" s="318"/>
    </row>
    <row r="599" spans="1:75" s="444" customFormat="1">
      <c r="A599" s="28" t="s">
        <v>508</v>
      </c>
      <c r="B599" s="30"/>
      <c r="C599" s="775">
        <f t="shared" ref="C599:AH599" si="1259">-C370</f>
        <v>1.62</v>
      </c>
      <c r="D599" s="775">
        <f t="shared" si="1259"/>
        <v>4.8000000000000007</v>
      </c>
      <c r="E599" s="775">
        <f t="shared" si="1259"/>
        <v>7.3040000000000003</v>
      </c>
      <c r="F599" s="775">
        <f t="shared" si="1259"/>
        <v>10.454000000000001</v>
      </c>
      <c r="G599" s="584">
        <f t="shared" si="1259"/>
        <v>1.9119999999999999</v>
      </c>
      <c r="H599" s="584">
        <f t="shared" si="1259"/>
        <v>5.1930000000000005</v>
      </c>
      <c r="I599" s="584">
        <f t="shared" si="1259"/>
        <v>5.7070000000000007</v>
      </c>
      <c r="J599" s="584">
        <f t="shared" si="1259"/>
        <v>8.2869999999999973</v>
      </c>
      <c r="K599" s="775">
        <f t="shared" si="1259"/>
        <v>21.098999999999997</v>
      </c>
      <c r="L599" s="584">
        <f t="shared" si="1259"/>
        <v>5.838000000000001</v>
      </c>
      <c r="M599" s="584">
        <f t="shared" si="1259"/>
        <v>5.7009999999999987</v>
      </c>
      <c r="N599" s="584">
        <f t="shared" si="1259"/>
        <v>10.507000000000001</v>
      </c>
      <c r="O599" s="584">
        <f t="shared" si="1259"/>
        <v>20.081</v>
      </c>
      <c r="P599" s="775">
        <f t="shared" si="1259"/>
        <v>42.126999999999995</v>
      </c>
      <c r="Q599" s="584">
        <f t="shared" si="1259"/>
        <v>14.391</v>
      </c>
      <c r="R599" s="584">
        <f t="shared" si="1259"/>
        <v>9.9939999999999998</v>
      </c>
      <c r="S599" s="584">
        <f t="shared" si="1259"/>
        <v>10.277999999999999</v>
      </c>
      <c r="T599" s="584">
        <f t="shared" si="1259"/>
        <v>8.8449999999999989</v>
      </c>
      <c r="U599" s="775">
        <f t="shared" si="1259"/>
        <v>43.507999999999996</v>
      </c>
      <c r="V599" s="584">
        <f t="shared" si="1259"/>
        <v>10.77</v>
      </c>
      <c r="W599" s="584">
        <f t="shared" si="1259"/>
        <v>8.8230000000000004</v>
      </c>
      <c r="X599" s="584">
        <f t="shared" si="1259"/>
        <v>8.9799999999999969</v>
      </c>
      <c r="Y599" s="584">
        <f t="shared" si="1259"/>
        <v>8.7910000000000021</v>
      </c>
      <c r="Z599" s="775">
        <f t="shared" si="1259"/>
        <v>37.363999999999997</v>
      </c>
      <c r="AA599" s="584">
        <f t="shared" si="1259"/>
        <v>6.66</v>
      </c>
      <c r="AB599" s="584">
        <f t="shared" si="1259"/>
        <v>5.448999999999999</v>
      </c>
      <c r="AC599" s="584">
        <f t="shared" si="1259"/>
        <v>8.0190000000000019</v>
      </c>
      <c r="AD599" s="584">
        <f t="shared" si="1259"/>
        <v>10.117000000000001</v>
      </c>
      <c r="AE599" s="775">
        <f t="shared" si="1259"/>
        <v>30.245000000000001</v>
      </c>
      <c r="AF599" s="584">
        <f t="shared" si="1259"/>
        <v>15.625</v>
      </c>
      <c r="AG599" s="584">
        <f t="shared" si="1259"/>
        <v>9.532</v>
      </c>
      <c r="AH599" s="584">
        <f t="shared" si="1259"/>
        <v>8.7800000000000011</v>
      </c>
      <c r="AI599" s="584">
        <f t="shared" ref="AI599:AV599" si="1260">-AI370</f>
        <v>11.035</v>
      </c>
      <c r="AJ599" s="775">
        <f t="shared" si="1260"/>
        <v>44.972000000000001</v>
      </c>
      <c r="AK599" s="584">
        <f t="shared" si="1260"/>
        <v>8.9909999999999997</v>
      </c>
      <c r="AL599" s="584">
        <f t="shared" si="1260"/>
        <v>10.222999999999999</v>
      </c>
      <c r="AM599" s="584">
        <f t="shared" si="1260"/>
        <v>10.736000000000001</v>
      </c>
      <c r="AN599" s="584">
        <f t="shared" si="1260"/>
        <v>7.5719999999999992</v>
      </c>
      <c r="AO599" s="775">
        <f t="shared" si="1260"/>
        <v>37.521999999999998</v>
      </c>
      <c r="AP599" s="584">
        <f t="shared" si="1260"/>
        <v>7.0529999999999999</v>
      </c>
      <c r="AQ599" s="584">
        <f t="shared" si="1260"/>
        <v>9.9510000000000005</v>
      </c>
      <c r="AR599" s="584">
        <f t="shared" si="1260"/>
        <v>7.0679999999999978</v>
      </c>
      <c r="AS599" s="584">
        <f t="shared" si="1260"/>
        <v>14.059000000000003</v>
      </c>
      <c r="AT599" s="775">
        <f t="shared" si="1260"/>
        <v>38.131</v>
      </c>
      <c r="AU599" s="584">
        <f t="shared" si="1260"/>
        <v>6.0049999999999999</v>
      </c>
      <c r="AV599" s="584">
        <f t="shared" si="1260"/>
        <v>7.2809999999999997</v>
      </c>
      <c r="AW599" s="584">
        <f t="shared" ref="AW599:BB599" si="1261">-AW370</f>
        <v>8.3140000000000018</v>
      </c>
      <c r="AX599" s="584">
        <f t="shared" si="1261"/>
        <v>6.6819999999999986</v>
      </c>
      <c r="AY599" s="775">
        <f t="shared" si="1261"/>
        <v>28.282</v>
      </c>
      <c r="AZ599" s="584">
        <f t="shared" si="1261"/>
        <v>6.6360000000000001</v>
      </c>
      <c r="BA599" s="584">
        <f t="shared" si="1261"/>
        <v>7.8619999999999992</v>
      </c>
      <c r="BB599" s="584">
        <f t="shared" si="1261"/>
        <v>5.6059999999999999</v>
      </c>
      <c r="BC599" s="584">
        <f t="shared" ref="BC599:BN599" si="1262">-BC370</f>
        <v>11.875</v>
      </c>
      <c r="BD599" s="775">
        <f t="shared" si="1262"/>
        <v>31.978999999999999</v>
      </c>
      <c r="BE599" s="584">
        <f t="shared" ref="BE599:BM599" si="1263">-BE370</f>
        <v>7.5179999999999998</v>
      </c>
      <c r="BF599" s="584">
        <f t="shared" si="1263"/>
        <v>7.6350000000000007</v>
      </c>
      <c r="BG599" s="584">
        <f t="shared" si="1263"/>
        <v>5.697000000000001</v>
      </c>
      <c r="BH599" s="584">
        <f t="shared" si="1263"/>
        <v>5.9969999999999999</v>
      </c>
      <c r="BI599" s="775">
        <f t="shared" si="1263"/>
        <v>26.847000000000001</v>
      </c>
      <c r="BJ599" s="584">
        <f>-BJ370</f>
        <v>6.9870000000000001</v>
      </c>
      <c r="BK599" s="584">
        <f>-BK370</f>
        <v>9.5870000000000015</v>
      </c>
      <c r="BL599" s="585">
        <f>-BL370</f>
        <v>9.7629999999999981</v>
      </c>
      <c r="BM599" s="584">
        <f t="shared" si="1263"/>
        <v>11</v>
      </c>
      <c r="BN599" s="775">
        <f t="shared" si="1262"/>
        <v>37.337000000000003</v>
      </c>
      <c r="BO599" s="584">
        <f t="shared" ref="BO599:BV599" si="1264">-BO370</f>
        <v>10</v>
      </c>
      <c r="BP599" s="584">
        <f t="shared" si="1264"/>
        <v>10</v>
      </c>
      <c r="BQ599" s="584">
        <f t="shared" si="1264"/>
        <v>10</v>
      </c>
      <c r="BR599" s="584">
        <f t="shared" si="1264"/>
        <v>10</v>
      </c>
      <c r="BS599" s="775">
        <f t="shared" si="1264"/>
        <v>40</v>
      </c>
      <c r="BT599" s="775">
        <f t="shared" si="1264"/>
        <v>40</v>
      </c>
      <c r="BU599" s="775">
        <f t="shared" si="1264"/>
        <v>40</v>
      </c>
      <c r="BV599" s="775">
        <f t="shared" si="1264"/>
        <v>40</v>
      </c>
      <c r="BW599" s="318"/>
    </row>
    <row r="600" spans="1:75" s="444" customFormat="1">
      <c r="A600" s="288" t="s">
        <v>509</v>
      </c>
      <c r="B600" s="530"/>
      <c r="C600" s="709"/>
      <c r="D600" s="709">
        <f t="shared" ref="D600:AV600" si="1265">IFERROR(D589/D599,"n/a")</f>
        <v>0</v>
      </c>
      <c r="E600" s="709">
        <f t="shared" si="1265"/>
        <v>0</v>
      </c>
      <c r="F600" s="709">
        <f t="shared" si="1265"/>
        <v>0</v>
      </c>
      <c r="G600" s="366">
        <f t="shared" si="1265"/>
        <v>0</v>
      </c>
      <c r="H600" s="366">
        <f t="shared" si="1265"/>
        <v>0</v>
      </c>
      <c r="I600" s="366">
        <f t="shared" si="1265"/>
        <v>0</v>
      </c>
      <c r="J600" s="366">
        <f t="shared" si="1265"/>
        <v>0</v>
      </c>
      <c r="K600" s="709">
        <f t="shared" si="1265"/>
        <v>0</v>
      </c>
      <c r="L600" s="366">
        <f t="shared" si="1265"/>
        <v>0</v>
      </c>
      <c r="M600" s="366">
        <f t="shared" si="1265"/>
        <v>0</v>
      </c>
      <c r="N600" s="366">
        <f t="shared" si="1265"/>
        <v>0.12696297706291043</v>
      </c>
      <c r="O600" s="366">
        <f t="shared" si="1265"/>
        <v>1.9421343558587715E-2</v>
      </c>
      <c r="P600" s="709">
        <f t="shared" si="1265"/>
        <v>4.0923873050537664E-2</v>
      </c>
      <c r="Q600" s="366">
        <f t="shared" si="1265"/>
        <v>2.1819192550899869E-2</v>
      </c>
      <c r="R600" s="366">
        <f t="shared" si="1265"/>
        <v>0</v>
      </c>
      <c r="S600" s="366">
        <f t="shared" si="1265"/>
        <v>3.2399299474605958E-2</v>
      </c>
      <c r="T600" s="366">
        <f t="shared" si="1265"/>
        <v>0</v>
      </c>
      <c r="U600" s="709">
        <f t="shared" si="1265"/>
        <v>1.4870828353406272E-2</v>
      </c>
      <c r="V600" s="366">
        <f t="shared" si="1265"/>
        <v>0</v>
      </c>
      <c r="W600" s="366">
        <f t="shared" si="1265"/>
        <v>1.8361101666099965E-2</v>
      </c>
      <c r="X600" s="366">
        <f t="shared" si="1265"/>
        <v>1.893095768374164E-3</v>
      </c>
      <c r="Y600" s="366">
        <f t="shared" si="1265"/>
        <v>0</v>
      </c>
      <c r="Z600" s="709">
        <f t="shared" si="1265"/>
        <v>4.790707633015737E-3</v>
      </c>
      <c r="AA600" s="366">
        <f t="shared" si="1265"/>
        <v>0</v>
      </c>
      <c r="AB600" s="366">
        <f t="shared" si="1265"/>
        <v>0</v>
      </c>
      <c r="AC600" s="366">
        <f t="shared" si="1265"/>
        <v>0</v>
      </c>
      <c r="AD600" s="366">
        <f t="shared" si="1265"/>
        <v>0</v>
      </c>
      <c r="AE600" s="709">
        <f t="shared" si="1265"/>
        <v>0</v>
      </c>
      <c r="AF600" s="366">
        <f t="shared" si="1265"/>
        <v>0</v>
      </c>
      <c r="AG600" s="366">
        <f t="shared" si="1265"/>
        <v>0</v>
      </c>
      <c r="AH600" s="366">
        <f t="shared" si="1265"/>
        <v>0</v>
      </c>
      <c r="AI600" s="366">
        <f t="shared" si="1265"/>
        <v>0</v>
      </c>
      <c r="AJ600" s="709">
        <f t="shared" si="1265"/>
        <v>0</v>
      </c>
      <c r="AK600" s="366">
        <f t="shared" si="1265"/>
        <v>0</v>
      </c>
      <c r="AL600" s="366">
        <f t="shared" si="1265"/>
        <v>0</v>
      </c>
      <c r="AM600" s="366">
        <f t="shared" si="1265"/>
        <v>0</v>
      </c>
      <c r="AN600" s="366">
        <f t="shared" si="1265"/>
        <v>0</v>
      </c>
      <c r="AO600" s="709">
        <f t="shared" si="1265"/>
        <v>0</v>
      </c>
      <c r="AP600" s="366">
        <f t="shared" si="1265"/>
        <v>0</v>
      </c>
      <c r="AQ600" s="366">
        <f t="shared" si="1265"/>
        <v>0</v>
      </c>
      <c r="AR600" s="366">
        <f t="shared" si="1265"/>
        <v>0</v>
      </c>
      <c r="AS600" s="366">
        <f t="shared" si="1265"/>
        <v>0.43594850273845925</v>
      </c>
      <c r="AT600" s="709">
        <f t="shared" si="1265"/>
        <v>0.16073535968109937</v>
      </c>
      <c r="AU600" s="366">
        <f t="shared" si="1265"/>
        <v>0</v>
      </c>
      <c r="AV600" s="366">
        <f t="shared" si="1265"/>
        <v>0</v>
      </c>
      <c r="AW600" s="366">
        <f>IFERROR(AW589/AW599,"n/a")</f>
        <v>0</v>
      </c>
      <c r="AX600" s="366">
        <f>IFERROR(AX589/AX599,"n/a")</f>
        <v>0</v>
      </c>
      <c r="AY600" s="709">
        <f>AVERAGE(AU600,AV600,AW600,AX600)</f>
        <v>0</v>
      </c>
      <c r="AZ600" s="366">
        <f>IFERROR(AZ589/AZ599,"n/a")</f>
        <v>0</v>
      </c>
      <c r="BA600" s="366">
        <f>IFERROR(BA589/BA599,"n/a")</f>
        <v>0</v>
      </c>
      <c r="BB600" s="366">
        <f>IFERROR(BB589/BB599,"n/a")</f>
        <v>0</v>
      </c>
      <c r="BC600" s="366">
        <f>IFERROR(BC589/BC599,"n/a")</f>
        <v>0</v>
      </c>
      <c r="BD600" s="709">
        <f>AVERAGE(AZ600,BA600,BB600,BC600)</f>
        <v>0</v>
      </c>
      <c r="BE600" s="366">
        <f>IFERROR(BE589/BE599,"n/a")</f>
        <v>0</v>
      </c>
      <c r="BF600" s="366">
        <f>IFERROR(BF589/BF599,"n/a")</f>
        <v>0</v>
      </c>
      <c r="BG600" s="366">
        <f>IFERROR(BG589/BG599,"n/a")</f>
        <v>0</v>
      </c>
      <c r="BH600" s="366">
        <f>IFERROR(BH589/BH599,"n/a")</f>
        <v>0</v>
      </c>
      <c r="BI600" s="709">
        <f>AVERAGE(BE600,BF600,BG600,BH600)</f>
        <v>0</v>
      </c>
      <c r="BJ600" s="366">
        <f>IFERROR(BJ589/BJ599,"n/a")</f>
        <v>0</v>
      </c>
      <c r="BK600" s="366">
        <f>IFERROR(BK589/BK599,"n/a")</f>
        <v>0</v>
      </c>
      <c r="BL600" s="399">
        <f>IFERROR(BL589/BL599,"n/a")</f>
        <v>0</v>
      </c>
      <c r="BM600" s="649">
        <v>0</v>
      </c>
      <c r="BN600" s="709">
        <f>IF(OR(ISBLANK(BJ600),ISBLANK(BK600),ISBLANK(BL600),ISBLANK(BM600)),"n/a",AVERAGE(BJ600,BK600,BL600,BM600))</f>
        <v>0</v>
      </c>
      <c r="BO600" s="649">
        <v>0</v>
      </c>
      <c r="BP600" s="649">
        <v>0</v>
      </c>
      <c r="BQ600" s="649">
        <v>0</v>
      </c>
      <c r="BR600" s="649">
        <v>0</v>
      </c>
      <c r="BS600" s="709">
        <f>IF(OR(ISBLANK(BO600),ISBLANK(BP600),ISBLANK(BQ600),ISBLANK(BR600)),"n/a",AVERAGE(BO600,BP600,BQ600,BR600))</f>
        <v>0</v>
      </c>
      <c r="BT600" s="777">
        <v>0</v>
      </c>
      <c r="BU600" s="777">
        <v>0</v>
      </c>
      <c r="BV600" s="777">
        <v>0</v>
      </c>
      <c r="BW600" s="318"/>
    </row>
    <row r="601" spans="1:75" s="444" customFormat="1">
      <c r="A601" s="31"/>
      <c r="B601" s="53"/>
      <c r="C601" s="762"/>
      <c r="D601" s="762"/>
      <c r="E601" s="762"/>
      <c r="F601" s="762"/>
      <c r="G601" s="525"/>
      <c r="H601" s="525"/>
      <c r="I601" s="525"/>
      <c r="J601" s="525"/>
      <c r="K601" s="762"/>
      <c r="L601" s="525"/>
      <c r="M601" s="525"/>
      <c r="N601" s="525"/>
      <c r="O601" s="525"/>
      <c r="P601" s="762"/>
      <c r="Q601" s="525"/>
      <c r="R601" s="525"/>
      <c r="S601" s="525"/>
      <c r="T601" s="525"/>
      <c r="U601" s="762"/>
      <c r="V601" s="525"/>
      <c r="W601" s="525"/>
      <c r="X601" s="525"/>
      <c r="Y601" s="525"/>
      <c r="Z601" s="762"/>
      <c r="AA601" s="525"/>
      <c r="AB601" s="525"/>
      <c r="AC601" s="525"/>
      <c r="AD601" s="525"/>
      <c r="AE601" s="762"/>
      <c r="AF601" s="525"/>
      <c r="AG601" s="525"/>
      <c r="AH601" s="525"/>
      <c r="AI601" s="525"/>
      <c r="AJ601" s="762"/>
      <c r="AK601" s="525"/>
      <c r="AL601" s="525"/>
      <c r="AM601" s="525"/>
      <c r="AN601" s="525"/>
      <c r="AO601" s="762"/>
      <c r="AP601" s="525"/>
      <c r="AQ601" s="525"/>
      <c r="AR601" s="525"/>
      <c r="AS601" s="525"/>
      <c r="AT601" s="762"/>
      <c r="AU601" s="525"/>
      <c r="AV601" s="525"/>
      <c r="AW601" s="525"/>
      <c r="AX601" s="525"/>
      <c r="AY601" s="762"/>
      <c r="AZ601" s="525"/>
      <c r="BA601" s="525"/>
      <c r="BB601" s="525"/>
      <c r="BC601" s="525"/>
      <c r="BD601" s="762"/>
      <c r="BE601" s="525"/>
      <c r="BF601" s="525"/>
      <c r="BG601" s="525"/>
      <c r="BH601" s="525"/>
      <c r="BI601" s="762"/>
      <c r="BJ601" s="525"/>
      <c r="BK601" s="525"/>
      <c r="BL601" s="581"/>
      <c r="BM601" s="525"/>
      <c r="BN601" s="762"/>
      <c r="BO601" s="525"/>
      <c r="BP601" s="525"/>
      <c r="BQ601" s="525"/>
      <c r="BR601" s="525"/>
      <c r="BS601" s="762"/>
      <c r="BT601" s="762"/>
      <c r="BU601" s="762"/>
      <c r="BV601" s="762"/>
      <c r="BW601" s="318"/>
    </row>
    <row r="602" spans="1:75" s="444" customFormat="1">
      <c r="A602" s="517" t="s">
        <v>510</v>
      </c>
      <c r="B602" s="517"/>
      <c r="C602" s="517"/>
      <c r="D602" s="517"/>
      <c r="E602" s="517"/>
      <c r="F602" s="517"/>
      <c r="G602" s="517"/>
      <c r="H602" s="517"/>
      <c r="I602" s="517"/>
      <c r="J602" s="517"/>
      <c r="K602" s="517"/>
      <c r="L602" s="517"/>
      <c r="M602" s="517"/>
      <c r="N602" s="517"/>
      <c r="O602" s="517"/>
      <c r="P602" s="517"/>
      <c r="Q602" s="517"/>
      <c r="R602" s="517"/>
      <c r="S602" s="517"/>
      <c r="T602" s="517"/>
      <c r="U602" s="517"/>
      <c r="V602" s="517"/>
      <c r="W602" s="517"/>
      <c r="X602" s="517"/>
      <c r="Y602" s="517"/>
      <c r="Z602" s="517"/>
      <c r="AA602" s="517"/>
      <c r="AB602" s="517"/>
      <c r="AC602" s="517"/>
      <c r="AD602" s="517"/>
      <c r="AE602" s="517"/>
      <c r="AF602" s="517"/>
      <c r="AG602" s="517"/>
      <c r="AH602" s="517"/>
      <c r="AI602" s="517"/>
      <c r="AJ602" s="517"/>
      <c r="AK602" s="517"/>
      <c r="AL602" s="517"/>
      <c r="AM602" s="517"/>
      <c r="AN602" s="517"/>
      <c r="AO602" s="517"/>
      <c r="AP602" s="517"/>
      <c r="AQ602" s="517"/>
      <c r="AR602" s="517"/>
      <c r="AS602" s="517"/>
      <c r="AT602" s="517"/>
      <c r="AU602" s="517"/>
      <c r="AV602" s="517"/>
      <c r="AW602" s="517"/>
      <c r="AX602" s="517"/>
      <c r="AY602" s="517"/>
      <c r="AZ602" s="517"/>
      <c r="BA602" s="517"/>
      <c r="BB602" s="517"/>
      <c r="BC602" s="517"/>
      <c r="BD602" s="517"/>
      <c r="BE602" s="517"/>
      <c r="BF602" s="517"/>
      <c r="BG602" s="517"/>
      <c r="BH602" s="517"/>
      <c r="BI602" s="517"/>
      <c r="BJ602" s="517"/>
      <c r="BK602" s="517"/>
      <c r="BL602" s="562"/>
      <c r="BM602" s="517"/>
      <c r="BN602" s="517"/>
      <c r="BO602" s="517"/>
      <c r="BP602" s="517"/>
      <c r="BQ602" s="517"/>
      <c r="BR602" s="517"/>
      <c r="BS602" s="517"/>
      <c r="BT602" s="517"/>
      <c r="BU602" s="517"/>
      <c r="BV602" s="517"/>
      <c r="BW602" s="318"/>
    </row>
    <row r="603" spans="1:75" s="444" customFormat="1">
      <c r="A603" s="28" t="s">
        <v>511</v>
      </c>
      <c r="B603" s="30"/>
      <c r="C603" s="700"/>
      <c r="D603" s="700"/>
      <c r="E603" s="700"/>
      <c r="F603" s="700"/>
      <c r="G603" s="523"/>
      <c r="H603" s="523"/>
      <c r="I603" s="523"/>
      <c r="J603" s="523"/>
      <c r="K603" s="700"/>
      <c r="L603" s="523"/>
      <c r="M603" s="523"/>
      <c r="N603" s="523"/>
      <c r="O603" s="523"/>
      <c r="P603" s="700"/>
      <c r="Q603" s="523"/>
      <c r="R603" s="523"/>
      <c r="S603" s="523"/>
      <c r="T603" s="523"/>
      <c r="U603" s="700"/>
      <c r="V603" s="523"/>
      <c r="W603" s="523"/>
      <c r="X603" s="523"/>
      <c r="Y603" s="523"/>
      <c r="Z603" s="700"/>
      <c r="AA603" s="523"/>
      <c r="AB603" s="523"/>
      <c r="AC603" s="523"/>
      <c r="AD603" s="523"/>
      <c r="AE603" s="700"/>
      <c r="AF603" s="523"/>
      <c r="AG603" s="523"/>
      <c r="AH603" s="523"/>
      <c r="AI603" s="523"/>
      <c r="AJ603" s="700"/>
      <c r="AK603" s="523"/>
      <c r="AL603" s="523"/>
      <c r="AM603" s="523"/>
      <c r="AN603" s="523"/>
      <c r="AO603" s="700"/>
      <c r="AP603" s="523"/>
      <c r="AQ603" s="523"/>
      <c r="AR603" s="523"/>
      <c r="AS603" s="523"/>
      <c r="AT603" s="700"/>
      <c r="AU603" s="523"/>
      <c r="AV603" s="523"/>
      <c r="AW603" s="523"/>
      <c r="AX603" s="523"/>
      <c r="AY603" s="700"/>
      <c r="AZ603" s="523"/>
      <c r="BA603" s="523"/>
      <c r="BB603" s="523"/>
      <c r="BC603" s="523"/>
      <c r="BD603" s="700"/>
      <c r="BE603" s="523"/>
      <c r="BF603" s="523"/>
      <c r="BG603" s="523"/>
      <c r="BH603" s="523"/>
      <c r="BI603" s="700"/>
      <c r="BJ603" s="523"/>
      <c r="BK603" s="523"/>
      <c r="BL603" s="563"/>
      <c r="BM603" s="523"/>
      <c r="BN603" s="700"/>
      <c r="BO603" s="523"/>
      <c r="BP603" s="523"/>
      <c r="BQ603" s="523"/>
      <c r="BR603" s="523"/>
      <c r="BS603" s="700"/>
      <c r="BT603" s="700"/>
      <c r="BU603" s="700"/>
      <c r="BV603" s="700"/>
      <c r="BW603" s="318"/>
    </row>
    <row r="604" spans="1:75" s="439" customFormat="1">
      <c r="A604" s="31" t="s">
        <v>512</v>
      </c>
      <c r="B604" s="53"/>
      <c r="C604" s="675">
        <v>15.074</v>
      </c>
      <c r="D604" s="675">
        <v>27.074000000000002</v>
      </c>
      <c r="E604" s="675">
        <v>21.736000000000001</v>
      </c>
      <c r="F604" s="675">
        <v>95.123999999999995</v>
      </c>
      <c r="G604" s="609">
        <v>94.498000000000005</v>
      </c>
      <c r="H604" s="609">
        <v>96.795000000000002</v>
      </c>
      <c r="I604" s="609">
        <v>101.214</v>
      </c>
      <c r="J604" s="518">
        <f>K604</f>
        <v>389.76400000000001</v>
      </c>
      <c r="K604" s="675">
        <v>389.76400000000001</v>
      </c>
      <c r="L604" s="609">
        <v>399.32</v>
      </c>
      <c r="M604" s="609">
        <v>290.38600000000002</v>
      </c>
      <c r="N604" s="609">
        <v>290.56700000000001</v>
      </c>
      <c r="O604" s="518">
        <f>P604</f>
        <v>247.31200000000001</v>
      </c>
      <c r="P604" s="675">
        <v>247.31200000000001</v>
      </c>
      <c r="Q604" s="609">
        <v>172.62899999999999</v>
      </c>
      <c r="R604" s="609">
        <v>181.46</v>
      </c>
      <c r="S604" s="609">
        <v>171.80699999999999</v>
      </c>
      <c r="T604" s="518">
        <f>U604</f>
        <v>171.613</v>
      </c>
      <c r="U604" s="675">
        <v>171.613</v>
      </c>
      <c r="V604" s="609">
        <v>183.505</v>
      </c>
      <c r="W604" s="609">
        <v>196.29499999999999</v>
      </c>
      <c r="X604" s="609">
        <v>224.89099999999999</v>
      </c>
      <c r="Y604" s="609">
        <v>272.20100000000002</v>
      </c>
      <c r="Z604" s="89">
        <f>Y604</f>
        <v>272.20100000000002</v>
      </c>
      <c r="AA604" s="609">
        <v>272.279</v>
      </c>
      <c r="AB604" s="609">
        <v>319.75400000000002</v>
      </c>
      <c r="AC604" s="609">
        <v>362.40100000000001</v>
      </c>
      <c r="AD604" s="518">
        <f t="shared" ref="AD604:AD609" si="1266">AE604</f>
        <v>547.85</v>
      </c>
      <c r="AE604" s="675">
        <v>547.85</v>
      </c>
      <c r="AF604" s="609">
        <v>392.33499999999998</v>
      </c>
      <c r="AG604" s="609">
        <v>389.416</v>
      </c>
      <c r="AH604" s="609">
        <v>423.495</v>
      </c>
      <c r="AI604" s="518">
        <f t="shared" ref="AI604:AI609" si="1267">AJ604</f>
        <v>332.76400000000001</v>
      </c>
      <c r="AJ604" s="675">
        <v>332.76400000000001</v>
      </c>
      <c r="AK604" s="609">
        <v>295.27600000000001</v>
      </c>
      <c r="AL604" s="609">
        <v>139.464</v>
      </c>
      <c r="AM604" s="609">
        <v>123.402</v>
      </c>
      <c r="AN604" s="518">
        <f t="shared" ref="AN604:AN609" si="1268">AO604</f>
        <v>170.28100000000001</v>
      </c>
      <c r="AO604" s="675">
        <v>170.28100000000001</v>
      </c>
      <c r="AP604" s="609">
        <v>364.57600000000002</v>
      </c>
      <c r="AQ604" s="609">
        <v>525.69299999999998</v>
      </c>
      <c r="AR604" s="609">
        <v>590.78899999999999</v>
      </c>
      <c r="AS604" s="518">
        <f t="shared" ref="AS604:AS609" si="1269">AT604</f>
        <v>595.875</v>
      </c>
      <c r="AT604" s="675">
        <v>595.875</v>
      </c>
      <c r="AU604" s="609">
        <v>588.59199999999998</v>
      </c>
      <c r="AV604" s="609">
        <v>558.22699999999998</v>
      </c>
      <c r="AW604" s="609">
        <v>531.62</v>
      </c>
      <c r="AX604" s="518">
        <f t="shared" ref="AX604:AX609" si="1270">AY604</f>
        <v>479.78300000000002</v>
      </c>
      <c r="AY604" s="675">
        <v>479.78300000000002</v>
      </c>
      <c r="AZ604" s="609">
        <v>465.12099999999998</v>
      </c>
      <c r="BA604" s="609">
        <v>421.16199999999998</v>
      </c>
      <c r="BB604" s="609">
        <v>330.97</v>
      </c>
      <c r="BC604" s="518">
        <f t="shared" ref="BC604:BC609" si="1271">BD604</f>
        <v>306.37900000000002</v>
      </c>
      <c r="BD604" s="675">
        <v>306.37900000000002</v>
      </c>
      <c r="BE604" s="609">
        <v>289.298</v>
      </c>
      <c r="BF604" s="609">
        <v>270.25599999999997</v>
      </c>
      <c r="BG604" s="609">
        <v>305.10300000000001</v>
      </c>
      <c r="BH604" s="518">
        <f t="shared" ref="BH604:BH609" si="1272">BI604</f>
        <v>313.911</v>
      </c>
      <c r="BI604" s="675">
        <v>313.911</v>
      </c>
      <c r="BJ604" s="609">
        <v>296.04500000000002</v>
      </c>
      <c r="BK604" s="609">
        <v>252.435</v>
      </c>
      <c r="BL604" s="610">
        <v>261.58800000000002</v>
      </c>
      <c r="BM604" s="518" t="e">
        <f>BL604+BM564</f>
        <v>#REF!</v>
      </c>
      <c r="BN604" s="89" t="e">
        <f>BM604</f>
        <v>#REF!</v>
      </c>
      <c r="BO604" s="518" t="e">
        <f>BN604+BO564</f>
        <v>#REF!</v>
      </c>
      <c r="BP604" s="518" t="e">
        <f>BO604+BP564</f>
        <v>#REF!</v>
      </c>
      <c r="BQ604" s="518" t="e">
        <f>BP604+BQ564</f>
        <v>#REF!</v>
      </c>
      <c r="BR604" s="518" t="e">
        <f>BQ604+BR564</f>
        <v>#REF!</v>
      </c>
      <c r="BS604" s="89" t="e">
        <f>BR604</f>
        <v>#REF!</v>
      </c>
      <c r="BT604" s="89" t="e">
        <f>BS604+BT564</f>
        <v>#REF!</v>
      </c>
      <c r="BU604" s="89" t="e">
        <f>BT604+BU564</f>
        <v>#REF!</v>
      </c>
      <c r="BV604" s="89" t="e">
        <f>BU604+BV564</f>
        <v>#REF!</v>
      </c>
      <c r="BW604" s="519"/>
    </row>
    <row r="605" spans="1:75" s="439" customFormat="1">
      <c r="A605" s="31" t="s">
        <v>513</v>
      </c>
      <c r="B605" s="53"/>
      <c r="C605" s="89"/>
      <c r="D605" s="89"/>
      <c r="E605" s="89"/>
      <c r="F605" s="89"/>
      <c r="G605" s="518"/>
      <c r="H605" s="518"/>
      <c r="I605" s="518"/>
      <c r="J605" s="518">
        <f>K605</f>
        <v>0</v>
      </c>
      <c r="K605" s="89"/>
      <c r="L605" s="518"/>
      <c r="M605" s="518"/>
      <c r="N605" s="518"/>
      <c r="O605" s="518">
        <f>P605</f>
        <v>0</v>
      </c>
      <c r="P605" s="89"/>
      <c r="Q605" s="518"/>
      <c r="R605" s="518"/>
      <c r="S605" s="518"/>
      <c r="T605" s="518">
        <f>U605</f>
        <v>0</v>
      </c>
      <c r="U605" s="89"/>
      <c r="V605" s="518"/>
      <c r="W605" s="518"/>
      <c r="X605" s="518"/>
      <c r="Y605" s="518"/>
      <c r="Z605" s="89">
        <f>Y605</f>
        <v>0</v>
      </c>
      <c r="AA605" s="518"/>
      <c r="AB605" s="518"/>
      <c r="AC605" s="518"/>
      <c r="AD605" s="518">
        <f t="shared" si="1266"/>
        <v>0</v>
      </c>
      <c r="AE605" s="89"/>
      <c r="AF605" s="518"/>
      <c r="AG605" s="518"/>
      <c r="AH605" s="518"/>
      <c r="AI605" s="518">
        <f t="shared" si="1267"/>
        <v>0</v>
      </c>
      <c r="AJ605" s="89"/>
      <c r="AK605" s="518"/>
      <c r="AL605" s="518"/>
      <c r="AM605" s="518"/>
      <c r="AN605" s="518">
        <f t="shared" si="1268"/>
        <v>0</v>
      </c>
      <c r="AO605" s="89"/>
      <c r="AP605" s="518"/>
      <c r="AQ605" s="518"/>
      <c r="AR605" s="518"/>
      <c r="AS605" s="518">
        <f t="shared" si="1269"/>
        <v>0</v>
      </c>
      <c r="AT605" s="89"/>
      <c r="AU605" s="518"/>
      <c r="AV605" s="518"/>
      <c r="AW605" s="518"/>
      <c r="AX605" s="518">
        <f t="shared" si="1270"/>
        <v>0</v>
      </c>
      <c r="AY605" s="89"/>
      <c r="AZ605" s="518"/>
      <c r="BA605" s="518"/>
      <c r="BB605" s="518"/>
      <c r="BC605" s="518">
        <f t="shared" si="1271"/>
        <v>0</v>
      </c>
      <c r="BD605" s="89"/>
      <c r="BE605" s="518"/>
      <c r="BF605" s="518"/>
      <c r="BG605" s="518"/>
      <c r="BH605" s="518">
        <f t="shared" si="1272"/>
        <v>0</v>
      </c>
      <c r="BI605" s="89"/>
      <c r="BJ605" s="518"/>
      <c r="BK605" s="518"/>
      <c r="BL605" s="520"/>
      <c r="BM605" s="518"/>
      <c r="BN605" s="89"/>
      <c r="BO605" s="518"/>
      <c r="BP605" s="518"/>
      <c r="BQ605" s="518"/>
      <c r="BR605" s="518"/>
      <c r="BS605" s="89"/>
      <c r="BT605" s="89"/>
      <c r="BU605" s="89"/>
      <c r="BV605" s="89"/>
      <c r="BW605" s="519"/>
    </row>
    <row r="606" spans="1:75" s="439" customFormat="1">
      <c r="A606" s="31" t="s">
        <v>514</v>
      </c>
      <c r="B606" s="53"/>
      <c r="C606" s="89"/>
      <c r="D606" s="89"/>
      <c r="E606" s="89"/>
      <c r="F606" s="89"/>
      <c r="G606" s="518"/>
      <c r="H606" s="518"/>
      <c r="I606" s="518"/>
      <c r="J606" s="518"/>
      <c r="K606" s="89"/>
      <c r="L606" s="518"/>
      <c r="M606" s="518"/>
      <c r="N606" s="518"/>
      <c r="O606" s="518"/>
      <c r="P606" s="89"/>
      <c r="Q606" s="518"/>
      <c r="R606" s="518"/>
      <c r="S606" s="518"/>
      <c r="T606" s="518"/>
      <c r="U606" s="89"/>
      <c r="V606" s="518"/>
      <c r="W606" s="518"/>
      <c r="X606" s="518"/>
      <c r="Y606" s="518"/>
      <c r="Z606" s="89"/>
      <c r="AA606" s="518"/>
      <c r="AB606" s="518"/>
      <c r="AC606" s="609">
        <v>143.87299999999999</v>
      </c>
      <c r="AD606" s="518">
        <f t="shared" si="1266"/>
        <v>0</v>
      </c>
      <c r="AE606" s="89"/>
      <c r="AF606" s="518"/>
      <c r="AG606" s="518"/>
      <c r="AH606" s="518"/>
      <c r="AI606" s="518">
        <f t="shared" si="1267"/>
        <v>0</v>
      </c>
      <c r="AJ606" s="89"/>
      <c r="AK606" s="518"/>
      <c r="AL606" s="518"/>
      <c r="AM606" s="518"/>
      <c r="AN606" s="518">
        <f t="shared" si="1268"/>
        <v>0</v>
      </c>
      <c r="AO606" s="89"/>
      <c r="AP606" s="518"/>
      <c r="AQ606" s="518"/>
      <c r="AR606" s="518"/>
      <c r="AS606" s="518">
        <f t="shared" si="1269"/>
        <v>0</v>
      </c>
      <c r="AT606" s="89"/>
      <c r="AU606" s="518"/>
      <c r="AV606" s="518"/>
      <c r="AW606" s="518"/>
      <c r="AX606" s="518">
        <f t="shared" si="1270"/>
        <v>0</v>
      </c>
      <c r="AY606" s="89"/>
      <c r="AZ606" s="518"/>
      <c r="BA606" s="518"/>
      <c r="BB606" s="518"/>
      <c r="BC606" s="518">
        <f t="shared" si="1271"/>
        <v>0</v>
      </c>
      <c r="BD606" s="89"/>
      <c r="BE606" s="518"/>
      <c r="BF606" s="518"/>
      <c r="BG606" s="518"/>
      <c r="BH606" s="518">
        <f t="shared" si="1272"/>
        <v>0</v>
      </c>
      <c r="BI606" s="89"/>
      <c r="BJ606" s="518"/>
      <c r="BK606" s="518"/>
      <c r="BL606" s="520"/>
      <c r="BM606" s="518">
        <f>BL606</f>
        <v>0</v>
      </c>
      <c r="BN606" s="89">
        <f t="shared" ref="BN606:BN607" si="1273">BM606</f>
        <v>0</v>
      </c>
      <c r="BO606" s="518">
        <f t="shared" ref="BO606:BV607" si="1274">BN606</f>
        <v>0</v>
      </c>
      <c r="BP606" s="518">
        <f t="shared" si="1274"/>
        <v>0</v>
      </c>
      <c r="BQ606" s="518">
        <f t="shared" si="1274"/>
        <v>0</v>
      </c>
      <c r="BR606" s="518">
        <f t="shared" si="1274"/>
        <v>0</v>
      </c>
      <c r="BS606" s="89">
        <f t="shared" si="1274"/>
        <v>0</v>
      </c>
      <c r="BT606" s="89">
        <f t="shared" si="1274"/>
        <v>0</v>
      </c>
      <c r="BU606" s="89">
        <f t="shared" si="1274"/>
        <v>0</v>
      </c>
      <c r="BV606" s="89">
        <f t="shared" si="1274"/>
        <v>0</v>
      </c>
      <c r="BW606" s="519"/>
    </row>
    <row r="607" spans="1:75" s="439" customFormat="1">
      <c r="A607" s="31" t="s">
        <v>515</v>
      </c>
      <c r="B607" s="53"/>
      <c r="C607" s="89"/>
      <c r="D607" s="89"/>
      <c r="E607" s="89"/>
      <c r="F607" s="89"/>
      <c r="G607" s="518"/>
      <c r="H607" s="518"/>
      <c r="I607" s="518"/>
      <c r="J607" s="518">
        <f>K607</f>
        <v>0</v>
      </c>
      <c r="K607" s="89"/>
      <c r="L607" s="518"/>
      <c r="M607" s="609">
        <v>60.429000000000002</v>
      </c>
      <c r="N607" s="609">
        <v>73.527000000000001</v>
      </c>
      <c r="O607" s="518">
        <f>P607</f>
        <v>118.498</v>
      </c>
      <c r="P607" s="675">
        <v>118.498</v>
      </c>
      <c r="Q607" s="609">
        <v>158.60300000000001</v>
      </c>
      <c r="R607" s="609">
        <v>186.673</v>
      </c>
      <c r="S607" s="609">
        <v>197.13200000000001</v>
      </c>
      <c r="T607" s="518">
        <f>U607</f>
        <v>199.214</v>
      </c>
      <c r="U607" s="675">
        <v>199.214</v>
      </c>
      <c r="V607" s="609">
        <v>191.952</v>
      </c>
      <c r="W607" s="609">
        <v>201.80600000000001</v>
      </c>
      <c r="X607" s="609">
        <v>207.404</v>
      </c>
      <c r="Y607" s="609">
        <v>207.33199999999999</v>
      </c>
      <c r="Z607" s="89">
        <f>Y607</f>
        <v>207.33199999999999</v>
      </c>
      <c r="AA607" s="609">
        <v>213.197</v>
      </c>
      <c r="AB607" s="609">
        <v>192.041</v>
      </c>
      <c r="AC607" s="609">
        <v>195.768</v>
      </c>
      <c r="AD607" s="518">
        <f t="shared" si="1266"/>
        <v>273.36599999999999</v>
      </c>
      <c r="AE607" s="675">
        <v>273.36599999999999</v>
      </c>
      <c r="AF607" s="609">
        <v>422.28300000000002</v>
      </c>
      <c r="AG607" s="609">
        <v>413.94600000000003</v>
      </c>
      <c r="AH607" s="609">
        <v>414.00200000000001</v>
      </c>
      <c r="AI607" s="518">
        <f t="shared" si="1267"/>
        <v>423.096</v>
      </c>
      <c r="AJ607" s="675">
        <v>423.096</v>
      </c>
      <c r="AK607" s="609">
        <v>331.13900000000001</v>
      </c>
      <c r="AL607" s="609">
        <v>272.75400000000002</v>
      </c>
      <c r="AM607" s="609">
        <v>258.41399999999999</v>
      </c>
      <c r="AN607" s="518">
        <f t="shared" si="1268"/>
        <v>242</v>
      </c>
      <c r="AO607" s="675">
        <v>242</v>
      </c>
      <c r="AP607" s="609">
        <v>122.61799999999999</v>
      </c>
      <c r="AQ607" s="609">
        <v>0</v>
      </c>
      <c r="AR607" s="609">
        <v>0</v>
      </c>
      <c r="AS607" s="518">
        <f t="shared" si="1269"/>
        <v>0</v>
      </c>
      <c r="AT607" s="89"/>
      <c r="AU607" s="518"/>
      <c r="AV607" s="518"/>
      <c r="AW607" s="518"/>
      <c r="AX607" s="518">
        <f t="shared" si="1270"/>
        <v>0</v>
      </c>
      <c r="AY607" s="89"/>
      <c r="AZ607" s="518"/>
      <c r="BA607" s="518"/>
      <c r="BB607" s="609">
        <v>90.870999999999995</v>
      </c>
      <c r="BC607" s="518">
        <f t="shared" si="1271"/>
        <v>94.244</v>
      </c>
      <c r="BD607" s="675">
        <v>94.244</v>
      </c>
      <c r="BE607" s="609">
        <v>124.90300000000001</v>
      </c>
      <c r="BF607" s="609">
        <v>126.90900000000001</v>
      </c>
      <c r="BG607" s="609">
        <v>121.468</v>
      </c>
      <c r="BH607" s="518">
        <f t="shared" si="1272"/>
        <v>127.485</v>
      </c>
      <c r="BI607" s="675">
        <v>127.485</v>
      </c>
      <c r="BJ607" s="609">
        <v>124.749</v>
      </c>
      <c r="BK607" s="609">
        <v>132.376</v>
      </c>
      <c r="BL607" s="610">
        <v>135.42599999999999</v>
      </c>
      <c r="BM607" s="518">
        <f>BL607</f>
        <v>135.42599999999999</v>
      </c>
      <c r="BN607" s="89">
        <f t="shared" si="1273"/>
        <v>135.42599999999999</v>
      </c>
      <c r="BO607" s="518">
        <f t="shared" si="1274"/>
        <v>135.42599999999999</v>
      </c>
      <c r="BP607" s="518">
        <f t="shared" si="1274"/>
        <v>135.42599999999999</v>
      </c>
      <c r="BQ607" s="518">
        <f t="shared" si="1274"/>
        <v>135.42599999999999</v>
      </c>
      <c r="BR607" s="518">
        <f t="shared" si="1274"/>
        <v>135.42599999999999</v>
      </c>
      <c r="BS607" s="89">
        <f t="shared" si="1274"/>
        <v>135.42599999999999</v>
      </c>
      <c r="BT607" s="89">
        <f t="shared" si="1274"/>
        <v>135.42599999999999</v>
      </c>
      <c r="BU607" s="89">
        <f t="shared" si="1274"/>
        <v>135.42599999999999</v>
      </c>
      <c r="BV607" s="89">
        <f t="shared" si="1274"/>
        <v>135.42599999999999</v>
      </c>
      <c r="BW607" s="519"/>
    </row>
    <row r="608" spans="1:75" s="439" customFormat="1">
      <c r="A608" s="31" t="s">
        <v>516</v>
      </c>
      <c r="B608" s="53"/>
      <c r="C608" s="89"/>
      <c r="D608" s="89"/>
      <c r="E608" s="675">
        <v>8.2569999999999997</v>
      </c>
      <c r="F608" s="675">
        <v>11.738</v>
      </c>
      <c r="G608" s="609">
        <v>12.327</v>
      </c>
      <c r="H608" s="609">
        <v>14.769</v>
      </c>
      <c r="I608" s="609">
        <v>17.192</v>
      </c>
      <c r="J608" s="518">
        <f>K608</f>
        <v>21.317</v>
      </c>
      <c r="K608" s="675">
        <v>21.317</v>
      </c>
      <c r="L608" s="609">
        <v>21.376000000000001</v>
      </c>
      <c r="M608" s="609">
        <v>25.45</v>
      </c>
      <c r="N608" s="609">
        <v>31.175000000000001</v>
      </c>
      <c r="O608" s="518">
        <f>P608</f>
        <v>35.593000000000004</v>
      </c>
      <c r="P608" s="675">
        <v>35.593000000000004</v>
      </c>
      <c r="Q608" s="609">
        <v>38.969000000000001</v>
      </c>
      <c r="R608" s="609">
        <v>41.338999999999999</v>
      </c>
      <c r="S608" s="609">
        <v>46.942</v>
      </c>
      <c r="T608" s="518">
        <f>U608</f>
        <v>52.755000000000003</v>
      </c>
      <c r="U608" s="675">
        <v>52.755000000000003</v>
      </c>
      <c r="V608" s="609">
        <v>54.774000000000001</v>
      </c>
      <c r="W608" s="609">
        <v>59.887</v>
      </c>
      <c r="X608" s="609">
        <v>66.587999999999994</v>
      </c>
      <c r="Y608" s="609">
        <v>68.724999999999994</v>
      </c>
      <c r="Z608" s="89">
        <f>Y608</f>
        <v>68.724999999999994</v>
      </c>
      <c r="AA608" s="609">
        <v>68.119</v>
      </c>
      <c r="AB608" s="609">
        <v>68.778000000000006</v>
      </c>
      <c r="AC608" s="609">
        <v>68.483000000000004</v>
      </c>
      <c r="AD608" s="518">
        <f t="shared" si="1266"/>
        <v>76.173000000000002</v>
      </c>
      <c r="AE608" s="675">
        <v>76.173000000000002</v>
      </c>
      <c r="AF608" s="609">
        <v>75.533000000000001</v>
      </c>
      <c r="AG608" s="609">
        <v>78.451999999999998</v>
      </c>
      <c r="AH608" s="609">
        <v>81.834999999999994</v>
      </c>
      <c r="AI608" s="518">
        <f t="shared" si="1267"/>
        <v>87.305000000000007</v>
      </c>
      <c r="AJ608" s="675">
        <v>87.305000000000007</v>
      </c>
      <c r="AK608" s="609">
        <v>89.301000000000002</v>
      </c>
      <c r="AL608" s="609">
        <v>95.731999999999999</v>
      </c>
      <c r="AM608" s="609">
        <v>101.441</v>
      </c>
      <c r="AN608" s="518">
        <f t="shared" si="1268"/>
        <v>106.83199999999999</v>
      </c>
      <c r="AO608" s="675">
        <v>106.83199999999999</v>
      </c>
      <c r="AP608" s="609">
        <v>85.875</v>
      </c>
      <c r="AQ608" s="609">
        <v>72.025000000000006</v>
      </c>
      <c r="AR608" s="609">
        <v>84.813000000000002</v>
      </c>
      <c r="AS608" s="518">
        <f t="shared" si="1269"/>
        <v>88.4</v>
      </c>
      <c r="AT608" s="675">
        <v>88.4</v>
      </c>
      <c r="AU608" s="609">
        <v>88.75</v>
      </c>
      <c r="AV608" s="609">
        <v>101.542</v>
      </c>
      <c r="AW608" s="609">
        <v>105.843</v>
      </c>
      <c r="AX608" s="518">
        <f t="shared" si="1270"/>
        <v>107.358</v>
      </c>
      <c r="AY608" s="675">
        <v>107.358</v>
      </c>
      <c r="AZ608" s="609">
        <v>111.762</v>
      </c>
      <c r="BA608" s="609">
        <v>124.69</v>
      </c>
      <c r="BB608" s="609">
        <v>127.232</v>
      </c>
      <c r="BC608" s="518">
        <f t="shared" si="1271"/>
        <v>131.90199999999999</v>
      </c>
      <c r="BD608" s="675">
        <v>131.90199999999999</v>
      </c>
      <c r="BE608" s="609">
        <v>140.40100000000001</v>
      </c>
      <c r="BF608" s="609">
        <v>151.655</v>
      </c>
      <c r="BG608" s="609">
        <v>159.63300000000001</v>
      </c>
      <c r="BH608" s="518">
        <f t="shared" si="1272"/>
        <v>146.14699999999999</v>
      </c>
      <c r="BI608" s="675">
        <v>146.14699999999999</v>
      </c>
      <c r="BJ608" s="609">
        <v>147.685</v>
      </c>
      <c r="BK608" s="609">
        <v>153.869</v>
      </c>
      <c r="BL608" s="610">
        <v>155.131</v>
      </c>
      <c r="BM608" s="518">
        <f>(BM$214+BL$214+BK$214+BJ$214)*BM574</f>
        <v>69.052940977497045</v>
      </c>
      <c r="BN608" s="89">
        <f>BM608</f>
        <v>69.052940977497045</v>
      </c>
      <c r="BO608" s="518">
        <f>(BO$214+BM$214+BL$214+BK$214)*BO574</f>
        <v>154.39866404135986</v>
      </c>
      <c r="BP608" s="518">
        <f>(BP$214+BO$214+BM$214+BL$214)*BP574</f>
        <v>161.82307438994974</v>
      </c>
      <c r="BQ608" s="518">
        <f>(BQ$214+BP$214+BO$214+BM$214)*BQ574</f>
        <v>75.852272007029669</v>
      </c>
      <c r="BR608" s="518">
        <f>(BR$214+BQ$214+BP$214+BO$214)*BR574</f>
        <v>-16.274972207899904</v>
      </c>
      <c r="BS608" s="89">
        <f>BR608</f>
        <v>-16.274972207899904</v>
      </c>
      <c r="BT608" s="89">
        <f>BT214*BT574</f>
        <v>-16.846900834559577</v>
      </c>
      <c r="BU608" s="89">
        <f>BU214*BU574</f>
        <v>-18.12051142774159</v>
      </c>
      <c r="BV608" s="89">
        <f>BV214*BV574</f>
        <v>-19.788275465490333</v>
      </c>
      <c r="BW608" s="519"/>
    </row>
    <row r="609" spans="1:75" s="439" customFormat="1">
      <c r="A609" s="31" t="s">
        <v>517</v>
      </c>
      <c r="B609" s="53"/>
      <c r="C609" s="89"/>
      <c r="D609" s="89"/>
      <c r="E609" s="675">
        <v>1.7330000000000001</v>
      </c>
      <c r="F609" s="675">
        <v>4.47</v>
      </c>
      <c r="G609" s="609">
        <v>6.88</v>
      </c>
      <c r="H609" s="609">
        <v>6.4409999999999998</v>
      </c>
      <c r="I609" s="609">
        <v>6.8090000000000002</v>
      </c>
      <c r="J609" s="518">
        <f>K609</f>
        <v>5.7519999999999998</v>
      </c>
      <c r="K609" s="675">
        <v>5.7519999999999998</v>
      </c>
      <c r="L609" s="609">
        <v>9.0869999999999997</v>
      </c>
      <c r="M609" s="609">
        <v>7.96</v>
      </c>
      <c r="N609" s="609">
        <v>9.4849999999999994</v>
      </c>
      <c r="O609" s="518">
        <f>P609</f>
        <v>19.355</v>
      </c>
      <c r="P609" s="675">
        <v>19.355</v>
      </c>
      <c r="Q609" s="609">
        <v>22.706</v>
      </c>
      <c r="R609" s="609">
        <v>22.713000000000001</v>
      </c>
      <c r="S609" s="609">
        <v>31.952000000000002</v>
      </c>
      <c r="T609" s="518">
        <f>U609</f>
        <v>19.7</v>
      </c>
      <c r="U609" s="675">
        <v>19.7</v>
      </c>
      <c r="V609" s="609">
        <v>17.109000000000002</v>
      </c>
      <c r="W609" s="609">
        <v>15.753</v>
      </c>
      <c r="X609" s="609">
        <v>15.609</v>
      </c>
      <c r="Y609" s="609">
        <v>12.920999999999999</v>
      </c>
      <c r="Z609" s="89">
        <f>Y609</f>
        <v>12.920999999999999</v>
      </c>
      <c r="AA609" s="609">
        <v>14.459</v>
      </c>
      <c r="AB609" s="609">
        <v>14.298</v>
      </c>
      <c r="AC609" s="609">
        <v>15.694000000000001</v>
      </c>
      <c r="AD609" s="518">
        <f t="shared" si="1266"/>
        <v>15.7</v>
      </c>
      <c r="AE609" s="675">
        <v>15.7</v>
      </c>
      <c r="AF609" s="609">
        <v>19.975000000000001</v>
      </c>
      <c r="AG609" s="609">
        <v>20.620999999999999</v>
      </c>
      <c r="AH609" s="609">
        <v>17.567</v>
      </c>
      <c r="AI609" s="518">
        <f t="shared" si="1267"/>
        <v>17.103999999999999</v>
      </c>
      <c r="AJ609" s="675">
        <v>17.103999999999999</v>
      </c>
      <c r="AK609" s="611">
        <v>59.326000000000001</v>
      </c>
      <c r="AL609" s="609">
        <v>23.338000000000001</v>
      </c>
      <c r="AM609" s="609">
        <v>16.042000000000002</v>
      </c>
      <c r="AN609" s="518">
        <f t="shared" si="1268"/>
        <v>14.196</v>
      </c>
      <c r="AO609" s="675">
        <v>14.196</v>
      </c>
      <c r="AP609" s="611">
        <v>21.803999999999998</v>
      </c>
      <c r="AQ609" s="609">
        <v>19.675000000000001</v>
      </c>
      <c r="AR609" s="609">
        <v>18.59</v>
      </c>
      <c r="AS609" s="518">
        <f t="shared" si="1269"/>
        <v>28.45</v>
      </c>
      <c r="AT609" s="675">
        <v>28.45</v>
      </c>
      <c r="AU609" s="611">
        <v>26.004000000000001</v>
      </c>
      <c r="AV609" s="609">
        <v>29.413</v>
      </c>
      <c r="AW609" s="609">
        <v>29.643000000000001</v>
      </c>
      <c r="AX609" s="518">
        <f t="shared" si="1270"/>
        <v>57.536000000000001</v>
      </c>
      <c r="AY609" s="675">
        <v>57.536000000000001</v>
      </c>
      <c r="AZ609" s="611">
        <v>60.457999999999998</v>
      </c>
      <c r="BA609" s="609">
        <v>65.334000000000003</v>
      </c>
      <c r="BB609" s="609">
        <v>74.028000000000006</v>
      </c>
      <c r="BC609" s="518">
        <f t="shared" si="1271"/>
        <v>63.466999999999999</v>
      </c>
      <c r="BD609" s="675">
        <v>63.466999999999999</v>
      </c>
      <c r="BE609" s="611">
        <v>36.991999999999997</v>
      </c>
      <c r="BF609" s="609">
        <v>38.69</v>
      </c>
      <c r="BG609" s="609">
        <v>39.734999999999999</v>
      </c>
      <c r="BH609" s="518">
        <f t="shared" si="1272"/>
        <v>36.673000000000002</v>
      </c>
      <c r="BI609" s="675">
        <v>36.673000000000002</v>
      </c>
      <c r="BJ609" s="611">
        <v>38.420999999999999</v>
      </c>
      <c r="BK609" s="609">
        <v>44.999000000000002</v>
      </c>
      <c r="BL609" s="610">
        <v>38.082999999999998</v>
      </c>
      <c r="BM609" s="518">
        <f>BL609</f>
        <v>38.082999999999998</v>
      </c>
      <c r="BN609" s="89">
        <f>BM609</f>
        <v>38.082999999999998</v>
      </c>
      <c r="BO609" s="518">
        <f>BN609</f>
        <v>38.082999999999998</v>
      </c>
      <c r="BP609" s="518">
        <f>BO609</f>
        <v>38.082999999999998</v>
      </c>
      <c r="BQ609" s="518">
        <f>BP609</f>
        <v>38.082999999999998</v>
      </c>
      <c r="BR609" s="518">
        <f>BQ609</f>
        <v>38.082999999999998</v>
      </c>
      <c r="BS609" s="89">
        <f>BR609</f>
        <v>38.082999999999998</v>
      </c>
      <c r="BT609" s="89">
        <f>BS609</f>
        <v>38.082999999999998</v>
      </c>
      <c r="BU609" s="89">
        <f>BT609</f>
        <v>38.082999999999998</v>
      </c>
      <c r="BV609" s="89">
        <f>BU609</f>
        <v>38.082999999999998</v>
      </c>
      <c r="BW609" s="519"/>
    </row>
    <row r="610" spans="1:75" s="444" customFormat="1">
      <c r="A610" s="18" t="s">
        <v>518</v>
      </c>
      <c r="B610" s="49"/>
      <c r="C610" s="698">
        <v>15.092000000000001</v>
      </c>
      <c r="D610" s="698">
        <v>28.741</v>
      </c>
      <c r="E610" s="676">
        <f t="shared" ref="E610:AJ610" si="1275">SUM(E604:E609)</f>
        <v>31.726000000000003</v>
      </c>
      <c r="F610" s="676">
        <f t="shared" si="1275"/>
        <v>111.33199999999999</v>
      </c>
      <c r="G610" s="560">
        <f t="shared" si="1275"/>
        <v>113.705</v>
      </c>
      <c r="H610" s="560">
        <f t="shared" si="1275"/>
        <v>118.00500000000001</v>
      </c>
      <c r="I610" s="560">
        <f t="shared" si="1275"/>
        <v>125.215</v>
      </c>
      <c r="J610" s="560">
        <f t="shared" si="1275"/>
        <v>416.83300000000003</v>
      </c>
      <c r="K610" s="676">
        <f t="shared" si="1275"/>
        <v>416.83300000000003</v>
      </c>
      <c r="L610" s="560">
        <f t="shared" si="1275"/>
        <v>429.78299999999996</v>
      </c>
      <c r="M610" s="560">
        <f t="shared" si="1275"/>
        <v>384.22500000000002</v>
      </c>
      <c r="N610" s="560">
        <f t="shared" si="1275"/>
        <v>404.75400000000002</v>
      </c>
      <c r="O610" s="560">
        <f t="shared" si="1275"/>
        <v>420.75800000000004</v>
      </c>
      <c r="P610" s="676">
        <f t="shared" si="1275"/>
        <v>420.75800000000004</v>
      </c>
      <c r="Q610" s="560">
        <f t="shared" si="1275"/>
        <v>392.90699999999998</v>
      </c>
      <c r="R610" s="560">
        <f t="shared" si="1275"/>
        <v>432.18500000000006</v>
      </c>
      <c r="S610" s="560">
        <f t="shared" si="1275"/>
        <v>447.83299999999997</v>
      </c>
      <c r="T610" s="560">
        <f t="shared" si="1275"/>
        <v>443.28199999999998</v>
      </c>
      <c r="U610" s="676">
        <f t="shared" si="1275"/>
        <v>443.28199999999998</v>
      </c>
      <c r="V610" s="560">
        <f t="shared" si="1275"/>
        <v>447.34</v>
      </c>
      <c r="W610" s="560">
        <f t="shared" si="1275"/>
        <v>473.74099999999999</v>
      </c>
      <c r="X610" s="560">
        <f t="shared" si="1275"/>
        <v>514.49199999999996</v>
      </c>
      <c r="Y610" s="560">
        <f t="shared" si="1275"/>
        <v>561.17900000000009</v>
      </c>
      <c r="Z610" s="676">
        <f t="shared" si="1275"/>
        <v>561.17900000000009</v>
      </c>
      <c r="AA610" s="560">
        <f t="shared" si="1275"/>
        <v>568.05399999999997</v>
      </c>
      <c r="AB610" s="560">
        <f t="shared" si="1275"/>
        <v>594.87099999999998</v>
      </c>
      <c r="AC610" s="560">
        <f t="shared" si="1275"/>
        <v>786.21900000000005</v>
      </c>
      <c r="AD610" s="560">
        <f t="shared" si="1275"/>
        <v>913.08900000000006</v>
      </c>
      <c r="AE610" s="676">
        <f t="shared" si="1275"/>
        <v>913.08900000000006</v>
      </c>
      <c r="AF610" s="560">
        <f t="shared" si="1275"/>
        <v>910.12599999999998</v>
      </c>
      <c r="AG610" s="560">
        <f t="shared" si="1275"/>
        <v>902.43500000000006</v>
      </c>
      <c r="AH610" s="560">
        <f t="shared" si="1275"/>
        <v>936.89900000000011</v>
      </c>
      <c r="AI610" s="560">
        <f t="shared" si="1275"/>
        <v>860.26900000000001</v>
      </c>
      <c r="AJ610" s="676">
        <f t="shared" si="1275"/>
        <v>860.26900000000001</v>
      </c>
      <c r="AK610" s="560">
        <f t="shared" ref="AK610:AQ610" si="1276">SUM(AK604:AK609)</f>
        <v>775.04200000000003</v>
      </c>
      <c r="AL610" s="560">
        <f t="shared" si="1276"/>
        <v>531.28800000000001</v>
      </c>
      <c r="AM610" s="560">
        <f t="shared" si="1276"/>
        <v>499.29899999999998</v>
      </c>
      <c r="AN610" s="560">
        <f t="shared" si="1276"/>
        <v>533.30900000000008</v>
      </c>
      <c r="AO610" s="676">
        <f t="shared" si="1276"/>
        <v>533.30900000000008</v>
      </c>
      <c r="AP610" s="560">
        <f t="shared" si="1276"/>
        <v>594.87299999999993</v>
      </c>
      <c r="AQ610" s="560">
        <f t="shared" si="1276"/>
        <v>617.39299999999992</v>
      </c>
      <c r="AR610" s="560">
        <f t="shared" ref="AR610:AW610" si="1277">SUM(AR604:AR609)</f>
        <v>694.19200000000001</v>
      </c>
      <c r="AS610" s="560">
        <f t="shared" si="1277"/>
        <v>712.72500000000002</v>
      </c>
      <c r="AT610" s="676">
        <f t="shared" si="1277"/>
        <v>712.72500000000002</v>
      </c>
      <c r="AU610" s="560">
        <f t="shared" si="1277"/>
        <v>703.346</v>
      </c>
      <c r="AV610" s="560">
        <f t="shared" si="1277"/>
        <v>689.18200000000002</v>
      </c>
      <c r="AW610" s="560">
        <f t="shared" si="1277"/>
        <v>667.10599999999999</v>
      </c>
      <c r="AX610" s="560">
        <f t="shared" ref="AX610:BA610" si="1278">SUM(AX604:AX609)</f>
        <v>644.67700000000013</v>
      </c>
      <c r="AY610" s="676">
        <f t="shared" si="1278"/>
        <v>644.67700000000013</v>
      </c>
      <c r="AZ610" s="560">
        <f t="shared" si="1278"/>
        <v>637.34100000000001</v>
      </c>
      <c r="BA610" s="560">
        <f t="shared" si="1278"/>
        <v>611.18599999999992</v>
      </c>
      <c r="BB610" s="560">
        <f t="shared" ref="BB610:BN610" si="1279">SUM(BB604:BB609)</f>
        <v>623.101</v>
      </c>
      <c r="BC610" s="560">
        <f t="shared" si="1279"/>
        <v>595.99200000000008</v>
      </c>
      <c r="BD610" s="676">
        <f t="shared" si="1279"/>
        <v>595.99200000000008</v>
      </c>
      <c r="BE610" s="560">
        <f t="shared" ref="BE610:BM610" si="1280">SUM(BE604:BE609)</f>
        <v>591.59400000000005</v>
      </c>
      <c r="BF610" s="560">
        <f t="shared" si="1280"/>
        <v>587.51</v>
      </c>
      <c r="BG610" s="560">
        <f t="shared" si="1280"/>
        <v>625.93900000000008</v>
      </c>
      <c r="BH610" s="560">
        <f t="shared" si="1280"/>
        <v>624.21600000000001</v>
      </c>
      <c r="BI610" s="676">
        <f t="shared" si="1280"/>
        <v>624.21600000000001</v>
      </c>
      <c r="BJ610" s="560">
        <f>SUM(BJ604:BJ609)</f>
        <v>606.90000000000009</v>
      </c>
      <c r="BK610" s="560">
        <f>SUM(BK604:BK609)</f>
        <v>583.67900000000009</v>
      </c>
      <c r="BL610" s="561">
        <f>SUM(BL604:BL609)</f>
        <v>590.22799999999995</v>
      </c>
      <c r="BM610" s="560" t="e">
        <f t="shared" si="1280"/>
        <v>#REF!</v>
      </c>
      <c r="BN610" s="676" t="e">
        <f t="shared" si="1279"/>
        <v>#REF!</v>
      </c>
      <c r="BO610" s="560" t="e">
        <f t="shared" ref="BO610:BV610" si="1281">SUM(BO604:BO609)</f>
        <v>#REF!</v>
      </c>
      <c r="BP610" s="560" t="e">
        <f t="shared" si="1281"/>
        <v>#REF!</v>
      </c>
      <c r="BQ610" s="560" t="e">
        <f t="shared" si="1281"/>
        <v>#REF!</v>
      </c>
      <c r="BR610" s="560" t="e">
        <f t="shared" si="1281"/>
        <v>#REF!</v>
      </c>
      <c r="BS610" s="676" t="e">
        <f t="shared" si="1281"/>
        <v>#REF!</v>
      </c>
      <c r="BT610" s="676" t="e">
        <f t="shared" si="1281"/>
        <v>#REF!</v>
      </c>
      <c r="BU610" s="676" t="e">
        <f t="shared" si="1281"/>
        <v>#REF!</v>
      </c>
      <c r="BV610" s="676" t="e">
        <f t="shared" si="1281"/>
        <v>#REF!</v>
      </c>
      <c r="BW610" s="318"/>
    </row>
    <row r="611" spans="1:75" s="444" customFormat="1">
      <c r="A611" s="28"/>
      <c r="B611" s="30"/>
      <c r="C611" s="700"/>
      <c r="D611" s="700"/>
      <c r="E611" s="700"/>
      <c r="F611" s="700"/>
      <c r="G611" s="523"/>
      <c r="H611" s="523"/>
      <c r="I611" s="523"/>
      <c r="J611" s="523"/>
      <c r="K611" s="700"/>
      <c r="L611" s="523"/>
      <c r="M611" s="523"/>
      <c r="N611" s="523"/>
      <c r="O611" s="523"/>
      <c r="P611" s="700"/>
      <c r="Q611" s="523"/>
      <c r="R611" s="523"/>
      <c r="S611" s="523"/>
      <c r="T611" s="523"/>
      <c r="U611" s="700"/>
      <c r="V611" s="523"/>
      <c r="W611" s="523"/>
      <c r="X611" s="523"/>
      <c r="Y611" s="523"/>
      <c r="Z611" s="700"/>
      <c r="AA611" s="523"/>
      <c r="AB611" s="523"/>
      <c r="AC611" s="523"/>
      <c r="AD611" s="523"/>
      <c r="AE611" s="700"/>
      <c r="AF611" s="523"/>
      <c r="AG611" s="523"/>
      <c r="AH611" s="523"/>
      <c r="AI611" s="523"/>
      <c r="AJ611" s="700"/>
      <c r="AK611" s="523"/>
      <c r="AL611" s="523"/>
      <c r="AM611" s="523"/>
      <c r="AN611" s="523"/>
      <c r="AO611" s="700"/>
      <c r="AP611" s="523"/>
      <c r="AQ611" s="523"/>
      <c r="AR611" s="523"/>
      <c r="AS611" s="523"/>
      <c r="AT611" s="700"/>
      <c r="AU611" s="523"/>
      <c r="AV611" s="523"/>
      <c r="AW611" s="523"/>
      <c r="AX611" s="523"/>
      <c r="AY611" s="700"/>
      <c r="AZ611" s="523"/>
      <c r="BA611" s="523"/>
      <c r="BB611" s="523"/>
      <c r="BC611" s="523"/>
      <c r="BD611" s="700"/>
      <c r="BE611" s="523"/>
      <c r="BF611" s="523"/>
      <c r="BG611" s="523"/>
      <c r="BH611" s="523"/>
      <c r="BI611" s="700"/>
      <c r="BJ611" s="523"/>
      <c r="BK611" s="523"/>
      <c r="BL611" s="563"/>
      <c r="BM611" s="523"/>
      <c r="BN611" s="700"/>
      <c r="BO611" s="523"/>
      <c r="BP611" s="523"/>
      <c r="BQ611" s="523"/>
      <c r="BR611" s="523"/>
      <c r="BS611" s="700"/>
      <c r="BT611" s="700"/>
      <c r="BU611" s="700"/>
      <c r="BV611" s="700"/>
      <c r="BW611" s="318"/>
    </row>
    <row r="612" spans="1:75" s="444" customFormat="1">
      <c r="A612" s="6" t="s">
        <v>519</v>
      </c>
      <c r="B612" s="30"/>
      <c r="C612" s="700"/>
      <c r="D612" s="700"/>
      <c r="E612" s="700"/>
      <c r="F612" s="700"/>
      <c r="G612" s="523"/>
      <c r="H612" s="523"/>
      <c r="I612" s="523"/>
      <c r="J612" s="523"/>
      <c r="K612" s="700"/>
      <c r="L612" s="523"/>
      <c r="M612" s="523"/>
      <c r="N612" s="523"/>
      <c r="O612" s="523"/>
      <c r="P612" s="700"/>
      <c r="Q612" s="523"/>
      <c r="R612" s="523"/>
      <c r="S612" s="523"/>
      <c r="T612" s="523"/>
      <c r="U612" s="700"/>
      <c r="V612" s="523"/>
      <c r="W612" s="523"/>
      <c r="X612" s="523"/>
      <c r="Y612" s="523"/>
      <c r="Z612" s="700"/>
      <c r="AA612" s="523"/>
      <c r="AB612" s="523"/>
      <c r="AC612" s="523"/>
      <c r="AD612" s="523"/>
      <c r="AE612" s="700"/>
      <c r="AF612" s="523"/>
      <c r="AG612" s="523"/>
      <c r="AH612" s="523"/>
      <c r="AI612" s="523"/>
      <c r="AJ612" s="700"/>
      <c r="AK612" s="523"/>
      <c r="AL612" s="523"/>
      <c r="AM612" s="523"/>
      <c r="AN612" s="523"/>
      <c r="AO612" s="700"/>
      <c r="AP612" s="523"/>
      <c r="AQ612" s="523"/>
      <c r="AR612" s="523"/>
      <c r="AS612" s="523"/>
      <c r="AT612" s="700"/>
      <c r="AU612" s="523"/>
      <c r="AV612" s="523"/>
      <c r="AW612" s="523"/>
      <c r="AX612" s="523"/>
      <c r="AY612" s="700"/>
      <c r="AZ612" s="523"/>
      <c r="BA612" s="523"/>
      <c r="BB612" s="523"/>
      <c r="BC612" s="523"/>
      <c r="BD612" s="700"/>
      <c r="BE612" s="523"/>
      <c r="BF612" s="523"/>
      <c r="BG612" s="523"/>
      <c r="BH612" s="523"/>
      <c r="BI612" s="700"/>
      <c r="BJ612" s="523"/>
      <c r="BK612" s="523"/>
      <c r="BL612" s="563"/>
      <c r="BM612" s="523"/>
      <c r="BN612" s="700"/>
      <c r="BO612" s="523"/>
      <c r="BP612" s="523"/>
      <c r="BQ612" s="523"/>
      <c r="BR612" s="523"/>
      <c r="BS612" s="700"/>
      <c r="BT612" s="700"/>
      <c r="BU612" s="700"/>
      <c r="BV612" s="700"/>
      <c r="BW612" s="318"/>
    </row>
    <row r="613" spans="1:75" s="439" customFormat="1">
      <c r="A613" s="31" t="s">
        <v>520</v>
      </c>
      <c r="B613" s="53"/>
      <c r="C613" s="89"/>
      <c r="D613" s="89"/>
      <c r="E613" s="89"/>
      <c r="F613" s="89"/>
      <c r="G613" s="518"/>
      <c r="H613" s="518"/>
      <c r="I613" s="518"/>
      <c r="J613" s="518">
        <f>K613</f>
        <v>0</v>
      </c>
      <c r="K613" s="89"/>
      <c r="L613" s="518"/>
      <c r="M613" s="609">
        <v>61.704000000000001</v>
      </c>
      <c r="N613" s="609">
        <v>53.621000000000002</v>
      </c>
      <c r="O613" s="518">
        <f>P613</f>
        <v>38.612000000000002</v>
      </c>
      <c r="P613" s="675">
        <v>38.612000000000002</v>
      </c>
      <c r="Q613" s="609">
        <v>16.495000000000001</v>
      </c>
      <c r="R613" s="518"/>
      <c r="S613" s="518"/>
      <c r="T613" s="518">
        <f>U613</f>
        <v>0</v>
      </c>
      <c r="U613" s="89"/>
      <c r="V613" s="609">
        <v>8.2720000000000002</v>
      </c>
      <c r="W613" s="609">
        <v>6</v>
      </c>
      <c r="X613" s="518"/>
      <c r="Y613" s="518"/>
      <c r="Z613" s="89">
        <f>Y613</f>
        <v>0</v>
      </c>
      <c r="AA613" s="518"/>
      <c r="AB613" s="518"/>
      <c r="AC613" s="518"/>
      <c r="AD613" s="518">
        <f>AE613</f>
        <v>25.032</v>
      </c>
      <c r="AE613" s="675">
        <v>25.032</v>
      </c>
      <c r="AF613" s="609">
        <v>14.898</v>
      </c>
      <c r="AG613" s="609">
        <v>0</v>
      </c>
      <c r="AH613" s="518"/>
      <c r="AI613" s="518">
        <f>AJ613</f>
        <v>0</v>
      </c>
      <c r="AJ613" s="675">
        <v>0</v>
      </c>
      <c r="AK613" s="609">
        <v>49.646000000000001</v>
      </c>
      <c r="AL613" s="609">
        <v>45.378999999999998</v>
      </c>
      <c r="AM613" s="609">
        <v>34.963999999999999</v>
      </c>
      <c r="AN613" s="518">
        <f t="shared" ref="AN613:AN619" si="1282">AO613</f>
        <v>53.499000000000002</v>
      </c>
      <c r="AO613" s="675">
        <v>53.499000000000002</v>
      </c>
      <c r="AP613" s="609">
        <v>3.5</v>
      </c>
      <c r="AQ613" s="609">
        <v>0</v>
      </c>
      <c r="AR613" s="518"/>
      <c r="AS613" s="518">
        <f t="shared" ref="AS613:AS619" si="1283">AT613</f>
        <v>0</v>
      </c>
      <c r="AT613" s="89"/>
      <c r="AU613" s="518"/>
      <c r="AV613" s="518"/>
      <c r="AW613" s="518"/>
      <c r="AX613" s="518">
        <f t="shared" ref="AX613:AX619" si="1284">AY613</f>
        <v>0</v>
      </c>
      <c r="AY613" s="89"/>
      <c r="AZ613" s="518"/>
      <c r="BA613" s="518"/>
      <c r="BB613" s="518"/>
      <c r="BC613" s="518">
        <f t="shared" ref="BC613:BC619" si="1285">BD613</f>
        <v>0</v>
      </c>
      <c r="BD613" s="89"/>
      <c r="BE613" s="518"/>
      <c r="BF613" s="518"/>
      <c r="BG613" s="518"/>
      <c r="BH613" s="518">
        <f t="shared" ref="BH613:BH619" si="1286">BI613</f>
        <v>0</v>
      </c>
      <c r="BI613" s="89"/>
      <c r="BJ613" s="518"/>
      <c r="BK613" s="518"/>
      <c r="BL613" s="520"/>
      <c r="BM613" s="518">
        <f>BL613</f>
        <v>0</v>
      </c>
      <c r="BN613" s="89">
        <f t="shared" ref="BN613" si="1287">BM613</f>
        <v>0</v>
      </c>
      <c r="BO613" s="518">
        <f t="shared" ref="BO613:BV613" si="1288">BN613</f>
        <v>0</v>
      </c>
      <c r="BP613" s="518">
        <f t="shared" si="1288"/>
        <v>0</v>
      </c>
      <c r="BQ613" s="518">
        <f t="shared" si="1288"/>
        <v>0</v>
      </c>
      <c r="BR613" s="518">
        <f t="shared" si="1288"/>
        <v>0</v>
      </c>
      <c r="BS613" s="89">
        <f t="shared" si="1288"/>
        <v>0</v>
      </c>
      <c r="BT613" s="89">
        <f t="shared" si="1288"/>
        <v>0</v>
      </c>
      <c r="BU613" s="89">
        <f t="shared" si="1288"/>
        <v>0</v>
      </c>
      <c r="BV613" s="89">
        <f t="shared" si="1288"/>
        <v>0</v>
      </c>
      <c r="BW613" s="519"/>
    </row>
    <row r="614" spans="1:75" s="439" customFormat="1">
      <c r="A614" s="31" t="s">
        <v>521</v>
      </c>
      <c r="B614" s="53"/>
      <c r="C614" s="675">
        <v>2.1840000000000002</v>
      </c>
      <c r="D614" s="675">
        <v>5.2560000000000002</v>
      </c>
      <c r="E614" s="675">
        <v>9.8810000000000002</v>
      </c>
      <c r="F614" s="675">
        <v>14.798999999999999</v>
      </c>
      <c r="G614" s="609">
        <v>15.772</v>
      </c>
      <c r="H614" s="609">
        <v>19.779</v>
      </c>
      <c r="I614" s="609">
        <v>25.920999999999999</v>
      </c>
      <c r="J614" s="518">
        <f>K614</f>
        <v>30.666</v>
      </c>
      <c r="K614" s="675">
        <v>30.666</v>
      </c>
      <c r="L614" s="609">
        <v>33.298000000000002</v>
      </c>
      <c r="M614" s="609">
        <v>37.462000000000003</v>
      </c>
      <c r="N614" s="609">
        <v>43.332999999999998</v>
      </c>
      <c r="O614" s="518">
        <f>P614</f>
        <v>62.761000000000003</v>
      </c>
      <c r="P614" s="675">
        <v>62.761000000000003</v>
      </c>
      <c r="Q614" s="609">
        <v>68.593999999999994</v>
      </c>
      <c r="R614" s="609">
        <v>72.602999999999994</v>
      </c>
      <c r="S614" s="609">
        <v>78.341999999999999</v>
      </c>
      <c r="T614" s="518">
        <f>U614</f>
        <v>80.466999999999999</v>
      </c>
      <c r="U614" s="675">
        <v>80.466999999999999</v>
      </c>
      <c r="V614" s="609">
        <v>84.775999999999996</v>
      </c>
      <c r="W614" s="609">
        <v>89.501999999999995</v>
      </c>
      <c r="X614" s="609">
        <v>93.837999999999994</v>
      </c>
      <c r="Y614" s="609">
        <v>92.44</v>
      </c>
      <c r="Z614" s="89">
        <f>Y614</f>
        <v>92.44</v>
      </c>
      <c r="AA614" s="609">
        <v>91.727000000000004</v>
      </c>
      <c r="AB614" s="609">
        <v>91.713999999999999</v>
      </c>
      <c r="AC614" s="609">
        <v>94.347999999999999</v>
      </c>
      <c r="AD614" s="518">
        <f>AE614</f>
        <v>103.651</v>
      </c>
      <c r="AE614" s="675">
        <v>103.651</v>
      </c>
      <c r="AF614" s="609">
        <v>107.889</v>
      </c>
      <c r="AG614" s="609">
        <v>109.673</v>
      </c>
      <c r="AH614" s="609">
        <v>110.899</v>
      </c>
      <c r="AI614" s="518">
        <f>AJ614</f>
        <v>114.8</v>
      </c>
      <c r="AJ614" s="675">
        <v>114.8</v>
      </c>
      <c r="AK614" s="609">
        <v>111.477</v>
      </c>
      <c r="AL614" s="609">
        <v>114.105</v>
      </c>
      <c r="AM614" s="609">
        <v>113.935</v>
      </c>
      <c r="AN614" s="518">
        <f t="shared" si="1282"/>
        <v>110.949</v>
      </c>
      <c r="AO614" s="675">
        <v>110.949</v>
      </c>
      <c r="AP614" s="609">
        <v>110.14100000000001</v>
      </c>
      <c r="AQ614" s="609">
        <v>106.732</v>
      </c>
      <c r="AR614" s="609">
        <v>105.488</v>
      </c>
      <c r="AS614" s="518">
        <f t="shared" si="1283"/>
        <v>101.718</v>
      </c>
      <c r="AT614" s="675">
        <v>101.718</v>
      </c>
      <c r="AU614" s="609">
        <v>98.004000000000005</v>
      </c>
      <c r="AV614" s="609">
        <v>92.626999999999995</v>
      </c>
      <c r="AW614" s="609">
        <v>92.429000000000002</v>
      </c>
      <c r="AX614" s="518">
        <f t="shared" si="1284"/>
        <v>83.856999999999999</v>
      </c>
      <c r="AY614" s="675">
        <v>83.856999999999999</v>
      </c>
      <c r="AZ614" s="609">
        <v>83.138000000000005</v>
      </c>
      <c r="BA614" s="609">
        <v>82.212000000000003</v>
      </c>
      <c r="BB614" s="609">
        <v>78.698999999999998</v>
      </c>
      <c r="BC614" s="518">
        <f t="shared" si="1285"/>
        <v>77.224000000000004</v>
      </c>
      <c r="BD614" s="675">
        <v>77.224000000000004</v>
      </c>
      <c r="BE614" s="609">
        <v>76.936000000000007</v>
      </c>
      <c r="BF614" s="609">
        <v>75.587999999999994</v>
      </c>
      <c r="BG614" s="609">
        <v>72.373000000000005</v>
      </c>
      <c r="BH614" s="518">
        <f t="shared" si="1286"/>
        <v>68.683999999999997</v>
      </c>
      <c r="BI614" s="675">
        <v>68.683999999999997</v>
      </c>
      <c r="BJ614" s="609">
        <v>68.165999999999997</v>
      </c>
      <c r="BK614" s="609">
        <v>70.616</v>
      </c>
      <c r="BL614" s="610">
        <v>73.991</v>
      </c>
      <c r="BM614" s="518">
        <f>BL614-BM530-BM536+BM583+BM582</f>
        <v>74.761643169398909</v>
      </c>
      <c r="BN614" s="89">
        <f t="shared" ref="BN614:BN619" si="1289">BM614</f>
        <v>74.761643169398909</v>
      </c>
      <c r="BO614" s="518">
        <f>BN614-BO530-BO536+BO583+BO582</f>
        <v>75.544454285500407</v>
      </c>
      <c r="BP614" s="518">
        <f>BO614-BP530-BP536+BP583+BP582</f>
        <v>76.127268888266798</v>
      </c>
      <c r="BQ614" s="518">
        <f>BP614-BQ530-BQ536+BQ583+BQ582</f>
        <v>76.533147329745503</v>
      </c>
      <c r="BR614" s="518">
        <f>BQ614-BR530-BR536+BR583+BR582</f>
        <v>76.887873967640587</v>
      </c>
      <c r="BS614" s="89">
        <f t="shared" ref="BS614:BS619" si="1290">BR614</f>
        <v>76.887873967640587</v>
      </c>
      <c r="BT614" s="89">
        <f>BS614-BT530-BT536+BT583+BT582</f>
        <v>78.443936983820294</v>
      </c>
      <c r="BU614" s="89">
        <f>BT614-BU530-BU536+BU583+BU582</f>
        <v>79.221968491910147</v>
      </c>
      <c r="BV614" s="89">
        <f>BU614-BV530-BV536+BV583+BV582</f>
        <v>79.61098424595508</v>
      </c>
      <c r="BW614" s="519"/>
    </row>
    <row r="615" spans="1:75" s="439" customFormat="1">
      <c r="A615" s="31" t="s">
        <v>522</v>
      </c>
      <c r="B615" s="53"/>
      <c r="C615" s="89"/>
      <c r="D615" s="89"/>
      <c r="E615" s="89"/>
      <c r="F615" s="89"/>
      <c r="G615" s="518"/>
      <c r="H615" s="518"/>
      <c r="I615" s="518"/>
      <c r="J615" s="518"/>
      <c r="K615" s="89"/>
      <c r="L615" s="518"/>
      <c r="M615" s="518"/>
      <c r="N615" s="518"/>
      <c r="O615" s="518"/>
      <c r="P615" s="89"/>
      <c r="Q615" s="518"/>
      <c r="R615" s="518"/>
      <c r="S615" s="518"/>
      <c r="T615" s="518"/>
      <c r="U615" s="89"/>
      <c r="V615" s="518"/>
      <c r="W615" s="518"/>
      <c r="X615" s="518"/>
      <c r="Y615" s="518"/>
      <c r="Z615" s="89"/>
      <c r="AA615" s="518"/>
      <c r="AB615" s="518"/>
      <c r="AC615" s="518"/>
      <c r="AD615" s="518"/>
      <c r="AE615" s="89"/>
      <c r="AF615" s="518"/>
      <c r="AG615" s="518"/>
      <c r="AH615" s="518"/>
      <c r="AI615" s="518"/>
      <c r="AJ615" s="89"/>
      <c r="AK615" s="609">
        <v>229.48</v>
      </c>
      <c r="AL615" s="609">
        <v>217.798</v>
      </c>
      <c r="AM615" s="609">
        <v>207.852</v>
      </c>
      <c r="AN615" s="518">
        <f t="shared" si="1282"/>
        <v>197.86600000000001</v>
      </c>
      <c r="AO615" s="675">
        <v>197.86600000000001</v>
      </c>
      <c r="AP615" s="609">
        <v>199.053</v>
      </c>
      <c r="AQ615" s="609">
        <v>188.26599999999999</v>
      </c>
      <c r="AR615" s="609">
        <v>176.60300000000001</v>
      </c>
      <c r="AS615" s="518">
        <f t="shared" si="1283"/>
        <v>168.209</v>
      </c>
      <c r="AT615" s="675">
        <v>168.209</v>
      </c>
      <c r="AU615" s="609">
        <v>161.96700000000001</v>
      </c>
      <c r="AV615" s="609">
        <v>143.61699999999999</v>
      </c>
      <c r="AW615" s="609">
        <v>140.75800000000001</v>
      </c>
      <c r="AX615" s="518">
        <f t="shared" si="1284"/>
        <v>140.785</v>
      </c>
      <c r="AY615" s="675">
        <v>140.785</v>
      </c>
      <c r="AZ615" s="609">
        <v>132.029</v>
      </c>
      <c r="BA615" s="609">
        <v>122.69799999999999</v>
      </c>
      <c r="BB615" s="609">
        <v>104.41200000000001</v>
      </c>
      <c r="BC615" s="518">
        <f t="shared" si="1285"/>
        <v>97.391999999999996</v>
      </c>
      <c r="BD615" s="675">
        <v>97.391999999999996</v>
      </c>
      <c r="BE615" s="609">
        <v>87.1</v>
      </c>
      <c r="BF615" s="609">
        <v>79.590999999999994</v>
      </c>
      <c r="BG615" s="609">
        <v>72.097999999999999</v>
      </c>
      <c r="BH615" s="518">
        <f t="shared" si="1286"/>
        <v>48.573</v>
      </c>
      <c r="BI615" s="675">
        <v>48.573</v>
      </c>
      <c r="BJ615" s="609">
        <v>44.524000000000001</v>
      </c>
      <c r="BK615" s="609">
        <v>40.679000000000002</v>
      </c>
      <c r="BL615" s="610">
        <v>28.38</v>
      </c>
      <c r="BM615" s="518">
        <f>BL615</f>
        <v>28.38</v>
      </c>
      <c r="BN615" s="89">
        <f t="shared" si="1289"/>
        <v>28.38</v>
      </c>
      <c r="BO615" s="518">
        <f t="shared" ref="BO615:BR616" si="1291">BN615</f>
        <v>28.38</v>
      </c>
      <c r="BP615" s="518">
        <f t="shared" si="1291"/>
        <v>28.38</v>
      </c>
      <c r="BQ615" s="518">
        <f t="shared" si="1291"/>
        <v>28.38</v>
      </c>
      <c r="BR615" s="518">
        <f t="shared" si="1291"/>
        <v>28.38</v>
      </c>
      <c r="BS615" s="89">
        <f t="shared" si="1290"/>
        <v>28.38</v>
      </c>
      <c r="BT615" s="89">
        <f t="shared" ref="BT615:BV616" si="1292">BS615</f>
        <v>28.38</v>
      </c>
      <c r="BU615" s="89">
        <f t="shared" si="1292"/>
        <v>28.38</v>
      </c>
      <c r="BV615" s="89">
        <f t="shared" si="1292"/>
        <v>28.38</v>
      </c>
      <c r="BW615" s="519"/>
    </row>
    <row r="616" spans="1:75" s="439" customFormat="1">
      <c r="A616" s="31" t="s">
        <v>523</v>
      </c>
      <c r="B616" s="53"/>
      <c r="C616" s="89"/>
      <c r="D616" s="89"/>
      <c r="E616" s="89"/>
      <c r="F616" s="675">
        <v>48.604999999999997</v>
      </c>
      <c r="G616" s="609">
        <v>45.993000000000002</v>
      </c>
      <c r="H616" s="609">
        <v>46.677999999999997</v>
      </c>
      <c r="I616" s="609">
        <v>58.814</v>
      </c>
      <c r="J616" s="518">
        <f>K616</f>
        <v>59.69</v>
      </c>
      <c r="K616" s="675">
        <v>59.69</v>
      </c>
      <c r="L616" s="609">
        <v>59.634999999999998</v>
      </c>
      <c r="M616" s="609">
        <v>59.271000000000001</v>
      </c>
      <c r="N616" s="609">
        <v>55.808</v>
      </c>
      <c r="O616" s="518">
        <f>P616</f>
        <v>67.307000000000002</v>
      </c>
      <c r="P616" s="675">
        <v>67.307000000000002</v>
      </c>
      <c r="Q616" s="609">
        <v>172.16</v>
      </c>
      <c r="R616" s="609">
        <v>173.29599999999999</v>
      </c>
      <c r="S616" s="609">
        <v>173.99600000000001</v>
      </c>
      <c r="T616" s="518">
        <f>U616</f>
        <v>172.197</v>
      </c>
      <c r="U616" s="675">
        <v>172.197</v>
      </c>
      <c r="V616" s="609">
        <v>173.733</v>
      </c>
      <c r="W616" s="609">
        <v>172.90799999999999</v>
      </c>
      <c r="X616" s="609">
        <v>173.626</v>
      </c>
      <c r="Y616" s="609">
        <v>170.667</v>
      </c>
      <c r="Z616" s="89">
        <f>Y616</f>
        <v>170.667</v>
      </c>
      <c r="AA616" s="609">
        <v>197.489</v>
      </c>
      <c r="AB616" s="609">
        <v>216.44</v>
      </c>
      <c r="AC616" s="609">
        <v>107.18600000000001</v>
      </c>
      <c r="AD616" s="518">
        <f>AE616</f>
        <v>107.95399999999999</v>
      </c>
      <c r="AE616" s="675">
        <v>107.95399999999999</v>
      </c>
      <c r="AF616" s="609">
        <v>109.42</v>
      </c>
      <c r="AG616" s="609">
        <v>106.526</v>
      </c>
      <c r="AH616" s="609">
        <v>106.32299999999999</v>
      </c>
      <c r="AI616" s="518">
        <f>AJ616</f>
        <v>105.62</v>
      </c>
      <c r="AJ616" s="675">
        <v>105.62</v>
      </c>
      <c r="AK616" s="609">
        <v>104.66200000000001</v>
      </c>
      <c r="AL616" s="609">
        <v>105.313</v>
      </c>
      <c r="AM616" s="609">
        <v>103.459</v>
      </c>
      <c r="AN616" s="518">
        <f t="shared" si="1282"/>
        <v>104.589</v>
      </c>
      <c r="AO616" s="675">
        <v>104.589</v>
      </c>
      <c r="AP616" s="609">
        <v>103.976</v>
      </c>
      <c r="AQ616" s="609">
        <v>104.79600000000001</v>
      </c>
      <c r="AR616" s="609">
        <v>106.77200000000001</v>
      </c>
      <c r="AS616" s="518">
        <f t="shared" si="1283"/>
        <v>109.261</v>
      </c>
      <c r="AT616" s="675">
        <v>109.261</v>
      </c>
      <c r="AU616" s="609">
        <v>106.914</v>
      </c>
      <c r="AV616" s="609">
        <v>107.63</v>
      </c>
      <c r="AW616" s="609">
        <v>106.5</v>
      </c>
      <c r="AX616" s="518">
        <f t="shared" si="1284"/>
        <v>105.128</v>
      </c>
      <c r="AY616" s="675">
        <v>105.128</v>
      </c>
      <c r="AZ616" s="609">
        <v>104.31699999999999</v>
      </c>
      <c r="BA616" s="609">
        <v>101.526</v>
      </c>
      <c r="BB616" s="609">
        <v>98.256</v>
      </c>
      <c r="BC616" s="518">
        <f t="shared" si="1285"/>
        <v>102.328</v>
      </c>
      <c r="BD616" s="675">
        <v>102.328</v>
      </c>
      <c r="BE616" s="609">
        <v>103.19499999999999</v>
      </c>
      <c r="BF616" s="609">
        <v>103.26</v>
      </c>
      <c r="BG616" s="609">
        <v>101.92700000000001</v>
      </c>
      <c r="BH616" s="518">
        <f t="shared" si="1286"/>
        <v>103.886</v>
      </c>
      <c r="BI616" s="675">
        <v>103.886</v>
      </c>
      <c r="BJ616" s="609">
        <v>102.833</v>
      </c>
      <c r="BK616" s="609">
        <v>102.488</v>
      </c>
      <c r="BL616" s="610">
        <v>104.43300000000001</v>
      </c>
      <c r="BM616" s="518">
        <f>BL616</f>
        <v>104.43300000000001</v>
      </c>
      <c r="BN616" s="89">
        <f t="shared" si="1289"/>
        <v>104.43300000000001</v>
      </c>
      <c r="BO616" s="518">
        <f t="shared" si="1291"/>
        <v>104.43300000000001</v>
      </c>
      <c r="BP616" s="518">
        <f t="shared" si="1291"/>
        <v>104.43300000000001</v>
      </c>
      <c r="BQ616" s="518">
        <f t="shared" si="1291"/>
        <v>104.43300000000001</v>
      </c>
      <c r="BR616" s="518">
        <f t="shared" si="1291"/>
        <v>104.43300000000001</v>
      </c>
      <c r="BS616" s="89">
        <f t="shared" si="1290"/>
        <v>104.43300000000001</v>
      </c>
      <c r="BT616" s="89">
        <f t="shared" si="1292"/>
        <v>104.43300000000001</v>
      </c>
      <c r="BU616" s="89">
        <f t="shared" si="1292"/>
        <v>104.43300000000001</v>
      </c>
      <c r="BV616" s="89">
        <f t="shared" si="1292"/>
        <v>104.43300000000001</v>
      </c>
      <c r="BW616" s="519"/>
    </row>
    <row r="617" spans="1:75" s="439" customFormat="1">
      <c r="A617" s="31" t="s">
        <v>524</v>
      </c>
      <c r="B617" s="53"/>
      <c r="C617" s="89"/>
      <c r="D617" s="89"/>
      <c r="E617" s="675">
        <v>0.13100000000000001</v>
      </c>
      <c r="F617" s="675">
        <v>5.9359999999999999</v>
      </c>
      <c r="G617" s="609">
        <v>5.1829999999999998</v>
      </c>
      <c r="H617" s="609">
        <v>4.7160000000000002</v>
      </c>
      <c r="I617" s="609">
        <v>5.7720000000000002</v>
      </c>
      <c r="J617" s="518">
        <f>K617</f>
        <v>5.2350000000000003</v>
      </c>
      <c r="K617" s="675">
        <v>5.2350000000000003</v>
      </c>
      <c r="L617" s="609">
        <v>4.6150000000000002</v>
      </c>
      <c r="M617" s="609">
        <v>3.996</v>
      </c>
      <c r="N617" s="609">
        <v>4.5410000000000004</v>
      </c>
      <c r="O617" s="518">
        <f>P617</f>
        <v>5.7859999999999996</v>
      </c>
      <c r="P617" s="675">
        <v>5.7859999999999996</v>
      </c>
      <c r="Q617" s="609">
        <v>44.186999999999998</v>
      </c>
      <c r="R617" s="609">
        <v>42.457999999999998</v>
      </c>
      <c r="S617" s="609">
        <v>41.067999999999998</v>
      </c>
      <c r="T617" s="518">
        <f>U617</f>
        <v>39.293999999999997</v>
      </c>
      <c r="U617" s="675">
        <v>39.293999999999997</v>
      </c>
      <c r="V617" s="609">
        <v>37.590000000000003</v>
      </c>
      <c r="W617" s="609">
        <v>35.991999999999997</v>
      </c>
      <c r="X617" s="609">
        <v>34.302</v>
      </c>
      <c r="Y617" s="609">
        <v>32.610999999999997</v>
      </c>
      <c r="Z617" s="89">
        <f>Y617</f>
        <v>32.610999999999997</v>
      </c>
      <c r="AA617" s="609">
        <v>43.393000000000001</v>
      </c>
      <c r="AB617" s="609">
        <v>45.411000000000001</v>
      </c>
      <c r="AC617" s="609">
        <v>17.815000000000001</v>
      </c>
      <c r="AD617" s="518">
        <f>AE617</f>
        <v>16.893000000000001</v>
      </c>
      <c r="AE617" s="675">
        <v>16.893000000000001</v>
      </c>
      <c r="AF617" s="609">
        <v>16.009</v>
      </c>
      <c r="AG617" s="609">
        <v>15.125</v>
      </c>
      <c r="AH617" s="609">
        <v>14.242000000000001</v>
      </c>
      <c r="AI617" s="518">
        <f>AJ617</f>
        <v>13.359</v>
      </c>
      <c r="AJ617" s="675">
        <v>13.359</v>
      </c>
      <c r="AK617" s="609">
        <v>12.477</v>
      </c>
      <c r="AL617" s="609">
        <v>11.587999999999999</v>
      </c>
      <c r="AM617" s="609">
        <v>10.778</v>
      </c>
      <c r="AN617" s="518">
        <f t="shared" si="1282"/>
        <v>10.082000000000001</v>
      </c>
      <c r="AO617" s="675">
        <v>10.082000000000001</v>
      </c>
      <c r="AP617" s="609">
        <v>9.3040000000000003</v>
      </c>
      <c r="AQ617" s="609">
        <v>8.7330000000000005</v>
      </c>
      <c r="AR617" s="609">
        <v>14.24</v>
      </c>
      <c r="AS617" s="518">
        <f t="shared" si="1283"/>
        <v>13.521000000000001</v>
      </c>
      <c r="AT617" s="675">
        <v>13.521000000000001</v>
      </c>
      <c r="AU617" s="609">
        <v>12.805999999999999</v>
      </c>
      <c r="AV617" s="609">
        <v>12.095000000000001</v>
      </c>
      <c r="AW617" s="609">
        <v>11.384</v>
      </c>
      <c r="AX617" s="518">
        <f t="shared" si="1284"/>
        <v>10.673</v>
      </c>
      <c r="AY617" s="675">
        <v>10.673</v>
      </c>
      <c r="AZ617" s="609">
        <v>10.02</v>
      </c>
      <c r="BA617" s="609">
        <v>9.6790000000000003</v>
      </c>
      <c r="BB617" s="609">
        <v>9.3379999999999992</v>
      </c>
      <c r="BC617" s="518">
        <f t="shared" si="1285"/>
        <v>8.9969999999999999</v>
      </c>
      <c r="BD617" s="675">
        <v>8.9969999999999999</v>
      </c>
      <c r="BE617" s="609">
        <v>8.6560000000000006</v>
      </c>
      <c r="BF617" s="609">
        <v>8.3149999999999995</v>
      </c>
      <c r="BG617" s="609">
        <v>7.9770000000000003</v>
      </c>
      <c r="BH617" s="518">
        <f t="shared" si="1286"/>
        <v>7.6379999999999999</v>
      </c>
      <c r="BI617" s="675">
        <v>7.6379999999999999</v>
      </c>
      <c r="BJ617" s="609">
        <v>7.3090000000000002</v>
      </c>
      <c r="BK617" s="609">
        <v>6.9740000000000002</v>
      </c>
      <c r="BL617" s="610">
        <v>6.6379999999999999</v>
      </c>
      <c r="BM617" s="518">
        <f>BL617+BM589+BM588</f>
        <v>6.3042863387978141</v>
      </c>
      <c r="BN617" s="89">
        <f t="shared" si="1289"/>
        <v>6.3042863387978141</v>
      </c>
      <c r="BO617" s="518">
        <f>BN617+BO589+BO588</f>
        <v>6.0711141043491281</v>
      </c>
      <c r="BP617" s="518">
        <f>BO617+BP589+BP588</f>
        <v>5.8440710700357981</v>
      </c>
      <c r="BQ617" s="518">
        <f>BP617+BQ589+BQ588</f>
        <v>5.6231171501275954</v>
      </c>
      <c r="BR617" s="518">
        <f>BQ617+BR589+BR588</f>
        <v>5.4105171044515386</v>
      </c>
      <c r="BS617" s="89">
        <f t="shared" si="1290"/>
        <v>5.4105171044515386</v>
      </c>
      <c r="BT617" s="89">
        <f>BS617+BT589+BT588</f>
        <v>4.5989395387838075</v>
      </c>
      <c r="BU617" s="89">
        <f>BT617+BU589+BU588</f>
        <v>3.9090986079662362</v>
      </c>
      <c r="BV617" s="89">
        <f>BU617+BV589+BV588</f>
        <v>3.3227338167713008</v>
      </c>
      <c r="BW617" s="519"/>
    </row>
    <row r="618" spans="1:75" s="439" customFormat="1">
      <c r="A618" s="31" t="s">
        <v>513</v>
      </c>
      <c r="B618" s="53"/>
      <c r="C618" s="89"/>
      <c r="D618" s="89"/>
      <c r="E618" s="675">
        <v>0.36499999999999999</v>
      </c>
      <c r="F618" s="675">
        <v>6.4</v>
      </c>
      <c r="G618" s="609">
        <v>6.3319999999999999</v>
      </c>
      <c r="H618" s="609">
        <v>8.1020000000000003</v>
      </c>
      <c r="I618" s="609">
        <v>8.1679999999999993</v>
      </c>
      <c r="J618" s="518">
        <f>K618</f>
        <v>3.2469999999999999</v>
      </c>
      <c r="K618" s="675">
        <v>3.2469999999999999</v>
      </c>
      <c r="L618" s="609">
        <v>3.6549999999999998</v>
      </c>
      <c r="M618" s="609">
        <v>3.6840000000000002</v>
      </c>
      <c r="N618" s="609">
        <v>12.986000000000001</v>
      </c>
      <c r="O618" s="518">
        <f>P618</f>
        <v>17.943000000000001</v>
      </c>
      <c r="P618" s="675">
        <v>17.943000000000001</v>
      </c>
      <c r="Q618" s="609">
        <v>17.899000000000001</v>
      </c>
      <c r="R618" s="609">
        <v>16.285</v>
      </c>
      <c r="S618" s="609">
        <v>16.253</v>
      </c>
      <c r="T618" s="518">
        <f>U618</f>
        <v>16.486000000000001</v>
      </c>
      <c r="U618" s="675">
        <v>16.486000000000001</v>
      </c>
      <c r="V618" s="609">
        <v>17.306000000000001</v>
      </c>
      <c r="W618" s="609">
        <v>17.306000000000001</v>
      </c>
      <c r="X618" s="609">
        <v>17.311</v>
      </c>
      <c r="Y618" s="609">
        <v>17.317</v>
      </c>
      <c r="Z618" s="89">
        <f>Y618</f>
        <v>17.317</v>
      </c>
      <c r="AA618" s="609">
        <v>18.463999999999999</v>
      </c>
      <c r="AB618" s="609">
        <v>18.539000000000001</v>
      </c>
      <c r="AC618" s="609">
        <v>18.594999999999999</v>
      </c>
      <c r="AD618" s="518">
        <f>AE618</f>
        <v>18.553999999999998</v>
      </c>
      <c r="AE618" s="675">
        <v>18.553999999999998</v>
      </c>
      <c r="AF618" s="609">
        <v>18.8</v>
      </c>
      <c r="AG618" s="609">
        <v>22.166</v>
      </c>
      <c r="AH618" s="609">
        <v>22.120999999999999</v>
      </c>
      <c r="AI618" s="518">
        <f>AJ618</f>
        <v>22.071000000000002</v>
      </c>
      <c r="AJ618" s="675">
        <v>22.071000000000002</v>
      </c>
      <c r="AK618" s="609">
        <v>22.199000000000002</v>
      </c>
      <c r="AL618" s="609">
        <v>22.082000000000001</v>
      </c>
      <c r="AM618" s="609">
        <v>22.126999999999999</v>
      </c>
      <c r="AN618" s="518">
        <f t="shared" si="1282"/>
        <v>22.036999999999999</v>
      </c>
      <c r="AO618" s="675">
        <v>22.036999999999999</v>
      </c>
      <c r="AP618" s="609">
        <v>22.332000000000001</v>
      </c>
      <c r="AQ618" s="609">
        <v>0.91</v>
      </c>
      <c r="AR618" s="609">
        <v>0.82599999999999996</v>
      </c>
      <c r="AS618" s="518">
        <f t="shared" si="1283"/>
        <v>0.66500000000000004</v>
      </c>
      <c r="AT618" s="675">
        <v>0.66500000000000004</v>
      </c>
      <c r="AU618" s="609">
        <v>0.68899999999999995</v>
      </c>
      <c r="AV618" s="609">
        <v>1.0269999999999999</v>
      </c>
      <c r="AW618" s="609">
        <v>1.054</v>
      </c>
      <c r="AX618" s="518">
        <f t="shared" si="1284"/>
        <v>0.85799999999999998</v>
      </c>
      <c r="AY618" s="675">
        <v>0.85799999999999998</v>
      </c>
      <c r="AZ618" s="609">
        <v>0.79400000000000004</v>
      </c>
      <c r="BA618" s="609">
        <v>1.052</v>
      </c>
      <c r="BB618" s="609">
        <v>1.1459999999999999</v>
      </c>
      <c r="BC618" s="519">
        <f t="shared" si="1285"/>
        <v>0.75900000000000001</v>
      </c>
      <c r="BD618" s="675">
        <v>0.75900000000000001</v>
      </c>
      <c r="BE618" s="609">
        <v>0.53700000000000003</v>
      </c>
      <c r="BF618" s="609">
        <v>0.51800000000000002</v>
      </c>
      <c r="BG618" s="609">
        <v>0.35099999999999998</v>
      </c>
      <c r="BH618" s="519">
        <f t="shared" si="1286"/>
        <v>9.0999999999999998E-2</v>
      </c>
      <c r="BI618" s="675">
        <v>9.0999999999999998E-2</v>
      </c>
      <c r="BJ618" s="609">
        <v>9.0999999999999998E-2</v>
      </c>
      <c r="BK618" s="609">
        <v>0.35899999999999999</v>
      </c>
      <c r="BL618" s="610">
        <v>0.38900000000000001</v>
      </c>
      <c r="BM618" s="518">
        <f>BL618</f>
        <v>0.38900000000000001</v>
      </c>
      <c r="BN618" s="89">
        <f t="shared" si="1289"/>
        <v>0.38900000000000001</v>
      </c>
      <c r="BO618" s="518">
        <f>BN618</f>
        <v>0.38900000000000001</v>
      </c>
      <c r="BP618" s="518">
        <f>BO618</f>
        <v>0.38900000000000001</v>
      </c>
      <c r="BQ618" s="518">
        <f>BP618</f>
        <v>0.38900000000000001</v>
      </c>
      <c r="BR618" s="518">
        <f>BQ618</f>
        <v>0.38900000000000001</v>
      </c>
      <c r="BS618" s="89">
        <f t="shared" si="1290"/>
        <v>0.38900000000000001</v>
      </c>
      <c r="BT618" s="89">
        <f>BS618</f>
        <v>0.38900000000000001</v>
      </c>
      <c r="BU618" s="89">
        <f>BT618</f>
        <v>0.38900000000000001</v>
      </c>
      <c r="BV618" s="89">
        <f>BU618</f>
        <v>0.38900000000000001</v>
      </c>
      <c r="BW618" s="519"/>
    </row>
    <row r="619" spans="1:75" s="439" customFormat="1">
      <c r="A619" s="31" t="s">
        <v>525</v>
      </c>
      <c r="B619" s="53"/>
      <c r="C619" s="89"/>
      <c r="D619" s="89"/>
      <c r="E619" s="675">
        <v>1.718</v>
      </c>
      <c r="F619" s="675">
        <v>0.624</v>
      </c>
      <c r="G619" s="609">
        <v>0.309</v>
      </c>
      <c r="H619" s="609">
        <v>0.26200000000000001</v>
      </c>
      <c r="I619" s="609">
        <v>0.44</v>
      </c>
      <c r="J619" s="518">
        <f>K619</f>
        <v>0.30599999999999999</v>
      </c>
      <c r="K619" s="675">
        <v>0.30599999999999999</v>
      </c>
      <c r="L619" s="609">
        <v>2.488</v>
      </c>
      <c r="M619" s="609">
        <v>2.8140000000000001</v>
      </c>
      <c r="N619" s="609">
        <v>2.3559999999999999</v>
      </c>
      <c r="O619" s="518">
        <f>P619</f>
        <v>16.483000000000001</v>
      </c>
      <c r="P619" s="675">
        <v>16.483000000000001</v>
      </c>
      <c r="Q619" s="609">
        <v>3.6440000000000001</v>
      </c>
      <c r="R619" s="609">
        <v>4.5599999999999996</v>
      </c>
      <c r="S619" s="609">
        <v>6.9130000000000003</v>
      </c>
      <c r="T619" s="518">
        <f>U619</f>
        <v>3.7010000000000001</v>
      </c>
      <c r="U619" s="675">
        <v>3.7010000000000001</v>
      </c>
      <c r="V619" s="609">
        <v>3.95</v>
      </c>
      <c r="W619" s="609">
        <v>4.3490000000000002</v>
      </c>
      <c r="X619" s="609">
        <v>12.019</v>
      </c>
      <c r="Y619" s="609">
        <v>10.992000000000001</v>
      </c>
      <c r="Z619" s="89">
        <f>Y619</f>
        <v>10.992000000000001</v>
      </c>
      <c r="AA619" s="609">
        <v>3.044</v>
      </c>
      <c r="AB619" s="609">
        <v>3.14</v>
      </c>
      <c r="AC619" s="609">
        <v>2.952</v>
      </c>
      <c r="AD619" s="518">
        <f>AE619</f>
        <v>40.427999999999997</v>
      </c>
      <c r="AE619" s="675">
        <v>40.427999999999997</v>
      </c>
      <c r="AF619" s="609">
        <v>41.356999999999999</v>
      </c>
      <c r="AG619" s="609">
        <v>42.298999999999999</v>
      </c>
      <c r="AH619" s="609">
        <v>42.773000000000003</v>
      </c>
      <c r="AI619" s="518">
        <f>AJ619</f>
        <v>59.444000000000003</v>
      </c>
      <c r="AJ619" s="675">
        <v>59.444000000000003</v>
      </c>
      <c r="AK619" s="611">
        <v>32.877000000000002</v>
      </c>
      <c r="AL619" s="609">
        <v>35.880000000000003</v>
      </c>
      <c r="AM619" s="609">
        <v>36.354999999999997</v>
      </c>
      <c r="AN619" s="518">
        <f t="shared" si="1282"/>
        <v>38.369</v>
      </c>
      <c r="AO619" s="675">
        <v>38.369</v>
      </c>
      <c r="AP619" s="611">
        <v>42.045000000000002</v>
      </c>
      <c r="AQ619" s="609">
        <v>46.655000000000001</v>
      </c>
      <c r="AR619" s="609">
        <v>40.829000000000001</v>
      </c>
      <c r="AS619" s="518">
        <f t="shared" si="1283"/>
        <v>48.847999999999999</v>
      </c>
      <c r="AT619" s="675">
        <v>48.847999999999999</v>
      </c>
      <c r="AU619" s="611">
        <v>51.652000000000001</v>
      </c>
      <c r="AV619" s="609">
        <v>59.066000000000003</v>
      </c>
      <c r="AW619" s="609">
        <v>59.837000000000003</v>
      </c>
      <c r="AX619" s="518">
        <f t="shared" si="1284"/>
        <v>64.55</v>
      </c>
      <c r="AY619" s="675">
        <v>64.55</v>
      </c>
      <c r="AZ619" s="611">
        <v>77.266999999999996</v>
      </c>
      <c r="BA619" s="609">
        <v>94.814999999999998</v>
      </c>
      <c r="BB619" s="609">
        <v>115.38200000000001</v>
      </c>
      <c r="BC619" s="518">
        <f t="shared" si="1285"/>
        <v>133.23000000000002</v>
      </c>
      <c r="BD619" s="89">
        <f>133.989-BD618</f>
        <v>133.23000000000002</v>
      </c>
      <c r="BE619" s="521">
        <f>154.201-BE618</f>
        <v>153.66399999999999</v>
      </c>
      <c r="BF619" s="518">
        <f>179.024-BF618</f>
        <v>178.506</v>
      </c>
      <c r="BG619" s="518">
        <f>147.004-BG618</f>
        <v>146.65299999999999</v>
      </c>
      <c r="BH619" s="518">
        <f t="shared" si="1286"/>
        <v>161.63499999999999</v>
      </c>
      <c r="BI619" s="89">
        <f>161.726-BI618</f>
        <v>161.63499999999999</v>
      </c>
      <c r="BJ619" s="521">
        <f>163.745-BJ618</f>
        <v>163.654</v>
      </c>
      <c r="BK619" s="518">
        <f>160.542-BK618</f>
        <v>160.18299999999999</v>
      </c>
      <c r="BL619" s="520">
        <f>176.538-BL618</f>
        <v>176.149</v>
      </c>
      <c r="BM619" s="518">
        <f>BL619-BM210</f>
        <v>176.149</v>
      </c>
      <c r="BN619" s="89">
        <f t="shared" si="1289"/>
        <v>176.149</v>
      </c>
      <c r="BO619" s="518">
        <f>BN619-BO210</f>
        <v>176.149</v>
      </c>
      <c r="BP619" s="518">
        <f>BO619-BP210</f>
        <v>176.149</v>
      </c>
      <c r="BQ619" s="518">
        <f>BP619-BQ210</f>
        <v>176.149</v>
      </c>
      <c r="BR619" s="518">
        <f>BQ619-BR210</f>
        <v>176.149</v>
      </c>
      <c r="BS619" s="89">
        <f t="shared" si="1290"/>
        <v>176.149</v>
      </c>
      <c r="BT619" s="89">
        <f>BS619-BT210</f>
        <v>176.149</v>
      </c>
      <c r="BU619" s="89">
        <f>BT619-BU210</f>
        <v>176.149</v>
      </c>
      <c r="BV619" s="89">
        <f>BU619-BV210</f>
        <v>176.149</v>
      </c>
      <c r="BW619" s="519"/>
    </row>
    <row r="620" spans="1:75" s="444" customFormat="1">
      <c r="A620" s="18" t="s">
        <v>526</v>
      </c>
      <c r="B620" s="49"/>
      <c r="C620" s="676"/>
      <c r="D620" s="676"/>
      <c r="E620" s="676">
        <f t="shared" ref="E620:AJ620" si="1293">SUM(E613:E619)</f>
        <v>12.095000000000001</v>
      </c>
      <c r="F620" s="676">
        <f t="shared" si="1293"/>
        <v>76.364000000000004</v>
      </c>
      <c r="G620" s="560">
        <f t="shared" si="1293"/>
        <v>73.588999999999999</v>
      </c>
      <c r="H620" s="560">
        <f t="shared" si="1293"/>
        <v>79.536999999999992</v>
      </c>
      <c r="I620" s="560">
        <f t="shared" si="1293"/>
        <v>99.115000000000009</v>
      </c>
      <c r="J620" s="560">
        <f t="shared" si="1293"/>
        <v>99.143999999999991</v>
      </c>
      <c r="K620" s="676">
        <f t="shared" si="1293"/>
        <v>99.143999999999991</v>
      </c>
      <c r="L620" s="560">
        <f t="shared" si="1293"/>
        <v>103.69099999999999</v>
      </c>
      <c r="M620" s="560">
        <f t="shared" si="1293"/>
        <v>168.93100000000001</v>
      </c>
      <c r="N620" s="560">
        <f t="shared" si="1293"/>
        <v>172.64499999999998</v>
      </c>
      <c r="O620" s="560">
        <f t="shared" si="1293"/>
        <v>208.89200000000002</v>
      </c>
      <c r="P620" s="676">
        <f t="shared" si="1293"/>
        <v>208.89200000000002</v>
      </c>
      <c r="Q620" s="560">
        <f t="shared" si="1293"/>
        <v>322.97900000000004</v>
      </c>
      <c r="R620" s="560">
        <f t="shared" si="1293"/>
        <v>309.202</v>
      </c>
      <c r="S620" s="560">
        <f t="shared" si="1293"/>
        <v>316.572</v>
      </c>
      <c r="T620" s="560">
        <f t="shared" si="1293"/>
        <v>312.14499999999998</v>
      </c>
      <c r="U620" s="676">
        <f t="shared" si="1293"/>
        <v>312.14499999999998</v>
      </c>
      <c r="V620" s="560">
        <f t="shared" si="1293"/>
        <v>325.62699999999995</v>
      </c>
      <c r="W620" s="560">
        <f t="shared" si="1293"/>
        <v>326.05699999999996</v>
      </c>
      <c r="X620" s="560">
        <f t="shared" si="1293"/>
        <v>331.096</v>
      </c>
      <c r="Y620" s="560">
        <f t="shared" si="1293"/>
        <v>324.02699999999999</v>
      </c>
      <c r="Z620" s="676">
        <f t="shared" si="1293"/>
        <v>324.02699999999999</v>
      </c>
      <c r="AA620" s="560">
        <f t="shared" si="1293"/>
        <v>354.11700000000002</v>
      </c>
      <c r="AB620" s="560">
        <f t="shared" si="1293"/>
        <v>375.24399999999997</v>
      </c>
      <c r="AC620" s="560">
        <f t="shared" si="1293"/>
        <v>240.89599999999999</v>
      </c>
      <c r="AD620" s="560">
        <f t="shared" si="1293"/>
        <v>312.512</v>
      </c>
      <c r="AE620" s="676">
        <f t="shared" si="1293"/>
        <v>312.512</v>
      </c>
      <c r="AF620" s="560">
        <f t="shared" si="1293"/>
        <v>308.37300000000005</v>
      </c>
      <c r="AG620" s="560">
        <f t="shared" si="1293"/>
        <v>295.78899999999999</v>
      </c>
      <c r="AH620" s="560">
        <f t="shared" si="1293"/>
        <v>296.358</v>
      </c>
      <c r="AI620" s="560">
        <f t="shared" si="1293"/>
        <v>315.29400000000004</v>
      </c>
      <c r="AJ620" s="676">
        <f t="shared" si="1293"/>
        <v>315.29400000000004</v>
      </c>
      <c r="AK620" s="560">
        <f t="shared" ref="AK620:AQ620" si="1294">SUM(AK613:AK619)</f>
        <v>562.81799999999987</v>
      </c>
      <c r="AL620" s="560">
        <f t="shared" si="1294"/>
        <v>552.1450000000001</v>
      </c>
      <c r="AM620" s="560">
        <f t="shared" si="1294"/>
        <v>529.47</v>
      </c>
      <c r="AN620" s="560">
        <f t="shared" si="1294"/>
        <v>537.39099999999996</v>
      </c>
      <c r="AO620" s="676">
        <f t="shared" si="1294"/>
        <v>537.39099999999996</v>
      </c>
      <c r="AP620" s="560">
        <f t="shared" si="1294"/>
        <v>490.351</v>
      </c>
      <c r="AQ620" s="560">
        <f t="shared" si="1294"/>
        <v>456.09199999999998</v>
      </c>
      <c r="AR620" s="560">
        <f t="shared" ref="AR620:AW620" si="1295">SUM(AR613:AR619)</f>
        <v>444.75800000000004</v>
      </c>
      <c r="AS620" s="560">
        <f t="shared" si="1295"/>
        <v>442.22200000000004</v>
      </c>
      <c r="AT620" s="676">
        <f t="shared" si="1295"/>
        <v>442.22200000000004</v>
      </c>
      <c r="AU620" s="560">
        <f t="shared" si="1295"/>
        <v>432.03199999999998</v>
      </c>
      <c r="AV620" s="560">
        <f t="shared" si="1295"/>
        <v>416.06200000000001</v>
      </c>
      <c r="AW620" s="560">
        <f t="shared" si="1295"/>
        <v>411.96199999999999</v>
      </c>
      <c r="AX620" s="560">
        <f t="shared" ref="AX620:BA620" si="1296">SUM(AX613:AX619)</f>
        <v>405.851</v>
      </c>
      <c r="AY620" s="676">
        <f t="shared" si="1296"/>
        <v>405.851</v>
      </c>
      <c r="AZ620" s="560">
        <f t="shared" si="1296"/>
        <v>407.56499999999994</v>
      </c>
      <c r="BA620" s="560">
        <f t="shared" si="1296"/>
        <v>411.98199999999997</v>
      </c>
      <c r="BB620" s="560">
        <f t="shared" ref="BB620:BN620" si="1297">SUM(BB613:BB619)</f>
        <v>407.233</v>
      </c>
      <c r="BC620" s="560">
        <f t="shared" si="1297"/>
        <v>419.93</v>
      </c>
      <c r="BD620" s="676">
        <f t="shared" si="1297"/>
        <v>419.93</v>
      </c>
      <c r="BE620" s="560">
        <f t="shared" ref="BE620:BM620" si="1298">SUM(BE613:BE619)</f>
        <v>430.08799999999997</v>
      </c>
      <c r="BF620" s="560">
        <f t="shared" si="1298"/>
        <v>445.77799999999991</v>
      </c>
      <c r="BG620" s="560">
        <f t="shared" si="1298"/>
        <v>401.37900000000002</v>
      </c>
      <c r="BH620" s="560">
        <f t="shared" si="1298"/>
        <v>390.50700000000001</v>
      </c>
      <c r="BI620" s="676">
        <f t="shared" si="1298"/>
        <v>390.50700000000001</v>
      </c>
      <c r="BJ620" s="560">
        <f>SUM(BJ613:BJ619)</f>
        <v>386.577</v>
      </c>
      <c r="BK620" s="560">
        <f>SUM(BK613:BK619)</f>
        <v>381.29899999999998</v>
      </c>
      <c r="BL620" s="561">
        <f>SUM(BL613:BL619)</f>
        <v>389.98</v>
      </c>
      <c r="BM620" s="560">
        <f t="shared" si="1298"/>
        <v>390.41692950819674</v>
      </c>
      <c r="BN620" s="676">
        <f t="shared" si="1297"/>
        <v>390.41692950819674</v>
      </c>
      <c r="BO620" s="560">
        <f t="shared" ref="BO620:BV620" si="1299">SUM(BO613:BO619)</f>
        <v>390.96656838984956</v>
      </c>
      <c r="BP620" s="560">
        <f t="shared" si="1299"/>
        <v>391.32233995830262</v>
      </c>
      <c r="BQ620" s="560">
        <f t="shared" si="1299"/>
        <v>391.50726447987313</v>
      </c>
      <c r="BR620" s="560">
        <f t="shared" si="1299"/>
        <v>391.64939107209216</v>
      </c>
      <c r="BS620" s="676">
        <f t="shared" si="1299"/>
        <v>391.64939107209216</v>
      </c>
      <c r="BT620" s="676">
        <f t="shared" si="1299"/>
        <v>392.39387652260416</v>
      </c>
      <c r="BU620" s="676">
        <f t="shared" si="1299"/>
        <v>392.48206709987642</v>
      </c>
      <c r="BV620" s="676">
        <f t="shared" si="1299"/>
        <v>392.28471806272637</v>
      </c>
      <c r="BW620" s="318"/>
    </row>
    <row r="621" spans="1:75" s="444" customFormat="1">
      <c r="A621" s="28" t="s">
        <v>527</v>
      </c>
      <c r="B621" s="30"/>
      <c r="C621" s="714">
        <v>20.817</v>
      </c>
      <c r="D621" s="714">
        <v>41.015000000000001</v>
      </c>
      <c r="E621" s="700">
        <f t="shared" ref="E621:AJ621" si="1300">E610+E620</f>
        <v>43.821000000000005</v>
      </c>
      <c r="F621" s="700">
        <f t="shared" si="1300"/>
        <v>187.696</v>
      </c>
      <c r="G621" s="523">
        <f t="shared" si="1300"/>
        <v>187.29399999999998</v>
      </c>
      <c r="H621" s="523">
        <f t="shared" si="1300"/>
        <v>197.542</v>
      </c>
      <c r="I621" s="523">
        <f t="shared" si="1300"/>
        <v>224.33</v>
      </c>
      <c r="J621" s="523">
        <f t="shared" si="1300"/>
        <v>515.97699999999998</v>
      </c>
      <c r="K621" s="700">
        <f t="shared" si="1300"/>
        <v>515.97699999999998</v>
      </c>
      <c r="L621" s="523">
        <f t="shared" si="1300"/>
        <v>533.47399999999993</v>
      </c>
      <c r="M621" s="523">
        <f t="shared" si="1300"/>
        <v>553.15600000000006</v>
      </c>
      <c r="N621" s="523">
        <f t="shared" si="1300"/>
        <v>577.399</v>
      </c>
      <c r="O621" s="523">
        <f t="shared" si="1300"/>
        <v>629.65000000000009</v>
      </c>
      <c r="P621" s="700">
        <f t="shared" si="1300"/>
        <v>629.65000000000009</v>
      </c>
      <c r="Q621" s="523">
        <f t="shared" si="1300"/>
        <v>715.88599999999997</v>
      </c>
      <c r="R621" s="523">
        <f t="shared" si="1300"/>
        <v>741.38700000000006</v>
      </c>
      <c r="S621" s="523">
        <f t="shared" si="1300"/>
        <v>764.40499999999997</v>
      </c>
      <c r="T621" s="523">
        <f t="shared" si="1300"/>
        <v>755.42699999999991</v>
      </c>
      <c r="U621" s="700">
        <f t="shared" si="1300"/>
        <v>755.42699999999991</v>
      </c>
      <c r="V621" s="523">
        <f t="shared" si="1300"/>
        <v>772.96699999999987</v>
      </c>
      <c r="W621" s="523">
        <f t="shared" si="1300"/>
        <v>799.798</v>
      </c>
      <c r="X621" s="523">
        <f t="shared" si="1300"/>
        <v>845.58799999999997</v>
      </c>
      <c r="Y621" s="523">
        <f t="shared" si="1300"/>
        <v>885.20600000000013</v>
      </c>
      <c r="Z621" s="700">
        <f t="shared" si="1300"/>
        <v>885.20600000000013</v>
      </c>
      <c r="AA621" s="523">
        <f t="shared" si="1300"/>
        <v>922.17100000000005</v>
      </c>
      <c r="AB621" s="523">
        <f t="shared" si="1300"/>
        <v>970.11500000000001</v>
      </c>
      <c r="AC621" s="523">
        <f t="shared" si="1300"/>
        <v>1027.115</v>
      </c>
      <c r="AD621" s="523">
        <f t="shared" si="1300"/>
        <v>1225.6010000000001</v>
      </c>
      <c r="AE621" s="700">
        <f t="shared" si="1300"/>
        <v>1225.6010000000001</v>
      </c>
      <c r="AF621" s="523">
        <f t="shared" si="1300"/>
        <v>1218.499</v>
      </c>
      <c r="AG621" s="523">
        <f t="shared" si="1300"/>
        <v>1198.2240000000002</v>
      </c>
      <c r="AH621" s="523">
        <f t="shared" si="1300"/>
        <v>1233.2570000000001</v>
      </c>
      <c r="AI621" s="523">
        <f t="shared" si="1300"/>
        <v>1175.5630000000001</v>
      </c>
      <c r="AJ621" s="700">
        <f t="shared" si="1300"/>
        <v>1175.5630000000001</v>
      </c>
      <c r="AK621" s="523">
        <f t="shared" ref="AK621:AQ621" si="1301">AK610+AK620</f>
        <v>1337.86</v>
      </c>
      <c r="AL621" s="523">
        <f t="shared" si="1301"/>
        <v>1083.433</v>
      </c>
      <c r="AM621" s="523">
        <f t="shared" si="1301"/>
        <v>1028.769</v>
      </c>
      <c r="AN621" s="523">
        <f t="shared" si="1301"/>
        <v>1070.7</v>
      </c>
      <c r="AO621" s="700">
        <f t="shared" si="1301"/>
        <v>1070.7</v>
      </c>
      <c r="AP621" s="523">
        <f t="shared" si="1301"/>
        <v>1085.2239999999999</v>
      </c>
      <c r="AQ621" s="523">
        <f t="shared" si="1301"/>
        <v>1073.4849999999999</v>
      </c>
      <c r="AR621" s="523">
        <f t="shared" ref="AR621:AW621" si="1302">AR610+AR620</f>
        <v>1138.95</v>
      </c>
      <c r="AS621" s="523">
        <f t="shared" si="1302"/>
        <v>1154.9470000000001</v>
      </c>
      <c r="AT621" s="700">
        <f t="shared" si="1302"/>
        <v>1154.9470000000001</v>
      </c>
      <c r="AU621" s="523">
        <f t="shared" si="1302"/>
        <v>1135.3779999999999</v>
      </c>
      <c r="AV621" s="523">
        <f t="shared" si="1302"/>
        <v>1105.2440000000001</v>
      </c>
      <c r="AW621" s="523">
        <f t="shared" si="1302"/>
        <v>1079.068</v>
      </c>
      <c r="AX621" s="523">
        <f t="shared" ref="AX621:BA621" si="1303">AX610+AX620</f>
        <v>1050.5280000000002</v>
      </c>
      <c r="AY621" s="700">
        <f t="shared" si="1303"/>
        <v>1050.5280000000002</v>
      </c>
      <c r="AZ621" s="523">
        <f t="shared" si="1303"/>
        <v>1044.9059999999999</v>
      </c>
      <c r="BA621" s="523">
        <f t="shared" si="1303"/>
        <v>1023.1679999999999</v>
      </c>
      <c r="BB621" s="523">
        <f t="shared" ref="BB621:BN621" si="1304">BB610+BB620</f>
        <v>1030.3340000000001</v>
      </c>
      <c r="BC621" s="523">
        <f t="shared" si="1304"/>
        <v>1015.922</v>
      </c>
      <c r="BD621" s="700">
        <f t="shared" si="1304"/>
        <v>1015.922</v>
      </c>
      <c r="BE621" s="523">
        <f t="shared" ref="BE621:BM621" si="1305">BE610+BE620</f>
        <v>1021.682</v>
      </c>
      <c r="BF621" s="523">
        <f t="shared" si="1305"/>
        <v>1033.288</v>
      </c>
      <c r="BG621" s="523">
        <f t="shared" si="1305"/>
        <v>1027.3180000000002</v>
      </c>
      <c r="BH621" s="523">
        <f t="shared" si="1305"/>
        <v>1014.723</v>
      </c>
      <c r="BI621" s="700">
        <f t="shared" si="1305"/>
        <v>1014.723</v>
      </c>
      <c r="BJ621" s="523">
        <f>BJ610+BJ620</f>
        <v>993.47700000000009</v>
      </c>
      <c r="BK621" s="523">
        <f>BK610+BK620</f>
        <v>964.97800000000007</v>
      </c>
      <c r="BL621" s="563">
        <f>BL610+BL620</f>
        <v>980.20799999999997</v>
      </c>
      <c r="BM621" s="523" t="e">
        <f t="shared" si="1305"/>
        <v>#REF!</v>
      </c>
      <c r="BN621" s="700" t="e">
        <f t="shared" si="1304"/>
        <v>#REF!</v>
      </c>
      <c r="BO621" s="523" t="e">
        <f t="shared" ref="BO621:BV621" si="1306">BO610+BO620</f>
        <v>#REF!</v>
      </c>
      <c r="BP621" s="523" t="e">
        <f t="shared" si="1306"/>
        <v>#REF!</v>
      </c>
      <c r="BQ621" s="523" t="e">
        <f t="shared" si="1306"/>
        <v>#REF!</v>
      </c>
      <c r="BR621" s="523" t="e">
        <f t="shared" si="1306"/>
        <v>#REF!</v>
      </c>
      <c r="BS621" s="700" t="e">
        <f t="shared" si="1306"/>
        <v>#REF!</v>
      </c>
      <c r="BT621" s="700" t="e">
        <f t="shared" si="1306"/>
        <v>#REF!</v>
      </c>
      <c r="BU621" s="700" t="e">
        <f t="shared" si="1306"/>
        <v>#REF!</v>
      </c>
      <c r="BV621" s="700" t="e">
        <f t="shared" si="1306"/>
        <v>#REF!</v>
      </c>
      <c r="BW621" s="318"/>
    </row>
    <row r="622" spans="1:75" s="444" customFormat="1">
      <c r="A622" s="28"/>
      <c r="B622" s="30"/>
      <c r="C622" s="700"/>
      <c r="D622" s="700"/>
      <c r="E622" s="700"/>
      <c r="F622" s="700"/>
      <c r="G622" s="523"/>
      <c r="H622" s="523"/>
      <c r="I622" s="523"/>
      <c r="J622" s="523"/>
      <c r="K622" s="700"/>
      <c r="L622" s="523"/>
      <c r="M622" s="523"/>
      <c r="N622" s="523"/>
      <c r="O622" s="523"/>
      <c r="P622" s="700"/>
      <c r="Q622" s="523"/>
      <c r="R622" s="523"/>
      <c r="S622" s="523"/>
      <c r="T622" s="523"/>
      <c r="U622" s="700"/>
      <c r="V622" s="523"/>
      <c r="W622" s="523"/>
      <c r="X622" s="523"/>
      <c r="Y622" s="523"/>
      <c r="Z622" s="700"/>
      <c r="AA622" s="523"/>
      <c r="AB622" s="523"/>
      <c r="AC622" s="523"/>
      <c r="AD622" s="523"/>
      <c r="AE622" s="700"/>
      <c r="AF622" s="523"/>
      <c r="AG622" s="523"/>
      <c r="AH622" s="523"/>
      <c r="AI622" s="523"/>
      <c r="AJ622" s="700"/>
      <c r="AK622" s="523"/>
      <c r="AL622" s="523"/>
      <c r="AM622" s="523"/>
      <c r="AN622" s="523"/>
      <c r="AO622" s="700"/>
      <c r="AP622" s="523"/>
      <c r="AQ622" s="523"/>
      <c r="AR622" s="523"/>
      <c r="AS622" s="523"/>
      <c r="AT622" s="700"/>
      <c r="AU622" s="523"/>
      <c r="AV622" s="523"/>
      <c r="AW622" s="523"/>
      <c r="AX622" s="523"/>
      <c r="AY622" s="700"/>
      <c r="AZ622" s="523"/>
      <c r="BA622" s="523"/>
      <c r="BB622" s="523"/>
      <c r="BC622" s="523"/>
      <c r="BD622" s="700"/>
      <c r="BE622" s="523"/>
      <c r="BF622" s="523"/>
      <c r="BG622" s="523"/>
      <c r="BH622" s="523"/>
      <c r="BI622" s="700"/>
      <c r="BJ622" s="523"/>
      <c r="BK622" s="523"/>
      <c r="BL622" s="563"/>
      <c r="BM622" s="523"/>
      <c r="BN622" s="700"/>
      <c r="BO622" s="523"/>
      <c r="BP622" s="523"/>
      <c r="BQ622" s="523"/>
      <c r="BR622" s="523"/>
      <c r="BS622" s="700"/>
      <c r="BT622" s="700"/>
      <c r="BU622" s="700"/>
      <c r="BV622" s="700"/>
      <c r="BW622" s="318"/>
    </row>
    <row r="623" spans="1:75" s="444" customFormat="1">
      <c r="A623" s="28" t="s">
        <v>528</v>
      </c>
      <c r="B623" s="30"/>
      <c r="C623" s="700"/>
      <c r="D623" s="700"/>
      <c r="E623" s="700"/>
      <c r="F623" s="700"/>
      <c r="G623" s="523"/>
      <c r="H623" s="523"/>
      <c r="I623" s="523"/>
      <c r="J623" s="523"/>
      <c r="K623" s="700"/>
      <c r="L623" s="523"/>
      <c r="M623" s="523"/>
      <c r="N623" s="523"/>
      <c r="O623" s="523"/>
      <c r="P623" s="700"/>
      <c r="Q623" s="523"/>
      <c r="R623" s="523"/>
      <c r="S623" s="523"/>
      <c r="T623" s="523"/>
      <c r="U623" s="700"/>
      <c r="V623" s="523"/>
      <c r="W623" s="523"/>
      <c r="X623" s="523"/>
      <c r="Y623" s="523"/>
      <c r="Z623" s="700"/>
      <c r="AA623" s="523"/>
      <c r="AB623" s="523"/>
      <c r="AC623" s="523"/>
      <c r="AD623" s="523"/>
      <c r="AE623" s="700"/>
      <c r="AF623" s="523"/>
      <c r="AG623" s="523"/>
      <c r="AH623" s="523"/>
      <c r="AI623" s="523"/>
      <c r="AJ623" s="700"/>
      <c r="AK623" s="523"/>
      <c r="AL623" s="523"/>
      <c r="AM623" s="523"/>
      <c r="AN623" s="523"/>
      <c r="AO623" s="700"/>
      <c r="AP623" s="523"/>
      <c r="AQ623" s="523"/>
      <c r="AR623" s="523"/>
      <c r="AS623" s="523"/>
      <c r="AT623" s="700"/>
      <c r="AU623" s="523"/>
      <c r="AV623" s="523"/>
      <c r="AW623" s="523"/>
      <c r="AX623" s="523"/>
      <c r="AY623" s="700"/>
      <c r="AZ623" s="523"/>
      <c r="BA623" s="523"/>
      <c r="BB623" s="523"/>
      <c r="BC623" s="523"/>
      <c r="BD623" s="700"/>
      <c r="BE623" s="523"/>
      <c r="BF623" s="523"/>
      <c r="BG623" s="523"/>
      <c r="BH623" s="523"/>
      <c r="BI623" s="700"/>
      <c r="BJ623" s="523"/>
      <c r="BK623" s="523"/>
      <c r="BL623" s="563"/>
      <c r="BM623" s="523"/>
      <c r="BN623" s="700"/>
      <c r="BO623" s="523"/>
      <c r="BP623" s="523"/>
      <c r="BQ623" s="523"/>
      <c r="BR623" s="523"/>
      <c r="BS623" s="700"/>
      <c r="BT623" s="700"/>
      <c r="BU623" s="700"/>
      <c r="BV623" s="700"/>
      <c r="BW623" s="318"/>
    </row>
    <row r="624" spans="1:75" s="439" customFormat="1">
      <c r="A624" s="2" t="s">
        <v>529</v>
      </c>
      <c r="B624" s="53"/>
      <c r="C624" s="89"/>
      <c r="D624" s="89"/>
      <c r="E624" s="89"/>
      <c r="F624" s="89"/>
      <c r="G624" s="518"/>
      <c r="H624" s="518"/>
      <c r="I624" s="518"/>
      <c r="J624" s="518"/>
      <c r="K624" s="89"/>
      <c r="L624" s="518"/>
      <c r="M624" s="518"/>
      <c r="N624" s="518"/>
      <c r="O624" s="518"/>
      <c r="P624" s="89"/>
      <c r="Q624" s="518"/>
      <c r="R624" s="518"/>
      <c r="S624" s="518"/>
      <c r="T624" s="518"/>
      <c r="U624" s="89"/>
      <c r="V624" s="518"/>
      <c r="W624" s="518"/>
      <c r="X624" s="518"/>
      <c r="Y624" s="518"/>
      <c r="Z624" s="89"/>
      <c r="AA624" s="518"/>
      <c r="AB624" s="518"/>
      <c r="AC624" s="518"/>
      <c r="AD624" s="518"/>
      <c r="AE624" s="89"/>
      <c r="AF624" s="518"/>
      <c r="AG624" s="518"/>
      <c r="AH624" s="518"/>
      <c r="AI624" s="518"/>
      <c r="AJ624" s="89"/>
      <c r="AK624" s="518"/>
      <c r="AL624" s="518"/>
      <c r="AM624" s="518"/>
      <c r="AN624" s="518"/>
      <c r="AO624" s="89"/>
      <c r="AP624" s="518"/>
      <c r="AQ624" s="518"/>
      <c r="AR624" s="518"/>
      <c r="AS624" s="518"/>
      <c r="AT624" s="89"/>
      <c r="AU624" s="518"/>
      <c r="AV624" s="518"/>
      <c r="AW624" s="518"/>
      <c r="AX624" s="518"/>
      <c r="AY624" s="89"/>
      <c r="AZ624" s="518"/>
      <c r="BA624" s="518"/>
      <c r="BB624" s="518"/>
      <c r="BC624" s="518"/>
      <c r="BD624" s="89"/>
      <c r="BE624" s="518"/>
      <c r="BF624" s="518"/>
      <c r="BG624" s="518"/>
      <c r="BH624" s="518"/>
      <c r="BI624" s="89"/>
      <c r="BJ624" s="518"/>
      <c r="BK624" s="518"/>
      <c r="BL624" s="520"/>
      <c r="BM624" s="518">
        <f>BM392</f>
        <v>0</v>
      </c>
      <c r="BN624" s="89">
        <f t="shared" ref="BN624:BN631" si="1307">BM624</f>
        <v>0</v>
      </c>
      <c r="BO624" s="518">
        <f>BO392</f>
        <v>0</v>
      </c>
      <c r="BP624" s="518">
        <f>BP392</f>
        <v>0</v>
      </c>
      <c r="BQ624" s="518">
        <f>BQ392</f>
        <v>0</v>
      </c>
      <c r="BR624" s="518">
        <f>BR392</f>
        <v>0</v>
      </c>
      <c r="BS624" s="89">
        <f t="shared" ref="BS624:BS631" si="1308">BR624</f>
        <v>0</v>
      </c>
      <c r="BT624" s="89">
        <f>BT392</f>
        <v>0</v>
      </c>
      <c r="BU624" s="89">
        <f>BU392</f>
        <v>0</v>
      </c>
      <c r="BV624" s="89">
        <f>BV392</f>
        <v>0</v>
      </c>
      <c r="BW624" s="519"/>
    </row>
    <row r="625" spans="1:75" s="439" customFormat="1">
      <c r="A625" s="31" t="s">
        <v>530</v>
      </c>
      <c r="B625" s="53"/>
      <c r="C625" s="89"/>
      <c r="D625" s="89"/>
      <c r="E625" s="675">
        <v>2.9729999999999999</v>
      </c>
      <c r="F625" s="675">
        <v>2.2839999999999998</v>
      </c>
      <c r="G625" s="609">
        <v>3.02</v>
      </c>
      <c r="H625" s="609">
        <v>1.929</v>
      </c>
      <c r="I625" s="609">
        <v>2.839</v>
      </c>
      <c r="J625" s="518">
        <f>K625</f>
        <v>3.3639999999999999</v>
      </c>
      <c r="K625" s="675">
        <v>3.3639999999999999</v>
      </c>
      <c r="L625" s="609">
        <v>1.5780000000000001</v>
      </c>
      <c r="M625" s="609">
        <v>1.6800000000000002</v>
      </c>
      <c r="N625" s="609">
        <v>2.226</v>
      </c>
      <c r="O625" s="518">
        <f>P625</f>
        <v>1.3979999999999999</v>
      </c>
      <c r="P625" s="675">
        <v>1.3979999999999999</v>
      </c>
      <c r="Q625" s="609">
        <v>1.8360000000000001</v>
      </c>
      <c r="R625" s="609">
        <v>1.706</v>
      </c>
      <c r="S625" s="609">
        <v>3.3050000000000002</v>
      </c>
      <c r="T625" s="518">
        <f>U625</f>
        <v>3.3879999999999999</v>
      </c>
      <c r="U625" s="675">
        <v>3.3879999999999999</v>
      </c>
      <c r="V625" s="609">
        <v>3.2</v>
      </c>
      <c r="W625" s="609">
        <v>1.325</v>
      </c>
      <c r="X625" s="609">
        <v>1.0049999999999999</v>
      </c>
      <c r="Y625" s="609">
        <v>2.0030000000000001</v>
      </c>
      <c r="Z625" s="89">
        <f>Y625</f>
        <v>2.0030000000000001</v>
      </c>
      <c r="AA625" s="609">
        <f>3.963+18.832</f>
        <v>22.795000000000002</v>
      </c>
      <c r="AB625" s="609">
        <f>3.183+17.21</f>
        <v>20.393000000000001</v>
      </c>
      <c r="AC625" s="609">
        <f>2.269+0.878</f>
        <v>3.1470000000000002</v>
      </c>
      <c r="AD625" s="518">
        <f>AE625</f>
        <v>9.0329999999999995</v>
      </c>
      <c r="AE625" s="675">
        <v>9.0329999999999995</v>
      </c>
      <c r="AF625" s="609">
        <v>6.62</v>
      </c>
      <c r="AG625" s="609">
        <v>9.8079999999999998</v>
      </c>
      <c r="AH625" s="609">
        <v>6.8289999999999997</v>
      </c>
      <c r="AI625" s="518">
        <f>AJ625</f>
        <v>6.54</v>
      </c>
      <c r="AJ625" s="675">
        <v>6.54</v>
      </c>
      <c r="AK625" s="609">
        <v>2.931</v>
      </c>
      <c r="AL625" s="609">
        <v>2.8820000000000001</v>
      </c>
      <c r="AM625" s="609">
        <v>3.1389999999999998</v>
      </c>
      <c r="AN625" s="518">
        <f t="shared" ref="AN625:AN631" si="1309">AO625</f>
        <v>6.0019999999999998</v>
      </c>
      <c r="AO625" s="675">
        <v>6.0019999999999998</v>
      </c>
      <c r="AP625" s="518"/>
      <c r="AQ625" s="518"/>
      <c r="AR625" s="518"/>
      <c r="AS625" s="518"/>
      <c r="AT625" s="89"/>
      <c r="AU625" s="518"/>
      <c r="AV625" s="518"/>
      <c r="AW625" s="518"/>
      <c r="AX625" s="518"/>
      <c r="AY625" s="89"/>
      <c r="AZ625" s="518"/>
      <c r="BA625" s="518"/>
      <c r="BB625" s="518"/>
      <c r="BC625" s="518"/>
      <c r="BD625" s="89"/>
      <c r="BE625" s="518"/>
      <c r="BF625" s="518"/>
      <c r="BG625" s="518"/>
      <c r="BH625" s="518"/>
      <c r="BI625" s="89"/>
      <c r="BJ625" s="518"/>
      <c r="BK625" s="518"/>
      <c r="BL625" s="520"/>
      <c r="BM625" s="518">
        <f>BL625</f>
        <v>0</v>
      </c>
      <c r="BN625" s="89">
        <f t="shared" si="1307"/>
        <v>0</v>
      </c>
      <c r="BO625" s="518">
        <f t="shared" ref="BO625:BR626" si="1310">BN625</f>
        <v>0</v>
      </c>
      <c r="BP625" s="518">
        <f t="shared" si="1310"/>
        <v>0</v>
      </c>
      <c r="BQ625" s="518">
        <f t="shared" si="1310"/>
        <v>0</v>
      </c>
      <c r="BR625" s="518">
        <f t="shared" si="1310"/>
        <v>0</v>
      </c>
      <c r="BS625" s="89">
        <f t="shared" si="1308"/>
        <v>0</v>
      </c>
      <c r="BT625" s="89">
        <f t="shared" ref="BT625:BV626" si="1311">BS625</f>
        <v>0</v>
      </c>
      <c r="BU625" s="89">
        <f t="shared" si="1311"/>
        <v>0</v>
      </c>
      <c r="BV625" s="89">
        <f t="shared" si="1311"/>
        <v>0</v>
      </c>
      <c r="BW625" s="519"/>
    </row>
    <row r="626" spans="1:75" s="439" customFormat="1">
      <c r="A626" s="31" t="s">
        <v>531</v>
      </c>
      <c r="B626" s="53"/>
      <c r="C626" s="89"/>
      <c r="D626" s="89"/>
      <c r="E626" s="89"/>
      <c r="F626" s="89"/>
      <c r="G626" s="518"/>
      <c r="H626" s="518"/>
      <c r="I626" s="518"/>
      <c r="J626" s="518"/>
      <c r="K626" s="89"/>
      <c r="L626" s="518"/>
      <c r="M626" s="518"/>
      <c r="N626" s="518"/>
      <c r="O626" s="518"/>
      <c r="P626" s="89"/>
      <c r="Q626" s="518"/>
      <c r="R626" s="518"/>
      <c r="S626" s="518"/>
      <c r="T626" s="518"/>
      <c r="U626" s="89"/>
      <c r="V626" s="518"/>
      <c r="W626" s="518"/>
      <c r="X626" s="518"/>
      <c r="Y626" s="518"/>
      <c r="Z626" s="89"/>
      <c r="AA626" s="518"/>
      <c r="AB626" s="518"/>
      <c r="AC626" s="518"/>
      <c r="AD626" s="518">
        <f>AE626</f>
        <v>0</v>
      </c>
      <c r="AE626" s="89"/>
      <c r="AF626" s="518"/>
      <c r="AG626" s="518"/>
      <c r="AH626" s="518"/>
      <c r="AI626" s="518">
        <f>AJ626</f>
        <v>0</v>
      </c>
      <c r="AJ626" s="89"/>
      <c r="AK626" s="518"/>
      <c r="AL626" s="518"/>
      <c r="AM626" s="518"/>
      <c r="AN626" s="518">
        <f t="shared" si="1309"/>
        <v>0</v>
      </c>
      <c r="AO626" s="89"/>
      <c r="AP626" s="518"/>
      <c r="AQ626" s="518"/>
      <c r="AR626" s="518"/>
      <c r="AS626" s="518"/>
      <c r="AT626" s="89"/>
      <c r="AU626" s="518"/>
      <c r="AV626" s="518"/>
      <c r="AW626" s="518"/>
      <c r="AX626" s="518"/>
      <c r="AY626" s="89"/>
      <c r="AZ626" s="518"/>
      <c r="BA626" s="518"/>
      <c r="BB626" s="518"/>
      <c r="BC626" s="518"/>
      <c r="BD626" s="89"/>
      <c r="BE626" s="518"/>
      <c r="BF626" s="518"/>
      <c r="BG626" s="518"/>
      <c r="BH626" s="518"/>
      <c r="BI626" s="89"/>
      <c r="BJ626" s="518"/>
      <c r="BK626" s="518"/>
      <c r="BL626" s="520"/>
      <c r="BM626" s="518">
        <f>BL626</f>
        <v>0</v>
      </c>
      <c r="BN626" s="89">
        <f t="shared" si="1307"/>
        <v>0</v>
      </c>
      <c r="BO626" s="518">
        <f t="shared" si="1310"/>
        <v>0</v>
      </c>
      <c r="BP626" s="518">
        <f t="shared" si="1310"/>
        <v>0</v>
      </c>
      <c r="BQ626" s="518">
        <f t="shared" si="1310"/>
        <v>0</v>
      </c>
      <c r="BR626" s="518">
        <f t="shared" si="1310"/>
        <v>0</v>
      </c>
      <c r="BS626" s="89">
        <f t="shared" si="1308"/>
        <v>0</v>
      </c>
      <c r="BT626" s="89">
        <f t="shared" si="1311"/>
        <v>0</v>
      </c>
      <c r="BU626" s="89">
        <f t="shared" si="1311"/>
        <v>0</v>
      </c>
      <c r="BV626" s="89">
        <f t="shared" si="1311"/>
        <v>0</v>
      </c>
      <c r="BW626" s="519"/>
    </row>
    <row r="627" spans="1:75" s="439" customFormat="1">
      <c r="A627" s="31" t="s">
        <v>532</v>
      </c>
      <c r="B627" s="53"/>
      <c r="C627" s="89"/>
      <c r="D627" s="89"/>
      <c r="E627" s="675">
        <v>7.6849999999999996</v>
      </c>
      <c r="F627" s="675">
        <v>14.974</v>
      </c>
      <c r="G627" s="609">
        <v>15.153</v>
      </c>
      <c r="H627" s="609">
        <v>17.689</v>
      </c>
      <c r="I627" s="609">
        <v>22.04</v>
      </c>
      <c r="J627" s="518">
        <f>K627</f>
        <v>19.004000000000001</v>
      </c>
      <c r="K627" s="675">
        <v>19.004000000000001</v>
      </c>
      <c r="L627" s="609">
        <v>23.992000000000001</v>
      </c>
      <c r="M627" s="609">
        <v>21.620999999999999</v>
      </c>
      <c r="N627" s="609">
        <v>27.414999999999999</v>
      </c>
      <c r="O627" s="518">
        <f>P627</f>
        <v>29.581</v>
      </c>
      <c r="P627" s="675">
        <v>29.581</v>
      </c>
      <c r="Q627" s="609">
        <v>41.887999999999998</v>
      </c>
      <c r="R627" s="609">
        <v>37.716000000000001</v>
      </c>
      <c r="S627" s="609">
        <v>49.246000000000002</v>
      </c>
      <c r="T627" s="518">
        <f>U627</f>
        <v>43.457999999999998</v>
      </c>
      <c r="U627" s="675">
        <v>43.457999999999998</v>
      </c>
      <c r="V627" s="609">
        <v>52.764000000000003</v>
      </c>
      <c r="W627" s="609">
        <v>51.563000000000002</v>
      </c>
      <c r="X627" s="609">
        <v>59.33</v>
      </c>
      <c r="Y627" s="609">
        <v>55.082000000000001</v>
      </c>
      <c r="Z627" s="89">
        <f>Y627</f>
        <v>55.082000000000001</v>
      </c>
      <c r="AA627" s="609">
        <v>45.970999999999997</v>
      </c>
      <c r="AB627" s="609">
        <v>40.936</v>
      </c>
      <c r="AC627" s="609">
        <v>48.32</v>
      </c>
      <c r="AD627" s="518">
        <f>AE627</f>
        <v>73.665000000000006</v>
      </c>
      <c r="AE627" s="675">
        <v>73.665000000000006</v>
      </c>
      <c r="AF627" s="609">
        <v>83.412999999999997</v>
      </c>
      <c r="AG627" s="609">
        <v>52.469000000000001</v>
      </c>
      <c r="AH627" s="609">
        <v>58.564</v>
      </c>
      <c r="AI627" s="518">
        <f>AJ627</f>
        <v>54.521999999999998</v>
      </c>
      <c r="AJ627" s="675">
        <v>54.521999999999998</v>
      </c>
      <c r="AK627" s="609">
        <v>68.090999999999994</v>
      </c>
      <c r="AL627" s="609">
        <v>71.707999999999998</v>
      </c>
      <c r="AM627" s="609">
        <v>71.739000000000004</v>
      </c>
      <c r="AN627" s="518">
        <f t="shared" si="1309"/>
        <v>66.331000000000003</v>
      </c>
      <c r="AO627" s="89">
        <f>72.333-AO625</f>
        <v>66.331000000000003</v>
      </c>
      <c r="AP627" s="518">
        <f>74.702-AP625</f>
        <v>74.701999999999998</v>
      </c>
      <c r="AQ627" s="609">
        <v>60.206000000000003</v>
      </c>
      <c r="AR627" s="609">
        <v>103.378</v>
      </c>
      <c r="AS627" s="518">
        <f>AT627</f>
        <v>87.76</v>
      </c>
      <c r="AT627" s="89">
        <f>87.76-AT625</f>
        <v>87.76</v>
      </c>
      <c r="AU627" s="518">
        <f>97.292-AU625</f>
        <v>97.292000000000002</v>
      </c>
      <c r="AV627" s="609">
        <v>106.19</v>
      </c>
      <c r="AW627" s="609">
        <v>106.408</v>
      </c>
      <c r="AX627" s="518">
        <f>AY627</f>
        <v>119.62</v>
      </c>
      <c r="AY627" s="675">
        <v>119.62</v>
      </c>
      <c r="AZ627" s="609">
        <v>146.28299999999999</v>
      </c>
      <c r="BA627" s="609">
        <v>132.68799999999999</v>
      </c>
      <c r="BB627" s="609">
        <v>150.804</v>
      </c>
      <c r="BC627" s="518">
        <f>BD627</f>
        <v>137.94999999999999</v>
      </c>
      <c r="BD627" s="675">
        <v>137.94999999999999</v>
      </c>
      <c r="BE627" s="609">
        <v>152.86000000000001</v>
      </c>
      <c r="BF627" s="609">
        <v>171.87100000000001</v>
      </c>
      <c r="BG627" s="609">
        <v>143.88900000000001</v>
      </c>
      <c r="BH627" s="518">
        <f>BI627</f>
        <v>132.809</v>
      </c>
      <c r="BI627" s="675">
        <v>132.809</v>
      </c>
      <c r="BJ627" s="609">
        <v>144.94300000000001</v>
      </c>
      <c r="BK627" s="609">
        <v>117.762</v>
      </c>
      <c r="BL627" s="610">
        <v>134.74600000000001</v>
      </c>
      <c r="BM627" s="518">
        <f>(BM$214+BL$214+BK$214+BJ$214)*BM575</f>
        <v>223.14629733890141</v>
      </c>
      <c r="BN627" s="89">
        <f t="shared" si="1307"/>
        <v>223.14629733890141</v>
      </c>
      <c r="BO627" s="518">
        <f>(BO$214+BM$214+BL$214+BK$214)*BO575</f>
        <v>151.53201450483681</v>
      </c>
      <c r="BP627" s="518">
        <f>(BP$214+BO$214+BM$214+BL$214)*BP575</f>
        <v>123.84956610044426</v>
      </c>
      <c r="BQ627" s="518">
        <f>(BQ$214+BP$214+BO$214+BM$214)*BQ575</f>
        <v>231.31873551530623</v>
      </c>
      <c r="BR627" s="518">
        <f>(BR$214+BQ$214+BP$214+BO$214)*BR575</f>
        <v>333.7478015213286</v>
      </c>
      <c r="BS627" s="89">
        <f t="shared" si="1308"/>
        <v>333.7478015213286</v>
      </c>
      <c r="BT627" s="89">
        <f>BT214*BT575</f>
        <v>345.47623456173187</v>
      </c>
      <c r="BU627" s="89">
        <f>BU214*BU575</f>
        <v>371.59392803849528</v>
      </c>
      <c r="BV627" s="89">
        <f>BV214*BV575</f>
        <v>405.79445225105246</v>
      </c>
      <c r="BW627" s="519"/>
    </row>
    <row r="628" spans="1:75" s="439" customFormat="1">
      <c r="A628" s="31" t="s">
        <v>533</v>
      </c>
      <c r="B628" s="53"/>
      <c r="C628" s="89"/>
      <c r="D628" s="89"/>
      <c r="E628" s="89"/>
      <c r="F628" s="89"/>
      <c r="G628" s="518"/>
      <c r="H628" s="518"/>
      <c r="I628" s="518"/>
      <c r="J628" s="518"/>
      <c r="K628" s="89"/>
      <c r="L628" s="518"/>
      <c r="M628" s="518"/>
      <c r="N628" s="518"/>
      <c r="O628" s="518"/>
      <c r="P628" s="89"/>
      <c r="Q628" s="518"/>
      <c r="R628" s="518"/>
      <c r="S628" s="518"/>
      <c r="T628" s="518"/>
      <c r="U628" s="89"/>
      <c r="V628" s="518"/>
      <c r="W628" s="518"/>
      <c r="X628" s="518"/>
      <c r="Y628" s="518"/>
      <c r="Z628" s="89"/>
      <c r="AA628" s="518"/>
      <c r="AB628" s="518"/>
      <c r="AC628" s="518"/>
      <c r="AD628" s="518"/>
      <c r="AE628" s="89"/>
      <c r="AF628" s="518"/>
      <c r="AG628" s="518"/>
      <c r="AH628" s="518"/>
      <c r="AI628" s="518"/>
      <c r="AJ628" s="89"/>
      <c r="AK628" s="609">
        <v>55.805</v>
      </c>
      <c r="AL628" s="609">
        <v>56.5</v>
      </c>
      <c r="AM628" s="609">
        <v>57.012999999999998</v>
      </c>
      <c r="AN628" s="518">
        <f t="shared" si="1309"/>
        <v>57.506999999999998</v>
      </c>
      <c r="AO628" s="675">
        <v>57.506999999999998</v>
      </c>
      <c r="AP628" s="609">
        <v>62.341999999999999</v>
      </c>
      <c r="AQ628" s="609">
        <v>56.405999999999999</v>
      </c>
      <c r="AR628" s="609">
        <v>54.396000000000001</v>
      </c>
      <c r="AS628" s="518">
        <f>AT628</f>
        <v>51.161000000000001</v>
      </c>
      <c r="AT628" s="675">
        <v>51.161000000000001</v>
      </c>
      <c r="AU628" s="609">
        <v>53.564</v>
      </c>
      <c r="AV628" s="609">
        <v>47.857999999999997</v>
      </c>
      <c r="AW628" s="609">
        <v>39.625</v>
      </c>
      <c r="AX628" s="518">
        <f>AY628</f>
        <v>40.237000000000002</v>
      </c>
      <c r="AY628" s="675">
        <v>40.237000000000002</v>
      </c>
      <c r="AZ628" s="609">
        <v>41.13</v>
      </c>
      <c r="BA628" s="609">
        <v>41.177</v>
      </c>
      <c r="BB628" s="609">
        <v>40.177</v>
      </c>
      <c r="BC628" s="518">
        <f>BD628</f>
        <v>39.673999999999999</v>
      </c>
      <c r="BD628" s="675">
        <v>39.673999999999999</v>
      </c>
      <c r="BE628" s="609">
        <v>39.023000000000003</v>
      </c>
      <c r="BF628" s="609">
        <v>38.246000000000002</v>
      </c>
      <c r="BG628" s="609">
        <v>38.732999999999997</v>
      </c>
      <c r="BH628" s="518">
        <f>BI628</f>
        <v>39.234000000000002</v>
      </c>
      <c r="BI628" s="675">
        <v>39.234000000000002</v>
      </c>
      <c r="BJ628" s="609">
        <v>39.365000000000002</v>
      </c>
      <c r="BK628" s="609">
        <v>35.082000000000001</v>
      </c>
      <c r="BL628" s="610">
        <v>28.021999999999998</v>
      </c>
      <c r="BM628" s="518">
        <f>BL628</f>
        <v>28.021999999999998</v>
      </c>
      <c r="BN628" s="89">
        <f t="shared" si="1307"/>
        <v>28.021999999999998</v>
      </c>
      <c r="BO628" s="518">
        <f>BN628</f>
        <v>28.021999999999998</v>
      </c>
      <c r="BP628" s="518">
        <f>BO628</f>
        <v>28.021999999999998</v>
      </c>
      <c r="BQ628" s="518">
        <f>BP628</f>
        <v>28.021999999999998</v>
      </c>
      <c r="BR628" s="518">
        <f>BQ628</f>
        <v>28.021999999999998</v>
      </c>
      <c r="BS628" s="89">
        <f t="shared" si="1308"/>
        <v>28.021999999999998</v>
      </c>
      <c r="BT628" s="89">
        <f>BS628</f>
        <v>28.021999999999998</v>
      </c>
      <c r="BU628" s="89">
        <f>BT628</f>
        <v>28.021999999999998</v>
      </c>
      <c r="BV628" s="89">
        <f>BU628</f>
        <v>28.021999999999998</v>
      </c>
      <c r="BW628" s="519"/>
    </row>
    <row r="629" spans="1:75" s="439" customFormat="1">
      <c r="A629" s="31" t="s">
        <v>438</v>
      </c>
      <c r="B629" s="53"/>
      <c r="C629" s="89"/>
      <c r="D629" s="89"/>
      <c r="E629" s="675">
        <v>0</v>
      </c>
      <c r="F629" s="675">
        <v>0</v>
      </c>
      <c r="G629" s="609">
        <v>0</v>
      </c>
      <c r="H629" s="609">
        <v>0</v>
      </c>
      <c r="I629" s="609">
        <v>0</v>
      </c>
      <c r="J629" s="609">
        <v>0</v>
      </c>
      <c r="K629" s="675">
        <v>0</v>
      </c>
      <c r="L629" s="609">
        <v>0</v>
      </c>
      <c r="M629" s="609">
        <v>0</v>
      </c>
      <c r="N629" s="609">
        <v>0</v>
      </c>
      <c r="O629" s="609">
        <v>0</v>
      </c>
      <c r="P629" s="675">
        <v>0</v>
      </c>
      <c r="Q629" s="609">
        <v>0</v>
      </c>
      <c r="R629" s="609">
        <v>0</v>
      </c>
      <c r="S629" s="609">
        <v>0</v>
      </c>
      <c r="T629" s="609">
        <v>0</v>
      </c>
      <c r="U629" s="675">
        <v>0</v>
      </c>
      <c r="V629" s="609">
        <v>0</v>
      </c>
      <c r="W629" s="518"/>
      <c r="X629" s="518"/>
      <c r="Y629" s="518"/>
      <c r="Z629" s="89">
        <f>Y629</f>
        <v>0</v>
      </c>
      <c r="AA629" s="518"/>
      <c r="AB629" s="518"/>
      <c r="AC629" s="518"/>
      <c r="AD629" s="518">
        <f>AE629</f>
        <v>0</v>
      </c>
      <c r="AE629" s="89"/>
      <c r="AF629" s="518"/>
      <c r="AG629" s="518"/>
      <c r="AH629" s="518"/>
      <c r="AI629" s="518">
        <f>AJ629</f>
        <v>0</v>
      </c>
      <c r="AJ629" s="89"/>
      <c r="AK629" s="518"/>
      <c r="AL629" s="518"/>
      <c r="AM629" s="518"/>
      <c r="AN629" s="518">
        <f t="shared" si="1309"/>
        <v>0</v>
      </c>
      <c r="AO629" s="89"/>
      <c r="AP629" s="518"/>
      <c r="AQ629" s="518"/>
      <c r="AR629" s="518"/>
      <c r="AS629" s="518">
        <f>AT629</f>
        <v>0</v>
      </c>
      <c r="AT629" s="89"/>
      <c r="AU629" s="518"/>
      <c r="AV629" s="518"/>
      <c r="AW629" s="518"/>
      <c r="AX629" s="518">
        <f>AY629</f>
        <v>0</v>
      </c>
      <c r="AY629" s="89"/>
      <c r="AZ629" s="518"/>
      <c r="BA629" s="518"/>
      <c r="BB629" s="518"/>
      <c r="BC629" s="518">
        <f>BD629</f>
        <v>0</v>
      </c>
      <c r="BD629" s="89"/>
      <c r="BE629" s="518"/>
      <c r="BF629" s="518"/>
      <c r="BG629" s="518"/>
      <c r="BH629" s="518">
        <f>BI629</f>
        <v>0</v>
      </c>
      <c r="BI629" s="89"/>
      <c r="BJ629" s="518"/>
      <c r="BK629" s="518"/>
      <c r="BL629" s="520"/>
      <c r="BM629" s="518">
        <f>BL629+BM514</f>
        <v>-20.862762029070016</v>
      </c>
      <c r="BN629" s="89">
        <f t="shared" si="1307"/>
        <v>-20.862762029070016</v>
      </c>
      <c r="BO629" s="518">
        <f>BN629+BO514</f>
        <v>-23.070425411665219</v>
      </c>
      <c r="BP629" s="518">
        <f>BO629+BP514</f>
        <v>-26.486189185447749</v>
      </c>
      <c r="BQ629" s="518">
        <f>BP629+BQ514</f>
        <v>-32.635195218701192</v>
      </c>
      <c r="BR629" s="518">
        <f>BQ629+BR514</f>
        <v>-38.000957169895656</v>
      </c>
      <c r="BS629" s="89">
        <f t="shared" si="1308"/>
        <v>-38.000957169895656</v>
      </c>
      <c r="BT629" s="89">
        <f>BS629+BT514</f>
        <v>-60.752367403367145</v>
      </c>
      <c r="BU629" s="89">
        <f>BT629+BU514</f>
        <v>-96.1944447710151</v>
      </c>
      <c r="BV629" s="89">
        <f>BU629+BV514</f>
        <v>-96.1944447710151</v>
      </c>
      <c r="BW629" s="519"/>
    </row>
    <row r="630" spans="1:75" s="439" customFormat="1">
      <c r="A630" s="31" t="s">
        <v>534</v>
      </c>
      <c r="B630" s="53"/>
      <c r="C630" s="89"/>
      <c r="D630" s="89"/>
      <c r="E630" s="89"/>
      <c r="F630" s="89"/>
      <c r="G630" s="518"/>
      <c r="H630" s="518"/>
      <c r="I630" s="518"/>
      <c r="J630" s="518"/>
      <c r="K630" s="89"/>
      <c r="L630" s="518"/>
      <c r="M630" s="518"/>
      <c r="N630" s="518"/>
      <c r="O630" s="518"/>
      <c r="P630" s="89"/>
      <c r="Q630" s="518"/>
      <c r="R630" s="518"/>
      <c r="S630" s="518"/>
      <c r="T630" s="518"/>
      <c r="U630" s="89"/>
      <c r="V630" s="518"/>
      <c r="W630" s="518"/>
      <c r="X630" s="518"/>
      <c r="Y630" s="518"/>
      <c r="Z630" s="89"/>
      <c r="AA630" s="518"/>
      <c r="AB630" s="518"/>
      <c r="AC630" s="609">
        <v>25.17</v>
      </c>
      <c r="AD630" s="518">
        <f>AE630</f>
        <v>0</v>
      </c>
      <c r="AE630" s="89"/>
      <c r="AF630" s="518"/>
      <c r="AG630" s="518"/>
      <c r="AH630" s="518"/>
      <c r="AI630" s="518">
        <f>AJ630</f>
        <v>0</v>
      </c>
      <c r="AJ630" s="89"/>
      <c r="AK630" s="518"/>
      <c r="AL630" s="518"/>
      <c r="AM630" s="518"/>
      <c r="AN630" s="518">
        <f t="shared" si="1309"/>
        <v>0</v>
      </c>
      <c r="AO630" s="89"/>
      <c r="AP630" s="518"/>
      <c r="AQ630" s="518"/>
      <c r="AR630" s="518"/>
      <c r="AS630" s="518">
        <f>AT630</f>
        <v>0</v>
      </c>
      <c r="AT630" s="89"/>
      <c r="AU630" s="518"/>
      <c r="AV630" s="518"/>
      <c r="AW630" s="518"/>
      <c r="AX630" s="518">
        <f>AY630</f>
        <v>0</v>
      </c>
      <c r="AY630" s="89"/>
      <c r="AZ630" s="518"/>
      <c r="BA630" s="518"/>
      <c r="BB630" s="518"/>
      <c r="BC630" s="518">
        <f>BD630</f>
        <v>0</v>
      </c>
      <c r="BD630" s="89"/>
      <c r="BE630" s="518"/>
      <c r="BF630" s="518"/>
      <c r="BG630" s="518"/>
      <c r="BH630" s="518">
        <f>BI630</f>
        <v>0</v>
      </c>
      <c r="BI630" s="89"/>
      <c r="BJ630" s="518"/>
      <c r="BK630" s="518"/>
      <c r="BL630" s="520"/>
      <c r="BM630" s="518">
        <f>BL630</f>
        <v>0</v>
      </c>
      <c r="BN630" s="89">
        <f t="shared" si="1307"/>
        <v>0</v>
      </c>
      <c r="BO630" s="518">
        <f t="shared" ref="BO630:BR631" si="1312">BN630</f>
        <v>0</v>
      </c>
      <c r="BP630" s="518">
        <f t="shared" si="1312"/>
        <v>0</v>
      </c>
      <c r="BQ630" s="518">
        <f t="shared" si="1312"/>
        <v>0</v>
      </c>
      <c r="BR630" s="518">
        <f t="shared" si="1312"/>
        <v>0</v>
      </c>
      <c r="BS630" s="89">
        <f t="shared" si="1308"/>
        <v>0</v>
      </c>
      <c r="BT630" s="89">
        <f t="shared" ref="BT630:BV631" si="1313">BS630</f>
        <v>0</v>
      </c>
      <c r="BU630" s="89">
        <f t="shared" si="1313"/>
        <v>0</v>
      </c>
      <c r="BV630" s="89">
        <f t="shared" si="1313"/>
        <v>0</v>
      </c>
      <c r="BW630" s="519"/>
    </row>
    <row r="631" spans="1:75" s="439" customFormat="1">
      <c r="A631" s="31" t="s">
        <v>447</v>
      </c>
      <c r="B631" s="53"/>
      <c r="C631" s="89"/>
      <c r="D631" s="89"/>
      <c r="E631" s="675">
        <v>2.0720000000000001</v>
      </c>
      <c r="F631" s="675">
        <v>2.8559999999999999</v>
      </c>
      <c r="G631" s="609">
        <v>3.0859999999999999</v>
      </c>
      <c r="H631" s="609">
        <v>2.7389999999999999</v>
      </c>
      <c r="I631" s="609">
        <v>2.2210000000000001</v>
      </c>
      <c r="J631" s="518">
        <f>K631</f>
        <v>2.621</v>
      </c>
      <c r="K631" s="675">
        <v>2.621</v>
      </c>
      <c r="L631" s="609">
        <v>2.1840000000000002</v>
      </c>
      <c r="M631" s="609">
        <v>2.1859999999999999</v>
      </c>
      <c r="N631" s="609">
        <v>2.145</v>
      </c>
      <c r="O631" s="518">
        <f>P631</f>
        <v>2.9940000000000002</v>
      </c>
      <c r="P631" s="675">
        <v>2.9940000000000002</v>
      </c>
      <c r="Q631" s="609">
        <v>3.657</v>
      </c>
      <c r="R631" s="609">
        <v>2.5459999999999998</v>
      </c>
      <c r="S631" s="609">
        <v>2.5430000000000001</v>
      </c>
      <c r="T631" s="518">
        <f>U631</f>
        <v>2.931</v>
      </c>
      <c r="U631" s="675">
        <v>2.931</v>
      </c>
      <c r="V631" s="609">
        <v>2.9769999999999999</v>
      </c>
      <c r="W631" s="609">
        <v>3.3370000000000002</v>
      </c>
      <c r="X631" s="609">
        <v>3.2269999999999999</v>
      </c>
      <c r="Y631" s="609">
        <v>3.3140000000000001</v>
      </c>
      <c r="Z631" s="89">
        <f>Y631</f>
        <v>3.3140000000000001</v>
      </c>
      <c r="AA631" s="609">
        <v>3.5880000000000001</v>
      </c>
      <c r="AB631" s="609">
        <v>3.8</v>
      </c>
      <c r="AC631" s="609">
        <v>3.6669999999999998</v>
      </c>
      <c r="AD631" s="518">
        <f>AE631</f>
        <v>3.4689999999999999</v>
      </c>
      <c r="AE631" s="675">
        <v>3.4689999999999999</v>
      </c>
      <c r="AF631" s="609">
        <v>3.4740000000000002</v>
      </c>
      <c r="AG631" s="609">
        <v>3.6680000000000001</v>
      </c>
      <c r="AH631" s="609">
        <v>3.3919999999999999</v>
      </c>
      <c r="AI631" s="518">
        <f>AJ631</f>
        <v>3.843</v>
      </c>
      <c r="AJ631" s="675">
        <v>3.843</v>
      </c>
      <c r="AK631" s="611">
        <v>3.9239999999999999</v>
      </c>
      <c r="AL631" s="609">
        <v>4.617</v>
      </c>
      <c r="AM631" s="609">
        <v>4.2220000000000004</v>
      </c>
      <c r="AN631" s="518">
        <f t="shared" si="1309"/>
        <v>4.3150000000000004</v>
      </c>
      <c r="AO631" s="675">
        <v>4.3150000000000004</v>
      </c>
      <c r="AP631" s="611">
        <v>3.637</v>
      </c>
      <c r="AQ631" s="609">
        <v>3.9180000000000001</v>
      </c>
      <c r="AR631" s="609">
        <v>4.7309999999999999</v>
      </c>
      <c r="AS631" s="518">
        <f>AT631</f>
        <v>4.109</v>
      </c>
      <c r="AT631" s="675">
        <v>4.109</v>
      </c>
      <c r="AU631" s="611">
        <v>5.1950000000000003</v>
      </c>
      <c r="AV631" s="609">
        <v>5.1749999999999998</v>
      </c>
      <c r="AW631" s="609">
        <v>4.4989999999999997</v>
      </c>
      <c r="AX631" s="518">
        <f>AY631</f>
        <v>4.1559999999999997</v>
      </c>
      <c r="AY631" s="675">
        <v>4.1559999999999997</v>
      </c>
      <c r="AZ631" s="611">
        <v>8.218</v>
      </c>
      <c r="BA631" s="609">
        <v>6.141</v>
      </c>
      <c r="BB631" s="609">
        <v>8.4030000000000005</v>
      </c>
      <c r="BC631" s="518">
        <f>BD631</f>
        <v>5.2</v>
      </c>
      <c r="BD631" s="675">
        <v>5.2</v>
      </c>
      <c r="BE631" s="611">
        <v>7.4139999999999997</v>
      </c>
      <c r="BF631" s="609">
        <v>5.4139999999999997</v>
      </c>
      <c r="BG631" s="609">
        <v>7.0640000000000001</v>
      </c>
      <c r="BH631" s="518">
        <f>BI631</f>
        <v>3.8210000000000002</v>
      </c>
      <c r="BI631" s="675">
        <v>3.8210000000000002</v>
      </c>
      <c r="BJ631" s="611">
        <v>6.9880000000000004</v>
      </c>
      <c r="BK631" s="609">
        <v>5.2290000000000001</v>
      </c>
      <c r="BL631" s="610">
        <v>7.601</v>
      </c>
      <c r="BM631" s="518">
        <f>BL631</f>
        <v>7.601</v>
      </c>
      <c r="BN631" s="89">
        <f t="shared" si="1307"/>
        <v>7.601</v>
      </c>
      <c r="BO631" s="518">
        <f t="shared" si="1312"/>
        <v>7.601</v>
      </c>
      <c r="BP631" s="518">
        <f t="shared" si="1312"/>
        <v>7.601</v>
      </c>
      <c r="BQ631" s="518">
        <f t="shared" si="1312"/>
        <v>7.601</v>
      </c>
      <c r="BR631" s="518">
        <f t="shared" si="1312"/>
        <v>7.601</v>
      </c>
      <c r="BS631" s="89">
        <f t="shared" si="1308"/>
        <v>7.601</v>
      </c>
      <c r="BT631" s="89">
        <f t="shared" si="1313"/>
        <v>7.601</v>
      </c>
      <c r="BU631" s="89">
        <f t="shared" si="1313"/>
        <v>7.601</v>
      </c>
      <c r="BV631" s="89">
        <f t="shared" si="1313"/>
        <v>7.601</v>
      </c>
      <c r="BW631" s="519"/>
    </row>
    <row r="632" spans="1:75" s="444" customFormat="1">
      <c r="A632" s="18" t="s">
        <v>535</v>
      </c>
      <c r="B632" s="49"/>
      <c r="C632" s="676"/>
      <c r="D632" s="676"/>
      <c r="E632" s="676">
        <f t="shared" ref="E632:AJ632" si="1314">SUM(E624:E631)</f>
        <v>12.73</v>
      </c>
      <c r="F632" s="676">
        <f t="shared" si="1314"/>
        <v>20.113999999999997</v>
      </c>
      <c r="G632" s="560">
        <f t="shared" si="1314"/>
        <v>21.259</v>
      </c>
      <c r="H632" s="560">
        <f t="shared" si="1314"/>
        <v>22.356999999999999</v>
      </c>
      <c r="I632" s="560">
        <f t="shared" si="1314"/>
        <v>27.099999999999998</v>
      </c>
      <c r="J632" s="560">
        <f t="shared" si="1314"/>
        <v>24.989000000000001</v>
      </c>
      <c r="K632" s="676">
        <f t="shared" si="1314"/>
        <v>24.989000000000001</v>
      </c>
      <c r="L632" s="560">
        <f t="shared" si="1314"/>
        <v>27.754000000000001</v>
      </c>
      <c r="M632" s="560">
        <f t="shared" si="1314"/>
        <v>25.486999999999998</v>
      </c>
      <c r="N632" s="560">
        <f t="shared" si="1314"/>
        <v>31.785999999999998</v>
      </c>
      <c r="O632" s="560">
        <f t="shared" si="1314"/>
        <v>33.972999999999999</v>
      </c>
      <c r="P632" s="676">
        <f t="shared" si="1314"/>
        <v>33.972999999999999</v>
      </c>
      <c r="Q632" s="560">
        <f t="shared" si="1314"/>
        <v>47.381</v>
      </c>
      <c r="R632" s="560">
        <f t="shared" si="1314"/>
        <v>41.968000000000004</v>
      </c>
      <c r="S632" s="560">
        <f t="shared" si="1314"/>
        <v>55.094000000000001</v>
      </c>
      <c r="T632" s="560">
        <f t="shared" si="1314"/>
        <v>49.776999999999994</v>
      </c>
      <c r="U632" s="676">
        <f t="shared" si="1314"/>
        <v>49.776999999999994</v>
      </c>
      <c r="V632" s="560">
        <f t="shared" si="1314"/>
        <v>58.941000000000003</v>
      </c>
      <c r="W632" s="560">
        <f t="shared" si="1314"/>
        <v>56.225000000000009</v>
      </c>
      <c r="X632" s="560">
        <f t="shared" si="1314"/>
        <v>63.561999999999998</v>
      </c>
      <c r="Y632" s="560">
        <f t="shared" si="1314"/>
        <v>60.399000000000001</v>
      </c>
      <c r="Z632" s="676">
        <f t="shared" si="1314"/>
        <v>60.399000000000001</v>
      </c>
      <c r="AA632" s="560">
        <f t="shared" si="1314"/>
        <v>72.353999999999985</v>
      </c>
      <c r="AB632" s="560">
        <f t="shared" si="1314"/>
        <v>65.129000000000005</v>
      </c>
      <c r="AC632" s="560">
        <f t="shared" si="1314"/>
        <v>80.304000000000002</v>
      </c>
      <c r="AD632" s="560">
        <f t="shared" si="1314"/>
        <v>86.167000000000002</v>
      </c>
      <c r="AE632" s="676">
        <f t="shared" si="1314"/>
        <v>86.167000000000002</v>
      </c>
      <c r="AF632" s="560">
        <f t="shared" si="1314"/>
        <v>93.507000000000005</v>
      </c>
      <c r="AG632" s="560">
        <f t="shared" si="1314"/>
        <v>65.945000000000007</v>
      </c>
      <c r="AH632" s="560">
        <f t="shared" si="1314"/>
        <v>68.784999999999997</v>
      </c>
      <c r="AI632" s="560">
        <f t="shared" si="1314"/>
        <v>64.905000000000001</v>
      </c>
      <c r="AJ632" s="676">
        <f t="shared" si="1314"/>
        <v>64.905000000000001</v>
      </c>
      <c r="AK632" s="560">
        <f t="shared" ref="AK632:AQ632" si="1315">SUM(AK624:AK631)</f>
        <v>130.751</v>
      </c>
      <c r="AL632" s="560">
        <f t="shared" si="1315"/>
        <v>135.70699999999999</v>
      </c>
      <c r="AM632" s="560">
        <f t="shared" si="1315"/>
        <v>136.113</v>
      </c>
      <c r="AN632" s="560">
        <f t="shared" si="1315"/>
        <v>134.155</v>
      </c>
      <c r="AO632" s="676">
        <f t="shared" si="1315"/>
        <v>134.155</v>
      </c>
      <c r="AP632" s="560">
        <f t="shared" si="1315"/>
        <v>140.68099999999998</v>
      </c>
      <c r="AQ632" s="560">
        <f t="shared" si="1315"/>
        <v>120.53</v>
      </c>
      <c r="AR632" s="560">
        <f t="shared" ref="AR632:AW632" si="1316">SUM(AR624:AR631)</f>
        <v>162.505</v>
      </c>
      <c r="AS632" s="560">
        <f t="shared" si="1316"/>
        <v>143.03</v>
      </c>
      <c r="AT632" s="676">
        <f t="shared" si="1316"/>
        <v>143.03</v>
      </c>
      <c r="AU632" s="560">
        <f t="shared" si="1316"/>
        <v>156.05099999999999</v>
      </c>
      <c r="AV632" s="560">
        <f t="shared" si="1316"/>
        <v>159.22300000000001</v>
      </c>
      <c r="AW632" s="560">
        <f t="shared" si="1316"/>
        <v>150.53200000000001</v>
      </c>
      <c r="AX632" s="560">
        <f t="shared" ref="AX632:BA632" si="1317">SUM(AX624:AX631)</f>
        <v>164.01300000000001</v>
      </c>
      <c r="AY632" s="676">
        <f t="shared" si="1317"/>
        <v>164.01300000000001</v>
      </c>
      <c r="AZ632" s="560">
        <f t="shared" si="1317"/>
        <v>195.63099999999997</v>
      </c>
      <c r="BA632" s="560">
        <f t="shared" si="1317"/>
        <v>180.00599999999997</v>
      </c>
      <c r="BB632" s="560">
        <f t="shared" ref="BB632:BN632" si="1318">SUM(BB624:BB631)</f>
        <v>199.38399999999999</v>
      </c>
      <c r="BC632" s="560">
        <f t="shared" si="1318"/>
        <v>182.82399999999998</v>
      </c>
      <c r="BD632" s="676">
        <f t="shared" si="1318"/>
        <v>182.82399999999998</v>
      </c>
      <c r="BE632" s="560">
        <f t="shared" ref="BE632:BM632" si="1319">SUM(BE624:BE631)</f>
        <v>199.297</v>
      </c>
      <c r="BF632" s="560">
        <f t="shared" si="1319"/>
        <v>215.53100000000001</v>
      </c>
      <c r="BG632" s="560">
        <f t="shared" si="1319"/>
        <v>189.68600000000001</v>
      </c>
      <c r="BH632" s="560">
        <f t="shared" si="1319"/>
        <v>175.864</v>
      </c>
      <c r="BI632" s="676">
        <f t="shared" si="1319"/>
        <v>175.864</v>
      </c>
      <c r="BJ632" s="560">
        <f>SUM(BJ624:BJ631)</f>
        <v>191.29600000000002</v>
      </c>
      <c r="BK632" s="560">
        <f>SUM(BK624:BK631)</f>
        <v>158.07300000000001</v>
      </c>
      <c r="BL632" s="561">
        <f>SUM(BL624:BL631)</f>
        <v>170.369</v>
      </c>
      <c r="BM632" s="560">
        <f t="shared" si="1319"/>
        <v>237.90653530983138</v>
      </c>
      <c r="BN632" s="676">
        <f t="shared" si="1318"/>
        <v>237.90653530983138</v>
      </c>
      <c r="BO632" s="560">
        <f t="shared" ref="BO632:BV632" si="1320">SUM(BO624:BO631)</f>
        <v>164.08458909317159</v>
      </c>
      <c r="BP632" s="560">
        <f t="shared" si="1320"/>
        <v>132.9863769149965</v>
      </c>
      <c r="BQ632" s="560">
        <f t="shared" si="1320"/>
        <v>234.30654029660502</v>
      </c>
      <c r="BR632" s="560">
        <f t="shared" si="1320"/>
        <v>331.3698443514329</v>
      </c>
      <c r="BS632" s="676">
        <f t="shared" si="1320"/>
        <v>331.3698443514329</v>
      </c>
      <c r="BT632" s="676">
        <f t="shared" si="1320"/>
        <v>320.34686715836472</v>
      </c>
      <c r="BU632" s="676">
        <f t="shared" si="1320"/>
        <v>311.0224832674802</v>
      </c>
      <c r="BV632" s="676">
        <f t="shared" si="1320"/>
        <v>345.22300748003738</v>
      </c>
      <c r="BW632" s="318"/>
    </row>
    <row r="633" spans="1:75" s="444" customFormat="1">
      <c r="A633" s="28"/>
      <c r="B633" s="30"/>
      <c r="C633" s="700"/>
      <c r="D633" s="700"/>
      <c r="E633" s="700"/>
      <c r="F633" s="700"/>
      <c r="G633" s="523"/>
      <c r="H633" s="523"/>
      <c r="I633" s="523"/>
      <c r="J633" s="523"/>
      <c r="K633" s="700"/>
      <c r="L633" s="523"/>
      <c r="M633" s="523"/>
      <c r="N633" s="523"/>
      <c r="O633" s="523"/>
      <c r="P633" s="700"/>
      <c r="Q633" s="523"/>
      <c r="R633" s="523"/>
      <c r="S633" s="523"/>
      <c r="T633" s="523"/>
      <c r="U633" s="700"/>
      <c r="V633" s="523"/>
      <c r="W633" s="523"/>
      <c r="X633" s="523"/>
      <c r="Y633" s="523"/>
      <c r="Z633" s="700"/>
      <c r="AA633" s="523"/>
      <c r="AB633" s="523"/>
      <c r="AC633" s="523"/>
      <c r="AD633" s="523"/>
      <c r="AE633" s="700"/>
      <c r="AF633" s="523"/>
      <c r="AG633" s="523"/>
      <c r="AH633" s="523"/>
      <c r="AI633" s="523"/>
      <c r="AJ633" s="700"/>
      <c r="AK633" s="523"/>
      <c r="AL633" s="523"/>
      <c r="AM633" s="523"/>
      <c r="AN633" s="523"/>
      <c r="AO633" s="700"/>
      <c r="AP633" s="523"/>
      <c r="AQ633" s="523"/>
      <c r="AR633" s="523"/>
      <c r="AS633" s="523"/>
      <c r="AT633" s="700"/>
      <c r="AU633" s="523"/>
      <c r="AV633" s="523"/>
      <c r="AW633" s="523"/>
      <c r="AX633" s="523"/>
      <c r="AY633" s="700"/>
      <c r="AZ633" s="523"/>
      <c r="BA633" s="523"/>
      <c r="BB633" s="523"/>
      <c r="BC633" s="523"/>
      <c r="BD633" s="700"/>
      <c r="BE633" s="523"/>
      <c r="BF633" s="523"/>
      <c r="BG633" s="523"/>
      <c r="BH633" s="523"/>
      <c r="BI633" s="700"/>
      <c r="BJ633" s="523"/>
      <c r="BK633" s="523"/>
      <c r="BL633" s="563"/>
      <c r="BM633" s="523"/>
      <c r="BN633" s="700"/>
      <c r="BO633" s="523"/>
      <c r="BP633" s="523"/>
      <c r="BQ633" s="523"/>
      <c r="BR633" s="523"/>
      <c r="BS633" s="700"/>
      <c r="BT633" s="700"/>
      <c r="BU633" s="700"/>
      <c r="BV633" s="700"/>
      <c r="BW633" s="318"/>
    </row>
    <row r="634" spans="1:75" s="444" customFormat="1">
      <c r="A634" s="6" t="s">
        <v>536</v>
      </c>
      <c r="B634" s="30"/>
      <c r="C634" s="700"/>
      <c r="D634" s="700"/>
      <c r="E634" s="700"/>
      <c r="F634" s="700"/>
      <c r="G634" s="523"/>
      <c r="H634" s="523"/>
      <c r="I634" s="523"/>
      <c r="J634" s="523"/>
      <c r="K634" s="700"/>
      <c r="L634" s="523"/>
      <c r="M634" s="523"/>
      <c r="N634" s="523"/>
      <c r="O634" s="523"/>
      <c r="P634" s="700"/>
      <c r="Q634" s="523"/>
      <c r="R634" s="523"/>
      <c r="S634" s="523"/>
      <c r="T634" s="523"/>
      <c r="U634" s="700"/>
      <c r="V634" s="523"/>
      <c r="W634" s="523"/>
      <c r="X634" s="523"/>
      <c r="Y634" s="523"/>
      <c r="Z634" s="700"/>
      <c r="AA634" s="523"/>
      <c r="AB634" s="523"/>
      <c r="AC634" s="523"/>
      <c r="AD634" s="523"/>
      <c r="AE634" s="700"/>
      <c r="AF634" s="523"/>
      <c r="AG634" s="523"/>
      <c r="AH634" s="523"/>
      <c r="AI634" s="523"/>
      <c r="AJ634" s="700"/>
      <c r="AK634" s="523"/>
      <c r="AL634" s="523"/>
      <c r="AM634" s="523"/>
      <c r="AN634" s="523"/>
      <c r="AO634" s="700"/>
      <c r="AP634" s="523"/>
      <c r="AQ634" s="523"/>
      <c r="AR634" s="523"/>
      <c r="AS634" s="523"/>
      <c r="AT634" s="700"/>
      <c r="AU634" s="523"/>
      <c r="AV634" s="523"/>
      <c r="AW634" s="523"/>
      <c r="AX634" s="523"/>
      <c r="AY634" s="700"/>
      <c r="AZ634" s="523"/>
      <c r="BA634" s="523"/>
      <c r="BB634" s="523"/>
      <c r="BC634" s="523"/>
      <c r="BD634" s="700"/>
      <c r="BE634" s="523"/>
      <c r="BF634" s="523"/>
      <c r="BG634" s="523"/>
      <c r="BH634" s="523"/>
      <c r="BI634" s="700"/>
      <c r="BJ634" s="523"/>
      <c r="BK634" s="523"/>
      <c r="BL634" s="563"/>
      <c r="BM634" s="523"/>
      <c r="BN634" s="700"/>
      <c r="BO634" s="523"/>
      <c r="BP634" s="523"/>
      <c r="BQ634" s="523"/>
      <c r="BR634" s="523"/>
      <c r="BS634" s="700"/>
      <c r="BT634" s="700"/>
      <c r="BU634" s="700"/>
      <c r="BV634" s="700"/>
      <c r="BW634" s="318"/>
    </row>
    <row r="635" spans="1:75" s="439" customFormat="1">
      <c r="A635" s="218" t="s">
        <v>537</v>
      </c>
      <c r="B635" s="53"/>
      <c r="C635" s="89"/>
      <c r="D635" s="89"/>
      <c r="E635" s="89"/>
      <c r="F635" s="89"/>
      <c r="G635" s="518"/>
      <c r="H635" s="518"/>
      <c r="I635" s="518"/>
      <c r="J635" s="518"/>
      <c r="K635" s="89"/>
      <c r="L635" s="518"/>
      <c r="M635" s="518"/>
      <c r="N635" s="518"/>
      <c r="O635" s="518"/>
      <c r="P635" s="89"/>
      <c r="Q635" s="518"/>
      <c r="R635" s="518"/>
      <c r="S635" s="518"/>
      <c r="T635" s="518"/>
      <c r="U635" s="89"/>
      <c r="V635" s="518"/>
      <c r="W635" s="518"/>
      <c r="X635" s="518"/>
      <c r="Y635" s="518"/>
      <c r="Z635" s="89"/>
      <c r="AA635" s="518"/>
      <c r="AB635" s="518"/>
      <c r="AC635" s="518"/>
      <c r="AD635" s="518"/>
      <c r="AE635" s="89"/>
      <c r="AF635" s="518"/>
      <c r="AG635" s="518"/>
      <c r="AH635" s="518"/>
      <c r="AI635" s="518"/>
      <c r="AJ635" s="89"/>
      <c r="AK635" s="518"/>
      <c r="AL635" s="518"/>
      <c r="AM635" s="518"/>
      <c r="AN635" s="518"/>
      <c r="AO635" s="89"/>
      <c r="AP635" s="518"/>
      <c r="AQ635" s="518"/>
      <c r="AR635" s="518"/>
      <c r="AS635" s="518"/>
      <c r="AT635" s="89"/>
      <c r="AU635" s="518"/>
      <c r="AV635" s="518"/>
      <c r="AW635" s="518"/>
      <c r="AX635" s="518"/>
      <c r="AY635" s="89"/>
      <c r="AZ635" s="518"/>
      <c r="BA635" s="518"/>
      <c r="BB635" s="518"/>
      <c r="BC635" s="518"/>
      <c r="BD635" s="89"/>
      <c r="BE635" s="518"/>
      <c r="BF635" s="518"/>
      <c r="BG635" s="518"/>
      <c r="BH635" s="518"/>
      <c r="BI635" s="89"/>
      <c r="BJ635" s="518"/>
      <c r="BK635" s="518"/>
      <c r="BL635" s="520"/>
      <c r="BM635" s="518">
        <f>BM393</f>
        <v>0</v>
      </c>
      <c r="BN635" s="89">
        <f>BM635</f>
        <v>0</v>
      </c>
      <c r="BO635" s="518">
        <f>BO393</f>
        <v>0</v>
      </c>
      <c r="BP635" s="518">
        <f>BP393</f>
        <v>0</v>
      </c>
      <c r="BQ635" s="518">
        <f>BQ393</f>
        <v>0</v>
      </c>
      <c r="BR635" s="518">
        <f>BR393</f>
        <v>0</v>
      </c>
      <c r="BS635" s="89">
        <f>BR635</f>
        <v>0</v>
      </c>
      <c r="BT635" s="89">
        <f>BT393</f>
        <v>0</v>
      </c>
      <c r="BU635" s="89">
        <f>BU393</f>
        <v>0</v>
      </c>
      <c r="BV635" s="89">
        <f>BV393</f>
        <v>0</v>
      </c>
      <c r="BW635" s="519"/>
    </row>
    <row r="636" spans="1:75" s="439" customFormat="1">
      <c r="A636" s="173" t="s">
        <v>538</v>
      </c>
      <c r="B636" s="53"/>
      <c r="C636" s="89"/>
      <c r="D636" s="89"/>
      <c r="E636" s="89"/>
      <c r="F636" s="89"/>
      <c r="G636" s="518"/>
      <c r="H636" s="518"/>
      <c r="I636" s="518"/>
      <c r="J636" s="518"/>
      <c r="K636" s="89"/>
      <c r="L636" s="518"/>
      <c r="M636" s="518"/>
      <c r="N636" s="518"/>
      <c r="O636" s="518"/>
      <c r="P636" s="89"/>
      <c r="Q636" s="518"/>
      <c r="R636" s="518"/>
      <c r="S636" s="518"/>
      <c r="T636" s="518"/>
      <c r="U636" s="89"/>
      <c r="V636" s="518"/>
      <c r="W636" s="518"/>
      <c r="X636" s="518"/>
      <c r="Y636" s="518"/>
      <c r="Z636" s="89"/>
      <c r="AA636" s="518"/>
      <c r="AB636" s="518"/>
      <c r="AC636" s="518"/>
      <c r="AD636" s="518"/>
      <c r="AE636" s="89"/>
      <c r="AF636" s="518"/>
      <c r="AG636" s="518"/>
      <c r="AH636" s="518"/>
      <c r="AI636" s="518"/>
      <c r="AJ636" s="89"/>
      <c r="AK636" s="609">
        <v>208.31800000000001</v>
      </c>
      <c r="AL636" s="609">
        <v>197.27199999999999</v>
      </c>
      <c r="AM636" s="609">
        <v>186.05600000000001</v>
      </c>
      <c r="AN636" s="518">
        <f>AO636</f>
        <v>174.756</v>
      </c>
      <c r="AO636" s="675">
        <v>174.756</v>
      </c>
      <c r="AP636" s="609">
        <v>175.07300000000001</v>
      </c>
      <c r="AQ636" s="609">
        <v>164.53700000000001</v>
      </c>
      <c r="AR636" s="609">
        <v>155.297</v>
      </c>
      <c r="AS636" s="518">
        <f>AT636</f>
        <v>148.935</v>
      </c>
      <c r="AT636" s="675">
        <v>148.935</v>
      </c>
      <c r="AU636" s="609">
        <v>144.238</v>
      </c>
      <c r="AV636" s="609">
        <v>134.44800000000001</v>
      </c>
      <c r="AW636" s="609">
        <v>138.43100000000001</v>
      </c>
      <c r="AX636" s="518">
        <f>AY636</f>
        <v>127.979</v>
      </c>
      <c r="AY636" s="675">
        <v>127.979</v>
      </c>
      <c r="AZ636" s="609">
        <v>117.398</v>
      </c>
      <c r="BA636" s="609">
        <v>105.809</v>
      </c>
      <c r="BB636" s="609">
        <v>95.138999999999996</v>
      </c>
      <c r="BC636" s="518">
        <f>BD636</f>
        <v>86.661000000000001</v>
      </c>
      <c r="BD636" s="675">
        <v>86.661000000000001</v>
      </c>
      <c r="BE636" s="609">
        <v>77.183999999999997</v>
      </c>
      <c r="BF636" s="609">
        <v>67.777000000000001</v>
      </c>
      <c r="BG636" s="609">
        <v>57.527000000000001</v>
      </c>
      <c r="BH636" s="518">
        <f>BI636</f>
        <v>48.064999999999998</v>
      </c>
      <c r="BI636" s="675">
        <v>48.064999999999998</v>
      </c>
      <c r="BJ636" s="609">
        <v>38.008000000000003</v>
      </c>
      <c r="BK636" s="609">
        <v>32.534999999999997</v>
      </c>
      <c r="BL636" s="610">
        <v>25.905000000000001</v>
      </c>
      <c r="BM636" s="518">
        <f>BL636</f>
        <v>25.905000000000001</v>
      </c>
      <c r="BN636" s="89">
        <f>BM636</f>
        <v>25.905000000000001</v>
      </c>
      <c r="BO636" s="518">
        <f t="shared" ref="BO636:BR637" si="1321">BN636</f>
        <v>25.905000000000001</v>
      </c>
      <c r="BP636" s="518">
        <f t="shared" si="1321"/>
        <v>25.905000000000001</v>
      </c>
      <c r="BQ636" s="518">
        <f t="shared" si="1321"/>
        <v>25.905000000000001</v>
      </c>
      <c r="BR636" s="518">
        <f t="shared" si="1321"/>
        <v>25.905000000000001</v>
      </c>
      <c r="BS636" s="89">
        <f>BR636</f>
        <v>25.905000000000001</v>
      </c>
      <c r="BT636" s="89">
        <f t="shared" ref="BT636:BV637" si="1322">BS636</f>
        <v>25.905000000000001</v>
      </c>
      <c r="BU636" s="89">
        <f t="shared" si="1322"/>
        <v>25.905000000000001</v>
      </c>
      <c r="BV636" s="89">
        <f t="shared" si="1322"/>
        <v>25.905000000000001</v>
      </c>
      <c r="BW636" s="519"/>
    </row>
    <row r="637" spans="1:75" s="439" customFormat="1">
      <c r="A637" s="31" t="s">
        <v>539</v>
      </c>
      <c r="B637" s="53"/>
      <c r="C637" s="89"/>
      <c r="D637" s="89"/>
      <c r="E637" s="675">
        <v>3.0000000000000001E-3</v>
      </c>
      <c r="F637" s="675">
        <v>1.92</v>
      </c>
      <c r="G637" s="609">
        <v>0.60099999999999998</v>
      </c>
      <c r="H637" s="609">
        <v>0.68799999999999994</v>
      </c>
      <c r="I637" s="609">
        <v>0.79900000000000004</v>
      </c>
      <c r="J637" s="518">
        <f>K637</f>
        <v>4.5049999999999999</v>
      </c>
      <c r="K637" s="675">
        <v>4.5049999999999999</v>
      </c>
      <c r="L637" s="609">
        <v>5.7839999999999998</v>
      </c>
      <c r="M637" s="609">
        <v>6.4240000000000004</v>
      </c>
      <c r="N637" s="609">
        <v>6.99</v>
      </c>
      <c r="O637" s="518">
        <f>P637</f>
        <v>7.5270000000000001</v>
      </c>
      <c r="P637" s="675">
        <v>7.5270000000000001</v>
      </c>
      <c r="Q637" s="609">
        <v>11.849</v>
      </c>
      <c r="R637" s="609">
        <v>13.254</v>
      </c>
      <c r="S637" s="609">
        <v>12.849</v>
      </c>
      <c r="T637" s="518">
        <f>U637</f>
        <v>12.03</v>
      </c>
      <c r="U637" s="675">
        <v>12.03</v>
      </c>
      <c r="V637" s="609">
        <v>13.332000000000001</v>
      </c>
      <c r="W637" s="609">
        <v>14.465999999999999</v>
      </c>
      <c r="X637" s="609">
        <v>16.445</v>
      </c>
      <c r="Y637" s="609">
        <v>17.620999999999999</v>
      </c>
      <c r="Z637" s="89">
        <f>Y637</f>
        <v>17.620999999999999</v>
      </c>
      <c r="AA637" s="609">
        <v>17.882000000000001</v>
      </c>
      <c r="AB637" s="609">
        <v>18.32</v>
      </c>
      <c r="AC637" s="609">
        <v>21.515000000000001</v>
      </c>
      <c r="AD637" s="518">
        <f>AE637</f>
        <v>30.736999999999998</v>
      </c>
      <c r="AE637" s="675">
        <v>30.736999999999998</v>
      </c>
      <c r="AF637" s="609">
        <v>32.838999999999999</v>
      </c>
      <c r="AG637" s="609">
        <v>33.844999999999999</v>
      </c>
      <c r="AH637" s="609">
        <v>34.978000000000002</v>
      </c>
      <c r="AI637" s="518">
        <f>AJ637</f>
        <v>35.14</v>
      </c>
      <c r="AJ637" s="675">
        <v>35.14</v>
      </c>
      <c r="AK637" s="611">
        <v>3.9529999999999998</v>
      </c>
      <c r="AL637" s="609">
        <v>3.9990000000000001</v>
      </c>
      <c r="AM637" s="609">
        <v>4.0359999999999996</v>
      </c>
      <c r="AN637" s="518">
        <f>AO637</f>
        <v>6.798</v>
      </c>
      <c r="AO637" s="675">
        <v>6.798</v>
      </c>
      <c r="AP637" s="611">
        <v>7.0380000000000003</v>
      </c>
      <c r="AQ637" s="609">
        <v>7.0979999999999999</v>
      </c>
      <c r="AR637" s="609">
        <v>5.52</v>
      </c>
      <c r="AS637" s="518">
        <f>AT637</f>
        <v>8.4480000000000004</v>
      </c>
      <c r="AT637" s="675">
        <v>8.4480000000000004</v>
      </c>
      <c r="AU637" s="611">
        <v>7.9889999999999999</v>
      </c>
      <c r="AV637" s="609">
        <v>8.109</v>
      </c>
      <c r="AW637" s="609">
        <v>8.282</v>
      </c>
      <c r="AX637" s="518">
        <f>AY637</f>
        <v>7.218</v>
      </c>
      <c r="AY637" s="675">
        <v>7.218</v>
      </c>
      <c r="AZ637" s="611">
        <v>7.5279999999999996</v>
      </c>
      <c r="BA637" s="609">
        <v>18.748999999999999</v>
      </c>
      <c r="BB637" s="609">
        <v>34.433</v>
      </c>
      <c r="BC637" s="518">
        <f>BD637</f>
        <v>36.113</v>
      </c>
      <c r="BD637" s="675">
        <v>36.113</v>
      </c>
      <c r="BE637" s="611">
        <v>41.073</v>
      </c>
      <c r="BF637" s="609">
        <v>41.378</v>
      </c>
      <c r="BG637" s="609">
        <v>40.530999999999999</v>
      </c>
      <c r="BH637" s="518">
        <f>BI637</f>
        <v>41.26</v>
      </c>
      <c r="BI637" s="675">
        <v>41.26</v>
      </c>
      <c r="BJ637" s="611">
        <v>42.2</v>
      </c>
      <c r="BK637" s="609">
        <v>39.023000000000003</v>
      </c>
      <c r="BL637" s="610">
        <v>44.393999999999998</v>
      </c>
      <c r="BM637" s="518">
        <f>BL637</f>
        <v>44.393999999999998</v>
      </c>
      <c r="BN637" s="89">
        <f>BM637</f>
        <v>44.393999999999998</v>
      </c>
      <c r="BO637" s="518">
        <f t="shared" si="1321"/>
        <v>44.393999999999998</v>
      </c>
      <c r="BP637" s="518">
        <f t="shared" si="1321"/>
        <v>44.393999999999998</v>
      </c>
      <c r="BQ637" s="518">
        <f t="shared" si="1321"/>
        <v>44.393999999999998</v>
      </c>
      <c r="BR637" s="518">
        <f t="shared" si="1321"/>
        <v>44.393999999999998</v>
      </c>
      <c r="BS637" s="89">
        <f>BR637</f>
        <v>44.393999999999998</v>
      </c>
      <c r="BT637" s="89">
        <f t="shared" si="1322"/>
        <v>44.393999999999998</v>
      </c>
      <c r="BU637" s="89">
        <f t="shared" si="1322"/>
        <v>44.393999999999998</v>
      </c>
      <c r="BV637" s="89">
        <f t="shared" si="1322"/>
        <v>44.393999999999998</v>
      </c>
      <c r="BW637" s="519"/>
    </row>
    <row r="638" spans="1:75" s="444" customFormat="1">
      <c r="A638" s="18" t="s">
        <v>540</v>
      </c>
      <c r="B638" s="49"/>
      <c r="C638" s="676"/>
      <c r="D638" s="676"/>
      <c r="E638" s="676">
        <f t="shared" ref="E638:AJ638" si="1323">SUM(E635:E637)</f>
        <v>3.0000000000000001E-3</v>
      </c>
      <c r="F638" s="676">
        <f t="shared" si="1323"/>
        <v>1.92</v>
      </c>
      <c r="G638" s="560">
        <f t="shared" si="1323"/>
        <v>0.60099999999999998</v>
      </c>
      <c r="H638" s="560">
        <f t="shared" si="1323"/>
        <v>0.68799999999999994</v>
      </c>
      <c r="I638" s="560">
        <f t="shared" si="1323"/>
        <v>0.79900000000000004</v>
      </c>
      <c r="J638" s="560">
        <f t="shared" si="1323"/>
        <v>4.5049999999999999</v>
      </c>
      <c r="K638" s="676">
        <f t="shared" si="1323"/>
        <v>4.5049999999999999</v>
      </c>
      <c r="L638" s="560">
        <f t="shared" si="1323"/>
        <v>5.7839999999999998</v>
      </c>
      <c r="M638" s="560">
        <f t="shared" si="1323"/>
        <v>6.4240000000000004</v>
      </c>
      <c r="N638" s="560">
        <f t="shared" si="1323"/>
        <v>6.99</v>
      </c>
      <c r="O638" s="560">
        <f t="shared" si="1323"/>
        <v>7.5270000000000001</v>
      </c>
      <c r="P638" s="676">
        <f t="shared" si="1323"/>
        <v>7.5270000000000001</v>
      </c>
      <c r="Q638" s="560">
        <f t="shared" si="1323"/>
        <v>11.849</v>
      </c>
      <c r="R638" s="560">
        <f t="shared" si="1323"/>
        <v>13.254</v>
      </c>
      <c r="S638" s="560">
        <f t="shared" si="1323"/>
        <v>12.849</v>
      </c>
      <c r="T638" s="560">
        <f t="shared" si="1323"/>
        <v>12.03</v>
      </c>
      <c r="U638" s="676">
        <f t="shared" si="1323"/>
        <v>12.03</v>
      </c>
      <c r="V638" s="560">
        <f t="shared" si="1323"/>
        <v>13.332000000000001</v>
      </c>
      <c r="W638" s="560">
        <f t="shared" si="1323"/>
        <v>14.465999999999999</v>
      </c>
      <c r="X638" s="560">
        <f t="shared" si="1323"/>
        <v>16.445</v>
      </c>
      <c r="Y638" s="560">
        <f t="shared" si="1323"/>
        <v>17.620999999999999</v>
      </c>
      <c r="Z638" s="676">
        <f t="shared" si="1323"/>
        <v>17.620999999999999</v>
      </c>
      <c r="AA638" s="560">
        <f t="shared" si="1323"/>
        <v>17.882000000000001</v>
      </c>
      <c r="AB638" s="560">
        <f t="shared" si="1323"/>
        <v>18.32</v>
      </c>
      <c r="AC638" s="560">
        <f t="shared" si="1323"/>
        <v>21.515000000000001</v>
      </c>
      <c r="AD638" s="560">
        <f t="shared" si="1323"/>
        <v>30.736999999999998</v>
      </c>
      <c r="AE638" s="676">
        <f t="shared" si="1323"/>
        <v>30.736999999999998</v>
      </c>
      <c r="AF638" s="560">
        <f t="shared" si="1323"/>
        <v>32.838999999999999</v>
      </c>
      <c r="AG638" s="560">
        <f t="shared" si="1323"/>
        <v>33.844999999999999</v>
      </c>
      <c r="AH638" s="560">
        <f t="shared" si="1323"/>
        <v>34.978000000000002</v>
      </c>
      <c r="AI638" s="560">
        <f t="shared" si="1323"/>
        <v>35.14</v>
      </c>
      <c r="AJ638" s="676">
        <f t="shared" si="1323"/>
        <v>35.14</v>
      </c>
      <c r="AK638" s="560">
        <f t="shared" ref="AK638:AQ638" si="1324">SUM(AK635:AK637)</f>
        <v>212.27100000000002</v>
      </c>
      <c r="AL638" s="560">
        <f t="shared" si="1324"/>
        <v>201.27099999999999</v>
      </c>
      <c r="AM638" s="560">
        <f t="shared" si="1324"/>
        <v>190.09200000000001</v>
      </c>
      <c r="AN638" s="560">
        <f t="shared" si="1324"/>
        <v>181.554</v>
      </c>
      <c r="AO638" s="676">
        <f t="shared" si="1324"/>
        <v>181.554</v>
      </c>
      <c r="AP638" s="560">
        <f t="shared" si="1324"/>
        <v>182.11100000000002</v>
      </c>
      <c r="AQ638" s="560">
        <f t="shared" si="1324"/>
        <v>171.63500000000002</v>
      </c>
      <c r="AR638" s="560">
        <f t="shared" ref="AR638:AW638" si="1325">SUM(AR635:AR637)</f>
        <v>160.81700000000001</v>
      </c>
      <c r="AS638" s="560">
        <f t="shared" si="1325"/>
        <v>157.38300000000001</v>
      </c>
      <c r="AT638" s="676">
        <f t="shared" si="1325"/>
        <v>157.38300000000001</v>
      </c>
      <c r="AU638" s="560">
        <f t="shared" si="1325"/>
        <v>152.227</v>
      </c>
      <c r="AV638" s="560">
        <f t="shared" si="1325"/>
        <v>142.55700000000002</v>
      </c>
      <c r="AW638" s="560">
        <f t="shared" si="1325"/>
        <v>146.71300000000002</v>
      </c>
      <c r="AX638" s="560">
        <f t="shared" ref="AX638:BA638" si="1326">SUM(AX635:AX637)</f>
        <v>135.197</v>
      </c>
      <c r="AY638" s="676">
        <f t="shared" si="1326"/>
        <v>135.197</v>
      </c>
      <c r="AZ638" s="560">
        <f t="shared" si="1326"/>
        <v>124.926</v>
      </c>
      <c r="BA638" s="560">
        <f t="shared" si="1326"/>
        <v>124.55799999999999</v>
      </c>
      <c r="BB638" s="560">
        <f t="shared" ref="BB638:BN638" si="1327">SUM(BB635:BB637)</f>
        <v>129.572</v>
      </c>
      <c r="BC638" s="560">
        <f t="shared" si="1327"/>
        <v>122.774</v>
      </c>
      <c r="BD638" s="676">
        <f t="shared" si="1327"/>
        <v>122.774</v>
      </c>
      <c r="BE638" s="560">
        <f t="shared" ref="BE638:BM638" si="1328">SUM(BE635:BE637)</f>
        <v>118.25700000000001</v>
      </c>
      <c r="BF638" s="560">
        <f t="shared" si="1328"/>
        <v>109.155</v>
      </c>
      <c r="BG638" s="560">
        <f t="shared" si="1328"/>
        <v>98.057999999999993</v>
      </c>
      <c r="BH638" s="560">
        <f t="shared" si="1328"/>
        <v>89.324999999999989</v>
      </c>
      <c r="BI638" s="676">
        <f t="shared" si="1328"/>
        <v>89.324999999999989</v>
      </c>
      <c r="BJ638" s="560">
        <f>SUM(BJ635:BJ637)</f>
        <v>80.207999999999998</v>
      </c>
      <c r="BK638" s="560">
        <f>SUM(BK635:BK637)</f>
        <v>71.557999999999993</v>
      </c>
      <c r="BL638" s="561">
        <f>SUM(BL635:BL637)</f>
        <v>70.299000000000007</v>
      </c>
      <c r="BM638" s="560">
        <f t="shared" si="1328"/>
        <v>70.299000000000007</v>
      </c>
      <c r="BN638" s="676">
        <f t="shared" si="1327"/>
        <v>70.299000000000007</v>
      </c>
      <c r="BO638" s="560">
        <f t="shared" ref="BO638:BV638" si="1329">SUM(BO635:BO637)</f>
        <v>70.299000000000007</v>
      </c>
      <c r="BP638" s="560">
        <f t="shared" si="1329"/>
        <v>70.299000000000007</v>
      </c>
      <c r="BQ638" s="560">
        <f t="shared" si="1329"/>
        <v>70.299000000000007</v>
      </c>
      <c r="BR638" s="560">
        <f t="shared" si="1329"/>
        <v>70.299000000000007</v>
      </c>
      <c r="BS638" s="676">
        <f t="shared" si="1329"/>
        <v>70.299000000000007</v>
      </c>
      <c r="BT638" s="676">
        <f t="shared" si="1329"/>
        <v>70.299000000000007</v>
      </c>
      <c r="BU638" s="676">
        <f t="shared" si="1329"/>
        <v>70.299000000000007</v>
      </c>
      <c r="BV638" s="676">
        <f t="shared" si="1329"/>
        <v>70.299000000000007</v>
      </c>
      <c r="BW638" s="318"/>
    </row>
    <row r="639" spans="1:75" s="444" customFormat="1">
      <c r="A639" s="28" t="s">
        <v>541</v>
      </c>
      <c r="B639" s="30"/>
      <c r="C639" s="700"/>
      <c r="D639" s="700"/>
      <c r="E639" s="700">
        <f t="shared" ref="E639:AJ639" si="1330">E632+E638</f>
        <v>12.733000000000001</v>
      </c>
      <c r="F639" s="700">
        <f t="shared" si="1330"/>
        <v>22.033999999999999</v>
      </c>
      <c r="G639" s="523">
        <f t="shared" si="1330"/>
        <v>21.86</v>
      </c>
      <c r="H639" s="523">
        <f t="shared" si="1330"/>
        <v>23.044999999999998</v>
      </c>
      <c r="I639" s="523">
        <f t="shared" si="1330"/>
        <v>27.898999999999997</v>
      </c>
      <c r="J639" s="523">
        <f t="shared" si="1330"/>
        <v>29.494</v>
      </c>
      <c r="K639" s="700">
        <f t="shared" si="1330"/>
        <v>29.494</v>
      </c>
      <c r="L639" s="523">
        <f t="shared" si="1330"/>
        <v>33.538000000000004</v>
      </c>
      <c r="M639" s="523">
        <f t="shared" si="1330"/>
        <v>31.910999999999998</v>
      </c>
      <c r="N639" s="523">
        <f t="shared" si="1330"/>
        <v>38.775999999999996</v>
      </c>
      <c r="O639" s="523">
        <f t="shared" si="1330"/>
        <v>41.5</v>
      </c>
      <c r="P639" s="700">
        <f t="shared" si="1330"/>
        <v>41.5</v>
      </c>
      <c r="Q639" s="523">
        <f t="shared" si="1330"/>
        <v>59.230000000000004</v>
      </c>
      <c r="R639" s="523">
        <f t="shared" si="1330"/>
        <v>55.222000000000001</v>
      </c>
      <c r="S639" s="523">
        <f t="shared" si="1330"/>
        <v>67.942999999999998</v>
      </c>
      <c r="T639" s="523">
        <f t="shared" si="1330"/>
        <v>61.806999999999995</v>
      </c>
      <c r="U639" s="700">
        <f t="shared" si="1330"/>
        <v>61.806999999999995</v>
      </c>
      <c r="V639" s="523">
        <f t="shared" si="1330"/>
        <v>72.272999999999996</v>
      </c>
      <c r="W639" s="523">
        <f t="shared" si="1330"/>
        <v>70.691000000000003</v>
      </c>
      <c r="X639" s="523">
        <f t="shared" si="1330"/>
        <v>80.007000000000005</v>
      </c>
      <c r="Y639" s="523">
        <f t="shared" si="1330"/>
        <v>78.02</v>
      </c>
      <c r="Z639" s="700">
        <f t="shared" si="1330"/>
        <v>78.02</v>
      </c>
      <c r="AA639" s="523">
        <f t="shared" si="1330"/>
        <v>90.23599999999999</v>
      </c>
      <c r="AB639" s="523">
        <f t="shared" si="1330"/>
        <v>83.449000000000012</v>
      </c>
      <c r="AC639" s="523">
        <f t="shared" si="1330"/>
        <v>101.819</v>
      </c>
      <c r="AD639" s="523">
        <f t="shared" si="1330"/>
        <v>116.904</v>
      </c>
      <c r="AE639" s="700">
        <f t="shared" si="1330"/>
        <v>116.904</v>
      </c>
      <c r="AF639" s="523">
        <f t="shared" si="1330"/>
        <v>126.346</v>
      </c>
      <c r="AG639" s="523">
        <f t="shared" si="1330"/>
        <v>99.79</v>
      </c>
      <c r="AH639" s="523">
        <f t="shared" si="1330"/>
        <v>103.76300000000001</v>
      </c>
      <c r="AI639" s="523">
        <f t="shared" si="1330"/>
        <v>100.045</v>
      </c>
      <c r="AJ639" s="700">
        <f t="shared" si="1330"/>
        <v>100.045</v>
      </c>
      <c r="AK639" s="523">
        <f t="shared" ref="AK639:AQ639" si="1331">AK632+AK638</f>
        <v>343.02200000000005</v>
      </c>
      <c r="AL639" s="523">
        <f t="shared" si="1331"/>
        <v>336.97799999999995</v>
      </c>
      <c r="AM639" s="523">
        <f t="shared" si="1331"/>
        <v>326.20500000000004</v>
      </c>
      <c r="AN639" s="523">
        <f t="shared" si="1331"/>
        <v>315.709</v>
      </c>
      <c r="AO639" s="700">
        <f t="shared" si="1331"/>
        <v>315.709</v>
      </c>
      <c r="AP639" s="523">
        <f t="shared" si="1331"/>
        <v>322.79200000000003</v>
      </c>
      <c r="AQ639" s="523">
        <f t="shared" si="1331"/>
        <v>292.16500000000002</v>
      </c>
      <c r="AR639" s="523">
        <f t="shared" ref="AR639:AW639" si="1332">AR632+AR638</f>
        <v>323.322</v>
      </c>
      <c r="AS639" s="523">
        <f t="shared" si="1332"/>
        <v>300.41300000000001</v>
      </c>
      <c r="AT639" s="700">
        <f t="shared" si="1332"/>
        <v>300.41300000000001</v>
      </c>
      <c r="AU639" s="523">
        <f t="shared" si="1332"/>
        <v>308.27800000000002</v>
      </c>
      <c r="AV639" s="523">
        <f t="shared" si="1332"/>
        <v>301.78000000000003</v>
      </c>
      <c r="AW639" s="523">
        <f t="shared" si="1332"/>
        <v>297.245</v>
      </c>
      <c r="AX639" s="523">
        <f t="shared" ref="AX639:BA639" si="1333">AX632+AX638</f>
        <v>299.21000000000004</v>
      </c>
      <c r="AY639" s="700">
        <f t="shared" si="1333"/>
        <v>299.21000000000004</v>
      </c>
      <c r="AZ639" s="523">
        <f t="shared" si="1333"/>
        <v>320.55699999999996</v>
      </c>
      <c r="BA639" s="523">
        <f t="shared" si="1333"/>
        <v>304.56399999999996</v>
      </c>
      <c r="BB639" s="523">
        <f t="shared" ref="BB639:BN639" si="1334">BB632+BB638</f>
        <v>328.95600000000002</v>
      </c>
      <c r="BC639" s="523">
        <f t="shared" si="1334"/>
        <v>305.59799999999996</v>
      </c>
      <c r="BD639" s="700">
        <f t="shared" si="1334"/>
        <v>305.59799999999996</v>
      </c>
      <c r="BE639" s="523">
        <f t="shared" ref="BE639:BM639" si="1335">BE632+BE638</f>
        <v>317.55399999999997</v>
      </c>
      <c r="BF639" s="523">
        <f t="shared" si="1335"/>
        <v>324.68600000000004</v>
      </c>
      <c r="BG639" s="523">
        <f t="shared" si="1335"/>
        <v>287.74400000000003</v>
      </c>
      <c r="BH639" s="523">
        <f t="shared" si="1335"/>
        <v>265.18899999999996</v>
      </c>
      <c r="BI639" s="700">
        <f t="shared" si="1335"/>
        <v>265.18899999999996</v>
      </c>
      <c r="BJ639" s="523">
        <f>BJ632+BJ638</f>
        <v>271.50400000000002</v>
      </c>
      <c r="BK639" s="523">
        <f>BK632+BK638</f>
        <v>229.631</v>
      </c>
      <c r="BL639" s="563">
        <f>BL632+BL638</f>
        <v>240.66800000000001</v>
      </c>
      <c r="BM639" s="523">
        <f t="shared" si="1335"/>
        <v>308.20553530983136</v>
      </c>
      <c r="BN639" s="700">
        <f t="shared" si="1334"/>
        <v>308.20553530983136</v>
      </c>
      <c r="BO639" s="523">
        <f t="shared" ref="BO639:BV639" si="1336">BO632+BO638</f>
        <v>234.38358909317159</v>
      </c>
      <c r="BP639" s="523">
        <f t="shared" si="1336"/>
        <v>203.2853769149965</v>
      </c>
      <c r="BQ639" s="523">
        <f t="shared" si="1336"/>
        <v>304.605540296605</v>
      </c>
      <c r="BR639" s="523">
        <f t="shared" si="1336"/>
        <v>401.66884435143288</v>
      </c>
      <c r="BS639" s="700">
        <f t="shared" si="1336"/>
        <v>401.66884435143288</v>
      </c>
      <c r="BT639" s="700">
        <f t="shared" si="1336"/>
        <v>390.64586715836469</v>
      </c>
      <c r="BU639" s="700">
        <f t="shared" si="1336"/>
        <v>381.32148326748018</v>
      </c>
      <c r="BV639" s="700">
        <f t="shared" si="1336"/>
        <v>415.52200748003736</v>
      </c>
      <c r="BW639" s="318"/>
    </row>
    <row r="640" spans="1:75" s="444" customFormat="1">
      <c r="A640" s="28"/>
      <c r="B640" s="30"/>
      <c r="C640" s="700"/>
      <c r="D640" s="700"/>
      <c r="E640" s="700"/>
      <c r="F640" s="700"/>
      <c r="G640" s="523"/>
      <c r="H640" s="523"/>
      <c r="I640" s="523"/>
      <c r="J640" s="523"/>
      <c r="K640" s="700"/>
      <c r="L640" s="523"/>
      <c r="M640" s="523"/>
      <c r="N640" s="523"/>
      <c r="O640" s="523"/>
      <c r="P640" s="700"/>
      <c r="Q640" s="523"/>
      <c r="R640" s="523"/>
      <c r="S640" s="523"/>
      <c r="T640" s="523"/>
      <c r="U640" s="700"/>
      <c r="V640" s="523"/>
      <c r="W640" s="523"/>
      <c r="X640" s="523"/>
      <c r="Y640" s="523"/>
      <c r="Z640" s="700"/>
      <c r="AA640" s="523"/>
      <c r="AB640" s="523"/>
      <c r="AC640" s="523"/>
      <c r="AD640" s="523"/>
      <c r="AE640" s="700"/>
      <c r="AF640" s="523"/>
      <c r="AG640" s="523"/>
      <c r="AH640" s="523"/>
      <c r="AI640" s="523"/>
      <c r="AJ640" s="700"/>
      <c r="AK640" s="523"/>
      <c r="AL640" s="523"/>
      <c r="AM640" s="523"/>
      <c r="AN640" s="523"/>
      <c r="AO640" s="700"/>
      <c r="AP640" s="523"/>
      <c r="AQ640" s="523"/>
      <c r="AR640" s="523"/>
      <c r="AS640" s="523"/>
      <c r="AT640" s="700"/>
      <c r="AU640" s="523"/>
      <c r="AV640" s="523"/>
      <c r="AW640" s="523"/>
      <c r="AX640" s="523"/>
      <c r="AY640" s="700"/>
      <c r="AZ640" s="523"/>
      <c r="BA640" s="523"/>
      <c r="BB640" s="523"/>
      <c r="BC640" s="523"/>
      <c r="BD640" s="700"/>
      <c r="BE640" s="523"/>
      <c r="BF640" s="523"/>
      <c r="BG640" s="523"/>
      <c r="BH640" s="523"/>
      <c r="BI640" s="700"/>
      <c r="BJ640" s="523"/>
      <c r="BK640" s="523"/>
      <c r="BL640" s="563"/>
      <c r="BM640" s="523"/>
      <c r="BN640" s="700"/>
      <c r="BO640" s="523"/>
      <c r="BP640" s="523"/>
      <c r="BQ640" s="523"/>
      <c r="BR640" s="523"/>
      <c r="BS640" s="700"/>
      <c r="BT640" s="700"/>
      <c r="BU640" s="700"/>
      <c r="BV640" s="700"/>
      <c r="BW640" s="318"/>
    </row>
    <row r="641" spans="1:75" s="444" customFormat="1">
      <c r="A641" s="6" t="s">
        <v>542</v>
      </c>
      <c r="B641" s="30"/>
      <c r="C641" s="700"/>
      <c r="D641" s="700"/>
      <c r="E641" s="700"/>
      <c r="F641" s="700"/>
      <c r="G641" s="523"/>
      <c r="H641" s="523"/>
      <c r="I641" s="523"/>
      <c r="J641" s="523"/>
      <c r="K641" s="700"/>
      <c r="L641" s="523"/>
      <c r="M641" s="523"/>
      <c r="N641" s="523"/>
      <c r="O641" s="523"/>
      <c r="P641" s="700"/>
      <c r="Q641" s="523"/>
      <c r="R641" s="523"/>
      <c r="S641" s="523"/>
      <c r="T641" s="523"/>
      <c r="U641" s="700"/>
      <c r="V641" s="523"/>
      <c r="W641" s="523"/>
      <c r="X641" s="523"/>
      <c r="Y641" s="523"/>
      <c r="Z641" s="700"/>
      <c r="AA641" s="523"/>
      <c r="AB641" s="523"/>
      <c r="AC641" s="523"/>
      <c r="AD641" s="523"/>
      <c r="AE641" s="700"/>
      <c r="AF641" s="523"/>
      <c r="AG641" s="523"/>
      <c r="AH641" s="523"/>
      <c r="AI641" s="523"/>
      <c r="AJ641" s="700"/>
      <c r="AK641" s="523"/>
      <c r="AL641" s="523"/>
      <c r="AM641" s="523"/>
      <c r="AN641" s="523"/>
      <c r="AO641" s="700"/>
      <c r="AP641" s="523"/>
      <c r="AQ641" s="523"/>
      <c r="AR641" s="523"/>
      <c r="AS641" s="523"/>
      <c r="AT641" s="700"/>
      <c r="AU641" s="523"/>
      <c r="AV641" s="523"/>
      <c r="AW641" s="523"/>
      <c r="AX641" s="523"/>
      <c r="AY641" s="700"/>
      <c r="AZ641" s="523"/>
      <c r="BA641" s="523"/>
      <c r="BB641" s="523"/>
      <c r="BC641" s="523"/>
      <c r="BD641" s="700"/>
      <c r="BE641" s="523"/>
      <c r="BF641" s="523"/>
      <c r="BG641" s="523"/>
      <c r="BH641" s="523"/>
      <c r="BI641" s="700"/>
      <c r="BJ641" s="523"/>
      <c r="BK641" s="523"/>
      <c r="BL641" s="563"/>
      <c r="BM641" s="523"/>
      <c r="BN641" s="700"/>
      <c r="BO641" s="523"/>
      <c r="BP641" s="523"/>
      <c r="BQ641" s="523"/>
      <c r="BR641" s="523"/>
      <c r="BS641" s="700"/>
      <c r="BT641" s="700"/>
      <c r="BU641" s="700"/>
      <c r="BV641" s="700"/>
      <c r="BW641" s="318"/>
    </row>
    <row r="642" spans="1:75" s="439" customFormat="1">
      <c r="A642" s="31" t="s">
        <v>543</v>
      </c>
      <c r="B642" s="53"/>
      <c r="C642" s="675">
        <v>30.876999999999999</v>
      </c>
      <c r="D642" s="675">
        <v>55.246000000000002</v>
      </c>
      <c r="E642" s="675">
        <v>55.435000000000002</v>
      </c>
      <c r="F642" s="89"/>
      <c r="G642" s="518"/>
      <c r="H642" s="518"/>
      <c r="I642" s="518"/>
      <c r="J642" s="518">
        <f>K642</f>
        <v>0</v>
      </c>
      <c r="K642" s="89"/>
      <c r="L642" s="518"/>
      <c r="M642" s="518"/>
      <c r="N642" s="518"/>
      <c r="O642" s="518">
        <f>P642</f>
        <v>0</v>
      </c>
      <c r="P642" s="89"/>
      <c r="Q642" s="518"/>
      <c r="R642" s="518"/>
      <c r="S642" s="518"/>
      <c r="T642" s="518">
        <f>U642</f>
        <v>0</v>
      </c>
      <c r="U642" s="89"/>
      <c r="V642" s="518"/>
      <c r="W642" s="518"/>
      <c r="X642" s="518"/>
      <c r="Y642" s="518"/>
      <c r="Z642" s="89">
        <f>Y642</f>
        <v>0</v>
      </c>
      <c r="AA642" s="518"/>
      <c r="AB642" s="518"/>
      <c r="AC642" s="518"/>
      <c r="AD642" s="518"/>
      <c r="AE642" s="89"/>
      <c r="AF642" s="518"/>
      <c r="AG642" s="518"/>
      <c r="AH642" s="518"/>
      <c r="AI642" s="518"/>
      <c r="AJ642" s="89"/>
      <c r="AK642" s="518"/>
      <c r="AL642" s="518"/>
      <c r="AM642" s="518"/>
      <c r="AN642" s="518"/>
      <c r="AO642" s="89"/>
      <c r="AP642" s="518"/>
      <c r="AQ642" s="518"/>
      <c r="AR642" s="518"/>
      <c r="AS642" s="518"/>
      <c r="AT642" s="89"/>
      <c r="AU642" s="518"/>
      <c r="AV642" s="518"/>
      <c r="AW642" s="518"/>
      <c r="AX642" s="518"/>
      <c r="AY642" s="89"/>
      <c r="AZ642" s="518"/>
      <c r="BA642" s="518"/>
      <c r="BB642" s="518"/>
      <c r="BC642" s="518"/>
      <c r="BD642" s="89"/>
      <c r="BE642" s="518"/>
      <c r="BF642" s="518"/>
      <c r="BG642" s="518"/>
      <c r="BH642" s="518"/>
      <c r="BI642" s="89"/>
      <c r="BJ642" s="518"/>
      <c r="BK642" s="518"/>
      <c r="BL642" s="520"/>
      <c r="BM642" s="518">
        <f>BL642</f>
        <v>0</v>
      </c>
      <c r="BN642" s="89">
        <f t="shared" ref="BN642:BN643" si="1337">BM642</f>
        <v>0</v>
      </c>
      <c r="BO642" s="518">
        <f t="shared" ref="BO642:BV643" si="1338">BN642</f>
        <v>0</v>
      </c>
      <c r="BP642" s="518">
        <f t="shared" si="1338"/>
        <v>0</v>
      </c>
      <c r="BQ642" s="518">
        <f t="shared" si="1338"/>
        <v>0</v>
      </c>
      <c r="BR642" s="518">
        <f t="shared" si="1338"/>
        <v>0</v>
      </c>
      <c r="BS642" s="89">
        <f t="shared" si="1338"/>
        <v>0</v>
      </c>
      <c r="BT642" s="89">
        <f t="shared" si="1338"/>
        <v>0</v>
      </c>
      <c r="BU642" s="89">
        <f t="shared" si="1338"/>
        <v>0</v>
      </c>
      <c r="BV642" s="89">
        <f t="shared" si="1338"/>
        <v>0</v>
      </c>
      <c r="BW642" s="519"/>
    </row>
    <row r="643" spans="1:75" s="439" customFormat="1">
      <c r="A643" s="31" t="s">
        <v>544</v>
      </c>
      <c r="B643" s="53"/>
      <c r="C643" s="89"/>
      <c r="D643" s="89"/>
      <c r="E643" s="675">
        <v>0</v>
      </c>
      <c r="F643" s="89"/>
      <c r="G643" s="609">
        <v>0</v>
      </c>
      <c r="H643" s="518"/>
      <c r="I643" s="518"/>
      <c r="J643" s="518">
        <f>K643</f>
        <v>0</v>
      </c>
      <c r="K643" s="89"/>
      <c r="L643" s="518"/>
      <c r="M643" s="518"/>
      <c r="N643" s="518"/>
      <c r="O643" s="518">
        <f>P643</f>
        <v>0</v>
      </c>
      <c r="P643" s="89"/>
      <c r="Q643" s="518"/>
      <c r="R643" s="518"/>
      <c r="S643" s="518"/>
      <c r="T643" s="518">
        <f>U643</f>
        <v>0</v>
      </c>
      <c r="U643" s="89"/>
      <c r="V643" s="518"/>
      <c r="W643" s="609">
        <v>0</v>
      </c>
      <c r="X643" s="609">
        <v>0</v>
      </c>
      <c r="Y643" s="518"/>
      <c r="Z643" s="89">
        <f>Y643</f>
        <v>0</v>
      </c>
      <c r="AA643" s="518"/>
      <c r="AB643" s="518"/>
      <c r="AC643" s="518"/>
      <c r="AD643" s="518"/>
      <c r="AE643" s="89"/>
      <c r="AF643" s="518"/>
      <c r="AG643" s="518"/>
      <c r="AH643" s="518"/>
      <c r="AI643" s="518"/>
      <c r="AJ643" s="89"/>
      <c r="AK643" s="518"/>
      <c r="AL643" s="518"/>
      <c r="AM643" s="518"/>
      <c r="AN643" s="518"/>
      <c r="AO643" s="89"/>
      <c r="AP643" s="518"/>
      <c r="AQ643" s="518"/>
      <c r="AR643" s="518"/>
      <c r="AS643" s="518"/>
      <c r="AT643" s="89"/>
      <c r="AU643" s="518"/>
      <c r="AV643" s="518"/>
      <c r="AW643" s="518"/>
      <c r="AX643" s="518"/>
      <c r="AY643" s="89"/>
      <c r="AZ643" s="518"/>
      <c r="BA643" s="518"/>
      <c r="BB643" s="518"/>
      <c r="BC643" s="518"/>
      <c r="BD643" s="675">
        <v>0</v>
      </c>
      <c r="BE643" s="518"/>
      <c r="BF643" s="518"/>
      <c r="BG643" s="518"/>
      <c r="BH643" s="518"/>
      <c r="BI643" s="89"/>
      <c r="BJ643" s="518"/>
      <c r="BK643" s="518"/>
      <c r="BL643" s="520"/>
      <c r="BM643" s="518">
        <f>BL643</f>
        <v>0</v>
      </c>
      <c r="BN643" s="89">
        <f t="shared" si="1337"/>
        <v>0</v>
      </c>
      <c r="BO643" s="518">
        <f t="shared" si="1338"/>
        <v>0</v>
      </c>
      <c r="BP643" s="518">
        <f t="shared" si="1338"/>
        <v>0</v>
      </c>
      <c r="BQ643" s="518">
        <f t="shared" si="1338"/>
        <v>0</v>
      </c>
      <c r="BR643" s="518">
        <f t="shared" si="1338"/>
        <v>0</v>
      </c>
      <c r="BS643" s="89">
        <f t="shared" si="1338"/>
        <v>0</v>
      </c>
      <c r="BT643" s="89">
        <f t="shared" si="1338"/>
        <v>0</v>
      </c>
      <c r="BU643" s="89">
        <f t="shared" si="1338"/>
        <v>0</v>
      </c>
      <c r="BV643" s="89">
        <f t="shared" si="1338"/>
        <v>0</v>
      </c>
      <c r="BW643" s="519"/>
    </row>
    <row r="644" spans="1:75" s="439" customFormat="1">
      <c r="A644" s="31" t="s">
        <v>545</v>
      </c>
      <c r="B644" s="53"/>
      <c r="C644" s="89"/>
      <c r="D644" s="89"/>
      <c r="E644" s="675">
        <v>16.625</v>
      </c>
      <c r="F644" s="675">
        <v>225.245</v>
      </c>
      <c r="G644" s="609">
        <v>231.52500000000001</v>
      </c>
      <c r="H644" s="609">
        <v>240.75200000000001</v>
      </c>
      <c r="I644" s="609">
        <v>262.67500000000001</v>
      </c>
      <c r="J644" s="518">
        <f>K644</f>
        <v>553.75300000000004</v>
      </c>
      <c r="K644" s="675">
        <v>553.75300000000004</v>
      </c>
      <c r="L644" s="609">
        <v>569.92499999999995</v>
      </c>
      <c r="M644" s="609">
        <v>588.82899999999995</v>
      </c>
      <c r="N644" s="609">
        <v>607.01199999999994</v>
      </c>
      <c r="O644" s="518">
        <f>P644</f>
        <v>627.74199999999996</v>
      </c>
      <c r="P644" s="675">
        <v>627.74199999999996</v>
      </c>
      <c r="Q644" s="609">
        <v>705.39700000000005</v>
      </c>
      <c r="R644" s="609">
        <v>734.86699999999996</v>
      </c>
      <c r="S644" s="609">
        <v>752.79499999999996</v>
      </c>
      <c r="T644" s="518">
        <f>U644</f>
        <v>774.02200000000005</v>
      </c>
      <c r="U644" s="675">
        <v>774.02200000000005</v>
      </c>
      <c r="V644" s="609">
        <v>793.46799999999996</v>
      </c>
      <c r="W644" s="609">
        <v>822.38499999999999</v>
      </c>
      <c r="X644" s="609">
        <v>856.11500000000001</v>
      </c>
      <c r="Y644" s="609">
        <v>892.98299999999995</v>
      </c>
      <c r="Z644" s="89">
        <f>Y644</f>
        <v>892.98299999999995</v>
      </c>
      <c r="AA644" s="609">
        <v>921.44100000000003</v>
      </c>
      <c r="AB644" s="609">
        <v>965.04899999999998</v>
      </c>
      <c r="AC644" s="609">
        <v>1001.633</v>
      </c>
      <c r="AD644" s="518">
        <f>AE644</f>
        <v>1038.0170000000001</v>
      </c>
      <c r="AE644" s="675">
        <v>1038.0170000000001</v>
      </c>
      <c r="AF644" s="609">
        <v>1059.1679999999999</v>
      </c>
      <c r="AG644" s="609">
        <v>1086.7270000000001</v>
      </c>
      <c r="AH644" s="609">
        <v>1109.1990000000001</v>
      </c>
      <c r="AI644" s="518">
        <f>AJ644</f>
        <v>1139.462</v>
      </c>
      <c r="AJ644" s="675">
        <v>1139.462</v>
      </c>
      <c r="AK644" s="609">
        <v>1160.2539999999999</v>
      </c>
      <c r="AL644" s="609">
        <v>1194.4860000000001</v>
      </c>
      <c r="AM644" s="609">
        <v>1220.048</v>
      </c>
      <c r="AN644" s="518">
        <f>AO644</f>
        <v>1259.8030000000001</v>
      </c>
      <c r="AO644" s="675">
        <v>1259.8030000000001</v>
      </c>
      <c r="AP644" s="609">
        <v>1283.885</v>
      </c>
      <c r="AQ644" s="609">
        <v>1325.7449999999999</v>
      </c>
      <c r="AR644" s="609">
        <v>1358.8040000000001</v>
      </c>
      <c r="AS644" s="518">
        <f>AT644</f>
        <v>1398.248</v>
      </c>
      <c r="AT644" s="675">
        <v>1398.248</v>
      </c>
      <c r="AU644" s="609">
        <v>1428.89</v>
      </c>
      <c r="AV644" s="609">
        <v>1464.49</v>
      </c>
      <c r="AW644" s="609">
        <v>1489.8620000000001</v>
      </c>
      <c r="AX644" s="518">
        <f>AY644</f>
        <v>1522.5719999999999</v>
      </c>
      <c r="AY644" s="675">
        <v>1522.5719999999999</v>
      </c>
      <c r="AZ644" s="609">
        <v>1547.337</v>
      </c>
      <c r="BA644" s="609">
        <v>1587.337</v>
      </c>
      <c r="BB644" s="609">
        <v>1615.97</v>
      </c>
      <c r="BC644" s="518">
        <f>BD644</f>
        <v>1649.692</v>
      </c>
      <c r="BD644" s="675">
        <v>1649.692</v>
      </c>
      <c r="BE644" s="609">
        <v>1692.923</v>
      </c>
      <c r="BF644" s="609">
        <v>1732.9090000000001</v>
      </c>
      <c r="BG644" s="609">
        <v>1757.174</v>
      </c>
      <c r="BH644" s="518">
        <f>BI644</f>
        <v>1786.6669999999999</v>
      </c>
      <c r="BI644" s="675">
        <v>1786.6669999999999</v>
      </c>
      <c r="BJ644" s="609">
        <v>1809.53</v>
      </c>
      <c r="BK644" s="609">
        <v>1848.6769999999999</v>
      </c>
      <c r="BL644" s="610">
        <v>1873.6780000000001</v>
      </c>
      <c r="BM644" s="518">
        <f>BL644+BM507</f>
        <v>1910.1780000000001</v>
      </c>
      <c r="BN644" s="89">
        <f>BM644</f>
        <v>1910.1780000000001</v>
      </c>
      <c r="BO644" s="518">
        <f>BN644+BO507</f>
        <v>1955.1780000000001</v>
      </c>
      <c r="BP644" s="518">
        <f>BO644+BP507</f>
        <v>2000.1780000000001</v>
      </c>
      <c r="BQ644" s="518">
        <f>BP644+BQ507</f>
        <v>2045.1780000000001</v>
      </c>
      <c r="BR644" s="518">
        <f>BQ644+BR507</f>
        <v>2090.1779999999999</v>
      </c>
      <c r="BS644" s="89">
        <f>BR644</f>
        <v>2090.1779999999999</v>
      </c>
      <c r="BT644" s="89">
        <f>BS644+BT507</f>
        <v>2270.1779999999999</v>
      </c>
      <c r="BU644" s="89">
        <f>BT644+BU507</f>
        <v>2450.1779999999999</v>
      </c>
      <c r="BV644" s="89">
        <f>BU644+BV507</f>
        <v>2630.1779999999999</v>
      </c>
      <c r="BW644" s="519"/>
    </row>
    <row r="645" spans="1:75" s="439" customFormat="1">
      <c r="A645" s="31" t="s">
        <v>546</v>
      </c>
      <c r="B645" s="53"/>
      <c r="C645" s="89"/>
      <c r="D645" s="89"/>
      <c r="E645" s="675">
        <v>0.27100000000000002</v>
      </c>
      <c r="F645" s="675">
        <v>0.80500000000000005</v>
      </c>
      <c r="G645" s="609">
        <v>-0.90400000000000003</v>
      </c>
      <c r="H645" s="609">
        <v>-0.19</v>
      </c>
      <c r="I645" s="609">
        <v>2.1429999999999998</v>
      </c>
      <c r="J645" s="518">
        <f>K645</f>
        <v>3.1859999999999999</v>
      </c>
      <c r="K645" s="675">
        <v>3.1859999999999999</v>
      </c>
      <c r="L645" s="609">
        <v>3.1019999999999999</v>
      </c>
      <c r="M645" s="609">
        <v>2.7639999999999998</v>
      </c>
      <c r="N645" s="609">
        <v>-1.6779999999999999</v>
      </c>
      <c r="O645" s="518">
        <f>P645</f>
        <v>-5.609</v>
      </c>
      <c r="P645" s="675">
        <v>-5.609</v>
      </c>
      <c r="Q645" s="609">
        <v>-13.474</v>
      </c>
      <c r="R645" s="609">
        <v>-12.13</v>
      </c>
      <c r="S645" s="609">
        <v>-11.679</v>
      </c>
      <c r="T645" s="518">
        <f>U645</f>
        <v>-13.519</v>
      </c>
      <c r="U645" s="675">
        <v>-13.519</v>
      </c>
      <c r="V645" s="609">
        <v>-11.776999999999999</v>
      </c>
      <c r="W645" s="609">
        <v>-12.724</v>
      </c>
      <c r="X645" s="609">
        <v>-12.05</v>
      </c>
      <c r="Y645" s="609">
        <v>-15.576000000000001</v>
      </c>
      <c r="Z645" s="89">
        <f>Y645</f>
        <v>-15.576000000000001</v>
      </c>
      <c r="AA645" s="609">
        <v>-14.505000000000001</v>
      </c>
      <c r="AB645" s="609">
        <v>-10.972</v>
      </c>
      <c r="AC645" s="609">
        <v>-9.1069999999999993</v>
      </c>
      <c r="AD645" s="518">
        <f>AE645</f>
        <v>-8.4440000000000008</v>
      </c>
      <c r="AE645" s="675">
        <v>-8.4440000000000008</v>
      </c>
      <c r="AF645" s="609">
        <v>-6.8449999999999998</v>
      </c>
      <c r="AG645" s="609">
        <v>-10.032</v>
      </c>
      <c r="AH645" s="609">
        <v>-10.225</v>
      </c>
      <c r="AI645" s="518">
        <f>AJ645</f>
        <v>-11.021000000000001</v>
      </c>
      <c r="AJ645" s="675">
        <v>-11.021000000000001</v>
      </c>
      <c r="AK645" s="609">
        <v>-11.731999999999999</v>
      </c>
      <c r="AL645" s="609">
        <v>-11.163</v>
      </c>
      <c r="AM645" s="609">
        <v>-13.297000000000001</v>
      </c>
      <c r="AN645" s="518">
        <f>AO645</f>
        <v>-11.759</v>
      </c>
      <c r="AO645" s="675">
        <v>-11.759</v>
      </c>
      <c r="AP645" s="609">
        <v>-12.863</v>
      </c>
      <c r="AQ645" s="609">
        <v>-11.845000000000001</v>
      </c>
      <c r="AR645" s="609">
        <v>-9.5760000000000005</v>
      </c>
      <c r="AS645" s="518">
        <f>AT645</f>
        <v>-6.8070000000000004</v>
      </c>
      <c r="AT645" s="675">
        <v>-6.8070000000000004</v>
      </c>
      <c r="AU645" s="609">
        <v>-9.5589999999999993</v>
      </c>
      <c r="AV645" s="609">
        <v>-8.3780000000000001</v>
      </c>
      <c r="AW645" s="609">
        <v>-9.7810000000000006</v>
      </c>
      <c r="AX645" s="518">
        <f>AY645</f>
        <v>-11.09</v>
      </c>
      <c r="AY645" s="675">
        <v>-11.09</v>
      </c>
      <c r="AZ645" s="609">
        <v>-11.903</v>
      </c>
      <c r="BA645" s="609">
        <v>-15.657</v>
      </c>
      <c r="BB645" s="609">
        <v>-20.623999999999999</v>
      </c>
      <c r="BC645" s="518">
        <f>BD645</f>
        <v>-15.545</v>
      </c>
      <c r="BD645" s="675">
        <v>-15.545</v>
      </c>
      <c r="BE645" s="609">
        <v>-13.757999999999999</v>
      </c>
      <c r="BF645" s="609">
        <v>-13.875999999999999</v>
      </c>
      <c r="BG645" s="609">
        <v>-15.278</v>
      </c>
      <c r="BH645" s="518">
        <f>BI645</f>
        <v>-12.202</v>
      </c>
      <c r="BI645" s="675">
        <v>-12.202</v>
      </c>
      <c r="BJ645" s="609">
        <v>-13.95</v>
      </c>
      <c r="BK645" s="609">
        <v>-14.134</v>
      </c>
      <c r="BL645" s="610">
        <v>-10.535</v>
      </c>
      <c r="BM645" s="518">
        <f>BL645</f>
        <v>-10.535</v>
      </c>
      <c r="BN645" s="89">
        <f>BM645</f>
        <v>-10.535</v>
      </c>
      <c r="BO645" s="518">
        <f>BN645</f>
        <v>-10.535</v>
      </c>
      <c r="BP645" s="518">
        <f>BO645</f>
        <v>-10.535</v>
      </c>
      <c r="BQ645" s="518">
        <f>BP645</f>
        <v>-10.535</v>
      </c>
      <c r="BR645" s="518">
        <f>BQ645</f>
        <v>-10.535</v>
      </c>
      <c r="BS645" s="89">
        <f>BR645</f>
        <v>-10.535</v>
      </c>
      <c r="BT645" s="89">
        <f>BS645</f>
        <v>-10.535</v>
      </c>
      <c r="BU645" s="89">
        <f>BT645</f>
        <v>-10.535</v>
      </c>
      <c r="BV645" s="89">
        <f>BU645</f>
        <v>-10.535</v>
      </c>
      <c r="BW645" s="519"/>
    </row>
    <row r="646" spans="1:75" s="439" customFormat="1">
      <c r="A646" s="31" t="s">
        <v>547</v>
      </c>
      <c r="B646" s="53"/>
      <c r="C646" s="89"/>
      <c r="D646" s="89"/>
      <c r="E646" s="89"/>
      <c r="F646" s="89"/>
      <c r="G646" s="518"/>
      <c r="H646" s="518"/>
      <c r="I646" s="518"/>
      <c r="J646" s="518"/>
      <c r="K646" s="89"/>
      <c r="L646" s="518"/>
      <c r="M646" s="518"/>
      <c r="N646" s="518"/>
      <c r="O646" s="518"/>
      <c r="P646" s="89"/>
      <c r="Q646" s="518"/>
      <c r="R646" s="518"/>
      <c r="S646" s="518"/>
      <c r="T646" s="518"/>
      <c r="U646" s="89"/>
      <c r="V646" s="518"/>
      <c r="W646" s="518"/>
      <c r="X646" s="518"/>
      <c r="Y646" s="518"/>
      <c r="Z646" s="89"/>
      <c r="AA646" s="518"/>
      <c r="AB646" s="518"/>
      <c r="AC646" s="518"/>
      <c r="AD646" s="518">
        <f>AE646</f>
        <v>-4.5999999999999999E-2</v>
      </c>
      <c r="AE646" s="675">
        <v>-4.5999999999999999E-2</v>
      </c>
      <c r="AF646" s="609">
        <v>-15</v>
      </c>
      <c r="AG646" s="609">
        <v>0</v>
      </c>
      <c r="AH646" s="518"/>
      <c r="AI646" s="518">
        <f>AJ646</f>
        <v>0</v>
      </c>
      <c r="AJ646" s="89"/>
      <c r="AK646" s="518"/>
      <c r="AL646" s="609">
        <v>-5.952</v>
      </c>
      <c r="AM646" s="518"/>
      <c r="AN646" s="518">
        <f>AO646</f>
        <v>0</v>
      </c>
      <c r="AO646" s="89"/>
      <c r="AP646" s="518"/>
      <c r="AQ646" s="518"/>
      <c r="AR646" s="518"/>
      <c r="AS646" s="518">
        <f>AT646</f>
        <v>-2.964</v>
      </c>
      <c r="AT646" s="675">
        <v>-2.964</v>
      </c>
      <c r="AU646" s="609">
        <v>-3.3130000000000002</v>
      </c>
      <c r="AV646" s="609">
        <v>-4.25</v>
      </c>
      <c r="AW646" s="609">
        <v>-4.17</v>
      </c>
      <c r="AX646" s="518">
        <f>AY646</f>
        <v>0</v>
      </c>
      <c r="AY646" s="89"/>
      <c r="AZ646" s="609">
        <v>-2.8860000000000001</v>
      </c>
      <c r="BA646" s="609">
        <v>-3.1379999999999999</v>
      </c>
      <c r="BB646" s="518"/>
      <c r="BC646" s="518">
        <f>BD646</f>
        <v>0</v>
      </c>
      <c r="BD646" s="89"/>
      <c r="BE646" s="609">
        <v>-3.6999999999999998E-2</v>
      </c>
      <c r="BF646" s="609">
        <v>-0.159</v>
      </c>
      <c r="BG646" s="609">
        <v>-0.26700000000000002</v>
      </c>
      <c r="BH646" s="518">
        <f>BI646</f>
        <v>-0.28199999999999997</v>
      </c>
      <c r="BI646" s="675">
        <v>-0.28199999999999997</v>
      </c>
      <c r="BJ646" s="609">
        <v>-8.3290000000000006</v>
      </c>
      <c r="BK646" s="609">
        <v>-0.80600000000000005</v>
      </c>
      <c r="BL646" s="610">
        <v>-2.907</v>
      </c>
      <c r="BM646" s="518">
        <f>BL646+BM556</f>
        <v>-2.907</v>
      </c>
      <c r="BN646" s="89">
        <f>BM646</f>
        <v>-2.907</v>
      </c>
      <c r="BO646" s="518">
        <f>BN646+BO556</f>
        <v>-2.907</v>
      </c>
      <c r="BP646" s="518">
        <f>BO646+BP556</f>
        <v>-2.907</v>
      </c>
      <c r="BQ646" s="518">
        <f>BP646+BQ556</f>
        <v>-2.907</v>
      </c>
      <c r="BR646" s="518">
        <f>BQ646+BR556</f>
        <v>-2.907</v>
      </c>
      <c r="BS646" s="89">
        <f>BR646</f>
        <v>-2.907</v>
      </c>
      <c r="BT646" s="89">
        <f>BS646+BT556</f>
        <v>-2.907</v>
      </c>
      <c r="BU646" s="89">
        <f>BT646+BU556</f>
        <v>-2.907</v>
      </c>
      <c r="BV646" s="89">
        <f>BU646+BV556</f>
        <v>-2.907</v>
      </c>
      <c r="BW646" s="519"/>
    </row>
    <row r="647" spans="1:75" s="439" customFormat="1">
      <c r="A647" s="31" t="s">
        <v>548</v>
      </c>
      <c r="B647" s="53"/>
      <c r="C647" s="675">
        <v>-13.169</v>
      </c>
      <c r="D647" s="675">
        <v>-20.888999999999999</v>
      </c>
      <c r="E647" s="675">
        <v>-41.243000000000002</v>
      </c>
      <c r="F647" s="675">
        <v>-60.387999999999998</v>
      </c>
      <c r="G647" s="609">
        <v>-65.186999999999998</v>
      </c>
      <c r="H647" s="609">
        <v>-66.064999999999998</v>
      </c>
      <c r="I647" s="609">
        <v>-68.387</v>
      </c>
      <c r="J647" s="518">
        <f>K647</f>
        <v>-70.456000000000003</v>
      </c>
      <c r="K647" s="675">
        <v>-70.456000000000003</v>
      </c>
      <c r="L647" s="609">
        <v>-73.090999999999994</v>
      </c>
      <c r="M647" s="609">
        <v>-70.347999999999999</v>
      </c>
      <c r="N647" s="609">
        <v>-66.710999999999999</v>
      </c>
      <c r="O647" s="518">
        <f>P647</f>
        <v>-33.982999999999997</v>
      </c>
      <c r="P647" s="675">
        <v>-33.982999999999997</v>
      </c>
      <c r="Q647" s="609">
        <v>-35.267000000000003</v>
      </c>
      <c r="R647" s="609">
        <v>-36.572000000000003</v>
      </c>
      <c r="S647" s="609">
        <v>-44.654000000000003</v>
      </c>
      <c r="T647" s="518">
        <f>U647</f>
        <v>-66.882999999999996</v>
      </c>
      <c r="U647" s="675">
        <v>-66.882999999999996</v>
      </c>
      <c r="V647" s="609">
        <v>-80.997</v>
      </c>
      <c r="W647" s="609">
        <v>-80.554000000000002</v>
      </c>
      <c r="X647" s="609">
        <v>-78.483999999999995</v>
      </c>
      <c r="Y647" s="609">
        <v>-70.221000000000004</v>
      </c>
      <c r="Z647" s="89">
        <f>Y647</f>
        <v>-70.221000000000004</v>
      </c>
      <c r="AA647" s="609">
        <v>-75.001000000000005</v>
      </c>
      <c r="AB647" s="609">
        <v>-67.411000000000001</v>
      </c>
      <c r="AC647" s="609">
        <v>-67.23</v>
      </c>
      <c r="AD647" s="518">
        <f>AE647</f>
        <v>79.17</v>
      </c>
      <c r="AE647" s="675">
        <v>79.17</v>
      </c>
      <c r="AF647" s="609">
        <v>54.83</v>
      </c>
      <c r="AG647" s="609">
        <v>21.739000000000001</v>
      </c>
      <c r="AH647" s="609">
        <v>30.52</v>
      </c>
      <c r="AI647" s="518">
        <f>AJ647</f>
        <v>-52.923000000000002</v>
      </c>
      <c r="AJ647" s="675">
        <v>-52.923000000000002</v>
      </c>
      <c r="AK647" s="611">
        <v>-153.684</v>
      </c>
      <c r="AL647" s="609">
        <v>-430.916</v>
      </c>
      <c r="AM647" s="609">
        <v>-504.18700000000001</v>
      </c>
      <c r="AN647" s="518">
        <f>AO647</f>
        <v>-493.053</v>
      </c>
      <c r="AO647" s="675">
        <v>-493.053</v>
      </c>
      <c r="AP647" s="611">
        <v>-508.59</v>
      </c>
      <c r="AQ647" s="609">
        <v>-532.58000000000004</v>
      </c>
      <c r="AR647" s="609">
        <v>-533.6</v>
      </c>
      <c r="AS647" s="518">
        <f>AT647</f>
        <v>-533.94299999999998</v>
      </c>
      <c r="AT647" s="675">
        <v>-533.94299999999998</v>
      </c>
      <c r="AU647" s="611">
        <v>-588.91800000000001</v>
      </c>
      <c r="AV647" s="609">
        <v>-648.39800000000002</v>
      </c>
      <c r="AW647" s="609">
        <v>-694.08799999999997</v>
      </c>
      <c r="AX647" s="518">
        <f>AY647</f>
        <v>-760.16399999999999</v>
      </c>
      <c r="AY647" s="675">
        <v>-760.16399999999999</v>
      </c>
      <c r="AZ647" s="611">
        <v>-808.19899999999996</v>
      </c>
      <c r="BA647" s="609">
        <v>-849.93799999999999</v>
      </c>
      <c r="BB647" s="609">
        <v>-893.96799999999996</v>
      </c>
      <c r="BC647" s="518">
        <f>BD647</f>
        <v>-923.82299999999998</v>
      </c>
      <c r="BD647" s="675">
        <v>-923.82299999999998</v>
      </c>
      <c r="BE647" s="611">
        <v>-975</v>
      </c>
      <c r="BF647" s="609">
        <v>-1010.272</v>
      </c>
      <c r="BG647" s="609">
        <v>-1002.0549999999999</v>
      </c>
      <c r="BH647" s="518">
        <f>BI647</f>
        <v>-1024.6489999999999</v>
      </c>
      <c r="BI647" s="675">
        <v>-1024.6489999999999</v>
      </c>
      <c r="BJ647" s="611">
        <v>-1065.278</v>
      </c>
      <c r="BK647" s="609">
        <v>-1098.3900000000001</v>
      </c>
      <c r="BL647" s="610">
        <v>-1120.6959999999999</v>
      </c>
      <c r="BM647" s="518" t="e">
        <f>BL647+BM504+BM559</f>
        <v>#REF!</v>
      </c>
      <c r="BN647" s="89" t="e">
        <f>BM647</f>
        <v>#REF!</v>
      </c>
      <c r="BO647" s="518" t="e">
        <f>BN647+BO504+BO559</f>
        <v>#REF!</v>
      </c>
      <c r="BP647" s="518" t="e">
        <f>BO647+BP504+BP559</f>
        <v>#REF!</v>
      </c>
      <c r="BQ647" s="518" t="e">
        <f>BP647+BQ504+BQ559</f>
        <v>#REF!</v>
      </c>
      <c r="BR647" s="518" t="e">
        <f>BQ647+BR504+BR559</f>
        <v>#REF!</v>
      </c>
      <c r="BS647" s="89" t="e">
        <f>BR647</f>
        <v>#REF!</v>
      </c>
      <c r="BT647" s="89" t="e">
        <f>BS647+BT504+BT559</f>
        <v>#REF!</v>
      </c>
      <c r="BU647" s="89" t="e">
        <f>BT647+BU504+BU559</f>
        <v>#REF!</v>
      </c>
      <c r="BV647" s="89" t="e">
        <f>BU647+BV504+BV559</f>
        <v>#REF!</v>
      </c>
      <c r="BW647" s="519"/>
    </row>
    <row r="648" spans="1:75" s="444" customFormat="1">
      <c r="A648" s="18" t="s">
        <v>549</v>
      </c>
      <c r="B648" s="49"/>
      <c r="C648" s="676"/>
      <c r="D648" s="676"/>
      <c r="E648" s="676">
        <f t="shared" ref="E648:AJ648" si="1339">SUM(E642:E647)</f>
        <v>31.088000000000001</v>
      </c>
      <c r="F648" s="676">
        <f t="shared" si="1339"/>
        <v>165.66200000000001</v>
      </c>
      <c r="G648" s="560">
        <f t="shared" si="1339"/>
        <v>165.43400000000003</v>
      </c>
      <c r="H648" s="560">
        <f t="shared" si="1339"/>
        <v>174.49700000000001</v>
      </c>
      <c r="I648" s="560">
        <f t="shared" si="1339"/>
        <v>196.43099999999998</v>
      </c>
      <c r="J648" s="560">
        <f t="shared" si="1339"/>
        <v>486.48300000000006</v>
      </c>
      <c r="K648" s="676">
        <f t="shared" si="1339"/>
        <v>486.48300000000006</v>
      </c>
      <c r="L648" s="560">
        <f t="shared" si="1339"/>
        <v>499.93599999999992</v>
      </c>
      <c r="M648" s="560">
        <f t="shared" si="1339"/>
        <v>521.245</v>
      </c>
      <c r="N648" s="560">
        <f t="shared" si="1339"/>
        <v>538.62299999999993</v>
      </c>
      <c r="O648" s="560">
        <f t="shared" si="1339"/>
        <v>588.15</v>
      </c>
      <c r="P648" s="676">
        <f t="shared" si="1339"/>
        <v>588.15</v>
      </c>
      <c r="Q648" s="560">
        <f t="shared" si="1339"/>
        <v>656.65599999999995</v>
      </c>
      <c r="R648" s="560">
        <f t="shared" si="1339"/>
        <v>686.16499999999996</v>
      </c>
      <c r="S648" s="560">
        <f t="shared" si="1339"/>
        <v>696.46199999999999</v>
      </c>
      <c r="T648" s="560">
        <f t="shared" si="1339"/>
        <v>693.62</v>
      </c>
      <c r="U648" s="676">
        <f t="shared" si="1339"/>
        <v>693.62</v>
      </c>
      <c r="V648" s="560">
        <f t="shared" si="1339"/>
        <v>700.69399999999996</v>
      </c>
      <c r="W648" s="560">
        <f t="shared" si="1339"/>
        <v>729.10699999999997</v>
      </c>
      <c r="X648" s="560">
        <f t="shared" si="1339"/>
        <v>765.58100000000002</v>
      </c>
      <c r="Y648" s="560">
        <f t="shared" si="1339"/>
        <v>807.18599999999992</v>
      </c>
      <c r="Z648" s="676">
        <f t="shared" si="1339"/>
        <v>807.18599999999992</v>
      </c>
      <c r="AA648" s="560">
        <f t="shared" si="1339"/>
        <v>831.93500000000006</v>
      </c>
      <c r="AB648" s="560">
        <f t="shared" si="1339"/>
        <v>886.66599999999994</v>
      </c>
      <c r="AC648" s="560">
        <f t="shared" si="1339"/>
        <v>925.29600000000005</v>
      </c>
      <c r="AD648" s="560">
        <f t="shared" si="1339"/>
        <v>1108.6970000000001</v>
      </c>
      <c r="AE648" s="676">
        <f t="shared" si="1339"/>
        <v>1108.6970000000001</v>
      </c>
      <c r="AF648" s="560">
        <f t="shared" si="1339"/>
        <v>1092.1529999999998</v>
      </c>
      <c r="AG648" s="560">
        <f t="shared" si="1339"/>
        <v>1098.4340000000002</v>
      </c>
      <c r="AH648" s="560">
        <f t="shared" si="1339"/>
        <v>1129.4940000000001</v>
      </c>
      <c r="AI648" s="560">
        <f t="shared" si="1339"/>
        <v>1075.518</v>
      </c>
      <c r="AJ648" s="676">
        <f t="shared" si="1339"/>
        <v>1075.518</v>
      </c>
      <c r="AK648" s="560">
        <f t="shared" ref="AK648:AQ648" si="1340">SUM(AK642:AK647)</f>
        <v>994.83799999999997</v>
      </c>
      <c r="AL648" s="560">
        <f t="shared" si="1340"/>
        <v>746.45500000000015</v>
      </c>
      <c r="AM648" s="560">
        <f t="shared" si="1340"/>
        <v>702.56399999999996</v>
      </c>
      <c r="AN648" s="560">
        <f t="shared" si="1340"/>
        <v>754.9910000000001</v>
      </c>
      <c r="AO648" s="676">
        <f t="shared" si="1340"/>
        <v>754.9910000000001</v>
      </c>
      <c r="AP648" s="560">
        <f t="shared" si="1340"/>
        <v>762.43200000000002</v>
      </c>
      <c r="AQ648" s="560">
        <f t="shared" si="1340"/>
        <v>781.31999999999982</v>
      </c>
      <c r="AR648" s="560">
        <f t="shared" ref="AR648:AW648" si="1341">SUM(AR642:AR647)</f>
        <v>815.62800000000004</v>
      </c>
      <c r="AS648" s="560">
        <f t="shared" si="1341"/>
        <v>854.53400000000011</v>
      </c>
      <c r="AT648" s="676">
        <f t="shared" si="1341"/>
        <v>854.53400000000011</v>
      </c>
      <c r="AU648" s="560">
        <f t="shared" si="1341"/>
        <v>827.1</v>
      </c>
      <c r="AV648" s="560">
        <f t="shared" si="1341"/>
        <v>803.46400000000006</v>
      </c>
      <c r="AW648" s="560">
        <f t="shared" si="1341"/>
        <v>781.82300000000009</v>
      </c>
      <c r="AX648" s="560">
        <f t="shared" ref="AX648:BA648" si="1342">SUM(AX642:AX647)</f>
        <v>751.31799999999998</v>
      </c>
      <c r="AY648" s="676">
        <f t="shared" si="1342"/>
        <v>751.31799999999998</v>
      </c>
      <c r="AZ648" s="560">
        <f t="shared" si="1342"/>
        <v>724.34900000000005</v>
      </c>
      <c r="BA648" s="560">
        <f t="shared" si="1342"/>
        <v>718.60400000000016</v>
      </c>
      <c r="BB648" s="560">
        <f t="shared" ref="BB648:BN648" si="1343">SUM(BB642:BB647)</f>
        <v>701.37800000000004</v>
      </c>
      <c r="BC648" s="560">
        <f t="shared" si="1343"/>
        <v>710.32399999999996</v>
      </c>
      <c r="BD648" s="676">
        <f t="shared" si="1343"/>
        <v>710.32399999999996</v>
      </c>
      <c r="BE648" s="560">
        <f t="shared" ref="BE648:BM648" si="1344">SUM(BE642:BE647)</f>
        <v>704.12799999999993</v>
      </c>
      <c r="BF648" s="560">
        <f t="shared" si="1344"/>
        <v>708.60199999999998</v>
      </c>
      <c r="BG648" s="560">
        <f t="shared" si="1344"/>
        <v>739.57399999999996</v>
      </c>
      <c r="BH648" s="560">
        <f t="shared" si="1344"/>
        <v>749.53400000000011</v>
      </c>
      <c r="BI648" s="676">
        <f t="shared" si="1344"/>
        <v>749.53400000000011</v>
      </c>
      <c r="BJ648" s="560">
        <f>SUM(BJ642:BJ647)</f>
        <v>721.97299999999996</v>
      </c>
      <c r="BK648" s="560">
        <f>SUM(BK642:BK647)</f>
        <v>735.34699999999975</v>
      </c>
      <c r="BL648" s="561">
        <f>SUM(BL642:BL647)</f>
        <v>739.54000000000019</v>
      </c>
      <c r="BM648" s="560" t="e">
        <f t="shared" si="1344"/>
        <v>#REF!</v>
      </c>
      <c r="BN648" s="676" t="e">
        <f t="shared" si="1343"/>
        <v>#REF!</v>
      </c>
      <c r="BO648" s="560" t="e">
        <f t="shared" ref="BO648:BV648" si="1345">SUM(BO642:BO647)</f>
        <v>#REF!</v>
      </c>
      <c r="BP648" s="560" t="e">
        <f t="shared" si="1345"/>
        <v>#REF!</v>
      </c>
      <c r="BQ648" s="560" t="e">
        <f t="shared" si="1345"/>
        <v>#REF!</v>
      </c>
      <c r="BR648" s="560" t="e">
        <f t="shared" si="1345"/>
        <v>#REF!</v>
      </c>
      <c r="BS648" s="676" t="e">
        <f t="shared" si="1345"/>
        <v>#REF!</v>
      </c>
      <c r="BT648" s="676" t="e">
        <f t="shared" si="1345"/>
        <v>#REF!</v>
      </c>
      <c r="BU648" s="676" t="e">
        <f t="shared" si="1345"/>
        <v>#REF!</v>
      </c>
      <c r="BV648" s="676" t="e">
        <f t="shared" si="1345"/>
        <v>#REF!</v>
      </c>
      <c r="BW648" s="318"/>
    </row>
    <row r="649" spans="1:75" s="439" customFormat="1">
      <c r="A649" s="31" t="s">
        <v>550</v>
      </c>
      <c r="B649" s="53"/>
      <c r="C649" s="89"/>
      <c r="D649" s="89"/>
      <c r="E649" s="89"/>
      <c r="F649" s="89"/>
      <c r="G649" s="518"/>
      <c r="H649" s="518"/>
      <c r="I649" s="518"/>
      <c r="J649" s="518"/>
      <c r="K649" s="89"/>
      <c r="L649" s="518"/>
      <c r="M649" s="518"/>
      <c r="N649" s="518"/>
      <c r="O649" s="518"/>
      <c r="P649" s="89"/>
      <c r="Q649" s="518"/>
      <c r="R649" s="518"/>
      <c r="S649" s="518"/>
      <c r="T649" s="518"/>
      <c r="U649" s="89"/>
      <c r="V649" s="518"/>
      <c r="W649" s="518"/>
      <c r="X649" s="518"/>
      <c r="Y649" s="518">
        <f>Z649</f>
        <v>0</v>
      </c>
      <c r="Z649" s="89"/>
      <c r="AA649" s="518"/>
      <c r="AB649" s="518"/>
      <c r="AC649" s="518"/>
      <c r="AD649" s="518">
        <f>AE649</f>
        <v>0</v>
      </c>
      <c r="AE649" s="89"/>
      <c r="AF649" s="518"/>
      <c r="AG649" s="518"/>
      <c r="AH649" s="518"/>
      <c r="AI649" s="518">
        <f>AJ649</f>
        <v>0</v>
      </c>
      <c r="AJ649" s="89"/>
      <c r="AK649" s="518"/>
      <c r="AL649" s="518"/>
      <c r="AM649" s="518"/>
      <c r="AN649" s="518">
        <f>AO649</f>
        <v>0</v>
      </c>
      <c r="AO649" s="89"/>
      <c r="AP649" s="518"/>
      <c r="AQ649" s="518"/>
      <c r="AR649" s="518"/>
      <c r="AS649" s="518">
        <f>AT649</f>
        <v>0</v>
      </c>
      <c r="AT649" s="89"/>
      <c r="AU649" s="518"/>
      <c r="AV649" s="518"/>
      <c r="AW649" s="518"/>
      <c r="AX649" s="518">
        <f>AY649</f>
        <v>0</v>
      </c>
      <c r="AY649" s="89"/>
      <c r="AZ649" s="518"/>
      <c r="BA649" s="518"/>
      <c r="BB649" s="518"/>
      <c r="BC649" s="518">
        <f>BD649</f>
        <v>0</v>
      </c>
      <c r="BD649" s="89"/>
      <c r="BE649" s="518"/>
      <c r="BF649" s="518"/>
      <c r="BG649" s="518"/>
      <c r="BH649" s="518">
        <f>BI649</f>
        <v>0</v>
      </c>
      <c r="BI649" s="89"/>
      <c r="BJ649" s="518"/>
      <c r="BK649" s="518"/>
      <c r="BL649" s="520"/>
      <c r="BM649" s="518">
        <f>BL649</f>
        <v>0</v>
      </c>
      <c r="BN649" s="89">
        <f t="shared" ref="BN649" si="1346">BM649</f>
        <v>0</v>
      </c>
      <c r="BO649" s="518">
        <f t="shared" ref="BO649:BV649" si="1347">BN649</f>
        <v>0</v>
      </c>
      <c r="BP649" s="518">
        <f t="shared" si="1347"/>
        <v>0</v>
      </c>
      <c r="BQ649" s="518">
        <f t="shared" si="1347"/>
        <v>0</v>
      </c>
      <c r="BR649" s="518">
        <f t="shared" si="1347"/>
        <v>0</v>
      </c>
      <c r="BS649" s="89">
        <f t="shared" si="1347"/>
        <v>0</v>
      </c>
      <c r="BT649" s="89">
        <f t="shared" si="1347"/>
        <v>0</v>
      </c>
      <c r="BU649" s="89">
        <f t="shared" si="1347"/>
        <v>0</v>
      </c>
      <c r="BV649" s="89">
        <f t="shared" si="1347"/>
        <v>0</v>
      </c>
      <c r="BW649" s="519"/>
    </row>
    <row r="650" spans="1:75" s="444" customFormat="1">
      <c r="A650" s="28" t="s">
        <v>551</v>
      </c>
      <c r="B650" s="30"/>
      <c r="C650" s="714">
        <v>20.817</v>
      </c>
      <c r="D650" s="714">
        <v>41.015000000000001</v>
      </c>
      <c r="E650" s="700">
        <f t="shared" ref="E650:AJ650" si="1348">E648+E639+E649</f>
        <v>43.820999999999998</v>
      </c>
      <c r="F650" s="700">
        <f t="shared" si="1348"/>
        <v>187.696</v>
      </c>
      <c r="G650" s="523">
        <f t="shared" si="1348"/>
        <v>187.29400000000004</v>
      </c>
      <c r="H650" s="523">
        <f t="shared" si="1348"/>
        <v>197.542</v>
      </c>
      <c r="I650" s="523">
        <f t="shared" si="1348"/>
        <v>224.32999999999998</v>
      </c>
      <c r="J650" s="523">
        <f t="shared" si="1348"/>
        <v>515.97700000000009</v>
      </c>
      <c r="K650" s="700">
        <f t="shared" si="1348"/>
        <v>515.97700000000009</v>
      </c>
      <c r="L650" s="523">
        <f t="shared" si="1348"/>
        <v>533.47399999999993</v>
      </c>
      <c r="M650" s="523">
        <f t="shared" si="1348"/>
        <v>553.15599999999995</v>
      </c>
      <c r="N650" s="523">
        <f t="shared" si="1348"/>
        <v>577.39899999999989</v>
      </c>
      <c r="O650" s="523">
        <f t="shared" si="1348"/>
        <v>629.65</v>
      </c>
      <c r="P650" s="700">
        <f t="shared" si="1348"/>
        <v>629.65</v>
      </c>
      <c r="Q650" s="523">
        <f t="shared" si="1348"/>
        <v>715.88599999999997</v>
      </c>
      <c r="R650" s="523">
        <f t="shared" si="1348"/>
        <v>741.38699999999994</v>
      </c>
      <c r="S650" s="523">
        <f t="shared" si="1348"/>
        <v>764.40499999999997</v>
      </c>
      <c r="T650" s="523">
        <f t="shared" si="1348"/>
        <v>755.42700000000002</v>
      </c>
      <c r="U650" s="700">
        <f t="shared" si="1348"/>
        <v>755.42700000000002</v>
      </c>
      <c r="V650" s="523">
        <f t="shared" si="1348"/>
        <v>772.96699999999998</v>
      </c>
      <c r="W650" s="523">
        <f t="shared" si="1348"/>
        <v>799.798</v>
      </c>
      <c r="X650" s="523">
        <f t="shared" si="1348"/>
        <v>845.58799999999997</v>
      </c>
      <c r="Y650" s="523">
        <f t="shared" si="1348"/>
        <v>885.2059999999999</v>
      </c>
      <c r="Z650" s="700">
        <f t="shared" si="1348"/>
        <v>885.2059999999999</v>
      </c>
      <c r="AA650" s="523">
        <f t="shared" si="1348"/>
        <v>922.17100000000005</v>
      </c>
      <c r="AB650" s="523">
        <f t="shared" si="1348"/>
        <v>970.11500000000001</v>
      </c>
      <c r="AC650" s="523">
        <f t="shared" si="1348"/>
        <v>1027.115</v>
      </c>
      <c r="AD650" s="523">
        <f t="shared" si="1348"/>
        <v>1225.6010000000001</v>
      </c>
      <c r="AE650" s="700">
        <f t="shared" si="1348"/>
        <v>1225.6010000000001</v>
      </c>
      <c r="AF650" s="523">
        <f t="shared" si="1348"/>
        <v>1218.4989999999998</v>
      </c>
      <c r="AG650" s="523">
        <f t="shared" si="1348"/>
        <v>1198.2240000000002</v>
      </c>
      <c r="AH650" s="523">
        <f t="shared" si="1348"/>
        <v>1233.2570000000001</v>
      </c>
      <c r="AI650" s="523">
        <f t="shared" si="1348"/>
        <v>1175.5630000000001</v>
      </c>
      <c r="AJ650" s="700">
        <f t="shared" si="1348"/>
        <v>1175.5630000000001</v>
      </c>
      <c r="AK650" s="523">
        <f t="shared" ref="AK650:AQ650" si="1349">AK648+AK639+AK649</f>
        <v>1337.8600000000001</v>
      </c>
      <c r="AL650" s="523">
        <f t="shared" si="1349"/>
        <v>1083.433</v>
      </c>
      <c r="AM650" s="523">
        <f t="shared" si="1349"/>
        <v>1028.769</v>
      </c>
      <c r="AN650" s="523">
        <f t="shared" si="1349"/>
        <v>1070.7</v>
      </c>
      <c r="AO650" s="700">
        <f t="shared" si="1349"/>
        <v>1070.7</v>
      </c>
      <c r="AP650" s="523">
        <f t="shared" si="1349"/>
        <v>1085.2240000000002</v>
      </c>
      <c r="AQ650" s="523">
        <f t="shared" si="1349"/>
        <v>1073.4849999999999</v>
      </c>
      <c r="AR650" s="523">
        <f t="shared" ref="AR650:AW650" si="1350">AR648+AR639+AR649</f>
        <v>1138.95</v>
      </c>
      <c r="AS650" s="523">
        <f t="shared" si="1350"/>
        <v>1154.9470000000001</v>
      </c>
      <c r="AT650" s="700">
        <f t="shared" si="1350"/>
        <v>1154.9470000000001</v>
      </c>
      <c r="AU650" s="523">
        <f t="shared" si="1350"/>
        <v>1135.3780000000002</v>
      </c>
      <c r="AV650" s="523">
        <f t="shared" si="1350"/>
        <v>1105.2440000000001</v>
      </c>
      <c r="AW650" s="523">
        <f t="shared" si="1350"/>
        <v>1079.0680000000002</v>
      </c>
      <c r="AX650" s="523">
        <f t="shared" ref="AX650:BA650" si="1351">AX648+AX639+AX649</f>
        <v>1050.528</v>
      </c>
      <c r="AY650" s="700">
        <f t="shared" si="1351"/>
        <v>1050.528</v>
      </c>
      <c r="AZ650" s="523">
        <f t="shared" si="1351"/>
        <v>1044.9059999999999</v>
      </c>
      <c r="BA650" s="523">
        <f t="shared" si="1351"/>
        <v>1023.1680000000001</v>
      </c>
      <c r="BB650" s="523">
        <f t="shared" ref="BB650:BN650" si="1352">BB648+BB639+BB649</f>
        <v>1030.3340000000001</v>
      </c>
      <c r="BC650" s="523">
        <f t="shared" si="1352"/>
        <v>1015.9219999999999</v>
      </c>
      <c r="BD650" s="700">
        <f t="shared" si="1352"/>
        <v>1015.9219999999999</v>
      </c>
      <c r="BE650" s="523">
        <f t="shared" ref="BE650:BM650" si="1353">BE648+BE639+BE649</f>
        <v>1021.6819999999999</v>
      </c>
      <c r="BF650" s="523">
        <f t="shared" si="1353"/>
        <v>1033.288</v>
      </c>
      <c r="BG650" s="523">
        <f t="shared" si="1353"/>
        <v>1027.318</v>
      </c>
      <c r="BH650" s="523">
        <f t="shared" si="1353"/>
        <v>1014.7230000000001</v>
      </c>
      <c r="BI650" s="700">
        <f t="shared" si="1353"/>
        <v>1014.7230000000001</v>
      </c>
      <c r="BJ650" s="523">
        <f>BJ648+BJ639+BJ649</f>
        <v>993.47699999999998</v>
      </c>
      <c r="BK650" s="523">
        <f>BK648+BK639+BK649</f>
        <v>964.97799999999972</v>
      </c>
      <c r="BL650" s="563">
        <f>BL648+BL639+BL649</f>
        <v>980.2080000000002</v>
      </c>
      <c r="BM650" s="523" t="e">
        <f t="shared" si="1353"/>
        <v>#REF!</v>
      </c>
      <c r="BN650" s="700" t="e">
        <f t="shared" si="1352"/>
        <v>#REF!</v>
      </c>
      <c r="BO650" s="523" t="e">
        <f t="shared" ref="BO650:BV650" si="1354">BO648+BO639+BO649</f>
        <v>#REF!</v>
      </c>
      <c r="BP650" s="523" t="e">
        <f t="shared" si="1354"/>
        <v>#REF!</v>
      </c>
      <c r="BQ650" s="523" t="e">
        <f t="shared" si="1354"/>
        <v>#REF!</v>
      </c>
      <c r="BR650" s="523" t="e">
        <f t="shared" si="1354"/>
        <v>#REF!</v>
      </c>
      <c r="BS650" s="700" t="e">
        <f t="shared" si="1354"/>
        <v>#REF!</v>
      </c>
      <c r="BT650" s="700" t="e">
        <f t="shared" si="1354"/>
        <v>#REF!</v>
      </c>
      <c r="BU650" s="700" t="e">
        <f t="shared" si="1354"/>
        <v>#REF!</v>
      </c>
      <c r="BV650" s="700" t="e">
        <f t="shared" si="1354"/>
        <v>#REF!</v>
      </c>
      <c r="BW650" s="318"/>
    </row>
    <row r="651" spans="1:75" s="439" customFormat="1">
      <c r="A651" s="518"/>
      <c r="B651" s="518"/>
      <c r="C651" s="518"/>
      <c r="D651" s="518"/>
      <c r="E651" s="518"/>
      <c r="F651" s="518"/>
      <c r="G651" s="518"/>
      <c r="H651" s="518"/>
      <c r="I651" s="518"/>
      <c r="J651" s="518"/>
      <c r="K651" s="518"/>
      <c r="L651" s="518"/>
      <c r="M651" s="518"/>
      <c r="N651" s="518"/>
      <c r="O651" s="518"/>
      <c r="P651" s="518"/>
      <c r="Q651" s="518"/>
      <c r="R651" s="518"/>
      <c r="S651" s="518"/>
      <c r="T651" s="518"/>
      <c r="U651" s="518"/>
      <c r="V651" s="518"/>
      <c r="W651" s="518"/>
      <c r="X651" s="518"/>
      <c r="Y651" s="518"/>
      <c r="Z651" s="518"/>
      <c r="AA651" s="518"/>
      <c r="AB651" s="518"/>
      <c r="AC651" s="518"/>
      <c r="AD651" s="518"/>
      <c r="AE651" s="518"/>
      <c r="AF651" s="518"/>
      <c r="AG651" s="518"/>
      <c r="AH651" s="518"/>
      <c r="AI651" s="518"/>
      <c r="AJ651" s="518"/>
      <c r="AK651" s="518"/>
      <c r="AL651" s="518"/>
      <c r="AM651" s="518"/>
      <c r="AN651" s="518"/>
      <c r="AO651" s="518"/>
      <c r="AP651" s="518"/>
      <c r="AQ651" s="518"/>
      <c r="AR651" s="518"/>
      <c r="AS651" s="518"/>
      <c r="AT651" s="518"/>
      <c r="AU651" s="518"/>
      <c r="AV651" s="518"/>
      <c r="AW651" s="518"/>
      <c r="AX651" s="518"/>
      <c r="AY651" s="518"/>
      <c r="AZ651" s="518"/>
      <c r="BA651" s="518"/>
      <c r="BB651" s="518"/>
      <c r="BC651" s="518"/>
      <c r="BD651" s="518"/>
      <c r="BE651" s="518"/>
      <c r="BF651" s="518"/>
      <c r="BG651" s="518"/>
      <c r="BH651" s="518"/>
      <c r="BI651" s="518"/>
      <c r="BJ651" s="518"/>
      <c r="BK651" s="518"/>
      <c r="BL651" s="520"/>
      <c r="BM651" s="518"/>
      <c r="BN651" s="518"/>
      <c r="BO651" s="518"/>
      <c r="BP651" s="518"/>
      <c r="BQ651" s="518"/>
      <c r="BR651" s="518"/>
      <c r="BS651" s="518"/>
      <c r="BT651" s="518"/>
      <c r="BU651" s="518"/>
      <c r="BV651" s="518"/>
      <c r="BW651" s="519"/>
    </row>
    <row r="652" spans="1:75" s="439" customFormat="1">
      <c r="A652" s="528" t="s">
        <v>552</v>
      </c>
      <c r="B652" s="528"/>
      <c r="C652" s="588">
        <f t="shared" ref="C652:AH652" si="1355">ROUND(C621-C650,6)</f>
        <v>0</v>
      </c>
      <c r="D652" s="588">
        <f t="shared" si="1355"/>
        <v>0</v>
      </c>
      <c r="E652" s="588">
        <f t="shared" si="1355"/>
        <v>0</v>
      </c>
      <c r="F652" s="588">
        <f t="shared" si="1355"/>
        <v>0</v>
      </c>
      <c r="G652" s="588">
        <f t="shared" si="1355"/>
        <v>0</v>
      </c>
      <c r="H652" s="588">
        <f t="shared" si="1355"/>
        <v>0</v>
      </c>
      <c r="I652" s="588">
        <f t="shared" si="1355"/>
        <v>0</v>
      </c>
      <c r="J652" s="588">
        <f t="shared" si="1355"/>
        <v>0</v>
      </c>
      <c r="K652" s="588">
        <f t="shared" si="1355"/>
        <v>0</v>
      </c>
      <c r="L652" s="588">
        <f t="shared" si="1355"/>
        <v>0</v>
      </c>
      <c r="M652" s="588">
        <f t="shared" si="1355"/>
        <v>0</v>
      </c>
      <c r="N652" s="588">
        <f t="shared" si="1355"/>
        <v>0</v>
      </c>
      <c r="O652" s="588">
        <f t="shared" si="1355"/>
        <v>0</v>
      </c>
      <c r="P652" s="588">
        <f t="shared" si="1355"/>
        <v>0</v>
      </c>
      <c r="Q652" s="588">
        <f t="shared" si="1355"/>
        <v>0</v>
      </c>
      <c r="R652" s="588">
        <f t="shared" si="1355"/>
        <v>0</v>
      </c>
      <c r="S652" s="588">
        <f t="shared" si="1355"/>
        <v>0</v>
      </c>
      <c r="T652" s="588">
        <f t="shared" si="1355"/>
        <v>0</v>
      </c>
      <c r="U652" s="588">
        <f t="shared" si="1355"/>
        <v>0</v>
      </c>
      <c r="V652" s="588">
        <f t="shared" si="1355"/>
        <v>0</v>
      </c>
      <c r="W652" s="588">
        <f t="shared" si="1355"/>
        <v>0</v>
      </c>
      <c r="X652" s="588">
        <f t="shared" si="1355"/>
        <v>0</v>
      </c>
      <c r="Y652" s="588">
        <f t="shared" si="1355"/>
        <v>0</v>
      </c>
      <c r="Z652" s="588">
        <f t="shared" si="1355"/>
        <v>0</v>
      </c>
      <c r="AA652" s="588">
        <f t="shared" si="1355"/>
        <v>0</v>
      </c>
      <c r="AB652" s="588">
        <f t="shared" si="1355"/>
        <v>0</v>
      </c>
      <c r="AC652" s="588">
        <f t="shared" si="1355"/>
        <v>0</v>
      </c>
      <c r="AD652" s="588">
        <f t="shared" si="1355"/>
        <v>0</v>
      </c>
      <c r="AE652" s="588">
        <f t="shared" si="1355"/>
        <v>0</v>
      </c>
      <c r="AF652" s="588">
        <f t="shared" si="1355"/>
        <v>0</v>
      </c>
      <c r="AG652" s="588">
        <f t="shared" si="1355"/>
        <v>0</v>
      </c>
      <c r="AH652" s="588">
        <f t="shared" si="1355"/>
        <v>0</v>
      </c>
      <c r="AI652" s="588">
        <f t="shared" ref="AI652:AQ652" si="1356">ROUND(AI621-AI650,6)</f>
        <v>0</v>
      </c>
      <c r="AJ652" s="588">
        <f t="shared" si="1356"/>
        <v>0</v>
      </c>
      <c r="AK652" s="588">
        <f t="shared" si="1356"/>
        <v>0</v>
      </c>
      <c r="AL652" s="588">
        <f t="shared" si="1356"/>
        <v>0</v>
      </c>
      <c r="AM652" s="588">
        <f t="shared" si="1356"/>
        <v>0</v>
      </c>
      <c r="AN652" s="588">
        <f t="shared" si="1356"/>
        <v>0</v>
      </c>
      <c r="AO652" s="588">
        <f t="shared" si="1356"/>
        <v>0</v>
      </c>
      <c r="AP652" s="588">
        <f t="shared" si="1356"/>
        <v>0</v>
      </c>
      <c r="AQ652" s="588">
        <f t="shared" si="1356"/>
        <v>0</v>
      </c>
      <c r="AR652" s="588">
        <f t="shared" ref="AR652:AW652" si="1357">ROUND(AR621-AR650,6)</f>
        <v>0</v>
      </c>
      <c r="AS652" s="588">
        <f t="shared" si="1357"/>
        <v>0</v>
      </c>
      <c r="AT652" s="588">
        <f t="shared" si="1357"/>
        <v>0</v>
      </c>
      <c r="AU652" s="588">
        <f t="shared" si="1357"/>
        <v>0</v>
      </c>
      <c r="AV652" s="588">
        <f t="shared" si="1357"/>
        <v>0</v>
      </c>
      <c r="AW652" s="588">
        <f t="shared" si="1357"/>
        <v>0</v>
      </c>
      <c r="AX652" s="588">
        <f t="shared" ref="AX652:BA652" si="1358">ROUND(AX621-AX650,6)</f>
        <v>0</v>
      </c>
      <c r="AY652" s="588">
        <f t="shared" si="1358"/>
        <v>0</v>
      </c>
      <c r="AZ652" s="588">
        <f t="shared" si="1358"/>
        <v>0</v>
      </c>
      <c r="BA652" s="588">
        <f t="shared" si="1358"/>
        <v>0</v>
      </c>
      <c r="BB652" s="588">
        <f t="shared" ref="BB652:BN652" si="1359">ROUND(BB621-BB650,6)</f>
        <v>0</v>
      </c>
      <c r="BC652" s="588">
        <f t="shared" si="1359"/>
        <v>0</v>
      </c>
      <c r="BD652" s="588">
        <f t="shared" si="1359"/>
        <v>0</v>
      </c>
      <c r="BE652" s="588">
        <f t="shared" ref="BE652:BM652" si="1360">ROUND(BE621-BE650,6)</f>
        <v>0</v>
      </c>
      <c r="BF652" s="588">
        <f t="shared" si="1360"/>
        <v>0</v>
      </c>
      <c r="BG652" s="588">
        <f t="shared" si="1360"/>
        <v>0</v>
      </c>
      <c r="BH652" s="588">
        <f t="shared" si="1360"/>
        <v>0</v>
      </c>
      <c r="BI652" s="588">
        <f t="shared" si="1360"/>
        <v>0</v>
      </c>
      <c r="BJ652" s="588">
        <f>ROUND(BJ621-BJ650,6)</f>
        <v>0</v>
      </c>
      <c r="BK652" s="588">
        <f>ROUND(BK621-BK650,6)</f>
        <v>0</v>
      </c>
      <c r="BL652" s="589">
        <f>ROUND(BL621-BL650,6)</f>
        <v>0</v>
      </c>
      <c r="BM652" s="588" t="e">
        <f t="shared" si="1360"/>
        <v>#REF!</v>
      </c>
      <c r="BN652" s="588" t="e">
        <f t="shared" si="1359"/>
        <v>#REF!</v>
      </c>
      <c r="BO652" s="588" t="e">
        <f t="shared" ref="BO652:BV652" si="1361">ROUND(BO621-BO650,6)</f>
        <v>#REF!</v>
      </c>
      <c r="BP652" s="588" t="e">
        <f t="shared" si="1361"/>
        <v>#REF!</v>
      </c>
      <c r="BQ652" s="588" t="e">
        <f t="shared" si="1361"/>
        <v>#REF!</v>
      </c>
      <c r="BR652" s="588" t="e">
        <f t="shared" si="1361"/>
        <v>#REF!</v>
      </c>
      <c r="BS652" s="588" t="e">
        <f t="shared" si="1361"/>
        <v>#REF!</v>
      </c>
      <c r="BT652" s="588" t="e">
        <f t="shared" si="1361"/>
        <v>#REF!</v>
      </c>
      <c r="BU652" s="588" t="e">
        <f t="shared" si="1361"/>
        <v>#REF!</v>
      </c>
      <c r="BV652" s="588" t="e">
        <f t="shared" si="1361"/>
        <v>#REF!</v>
      </c>
      <c r="BW652" s="519"/>
    </row>
    <row r="653" spans="1:75" s="439" customFormat="1">
      <c r="A653" s="518"/>
      <c r="B653" s="518"/>
      <c r="C653" s="518"/>
      <c r="D653" s="518"/>
      <c r="E653" s="518"/>
      <c r="F653" s="518"/>
      <c r="G653" s="518"/>
      <c r="H653" s="518"/>
      <c r="I653" s="518"/>
      <c r="J653" s="518"/>
      <c r="K653" s="518"/>
      <c r="L653" s="518"/>
      <c r="M653" s="518"/>
      <c r="N653" s="518"/>
      <c r="O653" s="518"/>
      <c r="P653" s="518"/>
      <c r="Q653" s="518"/>
      <c r="R653" s="518"/>
      <c r="S653" s="518"/>
      <c r="T653" s="518"/>
      <c r="U653" s="518"/>
      <c r="V653" s="518"/>
      <c r="W653" s="518"/>
      <c r="X653" s="518"/>
      <c r="Y653" s="518"/>
      <c r="Z653" s="518"/>
      <c r="AA653" s="518"/>
      <c r="AB653" s="518"/>
      <c r="AC653" s="518"/>
      <c r="AD653" s="518"/>
      <c r="AE653" s="518"/>
      <c r="AF653" s="518"/>
      <c r="AG653" s="518"/>
      <c r="AH653" s="518"/>
      <c r="AI653" s="518"/>
      <c r="AJ653" s="518"/>
      <c r="AK653" s="518"/>
      <c r="AL653" s="518"/>
      <c r="AM653" s="518"/>
      <c r="AN653" s="518"/>
      <c r="AO653" s="518"/>
      <c r="AP653" s="518"/>
      <c r="AQ653" s="518"/>
      <c r="AR653" s="518"/>
      <c r="AS653" s="518"/>
      <c r="AT653" s="518"/>
      <c r="AU653" s="518"/>
      <c r="AV653" s="518"/>
      <c r="AW653" s="518"/>
      <c r="AX653" s="518"/>
      <c r="AY653" s="518"/>
      <c r="AZ653" s="518"/>
      <c r="BA653" s="518"/>
      <c r="BB653" s="518"/>
      <c r="BC653" s="518"/>
      <c r="BD653" s="518"/>
      <c r="BE653" s="518"/>
      <c r="BF653" s="518"/>
      <c r="BG653" s="518"/>
      <c r="BH653" s="518"/>
      <c r="BI653" s="518"/>
      <c r="BJ653" s="518"/>
      <c r="BK653" s="518"/>
      <c r="BL653" s="520"/>
      <c r="BM653" s="518"/>
      <c r="BN653" s="518"/>
      <c r="BO653" s="518"/>
      <c r="BP653" s="518"/>
      <c r="BQ653" s="518"/>
      <c r="BR653" s="518"/>
      <c r="BS653" s="518"/>
      <c r="BT653" s="518"/>
      <c r="BU653" s="518"/>
      <c r="BV653" s="518"/>
      <c r="BW653" s="519"/>
    </row>
    <row r="654" spans="1:75" s="444" customFormat="1">
      <c r="A654" s="526" t="s">
        <v>553</v>
      </c>
      <c r="B654" s="526"/>
      <c r="C654" s="526"/>
      <c r="D654" s="526"/>
      <c r="E654" s="526"/>
      <c r="F654" s="526"/>
      <c r="G654" s="526"/>
      <c r="H654" s="526"/>
      <c r="I654" s="526"/>
      <c r="J654" s="526"/>
      <c r="K654" s="526"/>
      <c r="L654" s="526"/>
      <c r="M654" s="526"/>
      <c r="N654" s="526"/>
      <c r="O654" s="526"/>
      <c r="P654" s="526"/>
      <c r="Q654" s="526"/>
      <c r="R654" s="526"/>
      <c r="S654" s="526"/>
      <c r="T654" s="526"/>
      <c r="U654" s="526"/>
      <c r="V654" s="526"/>
      <c r="W654" s="526"/>
      <c r="X654" s="526"/>
      <c r="Y654" s="526"/>
      <c r="Z654" s="526"/>
      <c r="AA654" s="526"/>
      <c r="AB654" s="526"/>
      <c r="AC654" s="526"/>
      <c r="AD654" s="526"/>
      <c r="AE654" s="526"/>
      <c r="AF654" s="526"/>
      <c r="AG654" s="526"/>
      <c r="AH654" s="526"/>
      <c r="AI654" s="526"/>
      <c r="AJ654" s="526"/>
      <c r="AK654" s="526"/>
      <c r="AL654" s="526"/>
      <c r="AM654" s="526"/>
      <c r="AN654" s="526"/>
      <c r="AO654" s="526"/>
      <c r="AP654" s="526"/>
      <c r="AQ654" s="526"/>
      <c r="AR654" s="526"/>
      <c r="AS654" s="526"/>
      <c r="AT654" s="526"/>
      <c r="AU654" s="526"/>
      <c r="AV654" s="526"/>
      <c r="AW654" s="526"/>
      <c r="AX654" s="526"/>
      <c r="AY654" s="526"/>
      <c r="AZ654" s="526"/>
      <c r="BA654" s="526"/>
      <c r="BB654" s="526"/>
      <c r="BC654" s="526"/>
      <c r="BD654" s="526"/>
      <c r="BE654" s="526"/>
      <c r="BF654" s="526"/>
      <c r="BG654" s="526"/>
      <c r="BH654" s="526"/>
      <c r="BI654" s="526"/>
      <c r="BJ654" s="526"/>
      <c r="BK654" s="526"/>
      <c r="BL654" s="527"/>
      <c r="BM654" s="526"/>
      <c r="BN654" s="526"/>
      <c r="BO654" s="526"/>
      <c r="BP654" s="526"/>
      <c r="BQ654" s="526"/>
      <c r="BR654" s="526"/>
      <c r="BS654" s="526"/>
      <c r="BT654" s="526"/>
      <c r="BU654" s="526"/>
      <c r="BV654" s="526"/>
      <c r="BW654" s="318"/>
    </row>
    <row r="655" spans="1:75" s="439" customFormat="1">
      <c r="A655" s="518" t="s">
        <v>554</v>
      </c>
      <c r="B655" s="525"/>
      <c r="C655" s="588">
        <f t="shared" ref="C655:AH655" si="1362">IF(ISBLANK(INDEX(MO_IS_FirstRow,0,COLUMN())),0,ROUND(C504-C242,6))</f>
        <v>0</v>
      </c>
      <c r="D655" s="588">
        <f t="shared" si="1362"/>
        <v>0</v>
      </c>
      <c r="E655" s="588">
        <f t="shared" si="1362"/>
        <v>0</v>
      </c>
      <c r="F655" s="588">
        <f t="shared" si="1362"/>
        <v>0</v>
      </c>
      <c r="G655" s="588">
        <f t="shared" si="1362"/>
        <v>0</v>
      </c>
      <c r="H655" s="588">
        <f t="shared" si="1362"/>
        <v>0</v>
      </c>
      <c r="I655" s="588">
        <f t="shared" si="1362"/>
        <v>0</v>
      </c>
      <c r="J655" s="588">
        <f t="shared" si="1362"/>
        <v>0</v>
      </c>
      <c r="K655" s="588">
        <f t="shared" si="1362"/>
        <v>0</v>
      </c>
      <c r="L655" s="588">
        <f t="shared" si="1362"/>
        <v>0</v>
      </c>
      <c r="M655" s="588">
        <f t="shared" si="1362"/>
        <v>0</v>
      </c>
      <c r="N655" s="588">
        <f t="shared" si="1362"/>
        <v>0</v>
      </c>
      <c r="O655" s="588">
        <f t="shared" si="1362"/>
        <v>0</v>
      </c>
      <c r="P655" s="588">
        <f t="shared" si="1362"/>
        <v>0</v>
      </c>
      <c r="Q655" s="588">
        <f t="shared" si="1362"/>
        <v>0</v>
      </c>
      <c r="R655" s="588">
        <f t="shared" si="1362"/>
        <v>0</v>
      </c>
      <c r="S655" s="588">
        <f t="shared" si="1362"/>
        <v>0</v>
      </c>
      <c r="T655" s="588">
        <f t="shared" si="1362"/>
        <v>0</v>
      </c>
      <c r="U655" s="588">
        <f t="shared" si="1362"/>
        <v>0</v>
      </c>
      <c r="V655" s="588">
        <f t="shared" si="1362"/>
        <v>0</v>
      </c>
      <c r="W655" s="588">
        <f t="shared" si="1362"/>
        <v>0</v>
      </c>
      <c r="X655" s="588">
        <f t="shared" si="1362"/>
        <v>0</v>
      </c>
      <c r="Y655" s="588">
        <f t="shared" si="1362"/>
        <v>0</v>
      </c>
      <c r="Z655" s="588">
        <f t="shared" si="1362"/>
        <v>0</v>
      </c>
      <c r="AA655" s="588">
        <f t="shared" si="1362"/>
        <v>0</v>
      </c>
      <c r="AB655" s="588">
        <f t="shared" si="1362"/>
        <v>3.0000000000000001E-3</v>
      </c>
      <c r="AC655" s="588">
        <f t="shared" si="1362"/>
        <v>-3.4000000000000002E-2</v>
      </c>
      <c r="AD655" s="588">
        <f t="shared" si="1362"/>
        <v>3.1E-2</v>
      </c>
      <c r="AE655" s="588">
        <f t="shared" si="1362"/>
        <v>0</v>
      </c>
      <c r="AF655" s="588">
        <f t="shared" si="1362"/>
        <v>0</v>
      </c>
      <c r="AG655" s="588">
        <f t="shared" si="1362"/>
        <v>0</v>
      </c>
      <c r="AH655" s="588">
        <f t="shared" si="1362"/>
        <v>0</v>
      </c>
      <c r="AI655" s="588">
        <f t="shared" ref="AI655:BN655" si="1363">IF(ISBLANK(INDEX(MO_IS_FirstRow,0,COLUMN())),0,ROUND(AI504-AI242,6))</f>
        <v>0</v>
      </c>
      <c r="AJ655" s="588">
        <f t="shared" si="1363"/>
        <v>0</v>
      </c>
      <c r="AK655" s="588">
        <f t="shared" si="1363"/>
        <v>0</v>
      </c>
      <c r="AL655" s="588">
        <f t="shared" si="1363"/>
        <v>0</v>
      </c>
      <c r="AM655" s="588">
        <f t="shared" si="1363"/>
        <v>0</v>
      </c>
      <c r="AN655" s="588">
        <f t="shared" si="1363"/>
        <v>0</v>
      </c>
      <c r="AO655" s="588">
        <f t="shared" si="1363"/>
        <v>0</v>
      </c>
      <c r="AP655" s="588">
        <f t="shared" si="1363"/>
        <v>0</v>
      </c>
      <c r="AQ655" s="588">
        <f t="shared" si="1363"/>
        <v>0</v>
      </c>
      <c r="AR655" s="588">
        <f t="shared" si="1363"/>
        <v>0</v>
      </c>
      <c r="AS655" s="588">
        <f t="shared" si="1363"/>
        <v>0</v>
      </c>
      <c r="AT655" s="588">
        <f t="shared" si="1363"/>
        <v>0</v>
      </c>
      <c r="AU655" s="588">
        <f t="shared" si="1363"/>
        <v>0</v>
      </c>
      <c r="AV655" s="588">
        <f t="shared" si="1363"/>
        <v>0</v>
      </c>
      <c r="AW655" s="588">
        <f t="shared" si="1363"/>
        <v>0</v>
      </c>
      <c r="AX655" s="588">
        <f t="shared" si="1363"/>
        <v>0</v>
      </c>
      <c r="AY655" s="588">
        <f t="shared" si="1363"/>
        <v>0</v>
      </c>
      <c r="AZ655" s="588">
        <f t="shared" si="1363"/>
        <v>0</v>
      </c>
      <c r="BA655" s="588">
        <f t="shared" si="1363"/>
        <v>0</v>
      </c>
      <c r="BB655" s="588">
        <f t="shared" si="1363"/>
        <v>0</v>
      </c>
      <c r="BC655" s="588">
        <f t="shared" si="1363"/>
        <v>0</v>
      </c>
      <c r="BD655" s="588">
        <f t="shared" si="1363"/>
        <v>0</v>
      </c>
      <c r="BE655" s="588">
        <f t="shared" si="1363"/>
        <v>0</v>
      </c>
      <c r="BF655" s="588">
        <f t="shared" si="1363"/>
        <v>0</v>
      </c>
      <c r="BG655" s="588">
        <f t="shared" si="1363"/>
        <v>0</v>
      </c>
      <c r="BH655" s="588">
        <f t="shared" ref="BH655:BM655" si="1364">IF(ISBLANK(INDEX(MO_IS_FirstRow,0,COLUMN())),0,ROUND(BH504-BH242,6))</f>
        <v>0</v>
      </c>
      <c r="BI655" s="588">
        <f t="shared" si="1364"/>
        <v>0</v>
      </c>
      <c r="BJ655" s="588">
        <f>IF(ISBLANK(INDEX(MO_IS_FirstRow,0,COLUMN())),0,ROUND(BJ504-BJ242,6))</f>
        <v>0</v>
      </c>
      <c r="BK655" s="588">
        <f>IF(ISBLANK(INDEX(MO_IS_FirstRow,0,COLUMN())),0,ROUND(BK504-BK242,6))</f>
        <v>0</v>
      </c>
      <c r="BL655" s="589">
        <f>IF(ISBLANK(INDEX(MO_IS_FirstRow,0,COLUMN())),0,ROUND(BL504-BL242,6))</f>
        <v>0</v>
      </c>
      <c r="BM655" s="588">
        <f t="shared" si="1364"/>
        <v>0</v>
      </c>
      <c r="BN655" s="588">
        <f t="shared" si="1363"/>
        <v>0</v>
      </c>
      <c r="BO655" s="588">
        <f t="shared" ref="BO655:BV655" si="1365">IF(ISBLANK(INDEX(MO_IS_FirstRow,0,COLUMN())),0,ROUND(BO504-BO242,6))</f>
        <v>0</v>
      </c>
      <c r="BP655" s="588">
        <f t="shared" si="1365"/>
        <v>0</v>
      </c>
      <c r="BQ655" s="588">
        <f t="shared" si="1365"/>
        <v>0</v>
      </c>
      <c r="BR655" s="588">
        <f t="shared" si="1365"/>
        <v>0</v>
      </c>
      <c r="BS655" s="588">
        <f t="shared" si="1365"/>
        <v>0</v>
      </c>
      <c r="BT655" s="588">
        <f t="shared" si="1365"/>
        <v>0</v>
      </c>
      <c r="BU655" s="588">
        <f t="shared" si="1365"/>
        <v>0</v>
      </c>
      <c r="BV655" s="588">
        <f t="shared" si="1365"/>
        <v>0</v>
      </c>
      <c r="BW655" s="519"/>
    </row>
    <row r="656" spans="1:75" s="439" customFormat="1">
      <c r="A656" s="518" t="s">
        <v>555</v>
      </c>
      <c r="B656" s="525"/>
      <c r="C656" s="588">
        <f t="shared" ref="C656:AH656" si="1366">IF(ISBLANK(INDEX(MO_IS_FirstRow,0,COLUMN())),0,ROUND(C173-C242,6))</f>
        <v>0</v>
      </c>
      <c r="D656" s="588">
        <f t="shared" si="1366"/>
        <v>0</v>
      </c>
      <c r="E656" s="588">
        <f t="shared" si="1366"/>
        <v>0</v>
      </c>
      <c r="F656" s="588">
        <f t="shared" si="1366"/>
        <v>0</v>
      </c>
      <c r="G656" s="588">
        <f t="shared" si="1366"/>
        <v>0</v>
      </c>
      <c r="H656" s="588">
        <f t="shared" si="1366"/>
        <v>0</v>
      </c>
      <c r="I656" s="588">
        <f t="shared" si="1366"/>
        <v>0</v>
      </c>
      <c r="J656" s="588">
        <f t="shared" si="1366"/>
        <v>0</v>
      </c>
      <c r="K656" s="588">
        <f t="shared" si="1366"/>
        <v>0</v>
      </c>
      <c r="L656" s="588">
        <f t="shared" si="1366"/>
        <v>0</v>
      </c>
      <c r="M656" s="588">
        <f t="shared" si="1366"/>
        <v>0</v>
      </c>
      <c r="N656" s="588">
        <f t="shared" si="1366"/>
        <v>0</v>
      </c>
      <c r="O656" s="588">
        <f t="shared" si="1366"/>
        <v>0</v>
      </c>
      <c r="P656" s="588">
        <f t="shared" si="1366"/>
        <v>0</v>
      </c>
      <c r="Q656" s="588">
        <f t="shared" si="1366"/>
        <v>0</v>
      </c>
      <c r="R656" s="588">
        <f t="shared" si="1366"/>
        <v>0</v>
      </c>
      <c r="S656" s="588">
        <f t="shared" si="1366"/>
        <v>0</v>
      </c>
      <c r="T656" s="588">
        <f t="shared" si="1366"/>
        <v>0</v>
      </c>
      <c r="U656" s="588">
        <f t="shared" si="1366"/>
        <v>0</v>
      </c>
      <c r="V656" s="588">
        <f t="shared" si="1366"/>
        <v>0</v>
      </c>
      <c r="W656" s="588">
        <f t="shared" si="1366"/>
        <v>0</v>
      </c>
      <c r="X656" s="588">
        <f t="shared" si="1366"/>
        <v>0</v>
      </c>
      <c r="Y656" s="588">
        <f t="shared" si="1366"/>
        <v>0</v>
      </c>
      <c r="Z656" s="588">
        <f t="shared" si="1366"/>
        <v>0</v>
      </c>
      <c r="AA656" s="588">
        <f t="shared" si="1366"/>
        <v>0</v>
      </c>
      <c r="AB656" s="588">
        <f t="shared" si="1366"/>
        <v>0</v>
      </c>
      <c r="AC656" s="588">
        <f t="shared" si="1366"/>
        <v>0</v>
      </c>
      <c r="AD656" s="588">
        <f t="shared" si="1366"/>
        <v>0</v>
      </c>
      <c r="AE656" s="588">
        <f t="shared" si="1366"/>
        <v>0</v>
      </c>
      <c r="AF656" s="588">
        <f t="shared" si="1366"/>
        <v>0</v>
      </c>
      <c r="AG656" s="588">
        <f t="shared" si="1366"/>
        <v>0</v>
      </c>
      <c r="AH656" s="588">
        <f t="shared" si="1366"/>
        <v>0</v>
      </c>
      <c r="AI656" s="588">
        <f t="shared" ref="AI656:BN656" si="1367">IF(ISBLANK(INDEX(MO_IS_FirstRow,0,COLUMN())),0,ROUND(AI173-AI242,6))</f>
        <v>0</v>
      </c>
      <c r="AJ656" s="588">
        <f t="shared" si="1367"/>
        <v>0</v>
      </c>
      <c r="AK656" s="588">
        <f t="shared" si="1367"/>
        <v>0</v>
      </c>
      <c r="AL656" s="588">
        <f t="shared" si="1367"/>
        <v>0</v>
      </c>
      <c r="AM656" s="588">
        <f t="shared" si="1367"/>
        <v>0</v>
      </c>
      <c r="AN656" s="588">
        <f t="shared" si="1367"/>
        <v>0</v>
      </c>
      <c r="AO656" s="588">
        <f t="shared" si="1367"/>
        <v>0</v>
      </c>
      <c r="AP656" s="588">
        <f t="shared" si="1367"/>
        <v>0</v>
      </c>
      <c r="AQ656" s="588">
        <f t="shared" si="1367"/>
        <v>0</v>
      </c>
      <c r="AR656" s="588">
        <f t="shared" si="1367"/>
        <v>0</v>
      </c>
      <c r="AS656" s="588">
        <f t="shared" si="1367"/>
        <v>0</v>
      </c>
      <c r="AT656" s="588">
        <f t="shared" si="1367"/>
        <v>0</v>
      </c>
      <c r="AU656" s="588">
        <f t="shared" si="1367"/>
        <v>0</v>
      </c>
      <c r="AV656" s="588">
        <f t="shared" si="1367"/>
        <v>0</v>
      </c>
      <c r="AW656" s="588">
        <f t="shared" si="1367"/>
        <v>0</v>
      </c>
      <c r="AX656" s="588">
        <f t="shared" si="1367"/>
        <v>0</v>
      </c>
      <c r="AY656" s="588">
        <f t="shared" si="1367"/>
        <v>0</v>
      </c>
      <c r="AZ656" s="588">
        <f t="shared" si="1367"/>
        <v>0</v>
      </c>
      <c r="BA656" s="588">
        <f t="shared" si="1367"/>
        <v>0</v>
      </c>
      <c r="BB656" s="588">
        <f t="shared" si="1367"/>
        <v>0</v>
      </c>
      <c r="BC656" s="588">
        <f t="shared" si="1367"/>
        <v>0</v>
      </c>
      <c r="BD656" s="588">
        <f t="shared" si="1367"/>
        <v>0</v>
      </c>
      <c r="BE656" s="588">
        <f t="shared" si="1367"/>
        <v>0</v>
      </c>
      <c r="BF656" s="588">
        <f t="shared" si="1367"/>
        <v>0</v>
      </c>
      <c r="BG656" s="588">
        <f t="shared" si="1367"/>
        <v>0</v>
      </c>
      <c r="BH656" s="588">
        <f t="shared" ref="BH656:BM656" si="1368">IF(ISBLANK(INDEX(MO_IS_FirstRow,0,COLUMN())),0,ROUND(BH173-BH242,6))</f>
        <v>0</v>
      </c>
      <c r="BI656" s="588">
        <f t="shared" si="1368"/>
        <v>0</v>
      </c>
      <c r="BJ656" s="588">
        <f>IF(ISBLANK(INDEX(MO_IS_FirstRow,0,COLUMN())),0,ROUND(BJ173-BJ242,6))</f>
        <v>0</v>
      </c>
      <c r="BK656" s="588">
        <f>IF(ISBLANK(INDEX(MO_IS_FirstRow,0,COLUMN())),0,ROUND(BK173-BK242,6))</f>
        <v>0</v>
      </c>
      <c r="BL656" s="589">
        <f>IF(ISBLANK(INDEX(MO_IS_FirstRow,0,COLUMN())),0,ROUND(BL173-BL242,6))</f>
        <v>0</v>
      </c>
      <c r="BM656" s="588">
        <f t="shared" si="1368"/>
        <v>0</v>
      </c>
      <c r="BN656" s="588">
        <f t="shared" si="1367"/>
        <v>0</v>
      </c>
      <c r="BO656" s="588">
        <f t="shared" ref="BO656:BV656" si="1369">IF(ISBLANK(INDEX(MO_IS_FirstRow,0,COLUMN())),0,ROUND(BO173-BO242,6))</f>
        <v>0</v>
      </c>
      <c r="BP656" s="588">
        <f t="shared" si="1369"/>
        <v>0</v>
      </c>
      <c r="BQ656" s="588">
        <f t="shared" si="1369"/>
        <v>0</v>
      </c>
      <c r="BR656" s="588">
        <f t="shared" si="1369"/>
        <v>0</v>
      </c>
      <c r="BS656" s="588">
        <f t="shared" si="1369"/>
        <v>0</v>
      </c>
      <c r="BT656" s="588">
        <f t="shared" si="1369"/>
        <v>0</v>
      </c>
      <c r="BU656" s="588">
        <f t="shared" si="1369"/>
        <v>0</v>
      </c>
      <c r="BV656" s="588">
        <f t="shared" si="1369"/>
        <v>0</v>
      </c>
      <c r="BW656" s="519"/>
    </row>
    <row r="657" spans="1:75" s="439" customFormat="1">
      <c r="A657" s="518" t="s">
        <v>556</v>
      </c>
      <c r="B657" s="525"/>
      <c r="C657" s="588">
        <f t="shared" ref="C657:AH657" si="1370">IF(C391&lt;0,C391,0)</f>
        <v>0</v>
      </c>
      <c r="D657" s="588">
        <f t="shared" si="1370"/>
        <v>0</v>
      </c>
      <c r="E657" s="588">
        <f t="shared" si="1370"/>
        <v>0</v>
      </c>
      <c r="F657" s="588">
        <f t="shared" si="1370"/>
        <v>0</v>
      </c>
      <c r="G657" s="588">
        <f t="shared" si="1370"/>
        <v>0</v>
      </c>
      <c r="H657" s="588">
        <f t="shared" si="1370"/>
        <v>0</v>
      </c>
      <c r="I657" s="588">
        <f t="shared" si="1370"/>
        <v>0</v>
      </c>
      <c r="J657" s="588">
        <f t="shared" si="1370"/>
        <v>0</v>
      </c>
      <c r="K657" s="588">
        <f t="shared" si="1370"/>
        <v>0</v>
      </c>
      <c r="L657" s="588">
        <f t="shared" si="1370"/>
        <v>0</v>
      </c>
      <c r="M657" s="588">
        <f t="shared" si="1370"/>
        <v>0</v>
      </c>
      <c r="N657" s="588">
        <f t="shared" si="1370"/>
        <v>0</v>
      </c>
      <c r="O657" s="588">
        <f t="shared" si="1370"/>
        <v>0</v>
      </c>
      <c r="P657" s="588">
        <f t="shared" si="1370"/>
        <v>0</v>
      </c>
      <c r="Q657" s="588">
        <f t="shared" si="1370"/>
        <v>0</v>
      </c>
      <c r="R657" s="588">
        <f t="shared" si="1370"/>
        <v>0</v>
      </c>
      <c r="S657" s="588">
        <f t="shared" si="1370"/>
        <v>0</v>
      </c>
      <c r="T657" s="588">
        <f t="shared" si="1370"/>
        <v>0</v>
      </c>
      <c r="U657" s="588">
        <f t="shared" si="1370"/>
        <v>0</v>
      </c>
      <c r="V657" s="588">
        <f t="shared" si="1370"/>
        <v>0</v>
      </c>
      <c r="W657" s="588">
        <f t="shared" si="1370"/>
        <v>0</v>
      </c>
      <c r="X657" s="588">
        <f t="shared" si="1370"/>
        <v>0</v>
      </c>
      <c r="Y657" s="588">
        <f t="shared" si="1370"/>
        <v>0</v>
      </c>
      <c r="Z657" s="588">
        <f t="shared" si="1370"/>
        <v>0</v>
      </c>
      <c r="AA657" s="588">
        <f t="shared" si="1370"/>
        <v>0</v>
      </c>
      <c r="AB657" s="588">
        <f t="shared" si="1370"/>
        <v>0</v>
      </c>
      <c r="AC657" s="588">
        <f t="shared" si="1370"/>
        <v>0</v>
      </c>
      <c r="AD657" s="588">
        <f t="shared" si="1370"/>
        <v>0</v>
      </c>
      <c r="AE657" s="588">
        <f t="shared" si="1370"/>
        <v>0</v>
      </c>
      <c r="AF657" s="588">
        <f t="shared" si="1370"/>
        <v>0</v>
      </c>
      <c r="AG657" s="588">
        <f t="shared" si="1370"/>
        <v>0</v>
      </c>
      <c r="AH657" s="588">
        <f t="shared" si="1370"/>
        <v>0</v>
      </c>
      <c r="AI657" s="588">
        <f t="shared" ref="AI657:AQ657" si="1371">IF(AI391&lt;0,AI391,0)</f>
        <v>0</v>
      </c>
      <c r="AJ657" s="588">
        <f t="shared" si="1371"/>
        <v>0</v>
      </c>
      <c r="AK657" s="588">
        <f t="shared" si="1371"/>
        <v>0</v>
      </c>
      <c r="AL657" s="588">
        <f t="shared" si="1371"/>
        <v>0</v>
      </c>
      <c r="AM657" s="588">
        <f t="shared" si="1371"/>
        <v>0</v>
      </c>
      <c r="AN657" s="588">
        <f t="shared" si="1371"/>
        <v>0</v>
      </c>
      <c r="AO657" s="588">
        <f t="shared" si="1371"/>
        <v>0</v>
      </c>
      <c r="AP657" s="588">
        <f t="shared" si="1371"/>
        <v>0</v>
      </c>
      <c r="AQ657" s="588">
        <f t="shared" si="1371"/>
        <v>0</v>
      </c>
      <c r="AR657" s="588">
        <f t="shared" ref="AR657:AW657" si="1372">IF(AR391&lt;0,AR391,0)</f>
        <v>0</v>
      </c>
      <c r="AS657" s="588">
        <f t="shared" si="1372"/>
        <v>0</v>
      </c>
      <c r="AT657" s="588">
        <f t="shared" si="1372"/>
        <v>0</v>
      </c>
      <c r="AU657" s="588">
        <f t="shared" si="1372"/>
        <v>0</v>
      </c>
      <c r="AV657" s="588">
        <f t="shared" si="1372"/>
        <v>0</v>
      </c>
      <c r="AW657" s="588">
        <f t="shared" si="1372"/>
        <v>0</v>
      </c>
      <c r="AX657" s="588">
        <f t="shared" ref="AX657:BA657" si="1373">IF(AX391&lt;0,AX391,0)</f>
        <v>0</v>
      </c>
      <c r="AY657" s="588">
        <f t="shared" si="1373"/>
        <v>0</v>
      </c>
      <c r="AZ657" s="588">
        <f t="shared" si="1373"/>
        <v>0</v>
      </c>
      <c r="BA657" s="588">
        <f t="shared" si="1373"/>
        <v>0</v>
      </c>
      <c r="BB657" s="588">
        <f t="shared" ref="BB657:BN657" si="1374">IF(BB391&lt;0,BB391,0)</f>
        <v>0</v>
      </c>
      <c r="BC657" s="588">
        <f t="shared" si="1374"/>
        <v>0</v>
      </c>
      <c r="BD657" s="588">
        <f t="shared" si="1374"/>
        <v>0</v>
      </c>
      <c r="BE657" s="588">
        <f t="shared" ref="BE657:BM657" si="1375">IF(BE391&lt;0,BE391,0)</f>
        <v>0</v>
      </c>
      <c r="BF657" s="588">
        <f t="shared" si="1375"/>
        <v>0</v>
      </c>
      <c r="BG657" s="588">
        <f t="shared" si="1375"/>
        <v>0</v>
      </c>
      <c r="BH657" s="588">
        <f t="shared" si="1375"/>
        <v>0</v>
      </c>
      <c r="BI657" s="588">
        <f t="shared" si="1375"/>
        <v>0</v>
      </c>
      <c r="BJ657" s="588">
        <f>IF(BJ391&lt;0,BJ391,0)</f>
        <v>0</v>
      </c>
      <c r="BK657" s="588">
        <f>IF(BK391&lt;0,BK391,0)</f>
        <v>0</v>
      </c>
      <c r="BL657" s="589">
        <f>IF(BL391&lt;0,BL391,0)</f>
        <v>0</v>
      </c>
      <c r="BM657" s="588" t="e">
        <f t="shared" si="1375"/>
        <v>#REF!</v>
      </c>
      <c r="BN657" s="588" t="e">
        <f t="shared" si="1374"/>
        <v>#REF!</v>
      </c>
      <c r="BO657" s="588" t="e">
        <f t="shared" ref="BO657:BV657" si="1376">IF(BO391&lt;0,BO391,0)</f>
        <v>#REF!</v>
      </c>
      <c r="BP657" s="588" t="e">
        <f t="shared" si="1376"/>
        <v>#REF!</v>
      </c>
      <c r="BQ657" s="588" t="e">
        <f t="shared" si="1376"/>
        <v>#REF!</v>
      </c>
      <c r="BR657" s="588" t="e">
        <f t="shared" si="1376"/>
        <v>#REF!</v>
      </c>
      <c r="BS657" s="588" t="e">
        <f t="shared" si="1376"/>
        <v>#REF!</v>
      </c>
      <c r="BT657" s="588" t="e">
        <f t="shared" si="1376"/>
        <v>#REF!</v>
      </c>
      <c r="BU657" s="588" t="e">
        <f t="shared" si="1376"/>
        <v>#REF!</v>
      </c>
      <c r="BV657" s="588" t="e">
        <f t="shared" si="1376"/>
        <v>#REF!</v>
      </c>
      <c r="BW657" s="519"/>
    </row>
    <row r="658" spans="1:75" s="439" customFormat="1">
      <c r="A658" s="518" t="s">
        <v>557</v>
      </c>
      <c r="B658" s="525"/>
      <c r="C658" s="588">
        <f t="shared" ref="C658:AH658" si="1377">IF(C394&lt;0,C394,0)</f>
        <v>0</v>
      </c>
      <c r="D658" s="588">
        <f t="shared" si="1377"/>
        <v>0</v>
      </c>
      <c r="E658" s="588">
        <f t="shared" si="1377"/>
        <v>0</v>
      </c>
      <c r="F658" s="588">
        <f t="shared" si="1377"/>
        <v>0</v>
      </c>
      <c r="G658" s="588">
        <f t="shared" si="1377"/>
        <v>0</v>
      </c>
      <c r="H658" s="588">
        <f t="shared" si="1377"/>
        <v>0</v>
      </c>
      <c r="I658" s="588">
        <f t="shared" si="1377"/>
        <v>0</v>
      </c>
      <c r="J658" s="588">
        <f t="shared" si="1377"/>
        <v>0</v>
      </c>
      <c r="K658" s="588">
        <f t="shared" si="1377"/>
        <v>0</v>
      </c>
      <c r="L658" s="588">
        <f t="shared" si="1377"/>
        <v>0</v>
      </c>
      <c r="M658" s="588">
        <f t="shared" si="1377"/>
        <v>0</v>
      </c>
      <c r="N658" s="588">
        <f t="shared" si="1377"/>
        <v>0</v>
      </c>
      <c r="O658" s="588">
        <f t="shared" si="1377"/>
        <v>0</v>
      </c>
      <c r="P658" s="588">
        <f t="shared" si="1377"/>
        <v>0</v>
      </c>
      <c r="Q658" s="588">
        <f t="shared" si="1377"/>
        <v>0</v>
      </c>
      <c r="R658" s="588">
        <f t="shared" si="1377"/>
        <v>0</v>
      </c>
      <c r="S658" s="588">
        <f t="shared" si="1377"/>
        <v>0</v>
      </c>
      <c r="T658" s="588">
        <f t="shared" si="1377"/>
        <v>0</v>
      </c>
      <c r="U658" s="588">
        <f t="shared" si="1377"/>
        <v>0</v>
      </c>
      <c r="V658" s="588">
        <f t="shared" si="1377"/>
        <v>0</v>
      </c>
      <c r="W658" s="588">
        <f t="shared" si="1377"/>
        <v>0</v>
      </c>
      <c r="X658" s="588">
        <f t="shared" si="1377"/>
        <v>0</v>
      </c>
      <c r="Y658" s="588">
        <f t="shared" si="1377"/>
        <v>0</v>
      </c>
      <c r="Z658" s="588">
        <f t="shared" si="1377"/>
        <v>0</v>
      </c>
      <c r="AA658" s="588">
        <f t="shared" si="1377"/>
        <v>0</v>
      </c>
      <c r="AB658" s="588">
        <f t="shared" si="1377"/>
        <v>0</v>
      </c>
      <c r="AC658" s="588">
        <f t="shared" si="1377"/>
        <v>0</v>
      </c>
      <c r="AD658" s="588">
        <f t="shared" si="1377"/>
        <v>0</v>
      </c>
      <c r="AE658" s="588">
        <f t="shared" si="1377"/>
        <v>0</v>
      </c>
      <c r="AF658" s="588">
        <f t="shared" si="1377"/>
        <v>0</v>
      </c>
      <c r="AG658" s="588">
        <f t="shared" si="1377"/>
        <v>0</v>
      </c>
      <c r="AH658" s="588">
        <f t="shared" si="1377"/>
        <v>0</v>
      </c>
      <c r="AI658" s="588">
        <f t="shared" ref="AI658:AQ658" si="1378">IF(AI394&lt;0,AI394,0)</f>
        <v>0</v>
      </c>
      <c r="AJ658" s="588">
        <f t="shared" si="1378"/>
        <v>0</v>
      </c>
      <c r="AK658" s="588">
        <f t="shared" si="1378"/>
        <v>0</v>
      </c>
      <c r="AL658" s="588">
        <f t="shared" si="1378"/>
        <v>0</v>
      </c>
      <c r="AM658" s="588">
        <f t="shared" si="1378"/>
        <v>0</v>
      </c>
      <c r="AN658" s="588">
        <f t="shared" si="1378"/>
        <v>0</v>
      </c>
      <c r="AO658" s="588">
        <f t="shared" si="1378"/>
        <v>0</v>
      </c>
      <c r="AP658" s="588">
        <f t="shared" si="1378"/>
        <v>0</v>
      </c>
      <c r="AQ658" s="588">
        <f t="shared" si="1378"/>
        <v>0</v>
      </c>
      <c r="AR658" s="588">
        <f t="shared" ref="AR658:AW658" si="1379">IF(AR394&lt;0,AR394,0)</f>
        <v>0</v>
      </c>
      <c r="AS658" s="588">
        <f t="shared" si="1379"/>
        <v>0</v>
      </c>
      <c r="AT658" s="588">
        <f t="shared" si="1379"/>
        <v>0</v>
      </c>
      <c r="AU658" s="588">
        <f t="shared" si="1379"/>
        <v>0</v>
      </c>
      <c r="AV658" s="588">
        <f t="shared" si="1379"/>
        <v>0</v>
      </c>
      <c r="AW658" s="588">
        <f t="shared" si="1379"/>
        <v>0</v>
      </c>
      <c r="AX658" s="588">
        <f t="shared" ref="AX658:BA658" si="1380">IF(AX394&lt;0,AX394,0)</f>
        <v>0</v>
      </c>
      <c r="AY658" s="588">
        <f t="shared" si="1380"/>
        <v>0</v>
      </c>
      <c r="AZ658" s="588">
        <f t="shared" si="1380"/>
        <v>0</v>
      </c>
      <c r="BA658" s="588">
        <f t="shared" si="1380"/>
        <v>0</v>
      </c>
      <c r="BB658" s="588">
        <f t="shared" ref="BB658:BN658" si="1381">IF(BB394&lt;0,BB394,0)</f>
        <v>0</v>
      </c>
      <c r="BC658" s="588">
        <f t="shared" si="1381"/>
        <v>0</v>
      </c>
      <c r="BD658" s="588">
        <f t="shared" si="1381"/>
        <v>0</v>
      </c>
      <c r="BE658" s="588">
        <f t="shared" ref="BE658:BM658" si="1382">IF(BE394&lt;0,BE394,0)</f>
        <v>0</v>
      </c>
      <c r="BF658" s="588">
        <f t="shared" si="1382"/>
        <v>0</v>
      </c>
      <c r="BG658" s="588">
        <f t="shared" si="1382"/>
        <v>0</v>
      </c>
      <c r="BH658" s="588">
        <f t="shared" si="1382"/>
        <v>0</v>
      </c>
      <c r="BI658" s="588">
        <f t="shared" si="1382"/>
        <v>0</v>
      </c>
      <c r="BJ658" s="588">
        <f>IF(BJ394&lt;0,BJ394,0)</f>
        <v>0</v>
      </c>
      <c r="BK658" s="588">
        <f>IF(BK394&lt;0,BK394,0)</f>
        <v>0</v>
      </c>
      <c r="BL658" s="589">
        <f>IF(BL394&lt;0,BL394,0)</f>
        <v>0</v>
      </c>
      <c r="BM658" s="588">
        <f t="shared" si="1382"/>
        <v>0</v>
      </c>
      <c r="BN658" s="588">
        <f t="shared" si="1381"/>
        <v>0</v>
      </c>
      <c r="BO658" s="588">
        <f t="shared" ref="BO658:BV658" si="1383">IF(BO394&lt;0,BO394,0)</f>
        <v>0</v>
      </c>
      <c r="BP658" s="588">
        <f t="shared" si="1383"/>
        <v>0</v>
      </c>
      <c r="BQ658" s="588">
        <f t="shared" si="1383"/>
        <v>0</v>
      </c>
      <c r="BR658" s="588">
        <f t="shared" si="1383"/>
        <v>0</v>
      </c>
      <c r="BS658" s="588">
        <f t="shared" si="1383"/>
        <v>0</v>
      </c>
      <c r="BT658" s="588">
        <f t="shared" si="1383"/>
        <v>0</v>
      </c>
      <c r="BU658" s="588">
        <f t="shared" si="1383"/>
        <v>0</v>
      </c>
      <c r="BV658" s="588">
        <f t="shared" si="1383"/>
        <v>0</v>
      </c>
      <c r="BW658" s="519"/>
    </row>
    <row r="659" spans="1:75" s="439" customFormat="1">
      <c r="A659" s="518" t="s">
        <v>558</v>
      </c>
      <c r="B659" s="525"/>
      <c r="C659" s="588">
        <f t="shared" ref="C659:AH659" si="1384">IF(AND(ISBLANK(C18),ISBLANK(C19),ISBLANK(C20),ISBLANK(C21)),0,ROUND(C214-C18-C19-C20-C21,6))</f>
        <v>0</v>
      </c>
      <c r="D659" s="588">
        <f t="shared" si="1384"/>
        <v>0</v>
      </c>
      <c r="E659" s="588">
        <f t="shared" si="1384"/>
        <v>0</v>
      </c>
      <c r="F659" s="588">
        <f t="shared" si="1384"/>
        <v>0</v>
      </c>
      <c r="G659" s="588">
        <f t="shared" si="1384"/>
        <v>0</v>
      </c>
      <c r="H659" s="588">
        <f t="shared" si="1384"/>
        <v>0</v>
      </c>
      <c r="I659" s="588">
        <f t="shared" si="1384"/>
        <v>0</v>
      </c>
      <c r="J659" s="588">
        <f t="shared" si="1384"/>
        <v>0</v>
      </c>
      <c r="K659" s="588">
        <f t="shared" si="1384"/>
        <v>0</v>
      </c>
      <c r="L659" s="588">
        <f t="shared" si="1384"/>
        <v>0</v>
      </c>
      <c r="M659" s="588">
        <f t="shared" si="1384"/>
        <v>0</v>
      </c>
      <c r="N659" s="588">
        <f t="shared" si="1384"/>
        <v>0</v>
      </c>
      <c r="O659" s="588">
        <f t="shared" si="1384"/>
        <v>0</v>
      </c>
      <c r="P659" s="588">
        <f t="shared" si="1384"/>
        <v>0</v>
      </c>
      <c r="Q659" s="588">
        <f t="shared" si="1384"/>
        <v>0</v>
      </c>
      <c r="R659" s="588">
        <f t="shared" si="1384"/>
        <v>0</v>
      </c>
      <c r="S659" s="588">
        <f t="shared" si="1384"/>
        <v>0</v>
      </c>
      <c r="T659" s="588">
        <f t="shared" si="1384"/>
        <v>0</v>
      </c>
      <c r="U659" s="588">
        <f t="shared" si="1384"/>
        <v>0</v>
      </c>
      <c r="V659" s="588">
        <f t="shared" si="1384"/>
        <v>0</v>
      </c>
      <c r="W659" s="588">
        <f t="shared" si="1384"/>
        <v>0</v>
      </c>
      <c r="X659" s="588">
        <f t="shared" si="1384"/>
        <v>0</v>
      </c>
      <c r="Y659" s="588">
        <f t="shared" si="1384"/>
        <v>-4.0000000000000001E-3</v>
      </c>
      <c r="Z659" s="588">
        <f t="shared" si="1384"/>
        <v>0</v>
      </c>
      <c r="AA659" s="588">
        <f t="shared" si="1384"/>
        <v>0</v>
      </c>
      <c r="AB659" s="588">
        <f t="shared" si="1384"/>
        <v>0</v>
      </c>
      <c r="AC659" s="588">
        <f t="shared" si="1384"/>
        <v>0</v>
      </c>
      <c r="AD659" s="588">
        <f t="shared" si="1384"/>
        <v>0</v>
      </c>
      <c r="AE659" s="588">
        <f t="shared" si="1384"/>
        <v>0</v>
      </c>
      <c r="AF659" s="588">
        <f t="shared" si="1384"/>
        <v>0</v>
      </c>
      <c r="AG659" s="588">
        <f t="shared" si="1384"/>
        <v>0</v>
      </c>
      <c r="AH659" s="588">
        <f t="shared" si="1384"/>
        <v>0</v>
      </c>
      <c r="AI659" s="588">
        <f t="shared" ref="AI659:BN659" si="1385">IF(AND(ISBLANK(AI18),ISBLANK(AI19),ISBLANK(AI20),ISBLANK(AI21)),0,ROUND(AI214-AI18-AI19-AI20-AI21,6))</f>
        <v>0</v>
      </c>
      <c r="AJ659" s="588">
        <f t="shared" si="1385"/>
        <v>0</v>
      </c>
      <c r="AK659" s="588">
        <f t="shared" si="1385"/>
        <v>0</v>
      </c>
      <c r="AL659" s="588">
        <f t="shared" si="1385"/>
        <v>0</v>
      </c>
      <c r="AM659" s="588">
        <f t="shared" si="1385"/>
        <v>0</v>
      </c>
      <c r="AN659" s="588">
        <f t="shared" si="1385"/>
        <v>0</v>
      </c>
      <c r="AO659" s="588">
        <f t="shared" si="1385"/>
        <v>0</v>
      </c>
      <c r="AP659" s="588">
        <f t="shared" si="1385"/>
        <v>0</v>
      </c>
      <c r="AQ659" s="588">
        <f t="shared" si="1385"/>
        <v>0</v>
      </c>
      <c r="AR659" s="588">
        <f t="shared" si="1385"/>
        <v>0</v>
      </c>
      <c r="AS659" s="588">
        <f t="shared" si="1385"/>
        <v>0</v>
      </c>
      <c r="AT659" s="588">
        <f t="shared" si="1385"/>
        <v>0</v>
      </c>
      <c r="AU659" s="588">
        <f t="shared" si="1385"/>
        <v>0</v>
      </c>
      <c r="AV659" s="588">
        <f t="shared" si="1385"/>
        <v>0</v>
      </c>
      <c r="AW659" s="588">
        <f t="shared" si="1385"/>
        <v>0</v>
      </c>
      <c r="AX659" s="588">
        <f t="shared" si="1385"/>
        <v>0</v>
      </c>
      <c r="AY659" s="588">
        <f t="shared" si="1385"/>
        <v>0</v>
      </c>
      <c r="AZ659" s="588">
        <f t="shared" si="1385"/>
        <v>0</v>
      </c>
      <c r="BA659" s="588">
        <f t="shared" si="1385"/>
        <v>0</v>
      </c>
      <c r="BB659" s="588">
        <f t="shared" si="1385"/>
        <v>0</v>
      </c>
      <c r="BC659" s="588">
        <f t="shared" si="1385"/>
        <v>0</v>
      </c>
      <c r="BD659" s="588">
        <f t="shared" si="1385"/>
        <v>0</v>
      </c>
      <c r="BE659" s="588">
        <f t="shared" si="1385"/>
        <v>0</v>
      </c>
      <c r="BF659" s="588">
        <f t="shared" si="1385"/>
        <v>0</v>
      </c>
      <c r="BG659" s="588">
        <f t="shared" si="1385"/>
        <v>0</v>
      </c>
      <c r="BH659" s="588">
        <f t="shared" ref="BH659:BM659" si="1386">IF(AND(ISBLANK(BH18),ISBLANK(BH19),ISBLANK(BH20),ISBLANK(BH21)),0,ROUND(BH214-BH18-BH19-BH20-BH21,6))</f>
        <v>0</v>
      </c>
      <c r="BI659" s="588">
        <f t="shared" si="1386"/>
        <v>0</v>
      </c>
      <c r="BJ659" s="588">
        <f>IF(AND(ISBLANK(BJ18),ISBLANK(BJ19),ISBLANK(BJ20),ISBLANK(BJ21)),0,ROUND(BJ214-BJ18-BJ19-BJ20-BJ21,6))</f>
        <v>0</v>
      </c>
      <c r="BK659" s="588">
        <f>IF(AND(ISBLANK(BK18),ISBLANK(BK19),ISBLANK(BK20),ISBLANK(BK21)),0,ROUND(BK214-BK18-BK19-BK20-BK21,6))</f>
        <v>0</v>
      </c>
      <c r="BL659" s="589">
        <f>IF(AND(ISBLANK(BL18),ISBLANK(BL19),ISBLANK(BL20),ISBLANK(BL21)),0,ROUND(BL214-BL18-BL19-BL20-BL21,6))</f>
        <v>0</v>
      </c>
      <c r="BM659" s="588">
        <f t="shared" si="1386"/>
        <v>0</v>
      </c>
      <c r="BN659" s="588">
        <f t="shared" si="1385"/>
        <v>0</v>
      </c>
      <c r="BO659" s="588">
        <f t="shared" ref="BO659:BV659" si="1387">IF(AND(ISBLANK(BO18),ISBLANK(BO19),ISBLANK(BO20),ISBLANK(BO21)),0,ROUND(BO214-BO18-BO19-BO20-BO21,6))</f>
        <v>0</v>
      </c>
      <c r="BP659" s="588">
        <f t="shared" si="1387"/>
        <v>0</v>
      </c>
      <c r="BQ659" s="588">
        <f t="shared" si="1387"/>
        <v>0</v>
      </c>
      <c r="BR659" s="588">
        <f t="shared" si="1387"/>
        <v>0</v>
      </c>
      <c r="BS659" s="588">
        <f t="shared" si="1387"/>
        <v>0</v>
      </c>
      <c r="BT659" s="588">
        <f t="shared" si="1387"/>
        <v>0</v>
      </c>
      <c r="BU659" s="588">
        <f t="shared" si="1387"/>
        <v>0</v>
      </c>
      <c r="BV659" s="588">
        <f t="shared" si="1387"/>
        <v>0</v>
      </c>
      <c r="BW659" s="519"/>
    </row>
    <row r="660" spans="1:75" s="439" customFormat="1">
      <c r="A660" s="518" t="s">
        <v>559</v>
      </c>
      <c r="B660" s="525"/>
      <c r="C660" s="588">
        <f>IF(ISBLANK(INDEX(MO_IS_FirstRow,0,COLUMN())),0,IF(OR(C564=B564,C564=D564),"CHECK",0))</f>
        <v>0</v>
      </c>
      <c r="D660" s="588">
        <f>IF(ISBLANK(INDEX(MO_IS_FirstRow,0,COLUMN())),0,IF(OR(D564=C564,D564=E564),"CHECK",0))</f>
        <v>0</v>
      </c>
      <c r="E660" s="588">
        <f>IF(ISBLANK(INDEX(MO_IS_FirstRow,0,COLUMN())),0,IF(OR(E564=D564,E564=F564),"CHECK",0))</f>
        <v>0</v>
      </c>
      <c r="F660" s="588">
        <f>IF(ISBLANK(INDEX(MO_IS_FirstRow,0,COLUMN())),0,IF(OR(F564=E564,F564=K564),"CHECK",0))</f>
        <v>0</v>
      </c>
      <c r="G660" s="588">
        <f>IF(ISBLANK(INDEX(MO_IS_FirstRow,0,COLUMN())),0,IF(OR(G564=B564,G564=H564,G564=E564),"CHECK",0))</f>
        <v>0</v>
      </c>
      <c r="H660" s="588">
        <f>IF(ISBLANK(INDEX(MO_IS_FirstRow,0,COLUMN())),0,IF(OR(H564=C564,H564=I564,H564=G564),"CHECK",0))</f>
        <v>0</v>
      </c>
      <c r="I660" s="588">
        <f>IF(ISBLANK(INDEX(MO_IS_FirstRow,0,COLUMN())),0,IF(OR(I564=D564,I564=J564,I564=H564),"CHECK",0))</f>
        <v>0</v>
      </c>
      <c r="J660" s="588">
        <f>IF(ISBLANK(INDEX(MO_IS_FirstRow,0,COLUMN())),0,IF(OR(J564=E564,J564=K564,J564=I564),"CHECK",0))</f>
        <v>0</v>
      </c>
      <c r="K660" s="588">
        <f>IF(ISBLANK(INDEX(MO_IS_FirstRow,0,COLUMN())),0,IF(K564=F564,"CHECK",0))</f>
        <v>0</v>
      </c>
      <c r="L660" s="588">
        <f>IF(ISBLANK(INDEX(MO_IS_FirstRow,0,COLUMN())),0,IF(OR(L564=G564,L564=M564,L564=J564),"CHECK",0))</f>
        <v>0</v>
      </c>
      <c r="M660" s="588">
        <f>IF(ISBLANK(INDEX(MO_IS_FirstRow,0,COLUMN())),0,IF(OR(M564=H564,M564=N564,M564=L564),"CHECK",0))</f>
        <v>0</v>
      </c>
      <c r="N660" s="588">
        <f>IF(ISBLANK(INDEX(MO_IS_FirstRow,0,COLUMN())),0,IF(OR(N564=I564,N564=O564,N564=M564),"CHECK",0))</f>
        <v>0</v>
      </c>
      <c r="O660" s="588">
        <f>IF(ISBLANK(INDEX(MO_IS_FirstRow,0,COLUMN())),0,IF(OR(O564=J564,O564=P564,O564=N564),"CHECK",0))</f>
        <v>0</v>
      </c>
      <c r="P660" s="588">
        <f>IF(ISBLANK(INDEX(MO_IS_FirstRow,0,COLUMN())),0,IF(P564=K564,"CHECK",0))</f>
        <v>0</v>
      </c>
      <c r="Q660" s="588">
        <f>IF(ISBLANK(INDEX(MO_IS_FirstRow,0,COLUMN())),0,IF(OR(Q564=L564,Q564=R564,Q564=O564),"CHECK",0))</f>
        <v>0</v>
      </c>
      <c r="R660" s="588">
        <f>IF(ISBLANK(INDEX(MO_IS_FirstRow,0,COLUMN())),0,IF(OR(R564=M564,R564=S564,R564=Q564),"CHECK",0))</f>
        <v>0</v>
      </c>
      <c r="S660" s="588">
        <f>IF(ISBLANK(INDEX(MO_IS_FirstRow,0,COLUMN())),0,IF(OR(S564=N564,S564=T564,S564=R564),"CHECK",0))</f>
        <v>0</v>
      </c>
      <c r="T660" s="588">
        <f>IF(ISBLANK(INDEX(MO_IS_FirstRow,0,COLUMN())),0,IF(OR(T564=O564,T564=U564,T564=S564),"CHECK",0))</f>
        <v>0</v>
      </c>
      <c r="U660" s="588">
        <f>IF(ISBLANK(INDEX(MO_IS_FirstRow,0,COLUMN())),0,IF(U564=P564,"CHECK",0))</f>
        <v>0</v>
      </c>
      <c r="V660" s="588">
        <f>IF(ISBLANK(INDEX(MO_IS_FirstRow,0,COLUMN())),0,IF(OR(V564=Q564,V564=W564,V564=T564),"CHECK",0))</f>
        <v>0</v>
      </c>
      <c r="W660" s="588">
        <f>IF(ISBLANK(INDEX(MO_IS_FirstRow,0,COLUMN())),0,IF(OR(W564=R564,W564=X564,W564=V564),"CHECK",0))</f>
        <v>0</v>
      </c>
      <c r="X660" s="588">
        <f>IF(ISBLANK(INDEX(MO_IS_FirstRow,0,COLUMN())),0,IF(OR(X564=S564,X564=Y564,X564=W564),"CHECK",0))</f>
        <v>0</v>
      </c>
      <c r="Y660" s="588">
        <f>IF(ISBLANK(INDEX(MO_IS_FirstRow,0,COLUMN())),0,IF(OR(Y564=T564,Y564=Z564,Y564=X564),"CHECK",0))</f>
        <v>0</v>
      </c>
      <c r="Z660" s="588">
        <f>IF(ISBLANK(INDEX(MO_IS_FirstRow,0,COLUMN())),0,IF(Z564=U564,"CHECK",0))</f>
        <v>0</v>
      </c>
      <c r="AA660" s="588">
        <f>IF(ISBLANK(INDEX(MO_IS_FirstRow,0,COLUMN())),0,IF(OR(AA564=V564,AA564=AB564,AA564=Y564),"CHECK",0))</f>
        <v>0</v>
      </c>
      <c r="AB660" s="588">
        <f>IF(ISBLANK(INDEX(MO_IS_FirstRow,0,COLUMN())),0,IF(OR(AB564=W564,AB564=AC564,AB564=AA564),"CHECK",0))</f>
        <v>0</v>
      </c>
      <c r="AC660" s="588">
        <f>IF(ISBLANK(INDEX(MO_IS_FirstRow,0,COLUMN())),0,IF(OR(AC564=X564,AC564=AD564,AC564=AB564),"CHECK",0))</f>
        <v>0</v>
      </c>
      <c r="AD660" s="588">
        <f>IF(ISBLANK(INDEX(MO_IS_FirstRow,0,COLUMN())),0,IF(OR(AD564=Y564,AD564=AE564,AD564=AC564),"CHECK",0))</f>
        <v>0</v>
      </c>
      <c r="AE660" s="588">
        <f>IF(ISBLANK(INDEX(MO_IS_FirstRow,0,COLUMN())),0,IF(AE564=Z564,"CHECK",0))</f>
        <v>0</v>
      </c>
      <c r="AF660" s="588">
        <f>IF(ISBLANK(INDEX(MO_IS_FirstRow,0,COLUMN())),0,IF(OR(AF564=AA564,AF564=AG564,AF564=AD564),"CHECK",0))</f>
        <v>0</v>
      </c>
      <c r="AG660" s="588">
        <f>IF(ISBLANK(INDEX(MO_IS_FirstRow,0,COLUMN())),0,IF(OR(AG564=AB564,AG564=AH564,AG564=AF564),"CHECK",0))</f>
        <v>0</v>
      </c>
      <c r="AH660" s="588">
        <f>IF(ISBLANK(INDEX(MO_IS_FirstRow,0,COLUMN())),0,IF(OR(AH564=AC564,AH564=AI564,AH564=AG564),"CHECK",0))</f>
        <v>0</v>
      </c>
      <c r="AI660" s="588">
        <f>IF(ISBLANK(INDEX(MO_IS_FirstRow,0,COLUMN())),0,IF(OR(AI564=AD564,AI564=AJ564,AI564=AH564),"CHECK",0))</f>
        <v>0</v>
      </c>
      <c r="AJ660" s="588">
        <f>IF(ISBLANK(INDEX(MO_IS_FirstRow,0,COLUMN())),0,IF(AJ564=AE564,"CHECK",0))</f>
        <v>0</v>
      </c>
      <c r="AK660" s="588">
        <f>IF(ISBLANK(INDEX(MO_IS_FirstRow,0,COLUMN())),0,IF(OR(AK564=AF564,AK564=AL564,AK564=AI564),"CHECK",0))</f>
        <v>0</v>
      </c>
      <c r="AL660" s="588">
        <f>IF(ISBLANK(INDEX(MO_IS_FirstRow,0,COLUMN())),0,IF(OR(AL564=AG564,AL564=AM564,AL564=AK564),"CHECK",0))</f>
        <v>0</v>
      </c>
      <c r="AM660" s="588">
        <f>IF(ISBLANK(INDEX(MO_IS_FirstRow,0,COLUMN())),0,IF(OR(AM564=AH564,AM564=AN564,AM564=AL564),"CHECK",0))</f>
        <v>0</v>
      </c>
      <c r="AN660" s="588">
        <f>IF(ISBLANK(INDEX(MO_IS_FirstRow,0,COLUMN())),0,IF(OR(AN564=AI564,AN564=AO564,AN564=AM564),"CHECK",0))</f>
        <v>0</v>
      </c>
      <c r="AO660" s="588">
        <f>IF(ISBLANK(INDEX(MO_IS_FirstRow,0,COLUMN())),0,IF(AO564=AJ564,"CHECK",0))</f>
        <v>0</v>
      </c>
      <c r="AP660" s="588">
        <f>IF(ISBLANK(INDEX(MO_IS_FirstRow,0,COLUMN())),0,IF(OR(AP564=AK564,AP564=AQ564,AP564=AN564),"CHECK",0))</f>
        <v>0</v>
      </c>
      <c r="AQ660" s="588">
        <f>IF(ISBLANK(INDEX(MO_IS_FirstRow,0,COLUMN())),0,IF(OR(AQ564=AL564,AQ564=AR564,AQ564=AP564),"CHECK",0))</f>
        <v>0</v>
      </c>
      <c r="AR660" s="588">
        <f>IF(ISBLANK(INDEX(MO_IS_FirstRow,0,COLUMN())),0,IF(OR(AR564=AM564,AR564=AS564,AR564=AQ564),"CHECK",0))</f>
        <v>0</v>
      </c>
      <c r="AS660" s="588">
        <f>IF(ISBLANK(INDEX(MO_IS_FirstRow,0,COLUMN())),0,IF(OR(AS564=AN564,AS564=AT564,AS564=AR564),"CHECK",0))</f>
        <v>0</v>
      </c>
      <c r="AT660" s="588">
        <f>IF(ISBLANK(INDEX(MO_IS_FirstRow,0,COLUMN())),0,IF(AT564=AO564,"CHECK",0))</f>
        <v>0</v>
      </c>
      <c r="AU660" s="588">
        <f>IF(ISBLANK(INDEX(MO_IS_FirstRow,0,COLUMN())),0,IF(OR(AU564=AP564,AU564=AV564,AU564=AS564),"CHECK",0))</f>
        <v>0</v>
      </c>
      <c r="AV660" s="588">
        <f>IF(ISBLANK(INDEX(MO_IS_FirstRow,0,COLUMN())),0,IF(OR(AV564=AQ564,AV564=AW564,AV564=AU564),"CHECK",0))</f>
        <v>0</v>
      </c>
      <c r="AW660" s="588">
        <f>IF(ISBLANK(INDEX(MO_IS_FirstRow,0,COLUMN())),0,IF(OR(AW564=AR564,AW564=AX564,AW564=AV564),"CHECK",0))</f>
        <v>0</v>
      </c>
      <c r="AX660" s="588">
        <f>IF(ISBLANK(INDEX(MO_IS_FirstRow,0,COLUMN())),0,IF(OR(AX564=AS564,AX564=AY564,AX564=AW564),"CHECK",0))</f>
        <v>0</v>
      </c>
      <c r="AY660" s="588">
        <f>IF(ISBLANK(INDEX(MO_IS_FirstRow,0,COLUMN())),0,IF(AY564=AT564,"CHECK",0))</f>
        <v>0</v>
      </c>
      <c r="AZ660" s="588">
        <f>IF(ISBLANK(INDEX(MO_IS_FirstRow,0,COLUMN())),0,IF(OR(AZ564=AU564,AZ564=BA564,AZ564=AX564),"CHECK",0))</f>
        <v>0</v>
      </c>
      <c r="BA660" s="588">
        <f>IF(ISBLANK(INDEX(MO_IS_FirstRow,0,COLUMN())),0,IF(OR(BA564=AV564,BA564=BB564,BA564=AZ564),"CHECK",0))</f>
        <v>0</v>
      </c>
      <c r="BB660" s="588">
        <f>IF(ISBLANK(INDEX(MO_IS_FirstRow,0,COLUMN())),0,IF(OR(BB564=AW564,BB564=BC564,BB564=BA564),"CHECK",0))</f>
        <v>0</v>
      </c>
      <c r="BC660" s="588">
        <f>IF(ISBLANK(INDEX(MO_IS_FirstRow,0,COLUMN())),0,IF(OR(BC564=AX564,BC564=BD564,BC564=BB564),"CHECK",0))</f>
        <v>0</v>
      </c>
      <c r="BD660" s="588">
        <f>IF(ISBLANK(INDEX(MO_IS_FirstRow,0,COLUMN())),0,IF(BD564=AY564,"CHECK",0))</f>
        <v>0</v>
      </c>
      <c r="BE660" s="588">
        <f>IF(ISBLANK(INDEX(MO_IS_FirstRow,0,COLUMN())),0,IF(OR(BE564=AZ564,BE564=BF564,BE564=BC564),"CHECK",0))</f>
        <v>0</v>
      </c>
      <c r="BF660" s="588">
        <f>IF(ISBLANK(INDEX(MO_IS_FirstRow,0,COLUMN())),0,IF(OR(BF564=BA564,BF564=BG564,BF564=BE564),"CHECK",0))</f>
        <v>0</v>
      </c>
      <c r="BG660" s="588">
        <f>IF(ISBLANK(INDEX(MO_IS_FirstRow,0,COLUMN())),0,IF(OR(BG564=BB564,BG564=BH564,BG564=BF564),"CHECK",0))</f>
        <v>0</v>
      </c>
      <c r="BH660" s="588">
        <f>IF(ISBLANK(INDEX(MO_IS_FirstRow,0,COLUMN())),0,IF(OR(BH564=BC564,BH564=BI564,BH564=BG564),"CHECK",0))</f>
        <v>0</v>
      </c>
      <c r="BI660" s="588">
        <f>IF(ISBLANK(INDEX(MO_IS_FirstRow,0,COLUMN())),0,IF(BI564=BD564,"CHECK",0))</f>
        <v>0</v>
      </c>
      <c r="BJ660" s="588">
        <f>IF(ISBLANK(INDEX(MO_IS_FirstRow,0,COLUMN())),0,IF(OR(BJ564=BE564,BJ564=BK564,BJ564=BH564),"CHECK",0))</f>
        <v>0</v>
      </c>
      <c r="BK660" s="588">
        <f>IF(ISBLANK(INDEX(MO_IS_FirstRow,0,COLUMN())),0,IF(OR(BK564=BF564,BK564=BL564,BK564=BJ564),"CHECK",0))</f>
        <v>0</v>
      </c>
      <c r="BL660" s="589" t="e">
        <f>IF(ISBLANK(INDEX(MO_IS_FirstRow,0,COLUMN())),0,IF(OR(BL564=BG564,BL564=BM564,BL564=BK564),"CHECK",0))</f>
        <v>#REF!</v>
      </c>
      <c r="BM660" s="588"/>
      <c r="BN660" s="588"/>
      <c r="BO660" s="588"/>
      <c r="BP660" s="588"/>
      <c r="BQ660" s="588"/>
      <c r="BR660" s="588"/>
      <c r="BS660" s="588"/>
      <c r="BT660" s="588"/>
      <c r="BU660" s="588"/>
      <c r="BV660" s="588"/>
      <c r="BW660" s="519"/>
    </row>
    <row r="661" spans="1:75" s="439" customFormat="1">
      <c r="A661" s="518" t="s">
        <v>560</v>
      </c>
      <c r="B661" s="525"/>
      <c r="C661" s="588">
        <f>IF(ISBLANK(INDEX(MO_IS_FirstRow,0,COLUMN())),0,IF(OR(C242=B242,C242=D242),"CHECK",0))</f>
        <v>0</v>
      </c>
      <c r="D661" s="588">
        <f>IF(ISBLANK(INDEX(MO_IS_FirstRow,0,COLUMN())),0,IF(OR(D242=C242,D242=E242),"CHECK",0))</f>
        <v>0</v>
      </c>
      <c r="E661" s="588">
        <f>IF(ISBLANK(INDEX(MO_IS_FirstRow,0,COLUMN())),0,IF(OR(E242=D242,E242=F242),"CHECK",0))</f>
        <v>0</v>
      </c>
      <c r="F661" s="588">
        <f>IF(ISBLANK(INDEX(MO_IS_FirstRow,0,COLUMN())),0,IF(OR(F242=E242,F242=K242),"CHECK",0))</f>
        <v>0</v>
      </c>
      <c r="G661" s="588">
        <f>IF(ISBLANK(INDEX(MO_IS_FirstRow,0,COLUMN())),0,IF(OR(G242=B242,G242=H242,G242=E242),"CHECK",0))</f>
        <v>0</v>
      </c>
      <c r="H661" s="588">
        <f>IF(ISBLANK(INDEX(MO_IS_FirstRow,0,COLUMN())),0,IF(OR(H242=C242,H242=I242,H242=G242),"CHECK",0))</f>
        <v>0</v>
      </c>
      <c r="I661" s="588">
        <f>IF(ISBLANK(INDEX(MO_IS_FirstRow,0,COLUMN())),0,IF(OR(I242=D242,I242=J242,I242=H242),"CHECK",0))</f>
        <v>0</v>
      </c>
      <c r="J661" s="588">
        <f>IF(ISBLANK(INDEX(MO_IS_FirstRow,0,COLUMN())),0,IF(OR(J242=E242,J242=K242,J242=I242),"CHECK",0))</f>
        <v>0</v>
      </c>
      <c r="K661" s="588">
        <f>IF(ISBLANK(INDEX(MO_IS_FirstRow,0,COLUMN())),0,IF(K242=F242,"CHECK",0))</f>
        <v>0</v>
      </c>
      <c r="L661" s="588">
        <f>IF(ISBLANK(INDEX(MO_IS_FirstRow,0,COLUMN())),0,IF(OR(L242=G242,L242=M242,L242=J242),"CHECK",0))</f>
        <v>0</v>
      </c>
      <c r="M661" s="588">
        <f>IF(ISBLANK(INDEX(MO_IS_FirstRow,0,COLUMN())),0,IF(OR(M242=H242,M242=N242,M242=L242),"CHECK",0))</f>
        <v>0</v>
      </c>
      <c r="N661" s="588">
        <f>IF(ISBLANK(INDEX(MO_IS_FirstRow,0,COLUMN())),0,IF(OR(N242=I242,N242=O242,N242=M242),"CHECK",0))</f>
        <v>0</v>
      </c>
      <c r="O661" s="588">
        <f>IF(ISBLANK(INDEX(MO_IS_FirstRow,0,COLUMN())),0,IF(OR(O242=J242,O242=P242,O242=N242),"CHECK",0))</f>
        <v>0</v>
      </c>
      <c r="P661" s="588">
        <f>IF(ISBLANK(INDEX(MO_IS_FirstRow,0,COLUMN())),0,IF(P242=K242,"CHECK",0))</f>
        <v>0</v>
      </c>
      <c r="Q661" s="588">
        <f>IF(ISBLANK(INDEX(MO_IS_FirstRow,0,COLUMN())),0,IF(OR(Q242=L242,Q242=R242,Q242=O242),"CHECK",0))</f>
        <v>0</v>
      </c>
      <c r="R661" s="588">
        <f>IF(ISBLANK(INDEX(MO_IS_FirstRow,0,COLUMN())),0,IF(OR(R242=M242,R242=S242,R242=Q242),"CHECK",0))</f>
        <v>0</v>
      </c>
      <c r="S661" s="588">
        <f>IF(ISBLANK(INDEX(MO_IS_FirstRow,0,COLUMN())),0,IF(OR(S242=N242,S242=T242,S242=R242),"CHECK",0))</f>
        <v>0</v>
      </c>
      <c r="T661" s="588">
        <f>IF(ISBLANK(INDEX(MO_IS_FirstRow,0,COLUMN())),0,IF(OR(T242=O242,T242=U242,T242=S242),"CHECK",0))</f>
        <v>0</v>
      </c>
      <c r="U661" s="588">
        <f>IF(ISBLANK(INDEX(MO_IS_FirstRow,0,COLUMN())),0,IF(U242=P242,"CHECK",0))</f>
        <v>0</v>
      </c>
      <c r="V661" s="588">
        <f>IF(ISBLANK(INDEX(MO_IS_FirstRow,0,COLUMN())),0,IF(OR(V242=Q242,V242=W242,V242=T242),"CHECK",0))</f>
        <v>0</v>
      </c>
      <c r="W661" s="588">
        <f>IF(ISBLANK(INDEX(MO_IS_FirstRow,0,COLUMN())),0,IF(OR(W242=R242,W242=X242,W242=V242),"CHECK",0))</f>
        <v>0</v>
      </c>
      <c r="X661" s="588">
        <f>IF(ISBLANK(INDEX(MO_IS_FirstRow,0,COLUMN())),0,IF(OR(X242=S242,X242=Y242,X242=W242),"CHECK",0))</f>
        <v>0</v>
      </c>
      <c r="Y661" s="588">
        <f>IF(ISBLANK(INDEX(MO_IS_FirstRow,0,COLUMN())),0,IF(OR(Y242=T242,Y242=Z242,Y242=X242),"CHECK",0))</f>
        <v>0</v>
      </c>
      <c r="Z661" s="588">
        <f>IF(ISBLANK(INDEX(MO_IS_FirstRow,0,COLUMN())),0,IF(Z242=U242,"CHECK",0))</f>
        <v>0</v>
      </c>
      <c r="AA661" s="588">
        <f>IF(ISBLANK(INDEX(MO_IS_FirstRow,0,COLUMN())),0,IF(OR(AA242=V242,AA242=AB242,AA242=Y242),"CHECK",0))</f>
        <v>0</v>
      </c>
      <c r="AB661" s="588">
        <f>IF(ISBLANK(INDEX(MO_IS_FirstRow,0,COLUMN())),0,IF(OR(AB242=W242,AB242=AC242,AB242=AA242),"CHECK",0))</f>
        <v>0</v>
      </c>
      <c r="AC661" s="588">
        <f>IF(ISBLANK(INDEX(MO_IS_FirstRow,0,COLUMN())),0,IF(OR(AC242=X242,AC242=AD242,AC242=AB242),"CHECK",0))</f>
        <v>0</v>
      </c>
      <c r="AD661" s="588">
        <f>IF(ISBLANK(INDEX(MO_IS_FirstRow,0,COLUMN())),0,IF(OR(AD242=Y242,AD242=AE242,AD242=AC242),"CHECK",0))</f>
        <v>0</v>
      </c>
      <c r="AE661" s="588">
        <f>IF(ISBLANK(INDEX(MO_IS_FirstRow,0,COLUMN())),0,IF(AE242=Z242,"CHECK",0))</f>
        <v>0</v>
      </c>
      <c r="AF661" s="588">
        <f>IF(ISBLANK(INDEX(MO_IS_FirstRow,0,COLUMN())),0,IF(OR(AF242=AA242,AF242=AG242,AF242=AD242),"CHECK",0))</f>
        <v>0</v>
      </c>
      <c r="AG661" s="588">
        <f>IF(ISBLANK(INDEX(MO_IS_FirstRow,0,COLUMN())),0,IF(OR(AG242=AB242,AG242=AH242,AG242=AF242),"CHECK",0))</f>
        <v>0</v>
      </c>
      <c r="AH661" s="588">
        <f>IF(ISBLANK(INDEX(MO_IS_FirstRow,0,COLUMN())),0,IF(OR(AH242=AC242,AH242=AI242,AH242=AG242),"CHECK",0))</f>
        <v>0</v>
      </c>
      <c r="AI661" s="588">
        <f>IF(ISBLANK(INDEX(MO_IS_FirstRow,0,COLUMN())),0,IF(OR(AI242=AD242,AI242=AJ242,AI242=AH242),"CHECK",0))</f>
        <v>0</v>
      </c>
      <c r="AJ661" s="588">
        <f>IF(ISBLANK(INDEX(MO_IS_FirstRow,0,COLUMN())),0,IF(AJ242=AE242,"CHECK",0))</f>
        <v>0</v>
      </c>
      <c r="AK661" s="588">
        <f>IF(ISBLANK(INDEX(MO_IS_FirstRow,0,COLUMN())),0,IF(OR(AK242=AF242,AK242=AL242,AK242=AI242),"CHECK",0))</f>
        <v>0</v>
      </c>
      <c r="AL661" s="588">
        <f>IF(ISBLANK(INDEX(MO_IS_FirstRow,0,COLUMN())),0,IF(OR(AL242=AG242,AL242=AM242,AL242=AK242),"CHECK",0))</f>
        <v>0</v>
      </c>
      <c r="AM661" s="588">
        <f>IF(ISBLANK(INDEX(MO_IS_FirstRow,0,COLUMN())),0,IF(OR(AM242=AH242,AM242=AN242,AM242=AL242),"CHECK",0))</f>
        <v>0</v>
      </c>
      <c r="AN661" s="588">
        <f>IF(ISBLANK(INDEX(MO_IS_FirstRow,0,COLUMN())),0,IF(OR(AN242=AI242,AN242=AO242,AN242=AM242),"CHECK",0))</f>
        <v>0</v>
      </c>
      <c r="AO661" s="588">
        <f>IF(ISBLANK(INDEX(MO_IS_FirstRow,0,COLUMN())),0,IF(AO242=AJ242,"CHECK",0))</f>
        <v>0</v>
      </c>
      <c r="AP661" s="588">
        <f>IF(ISBLANK(INDEX(MO_IS_FirstRow,0,COLUMN())),0,IF(OR(AP242=AK242,AP242=AQ242,AP242=AN242),"CHECK",0))</f>
        <v>0</v>
      </c>
      <c r="AQ661" s="588">
        <f>IF(ISBLANK(INDEX(MO_IS_FirstRow,0,COLUMN())),0,IF(OR(AQ242=AL242,AQ242=AR242,AQ242=AP242),"CHECK",0))</f>
        <v>0</v>
      </c>
      <c r="AR661" s="588">
        <f>IF(ISBLANK(INDEX(MO_IS_FirstRow,0,COLUMN())),0,IF(OR(AR242=AM242,AR242=AS242,AR242=AQ242),"CHECK",0))</f>
        <v>0</v>
      </c>
      <c r="AS661" s="588">
        <f>IF(ISBLANK(INDEX(MO_IS_FirstRow,0,COLUMN())),0,IF(OR(AS242=AN242,AS242=AT242,AS242=AR242),"CHECK",0))</f>
        <v>0</v>
      </c>
      <c r="AT661" s="588">
        <f>IF(ISBLANK(INDEX(MO_IS_FirstRow,0,COLUMN())),0,IF(AT242=AO242,"CHECK",0))</f>
        <v>0</v>
      </c>
      <c r="AU661" s="588">
        <f>IF(ISBLANK(INDEX(MO_IS_FirstRow,0,COLUMN())),0,IF(OR(AU242=AP242,AU242=AV242,AU242=AS242),"CHECK",0))</f>
        <v>0</v>
      </c>
      <c r="AV661" s="588">
        <f>IF(ISBLANK(INDEX(MO_IS_FirstRow,0,COLUMN())),0,IF(OR(AV242=AQ242,AV242=AW242,AV242=AU242),"CHECK",0))</f>
        <v>0</v>
      </c>
      <c r="AW661" s="588">
        <f>IF(ISBLANK(INDEX(MO_IS_FirstRow,0,COLUMN())),0,IF(OR(AW242=AR242,AW242=AX242,AW242=AV242),"CHECK",0))</f>
        <v>0</v>
      </c>
      <c r="AX661" s="588">
        <f>IF(ISBLANK(INDEX(MO_IS_FirstRow,0,COLUMN())),0,IF(OR(AX242=AS242,AX242=AY242,AX242=AW242),"CHECK",0))</f>
        <v>0</v>
      </c>
      <c r="AY661" s="588">
        <f>IF(ISBLANK(INDEX(MO_IS_FirstRow,0,COLUMN())),0,IF(AY242=AT242,"CHECK",0))</f>
        <v>0</v>
      </c>
      <c r="AZ661" s="588">
        <f>IF(ISBLANK(INDEX(MO_IS_FirstRow,0,COLUMN())),0,IF(OR(AZ242=AU242,AZ242=BA242,AZ242=AX242),"CHECK",0))</f>
        <v>0</v>
      </c>
      <c r="BA661" s="588">
        <f>IF(ISBLANK(INDEX(MO_IS_FirstRow,0,COLUMN())),0,IF(OR(BA242=AV242,BA242=BB242,BA242=AZ242),"CHECK",0))</f>
        <v>0</v>
      </c>
      <c r="BB661" s="588">
        <f>IF(ISBLANK(INDEX(MO_IS_FirstRow,0,COLUMN())),0,IF(OR(BB242=AW242,BB242=BC242,BB242=BA242),"CHECK",0))</f>
        <v>0</v>
      </c>
      <c r="BC661" s="588">
        <f>IF(ISBLANK(INDEX(MO_IS_FirstRow,0,COLUMN())),0,IF(OR(BC242=AX242,BC242=BD242,BC242=BB242),"CHECK",0))</f>
        <v>0</v>
      </c>
      <c r="BD661" s="588">
        <f>IF(ISBLANK(INDEX(MO_IS_FirstRow,0,COLUMN())),0,IF(BD242=AY242,"CHECK",0))</f>
        <v>0</v>
      </c>
      <c r="BE661" s="588">
        <f>IF(ISBLANK(INDEX(MO_IS_FirstRow,0,COLUMN())),0,IF(OR(BE242=AZ242,BE242=BF242,BE242=BC242),"CHECK",0))</f>
        <v>0</v>
      </c>
      <c r="BF661" s="588">
        <f>IF(ISBLANK(INDEX(MO_IS_FirstRow,0,COLUMN())),0,IF(OR(BF242=BA242,BF242=BG242,BF242=BE242),"CHECK",0))</f>
        <v>0</v>
      </c>
      <c r="BG661" s="588">
        <f>IF(ISBLANK(INDEX(MO_IS_FirstRow,0,COLUMN())),0,IF(OR(BG242=BB242,BG242=BH242,BG242=BF242),"CHECK",0))</f>
        <v>0</v>
      </c>
      <c r="BH661" s="588">
        <f>IF(ISBLANK(INDEX(MO_IS_FirstRow,0,COLUMN())),0,IF(OR(BH242=BC242,BH242=BI242,BH242=BG242),"CHECK",0))</f>
        <v>0</v>
      </c>
      <c r="BI661" s="588">
        <f>IF(ISBLANK(INDEX(MO_IS_FirstRow,0,COLUMN())),0,IF(BI242=BD242,"CHECK",0))</f>
        <v>0</v>
      </c>
      <c r="BJ661" s="588">
        <f>IF(ISBLANK(INDEX(MO_IS_FirstRow,0,COLUMN())),0,IF(OR(BJ242=BE242,BJ242=BK242,BJ242=BH242),"CHECK",0))</f>
        <v>0</v>
      </c>
      <c r="BK661" s="588">
        <f>IF(ISBLANK(INDEX(MO_IS_FirstRow,0,COLUMN())),0,IF(OR(BK242=BF242,BK242=BL242,BK242=BJ242),"CHECK",0))</f>
        <v>0</v>
      </c>
      <c r="BL661" s="589">
        <f>IF(ISBLANK(INDEX(MO_IS_FirstRow,0,COLUMN())),0,IF(OR(BL242=BG242,BL242=BM242,BL242=BK242),"CHECK",0))</f>
        <v>0</v>
      </c>
      <c r="BM661" s="588"/>
      <c r="BN661" s="588"/>
      <c r="BO661" s="588"/>
      <c r="BP661" s="588"/>
      <c r="BQ661" s="588"/>
      <c r="BR661" s="588"/>
      <c r="BS661" s="588"/>
      <c r="BT661" s="588"/>
      <c r="BU661" s="588"/>
      <c r="BV661" s="588"/>
      <c r="BW661" s="519"/>
    </row>
    <row r="662" spans="1:75" s="439" customFormat="1">
      <c r="A662" s="518" t="s">
        <v>561</v>
      </c>
      <c r="B662" s="525"/>
      <c r="C662" s="588">
        <f>IF(OR(C621=B621,C621=D621),"CHECK",0)</f>
        <v>0</v>
      </c>
      <c r="D662" s="588">
        <f>IF(OR(D621=C621,D621=E621),"CHECK",0)</f>
        <v>0</v>
      </c>
      <c r="E662" s="588">
        <f>IF(OR(E621=D621,E621=F621),"CHECK",0)</f>
        <v>0</v>
      </c>
      <c r="F662" s="588">
        <f>IF(OR(F621=E621,F621=K621),"CHECK",0)</f>
        <v>0</v>
      </c>
      <c r="G662" s="588">
        <f>IF(OR(G621=B621,G621=H621,G621=E621),"CHECK",0)</f>
        <v>0</v>
      </c>
      <c r="H662" s="588">
        <f>IF(OR(H621=C621,H621=I621,H621=G621),"CHECK",0)</f>
        <v>0</v>
      </c>
      <c r="I662" s="588">
        <f>IF(OR(I621=D621,I621=J621,I621=H621),"CHECK",0)</f>
        <v>0</v>
      </c>
      <c r="J662" s="588">
        <f>IF(OR(J621=E621,J621=I621),"CHECK",0)</f>
        <v>0</v>
      </c>
      <c r="K662" s="588">
        <f>IF(K621=F621,"CHECK",0)</f>
        <v>0</v>
      </c>
      <c r="L662" s="588">
        <f>IF(OR(L621=G621,L621=M621,L621=J621),"CHECK",0)</f>
        <v>0</v>
      </c>
      <c r="M662" s="588">
        <f>IF(OR(M621=H621,M621=N621,M621=L621),"CHECK",0)</f>
        <v>0</v>
      </c>
      <c r="N662" s="588">
        <f>IF(OR(N621=I621,N621=O621,N621=M621),"CHECK",0)</f>
        <v>0</v>
      </c>
      <c r="O662" s="588">
        <f>IF(OR(O621=J621,O621=N621),"CHECK",0)</f>
        <v>0</v>
      </c>
      <c r="P662" s="588">
        <f>IF(P621=K621,"CHECK",0)</f>
        <v>0</v>
      </c>
      <c r="Q662" s="588">
        <f>IF(OR(Q621=L621,Q621=R621,Q621=O621),"CHECK",0)</f>
        <v>0</v>
      </c>
      <c r="R662" s="588">
        <f>IF(OR(R621=M621,R621=S621,R621=Q621),"CHECK",0)</f>
        <v>0</v>
      </c>
      <c r="S662" s="588">
        <f>IF(OR(S621=N621,S621=T621,S621=R621),"CHECK",0)</f>
        <v>0</v>
      </c>
      <c r="T662" s="588">
        <f>IF(OR(T621=O621,T621=S621),"CHECK",0)</f>
        <v>0</v>
      </c>
      <c r="U662" s="588">
        <f>IF(U621=P621,"CHECK",0)</f>
        <v>0</v>
      </c>
      <c r="V662" s="588">
        <f>IF(OR(V621=Q621,V621=W621,V621=T621),"CHECK",0)</f>
        <v>0</v>
      </c>
      <c r="W662" s="588">
        <f>IF(OR(W621=R621,W621=X621,W621=V621),"CHECK",0)</f>
        <v>0</v>
      </c>
      <c r="X662" s="588">
        <f>IF(OR(X621=S621,X621=Y621,X621=W621),"CHECK",0)</f>
        <v>0</v>
      </c>
      <c r="Y662" s="588">
        <f>IF(OR(Y621=T621,Y621=X621),"CHECK",0)</f>
        <v>0</v>
      </c>
      <c r="Z662" s="588">
        <f>IF(Z621=U621,"CHECK",0)</f>
        <v>0</v>
      </c>
      <c r="AA662" s="588">
        <f>IF(OR(AA621=V621,AA621=AB621,AA621=Y621),"CHECK",0)</f>
        <v>0</v>
      </c>
      <c r="AB662" s="588">
        <f>IF(OR(AB621=W621,AB621=AC621,AB621=AA621),"CHECK",0)</f>
        <v>0</v>
      </c>
      <c r="AC662" s="588">
        <f>IF(OR(AC621=X621,AC621=AD621,AC621=AB621),"CHECK",0)</f>
        <v>0</v>
      </c>
      <c r="AD662" s="588">
        <f>IF(OR(AD621=Y621,AD621=AC621),"CHECK",0)</f>
        <v>0</v>
      </c>
      <c r="AE662" s="588">
        <f>IF(AE621=Z621,"CHECK",0)</f>
        <v>0</v>
      </c>
      <c r="AF662" s="588">
        <f>IF(OR(AF621=AA621,AF621=AG621,AF621=AD621),"CHECK",0)</f>
        <v>0</v>
      </c>
      <c r="AG662" s="588">
        <f>IF(OR(AG621=AB621,AG621=AH621,AG621=AF621),"CHECK",0)</f>
        <v>0</v>
      </c>
      <c r="AH662" s="588">
        <f>IF(OR(AH621=AC621,AH621=AI621,AH621=AG621),"CHECK",0)</f>
        <v>0</v>
      </c>
      <c r="AI662" s="588">
        <f>IF(OR(AI621=AD621,AI621=AH621),"CHECK",0)</f>
        <v>0</v>
      </c>
      <c r="AJ662" s="588">
        <f>IF(AJ621=AE621,"CHECK",0)</f>
        <v>0</v>
      </c>
      <c r="AK662" s="588">
        <f>IF(OR(AK621=AF621,AK621=AL621,AK621=AI621),"CHECK",0)</f>
        <v>0</v>
      </c>
      <c r="AL662" s="588">
        <f>IF(OR(AL621=AG621,AL621=AM621,AL621=AK621),"CHECK",0)</f>
        <v>0</v>
      </c>
      <c r="AM662" s="588">
        <f>IF(OR(AM621=AH621,AM621=AN621,AM621=AL621),"CHECK",0)</f>
        <v>0</v>
      </c>
      <c r="AN662" s="588">
        <f>IF(OR(AN621=AI621,AN621=AM621),"CHECK",0)</f>
        <v>0</v>
      </c>
      <c r="AO662" s="588">
        <f>IF(AO621=AJ621,"CHECK",0)</f>
        <v>0</v>
      </c>
      <c r="AP662" s="588">
        <f>IF(OR(AP621=AK621,AP621=AQ621,AP621=AN621),"CHECK",0)</f>
        <v>0</v>
      </c>
      <c r="AQ662" s="588">
        <f>IF(OR(AQ621=AL621,AQ621=AR621,AQ621=AP621),"CHECK",0)</f>
        <v>0</v>
      </c>
      <c r="AR662" s="588">
        <f>IF(OR(AR621=AM621,AR621=AS621,AR621=AQ621),"CHECK",0)</f>
        <v>0</v>
      </c>
      <c r="AS662" s="588">
        <f>IF(OR(AS621=AN621,AS621=AR621),"CHECK",0)</f>
        <v>0</v>
      </c>
      <c r="AT662" s="588">
        <f>IF(AT621=AO621,"CHECK",0)</f>
        <v>0</v>
      </c>
      <c r="AU662" s="588">
        <f>IF(OR(AU621=AP621,AU621=AV621,AU621=AS621),"CHECK",0)</f>
        <v>0</v>
      </c>
      <c r="AV662" s="588">
        <f>IF(OR(AV621=AQ621,AV621=AW621,AV621=AU621),"CHECK",0)</f>
        <v>0</v>
      </c>
      <c r="AW662" s="588">
        <f>IF(OR(AW621=AR621,AW621=AX621,AW621=AV621),"CHECK",0)</f>
        <v>0</v>
      </c>
      <c r="AX662" s="588">
        <f>IF(OR(AX621=AS621,AX621=AW621),"CHECK",0)</f>
        <v>0</v>
      </c>
      <c r="AY662" s="588">
        <f>IF(AY621=AT621,"CHECK",0)</f>
        <v>0</v>
      </c>
      <c r="AZ662" s="588">
        <f>IF(OR(AZ621=AU621,AZ621=BA621,AZ621=AX621),"CHECK",0)</f>
        <v>0</v>
      </c>
      <c r="BA662" s="588">
        <f>IF(OR(BA621=AV621,BA621=BB621,BA621=AZ621),"CHECK",0)</f>
        <v>0</v>
      </c>
      <c r="BB662" s="588">
        <f>IF(OR(BB621=AW621,BB621=BC621,BB621=BA621),"CHECK",0)</f>
        <v>0</v>
      </c>
      <c r="BC662" s="588">
        <f>IF(OR(BC621=AX621,BC621=BB621),"CHECK",0)</f>
        <v>0</v>
      </c>
      <c r="BD662" s="588">
        <f>IF(BD621=AY621,"CHECK",0)</f>
        <v>0</v>
      </c>
      <c r="BE662" s="588">
        <f>IF(OR(BE621=AZ621,BE621=BF621,BE621=BC621),"CHECK",0)</f>
        <v>0</v>
      </c>
      <c r="BF662" s="588">
        <f>IF(OR(BF621=BA621,BF621=BG621,BF621=BE621),"CHECK",0)</f>
        <v>0</v>
      </c>
      <c r="BG662" s="588">
        <f>IF(OR(BG621=BB621,BG621=BH621,BG621=BF621),"CHECK",0)</f>
        <v>0</v>
      </c>
      <c r="BH662" s="588">
        <f>IF(OR(BH621=BC621,BH621=BG621),"CHECK",0)</f>
        <v>0</v>
      </c>
      <c r="BI662" s="588">
        <f>IF(BI621=BD621,"CHECK",0)</f>
        <v>0</v>
      </c>
      <c r="BJ662" s="588">
        <f>IF(OR(BJ621=BE621,BJ621=BK621,BJ621=BH621),"CHECK",0)</f>
        <v>0</v>
      </c>
      <c r="BK662" s="588">
        <f>IF(OR(BK621=BF621,BK621=BL621,BK621=BJ621),"CHECK",0)</f>
        <v>0</v>
      </c>
      <c r="BL662" s="589" t="e">
        <f>IF(OR(BL621=BG621,BL621=BM621,BL621=BK621),"CHECK",0)</f>
        <v>#REF!</v>
      </c>
      <c r="BM662" s="588"/>
      <c r="BN662" s="588"/>
      <c r="BO662" s="588"/>
      <c r="BP662" s="588"/>
      <c r="BQ662" s="588"/>
      <c r="BR662" s="588"/>
      <c r="BS662" s="588"/>
      <c r="BT662" s="588"/>
      <c r="BU662" s="588"/>
      <c r="BV662" s="588"/>
      <c r="BW662" s="519"/>
    </row>
    <row r="663" spans="1:75" s="439" customFormat="1">
      <c r="A663" s="518" t="s">
        <v>562</v>
      </c>
      <c r="B663" s="525"/>
      <c r="C663" s="588">
        <f t="shared" ref="C663:AH663" si="1388">IF(ISBLANK(INDEX(MO_IS_FirstRow,0,COLUMN())),0,ROUND(C567-C498,6))</f>
        <v>0</v>
      </c>
      <c r="D663" s="588">
        <f t="shared" si="1388"/>
        <v>0</v>
      </c>
      <c r="E663" s="588">
        <f t="shared" si="1388"/>
        <v>0</v>
      </c>
      <c r="F663" s="588">
        <f t="shared" si="1388"/>
        <v>0</v>
      </c>
      <c r="G663" s="588">
        <f t="shared" si="1388"/>
        <v>0</v>
      </c>
      <c r="H663" s="588">
        <f t="shared" si="1388"/>
        <v>0</v>
      </c>
      <c r="I663" s="588">
        <f t="shared" si="1388"/>
        <v>0</v>
      </c>
      <c r="J663" s="588">
        <f t="shared" si="1388"/>
        <v>0</v>
      </c>
      <c r="K663" s="588">
        <f t="shared" si="1388"/>
        <v>0</v>
      </c>
      <c r="L663" s="588">
        <f t="shared" si="1388"/>
        <v>0</v>
      </c>
      <c r="M663" s="588">
        <f t="shared" si="1388"/>
        <v>0</v>
      </c>
      <c r="N663" s="588">
        <f t="shared" si="1388"/>
        <v>0</v>
      </c>
      <c r="O663" s="588">
        <f t="shared" si="1388"/>
        <v>0</v>
      </c>
      <c r="P663" s="588">
        <f t="shared" si="1388"/>
        <v>0</v>
      </c>
      <c r="Q663" s="588">
        <f t="shared" si="1388"/>
        <v>0</v>
      </c>
      <c r="R663" s="588">
        <f t="shared" si="1388"/>
        <v>0</v>
      </c>
      <c r="S663" s="588">
        <f t="shared" si="1388"/>
        <v>0</v>
      </c>
      <c r="T663" s="588">
        <f t="shared" si="1388"/>
        <v>0</v>
      </c>
      <c r="U663" s="588">
        <f t="shared" si="1388"/>
        <v>0</v>
      </c>
      <c r="V663" s="588">
        <f t="shared" si="1388"/>
        <v>0</v>
      </c>
      <c r="W663" s="588">
        <f t="shared" si="1388"/>
        <v>0</v>
      </c>
      <c r="X663" s="588">
        <f t="shared" si="1388"/>
        <v>0</v>
      </c>
      <c r="Y663" s="588">
        <f t="shared" si="1388"/>
        <v>0</v>
      </c>
      <c r="Z663" s="588">
        <f t="shared" si="1388"/>
        <v>0</v>
      </c>
      <c r="AA663" s="588">
        <f t="shared" si="1388"/>
        <v>0</v>
      </c>
      <c r="AB663" s="588">
        <f t="shared" si="1388"/>
        <v>0</v>
      </c>
      <c r="AC663" s="588">
        <f t="shared" si="1388"/>
        <v>0</v>
      </c>
      <c r="AD663" s="588">
        <f t="shared" si="1388"/>
        <v>0</v>
      </c>
      <c r="AE663" s="588">
        <f t="shared" si="1388"/>
        <v>0</v>
      </c>
      <c r="AF663" s="588">
        <f t="shared" si="1388"/>
        <v>0</v>
      </c>
      <c r="AG663" s="588">
        <f t="shared" si="1388"/>
        <v>0</v>
      </c>
      <c r="AH663" s="588">
        <f t="shared" si="1388"/>
        <v>0</v>
      </c>
      <c r="AI663" s="588">
        <f t="shared" ref="AI663:AQ663" si="1389">IF(ISBLANK(INDEX(MO_IS_FirstRow,0,COLUMN())),0,ROUND(AI567-AI498,6))</f>
        <v>0</v>
      </c>
      <c r="AJ663" s="588">
        <f t="shared" si="1389"/>
        <v>0</v>
      </c>
      <c r="AK663" s="588">
        <f t="shared" si="1389"/>
        <v>0</v>
      </c>
      <c r="AL663" s="588">
        <f t="shared" si="1389"/>
        <v>0</v>
      </c>
      <c r="AM663" s="588">
        <f t="shared" si="1389"/>
        <v>0</v>
      </c>
      <c r="AN663" s="588">
        <f t="shared" si="1389"/>
        <v>0</v>
      </c>
      <c r="AO663" s="588">
        <f t="shared" si="1389"/>
        <v>0</v>
      </c>
      <c r="AP663" s="588">
        <f t="shared" si="1389"/>
        <v>0</v>
      </c>
      <c r="AQ663" s="588">
        <f t="shared" si="1389"/>
        <v>0</v>
      </c>
      <c r="AR663" s="588">
        <f t="shared" ref="AR663:AW663" si="1390">IF(ISBLANK(INDEX(MO_IS_FirstRow,0,COLUMN())),0,ROUND(AR567-AR498,6))</f>
        <v>0</v>
      </c>
      <c r="AS663" s="588">
        <f t="shared" si="1390"/>
        <v>0</v>
      </c>
      <c r="AT663" s="588">
        <f t="shared" si="1390"/>
        <v>0</v>
      </c>
      <c r="AU663" s="588">
        <f t="shared" si="1390"/>
        <v>0</v>
      </c>
      <c r="AV663" s="588">
        <f t="shared" si="1390"/>
        <v>0</v>
      </c>
      <c r="AW663" s="588">
        <f t="shared" si="1390"/>
        <v>0</v>
      </c>
      <c r="AX663" s="588">
        <f t="shared" ref="AX663:BA663" si="1391">IF(ISBLANK(INDEX(MO_IS_FirstRow,0,COLUMN())),0,ROUND(AX567-AX498,6))</f>
        <v>0</v>
      </c>
      <c r="AY663" s="588">
        <f t="shared" si="1391"/>
        <v>0</v>
      </c>
      <c r="AZ663" s="588">
        <f t="shared" si="1391"/>
        <v>0</v>
      </c>
      <c r="BA663" s="588">
        <f t="shared" si="1391"/>
        <v>0</v>
      </c>
      <c r="BB663" s="588">
        <f t="shared" ref="BB663:BN663" si="1392">IF(ISBLANK(INDEX(MO_IS_FirstRow,0,COLUMN())),0,ROUND(BB567-BB498,6))</f>
        <v>0</v>
      </c>
      <c r="BC663" s="588">
        <f t="shared" si="1392"/>
        <v>0</v>
      </c>
      <c r="BD663" s="588">
        <f t="shared" si="1392"/>
        <v>0</v>
      </c>
      <c r="BE663" s="588">
        <f t="shared" ref="BE663:BM663" si="1393">IF(ISBLANK(INDEX(MO_IS_FirstRow,0,COLUMN())),0,ROUND(BE567-BE498,6))</f>
        <v>0</v>
      </c>
      <c r="BF663" s="588">
        <f t="shared" si="1393"/>
        <v>0</v>
      </c>
      <c r="BG663" s="588">
        <f t="shared" si="1393"/>
        <v>0</v>
      </c>
      <c r="BH663" s="588">
        <f t="shared" si="1393"/>
        <v>0</v>
      </c>
      <c r="BI663" s="588">
        <f t="shared" si="1393"/>
        <v>0</v>
      </c>
      <c r="BJ663" s="588">
        <f>IF(ISBLANK(INDEX(MO_IS_FirstRow,0,COLUMN())),0,ROUND(BJ567-BJ498,6))</f>
        <v>0</v>
      </c>
      <c r="BK663" s="588">
        <f>IF(ISBLANK(INDEX(MO_IS_FirstRow,0,COLUMN())),0,ROUND(BK567-BK498,6))</f>
        <v>0</v>
      </c>
      <c r="BL663" s="589">
        <f>IF(ISBLANK(INDEX(MO_IS_FirstRow,0,COLUMN())),0,ROUND(BL567-BL498,6))</f>
        <v>0</v>
      </c>
      <c r="BM663" s="588">
        <f t="shared" si="1393"/>
        <v>0</v>
      </c>
      <c r="BN663" s="588">
        <f t="shared" si="1392"/>
        <v>0</v>
      </c>
      <c r="BO663" s="588">
        <f t="shared" ref="BO663:BV663" si="1394">IF(ISBLANK(INDEX(MO_IS_FirstRow,0,COLUMN())),0,ROUND(BO567-BO498,6))</f>
        <v>0</v>
      </c>
      <c r="BP663" s="588">
        <f t="shared" si="1394"/>
        <v>0</v>
      </c>
      <c r="BQ663" s="588">
        <f t="shared" si="1394"/>
        <v>0</v>
      </c>
      <c r="BR663" s="588">
        <f t="shared" si="1394"/>
        <v>0</v>
      </c>
      <c r="BS663" s="588">
        <f t="shared" si="1394"/>
        <v>0</v>
      </c>
      <c r="BT663" s="588">
        <f t="shared" si="1394"/>
        <v>0</v>
      </c>
      <c r="BU663" s="588">
        <f t="shared" si="1394"/>
        <v>0</v>
      </c>
      <c r="BV663" s="588">
        <f t="shared" si="1394"/>
        <v>0</v>
      </c>
      <c r="BW663" s="519"/>
    </row>
    <row r="664" spans="1:75" s="439" customFormat="1">
      <c r="A664" s="518" t="s">
        <v>563</v>
      </c>
      <c r="B664" s="525"/>
      <c r="C664" s="588">
        <f t="shared" ref="C664:AH664" si="1395">ROUND(C370-C531-C534-C532,6)</f>
        <v>0</v>
      </c>
      <c r="D664" s="588">
        <f t="shared" si="1395"/>
        <v>0</v>
      </c>
      <c r="E664" s="588">
        <f t="shared" si="1395"/>
        <v>0</v>
      </c>
      <c r="F664" s="588">
        <f t="shared" si="1395"/>
        <v>0</v>
      </c>
      <c r="G664" s="588">
        <f t="shared" si="1395"/>
        <v>0</v>
      </c>
      <c r="H664" s="588">
        <f t="shared" si="1395"/>
        <v>0</v>
      </c>
      <c r="I664" s="588">
        <f t="shared" si="1395"/>
        <v>0</v>
      </c>
      <c r="J664" s="588">
        <f t="shared" si="1395"/>
        <v>0</v>
      </c>
      <c r="K664" s="588">
        <f t="shared" si="1395"/>
        <v>0</v>
      </c>
      <c r="L664" s="588">
        <f t="shared" si="1395"/>
        <v>0</v>
      </c>
      <c r="M664" s="588">
        <f t="shared" si="1395"/>
        <v>0</v>
      </c>
      <c r="N664" s="588">
        <f t="shared" si="1395"/>
        <v>0</v>
      </c>
      <c r="O664" s="588">
        <f t="shared" si="1395"/>
        <v>0</v>
      </c>
      <c r="P664" s="588">
        <f t="shared" si="1395"/>
        <v>0</v>
      </c>
      <c r="Q664" s="588">
        <f t="shared" si="1395"/>
        <v>0</v>
      </c>
      <c r="R664" s="588">
        <f t="shared" si="1395"/>
        <v>0</v>
      </c>
      <c r="S664" s="588">
        <f t="shared" si="1395"/>
        <v>0</v>
      </c>
      <c r="T664" s="588">
        <f t="shared" si="1395"/>
        <v>0</v>
      </c>
      <c r="U664" s="588">
        <f t="shared" si="1395"/>
        <v>0</v>
      </c>
      <c r="V664" s="588">
        <f t="shared" si="1395"/>
        <v>0</v>
      </c>
      <c r="W664" s="588">
        <f t="shared" si="1395"/>
        <v>0</v>
      </c>
      <c r="X664" s="588">
        <f t="shared" si="1395"/>
        <v>0</v>
      </c>
      <c r="Y664" s="588">
        <f t="shared" si="1395"/>
        <v>0</v>
      </c>
      <c r="Z664" s="588">
        <f t="shared" si="1395"/>
        <v>0</v>
      </c>
      <c r="AA664" s="588">
        <f t="shared" si="1395"/>
        <v>0</v>
      </c>
      <c r="AB664" s="588">
        <f t="shared" si="1395"/>
        <v>0</v>
      </c>
      <c r="AC664" s="588">
        <f t="shared" si="1395"/>
        <v>0</v>
      </c>
      <c r="AD664" s="588">
        <f t="shared" si="1395"/>
        <v>0</v>
      </c>
      <c r="AE664" s="588">
        <f t="shared" si="1395"/>
        <v>0</v>
      </c>
      <c r="AF664" s="588">
        <f t="shared" si="1395"/>
        <v>0</v>
      </c>
      <c r="AG664" s="588">
        <f t="shared" si="1395"/>
        <v>0</v>
      </c>
      <c r="AH664" s="588">
        <f t="shared" si="1395"/>
        <v>0</v>
      </c>
      <c r="AI664" s="588">
        <f t="shared" ref="AI664:AQ664" si="1396">ROUND(AI370-AI531-AI534-AI532,6)</f>
        <v>0</v>
      </c>
      <c r="AJ664" s="588">
        <f t="shared" si="1396"/>
        <v>0</v>
      </c>
      <c r="AK664" s="588">
        <f t="shared" si="1396"/>
        <v>0</v>
      </c>
      <c r="AL664" s="588">
        <f t="shared" si="1396"/>
        <v>0</v>
      </c>
      <c r="AM664" s="588">
        <f t="shared" si="1396"/>
        <v>0</v>
      </c>
      <c r="AN664" s="588">
        <f t="shared" si="1396"/>
        <v>0</v>
      </c>
      <c r="AO664" s="588">
        <f t="shared" si="1396"/>
        <v>0</v>
      </c>
      <c r="AP664" s="588">
        <f t="shared" si="1396"/>
        <v>0</v>
      </c>
      <c r="AQ664" s="588">
        <f t="shared" si="1396"/>
        <v>0</v>
      </c>
      <c r="AR664" s="588">
        <f t="shared" ref="AR664:AW664" si="1397">ROUND(AR370-AR531-AR534-AR532,6)</f>
        <v>0</v>
      </c>
      <c r="AS664" s="588">
        <f t="shared" si="1397"/>
        <v>0</v>
      </c>
      <c r="AT664" s="588">
        <f t="shared" si="1397"/>
        <v>0</v>
      </c>
      <c r="AU664" s="588">
        <f t="shared" si="1397"/>
        <v>0</v>
      </c>
      <c r="AV664" s="588">
        <f t="shared" si="1397"/>
        <v>0</v>
      </c>
      <c r="AW664" s="588">
        <f t="shared" si="1397"/>
        <v>0</v>
      </c>
      <c r="AX664" s="588">
        <f t="shared" ref="AX664:BA664" si="1398">ROUND(AX370-AX531-AX534-AX532,6)</f>
        <v>0</v>
      </c>
      <c r="AY664" s="588">
        <f t="shared" si="1398"/>
        <v>0</v>
      </c>
      <c r="AZ664" s="588">
        <f t="shared" si="1398"/>
        <v>0</v>
      </c>
      <c r="BA664" s="588">
        <f t="shared" si="1398"/>
        <v>0</v>
      </c>
      <c r="BB664" s="588">
        <f t="shared" ref="BB664:BN664" si="1399">ROUND(BB370-BB531-BB534-BB532,6)</f>
        <v>0</v>
      </c>
      <c r="BC664" s="588">
        <f t="shared" si="1399"/>
        <v>0</v>
      </c>
      <c r="BD664" s="588">
        <f t="shared" si="1399"/>
        <v>0</v>
      </c>
      <c r="BE664" s="588">
        <f t="shared" ref="BE664:BM664" si="1400">ROUND(BE370-BE531-BE534-BE532,6)</f>
        <v>0</v>
      </c>
      <c r="BF664" s="588">
        <f t="shared" si="1400"/>
        <v>0</v>
      </c>
      <c r="BG664" s="588">
        <f t="shared" si="1400"/>
        <v>0</v>
      </c>
      <c r="BH664" s="588">
        <f t="shared" si="1400"/>
        <v>0</v>
      </c>
      <c r="BI664" s="588">
        <f t="shared" si="1400"/>
        <v>0</v>
      </c>
      <c r="BJ664" s="588">
        <f>ROUND(BJ370-BJ531-BJ534-BJ532,6)</f>
        <v>0</v>
      </c>
      <c r="BK664" s="588">
        <f>ROUND(BK370-BK531-BK534-BK532,6)</f>
        <v>0</v>
      </c>
      <c r="BL664" s="589">
        <f>ROUND(BL370-BL531-BL534-BL532,6)</f>
        <v>0</v>
      </c>
      <c r="BM664" s="588">
        <f t="shared" si="1400"/>
        <v>0</v>
      </c>
      <c r="BN664" s="588">
        <f t="shared" si="1399"/>
        <v>0</v>
      </c>
      <c r="BO664" s="588">
        <f t="shared" ref="BO664:BV664" si="1401">ROUND(BO370-BO531-BO534-BO532,6)</f>
        <v>0</v>
      </c>
      <c r="BP664" s="588">
        <f t="shared" si="1401"/>
        <v>0</v>
      </c>
      <c r="BQ664" s="588">
        <f t="shared" si="1401"/>
        <v>0</v>
      </c>
      <c r="BR664" s="588">
        <f t="shared" si="1401"/>
        <v>0</v>
      </c>
      <c r="BS664" s="588">
        <f t="shared" si="1401"/>
        <v>0</v>
      </c>
      <c r="BT664" s="588">
        <f t="shared" si="1401"/>
        <v>0</v>
      </c>
      <c r="BU664" s="588">
        <f t="shared" si="1401"/>
        <v>0</v>
      </c>
      <c r="BV664" s="588">
        <f t="shared" si="1401"/>
        <v>0</v>
      </c>
      <c r="BW664" s="519"/>
    </row>
    <row r="665" spans="1:75" s="439" customFormat="1">
      <c r="A665" s="518" t="s">
        <v>564</v>
      </c>
      <c r="B665" s="525"/>
      <c r="C665" s="588">
        <f t="shared" ref="C665:AH665" si="1402">ROUND(2-2*IFERROR(INDEX(MO_MA_COGS,0,COLUMN()),0)-2*IFERROR(INDEX(MO_MA_OPEX,0,COLUMN()),0)-2*IFERROR(INDEX(MO_MA_RD,0,COLUMN()),0)-2*IFERROR(INDEX(MO_MA_SM,0,COLUMN()),0)-2*IFERROR(INDEX(MO_MA_GA,0,COLUMN()),0)-2*IFERROR(INDEX(MO_MA_DA_ISAR,0,COLUMN()),0)-2*IFERROR(INDEX(MO_MA_OI_Operating,0,COLUMN()),0)-IFERROR(INDEX(MO_MA_EBIT,0,COLUMN()),0)-IFERROR(INDEX(MO_MA_EBITDA,0,COLUMN()),0)+IFERROR(INDEX(MO_MA_DA,0,COLUMN()),0)+C148,6)</f>
        <v>0</v>
      </c>
      <c r="D665" s="588">
        <f t="shared" si="1402"/>
        <v>0</v>
      </c>
      <c r="E665" s="588">
        <f t="shared" si="1402"/>
        <v>0</v>
      </c>
      <c r="F665" s="588">
        <f t="shared" si="1402"/>
        <v>0</v>
      </c>
      <c r="G665" s="588">
        <f t="shared" si="1402"/>
        <v>0</v>
      </c>
      <c r="H665" s="588">
        <f t="shared" si="1402"/>
        <v>0</v>
      </c>
      <c r="I665" s="588">
        <f t="shared" si="1402"/>
        <v>0</v>
      </c>
      <c r="J665" s="588">
        <f t="shared" si="1402"/>
        <v>0</v>
      </c>
      <c r="K665" s="588">
        <f t="shared" si="1402"/>
        <v>0</v>
      </c>
      <c r="L665" s="588">
        <f t="shared" si="1402"/>
        <v>0</v>
      </c>
      <c r="M665" s="588">
        <f t="shared" si="1402"/>
        <v>0</v>
      </c>
      <c r="N665" s="588">
        <f t="shared" si="1402"/>
        <v>0</v>
      </c>
      <c r="O665" s="588">
        <f t="shared" si="1402"/>
        <v>0</v>
      </c>
      <c r="P665" s="588">
        <f t="shared" si="1402"/>
        <v>0</v>
      </c>
      <c r="Q665" s="588">
        <f t="shared" si="1402"/>
        <v>0</v>
      </c>
      <c r="R665" s="588">
        <f t="shared" si="1402"/>
        <v>0</v>
      </c>
      <c r="S665" s="588">
        <f t="shared" si="1402"/>
        <v>0</v>
      </c>
      <c r="T665" s="588">
        <f t="shared" si="1402"/>
        <v>0</v>
      </c>
      <c r="U665" s="588">
        <f t="shared" si="1402"/>
        <v>0</v>
      </c>
      <c r="V665" s="588">
        <f t="shared" si="1402"/>
        <v>0</v>
      </c>
      <c r="W665" s="588">
        <f t="shared" si="1402"/>
        <v>0</v>
      </c>
      <c r="X665" s="588">
        <f t="shared" si="1402"/>
        <v>0</v>
      </c>
      <c r="Y665" s="588">
        <f t="shared" si="1402"/>
        <v>0</v>
      </c>
      <c r="Z665" s="588">
        <f t="shared" si="1402"/>
        <v>0</v>
      </c>
      <c r="AA665" s="588">
        <f t="shared" si="1402"/>
        <v>0</v>
      </c>
      <c r="AB665" s="588">
        <f t="shared" si="1402"/>
        <v>0</v>
      </c>
      <c r="AC665" s="588">
        <f t="shared" si="1402"/>
        <v>0</v>
      </c>
      <c r="AD665" s="588">
        <f t="shared" si="1402"/>
        <v>0</v>
      </c>
      <c r="AE665" s="588">
        <f t="shared" si="1402"/>
        <v>0</v>
      </c>
      <c r="AF665" s="588">
        <f t="shared" si="1402"/>
        <v>0</v>
      </c>
      <c r="AG665" s="588">
        <f t="shared" si="1402"/>
        <v>0</v>
      </c>
      <c r="AH665" s="588">
        <f t="shared" si="1402"/>
        <v>0</v>
      </c>
      <c r="AI665" s="588">
        <f t="shared" ref="AI665:BN665" si="1403">ROUND(2-2*IFERROR(INDEX(MO_MA_COGS,0,COLUMN()),0)-2*IFERROR(INDEX(MO_MA_OPEX,0,COLUMN()),0)-2*IFERROR(INDEX(MO_MA_RD,0,COLUMN()),0)-2*IFERROR(INDEX(MO_MA_SM,0,COLUMN()),0)-2*IFERROR(INDEX(MO_MA_GA,0,COLUMN()),0)-2*IFERROR(INDEX(MO_MA_DA_ISAR,0,COLUMN()),0)-2*IFERROR(INDEX(MO_MA_OI_Operating,0,COLUMN()),0)-IFERROR(INDEX(MO_MA_EBIT,0,COLUMN()),0)-IFERROR(INDEX(MO_MA_EBITDA,0,COLUMN()),0)+IFERROR(INDEX(MO_MA_DA,0,COLUMN()),0)+AI148,6)</f>
        <v>0</v>
      </c>
      <c r="AJ665" s="588">
        <f t="shared" si="1403"/>
        <v>0</v>
      </c>
      <c r="AK665" s="588">
        <f t="shared" si="1403"/>
        <v>0</v>
      </c>
      <c r="AL665" s="588">
        <f t="shared" si="1403"/>
        <v>0</v>
      </c>
      <c r="AM665" s="588">
        <f t="shared" si="1403"/>
        <v>0</v>
      </c>
      <c r="AN665" s="588">
        <f t="shared" si="1403"/>
        <v>0</v>
      </c>
      <c r="AO665" s="588">
        <f t="shared" si="1403"/>
        <v>0</v>
      </c>
      <c r="AP665" s="588">
        <f t="shared" si="1403"/>
        <v>0</v>
      </c>
      <c r="AQ665" s="588">
        <f t="shared" si="1403"/>
        <v>0</v>
      </c>
      <c r="AR665" s="588">
        <f t="shared" si="1403"/>
        <v>0</v>
      </c>
      <c r="AS665" s="588">
        <f t="shared" si="1403"/>
        <v>0</v>
      </c>
      <c r="AT665" s="588">
        <f t="shared" si="1403"/>
        <v>0</v>
      </c>
      <c r="AU665" s="588">
        <f t="shared" si="1403"/>
        <v>0</v>
      </c>
      <c r="AV665" s="588">
        <f t="shared" si="1403"/>
        <v>0</v>
      </c>
      <c r="AW665" s="588">
        <f t="shared" si="1403"/>
        <v>0</v>
      </c>
      <c r="AX665" s="588">
        <f t="shared" si="1403"/>
        <v>0</v>
      </c>
      <c r="AY665" s="588">
        <f t="shared" si="1403"/>
        <v>0</v>
      </c>
      <c r="AZ665" s="588">
        <f t="shared" si="1403"/>
        <v>0</v>
      </c>
      <c r="BA665" s="588">
        <f t="shared" si="1403"/>
        <v>0</v>
      </c>
      <c r="BB665" s="588">
        <f t="shared" si="1403"/>
        <v>0</v>
      </c>
      <c r="BC665" s="588">
        <f t="shared" si="1403"/>
        <v>0</v>
      </c>
      <c r="BD665" s="588">
        <f t="shared" si="1403"/>
        <v>0</v>
      </c>
      <c r="BE665" s="588">
        <f t="shared" si="1403"/>
        <v>0</v>
      </c>
      <c r="BF665" s="588">
        <f t="shared" si="1403"/>
        <v>0</v>
      </c>
      <c r="BG665" s="588">
        <f t="shared" si="1403"/>
        <v>0</v>
      </c>
      <c r="BH665" s="588">
        <f t="shared" ref="BH665:BM665" si="1404">ROUND(2-2*IFERROR(INDEX(MO_MA_COGS,0,COLUMN()),0)-2*IFERROR(INDEX(MO_MA_OPEX,0,COLUMN()),0)-2*IFERROR(INDEX(MO_MA_RD,0,COLUMN()),0)-2*IFERROR(INDEX(MO_MA_SM,0,COLUMN()),0)-2*IFERROR(INDEX(MO_MA_GA,0,COLUMN()),0)-2*IFERROR(INDEX(MO_MA_DA_ISAR,0,COLUMN()),0)-2*IFERROR(INDEX(MO_MA_OI_Operating,0,COLUMN()),0)-IFERROR(INDEX(MO_MA_EBIT,0,COLUMN()),0)-IFERROR(INDEX(MO_MA_EBITDA,0,COLUMN()),0)+IFERROR(INDEX(MO_MA_DA,0,COLUMN()),0)+BH148,6)</f>
        <v>0</v>
      </c>
      <c r="BI665" s="588">
        <f t="shared" si="1404"/>
        <v>0</v>
      </c>
      <c r="BJ665" s="588">
        <f>ROUND(2-2*IFERROR(INDEX(MO_MA_COGS,0,COLUMN()),0)-2*IFERROR(INDEX(MO_MA_OPEX,0,COLUMN()),0)-2*IFERROR(INDEX(MO_MA_RD,0,COLUMN()),0)-2*IFERROR(INDEX(MO_MA_SM,0,COLUMN()),0)-2*IFERROR(INDEX(MO_MA_GA,0,COLUMN()),0)-2*IFERROR(INDEX(MO_MA_DA_ISAR,0,COLUMN()),0)-2*IFERROR(INDEX(MO_MA_OI_Operating,0,COLUMN()),0)-IFERROR(INDEX(MO_MA_EBIT,0,COLUMN()),0)-IFERROR(INDEX(MO_MA_EBITDA,0,COLUMN()),0)+IFERROR(INDEX(MO_MA_DA,0,COLUMN()),0)+BJ148,6)</f>
        <v>0</v>
      </c>
      <c r="BK665" s="588">
        <f>ROUND(2-2*IFERROR(INDEX(MO_MA_COGS,0,COLUMN()),0)-2*IFERROR(INDEX(MO_MA_OPEX,0,COLUMN()),0)-2*IFERROR(INDEX(MO_MA_RD,0,COLUMN()),0)-2*IFERROR(INDEX(MO_MA_SM,0,COLUMN()),0)-2*IFERROR(INDEX(MO_MA_GA,0,COLUMN()),0)-2*IFERROR(INDEX(MO_MA_DA_ISAR,0,COLUMN()),0)-2*IFERROR(INDEX(MO_MA_OI_Operating,0,COLUMN()),0)-IFERROR(INDEX(MO_MA_EBIT,0,COLUMN()),0)-IFERROR(INDEX(MO_MA_EBITDA,0,COLUMN()),0)+IFERROR(INDEX(MO_MA_DA,0,COLUMN()),0)+BK148,6)</f>
        <v>0</v>
      </c>
      <c r="BL665" s="589">
        <f>ROUND(2-2*IFERROR(INDEX(MO_MA_COGS,0,COLUMN()),0)-2*IFERROR(INDEX(MO_MA_OPEX,0,COLUMN()),0)-2*IFERROR(INDEX(MO_MA_RD,0,COLUMN()),0)-2*IFERROR(INDEX(MO_MA_SM,0,COLUMN()),0)-2*IFERROR(INDEX(MO_MA_GA,0,COLUMN()),0)-2*IFERROR(INDEX(MO_MA_DA_ISAR,0,COLUMN()),0)-2*IFERROR(INDEX(MO_MA_OI_Operating,0,COLUMN()),0)-IFERROR(INDEX(MO_MA_EBIT,0,COLUMN()),0)-IFERROR(INDEX(MO_MA_EBITDA,0,COLUMN()),0)+IFERROR(INDEX(MO_MA_DA,0,COLUMN()),0)+BL148,6)</f>
        <v>0</v>
      </c>
      <c r="BM665" s="588">
        <f t="shared" ca="1" si="1404"/>
        <v>0</v>
      </c>
      <c r="BN665" s="588">
        <f t="shared" ca="1" si="1403"/>
        <v>0</v>
      </c>
      <c r="BO665" s="588" t="e">
        <f t="shared" ref="BO665:BV665" ca="1" si="1405">ROUND(2-2*IFERROR(INDEX(MO_MA_COGS,0,COLUMN()),0)-2*IFERROR(INDEX(MO_MA_OPEX,0,COLUMN()),0)-2*IFERROR(INDEX(MO_MA_RD,0,COLUMN()),0)-2*IFERROR(INDEX(MO_MA_SM,0,COLUMN()),0)-2*IFERROR(INDEX(MO_MA_GA,0,COLUMN()),0)-2*IFERROR(INDEX(MO_MA_DA_ISAR,0,COLUMN()),0)-2*IFERROR(INDEX(MO_MA_OI_Operating,0,COLUMN()),0)-IFERROR(INDEX(MO_MA_EBIT,0,COLUMN()),0)-IFERROR(INDEX(MO_MA_EBITDA,0,COLUMN()),0)+IFERROR(INDEX(MO_MA_DA,0,COLUMN()),0)+BO148,6)</f>
        <v>#VALUE!</v>
      </c>
      <c r="BP665" s="588" t="e">
        <f t="shared" ca="1" si="1405"/>
        <v>#VALUE!</v>
      </c>
      <c r="BQ665" s="588" t="e">
        <f t="shared" ca="1" si="1405"/>
        <v>#VALUE!</v>
      </c>
      <c r="BR665" s="588" t="e">
        <f t="shared" ca="1" si="1405"/>
        <v>#VALUE!</v>
      </c>
      <c r="BS665" s="588" t="e">
        <f t="shared" ca="1" si="1405"/>
        <v>#VALUE!</v>
      </c>
      <c r="BT665" s="588" t="e">
        <f t="shared" ca="1" si="1405"/>
        <v>#VALUE!</v>
      </c>
      <c r="BU665" s="588" t="e">
        <f t="shared" ca="1" si="1405"/>
        <v>#VALUE!</v>
      </c>
      <c r="BV665" s="588" t="e">
        <f t="shared" ca="1" si="1405"/>
        <v>#VALUE!</v>
      </c>
      <c r="BW665" s="519"/>
    </row>
    <row r="666" spans="1:75" s="439" customFormat="1">
      <c r="A666" s="518" t="s">
        <v>565</v>
      </c>
      <c r="B666" s="525"/>
      <c r="C666" s="588">
        <f t="shared" ref="C666:AH666" si="1406">IF(ISBLANK(INDEX(MO_IS_FirstRow,0,COLUMN())),0,IF(MOD(C138*1000000,1)=0,"Check",0))</f>
        <v>0</v>
      </c>
      <c r="D666" s="588">
        <f t="shared" si="1406"/>
        <v>0</v>
      </c>
      <c r="E666" s="588">
        <f t="shared" si="1406"/>
        <v>0</v>
      </c>
      <c r="F666" s="588">
        <f t="shared" si="1406"/>
        <v>0</v>
      </c>
      <c r="G666" s="588">
        <f t="shared" si="1406"/>
        <v>0</v>
      </c>
      <c r="H666" s="588">
        <f t="shared" si="1406"/>
        <v>0</v>
      </c>
      <c r="I666" s="588">
        <f t="shared" si="1406"/>
        <v>0</v>
      </c>
      <c r="J666" s="588">
        <f t="shared" si="1406"/>
        <v>0</v>
      </c>
      <c r="K666" s="588">
        <f t="shared" si="1406"/>
        <v>0</v>
      </c>
      <c r="L666" s="588">
        <f t="shared" si="1406"/>
        <v>0</v>
      </c>
      <c r="M666" s="588">
        <f t="shared" si="1406"/>
        <v>0</v>
      </c>
      <c r="N666" s="588">
        <f t="shared" si="1406"/>
        <v>0</v>
      </c>
      <c r="O666" s="588">
        <f t="shared" si="1406"/>
        <v>0</v>
      </c>
      <c r="P666" s="588">
        <f t="shared" si="1406"/>
        <v>0</v>
      </c>
      <c r="Q666" s="588">
        <f t="shared" si="1406"/>
        <v>0</v>
      </c>
      <c r="R666" s="588">
        <f t="shared" si="1406"/>
        <v>0</v>
      </c>
      <c r="S666" s="588">
        <f t="shared" si="1406"/>
        <v>0</v>
      </c>
      <c r="T666" s="588">
        <f t="shared" si="1406"/>
        <v>0</v>
      </c>
      <c r="U666" s="588">
        <f t="shared" si="1406"/>
        <v>0</v>
      </c>
      <c r="V666" s="588">
        <f t="shared" si="1406"/>
        <v>0</v>
      </c>
      <c r="W666" s="588">
        <f t="shared" si="1406"/>
        <v>0</v>
      </c>
      <c r="X666" s="588">
        <f t="shared" si="1406"/>
        <v>0</v>
      </c>
      <c r="Y666" s="588">
        <f t="shared" si="1406"/>
        <v>0</v>
      </c>
      <c r="Z666" s="588">
        <f t="shared" si="1406"/>
        <v>0</v>
      </c>
      <c r="AA666" s="588">
        <f t="shared" si="1406"/>
        <v>0</v>
      </c>
      <c r="AB666" s="588">
        <f t="shared" si="1406"/>
        <v>0</v>
      </c>
      <c r="AC666" s="588">
        <f t="shared" si="1406"/>
        <v>0</v>
      </c>
      <c r="AD666" s="588">
        <f t="shared" si="1406"/>
        <v>0</v>
      </c>
      <c r="AE666" s="588">
        <f t="shared" si="1406"/>
        <v>0</v>
      </c>
      <c r="AF666" s="588">
        <f t="shared" si="1406"/>
        <v>0</v>
      </c>
      <c r="AG666" s="588">
        <f t="shared" si="1406"/>
        <v>0</v>
      </c>
      <c r="AH666" s="588">
        <f t="shared" si="1406"/>
        <v>0</v>
      </c>
      <c r="AI666" s="588">
        <f t="shared" ref="AI666:BN666" si="1407">IF(ISBLANK(INDEX(MO_IS_FirstRow,0,COLUMN())),0,IF(MOD(AI138*1000000,1)=0,"Check",0))</f>
        <v>0</v>
      </c>
      <c r="AJ666" s="588">
        <f t="shared" si="1407"/>
        <v>0</v>
      </c>
      <c r="AK666" s="588">
        <f t="shared" si="1407"/>
        <v>0</v>
      </c>
      <c r="AL666" s="588">
        <f t="shared" si="1407"/>
        <v>0</v>
      </c>
      <c r="AM666" s="588">
        <f t="shared" si="1407"/>
        <v>0</v>
      </c>
      <c r="AN666" s="588">
        <f t="shared" si="1407"/>
        <v>0</v>
      </c>
      <c r="AO666" s="588">
        <f t="shared" si="1407"/>
        <v>0</v>
      </c>
      <c r="AP666" s="588">
        <f t="shared" si="1407"/>
        <v>0</v>
      </c>
      <c r="AQ666" s="588">
        <f t="shared" si="1407"/>
        <v>0</v>
      </c>
      <c r="AR666" s="588">
        <f t="shared" si="1407"/>
        <v>0</v>
      </c>
      <c r="AS666" s="588">
        <f t="shared" si="1407"/>
        <v>0</v>
      </c>
      <c r="AT666" s="588">
        <f t="shared" si="1407"/>
        <v>0</v>
      </c>
      <c r="AU666" s="588">
        <f t="shared" si="1407"/>
        <v>0</v>
      </c>
      <c r="AV666" s="588">
        <f t="shared" si="1407"/>
        <v>0</v>
      </c>
      <c r="AW666" s="588">
        <f t="shared" si="1407"/>
        <v>0</v>
      </c>
      <c r="AX666" s="588">
        <f t="shared" si="1407"/>
        <v>0</v>
      </c>
      <c r="AY666" s="588">
        <f t="shared" si="1407"/>
        <v>0</v>
      </c>
      <c r="AZ666" s="588">
        <f t="shared" si="1407"/>
        <v>0</v>
      </c>
      <c r="BA666" s="588">
        <f t="shared" si="1407"/>
        <v>0</v>
      </c>
      <c r="BB666" s="588">
        <f t="shared" si="1407"/>
        <v>0</v>
      </c>
      <c r="BC666" s="588">
        <f t="shared" si="1407"/>
        <v>0</v>
      </c>
      <c r="BD666" s="588">
        <f t="shared" si="1407"/>
        <v>0</v>
      </c>
      <c r="BE666" s="588">
        <f t="shared" si="1407"/>
        <v>0</v>
      </c>
      <c r="BF666" s="588">
        <f t="shared" si="1407"/>
        <v>0</v>
      </c>
      <c r="BG666" s="588">
        <f t="shared" si="1407"/>
        <v>0</v>
      </c>
      <c r="BH666" s="588">
        <f t="shared" ref="BH666:BM666" si="1408">IF(ISBLANK(INDEX(MO_IS_FirstRow,0,COLUMN())),0,IF(MOD(BH138*1000000,1)=0,"Check",0))</f>
        <v>0</v>
      </c>
      <c r="BI666" s="588">
        <f t="shared" si="1408"/>
        <v>0</v>
      </c>
      <c r="BJ666" s="588">
        <f>IF(ISBLANK(INDEX(MO_IS_FirstRow,0,COLUMN())),0,IF(MOD(BJ138*1000000,1)=0,"Check",0))</f>
        <v>0</v>
      </c>
      <c r="BK666" s="588">
        <f>IF(ISBLANK(INDEX(MO_IS_FirstRow,0,COLUMN())),0,IF(MOD(BK138*1000000,1)=0,"Check",0))</f>
        <v>0</v>
      </c>
      <c r="BL666" s="589">
        <f>IF(ISBLANK(INDEX(MO_IS_FirstRow,0,COLUMN())),0,IF(MOD(BL138*1000000,1)=0,"Check",0))</f>
        <v>0</v>
      </c>
      <c r="BM666" s="588">
        <f t="shared" si="1408"/>
        <v>0</v>
      </c>
      <c r="BN666" s="588">
        <f t="shared" si="1407"/>
        <v>0</v>
      </c>
      <c r="BO666" s="588">
        <f t="shared" ref="BO666:BV666" si="1409">IF(ISBLANK(INDEX(MO_IS_FirstRow,0,COLUMN())),0,IF(MOD(BO138*1000000,1)=0,"Check",0))</f>
        <v>0</v>
      </c>
      <c r="BP666" s="588">
        <f t="shared" si="1409"/>
        <v>0</v>
      </c>
      <c r="BQ666" s="588">
        <f t="shared" si="1409"/>
        <v>0</v>
      </c>
      <c r="BR666" s="588">
        <f t="shared" si="1409"/>
        <v>0</v>
      </c>
      <c r="BS666" s="588">
        <f t="shared" si="1409"/>
        <v>0</v>
      </c>
      <c r="BT666" s="588">
        <f t="shared" si="1409"/>
        <v>0</v>
      </c>
      <c r="BU666" s="588">
        <f t="shared" si="1409"/>
        <v>0</v>
      </c>
      <c r="BV666" s="588">
        <f t="shared" si="1409"/>
        <v>0</v>
      </c>
      <c r="BW666" s="519"/>
    </row>
    <row r="667" spans="1:75" s="439" customFormat="1">
      <c r="A667" s="518" t="s">
        <v>566</v>
      </c>
      <c r="B667" s="525"/>
      <c r="C667" s="588"/>
      <c r="D667" s="588"/>
      <c r="E667" s="588"/>
      <c r="F667" s="588"/>
      <c r="G667" s="588"/>
      <c r="H667" s="588"/>
      <c r="I667" s="588"/>
      <c r="J667" s="588"/>
      <c r="K667" s="588"/>
      <c r="L667" s="588"/>
      <c r="M667" s="588"/>
      <c r="N667" s="588"/>
      <c r="O667" s="588"/>
      <c r="P667" s="588"/>
      <c r="Q667" s="588"/>
      <c r="R667" s="588"/>
      <c r="S667" s="588"/>
      <c r="T667" s="588"/>
      <c r="U667" s="588">
        <f>IF(ISBLANK(INDEX(MO_IS_FirstRow,0,COLUMN())),0,ROUND(U191-SUM(Q191,R191,S191,T191),6)+ROUND(U199-SUM(Q199,R199,S199,T199),6))</f>
        <v>0</v>
      </c>
      <c r="V667" s="588"/>
      <c r="W667" s="588"/>
      <c r="X667" s="588"/>
      <c r="Y667" s="588"/>
      <c r="Z667" s="588">
        <f>IF(ISBLANK(INDEX(MO_IS_FirstRow,0,COLUMN())),0,ROUND(Z191-SUM(V191,W191,X191,Y191),6)+ROUND(Z199-SUM(V199,W199,X199,Y199),6))</f>
        <v>2E-3</v>
      </c>
      <c r="AA667" s="588"/>
      <c r="AB667" s="588"/>
      <c r="AC667" s="588"/>
      <c r="AD667" s="588"/>
      <c r="AE667" s="588">
        <f>IF(ISBLANK(INDEX(MO_IS_FirstRow,0,COLUMN())),0,ROUND(AE191-SUM(AA191,AB191,AC191,AD191),6)+ROUND(AE199-SUM(AA199,AB199,AC199,AD199),6))</f>
        <v>1E-3</v>
      </c>
      <c r="AF667" s="588"/>
      <c r="AG667" s="588"/>
      <c r="AH667" s="588"/>
      <c r="AI667" s="588"/>
      <c r="AJ667" s="588">
        <f>IF(ISBLANK(INDEX(MO_IS_FirstRow,0,COLUMN())),0,ROUND(AJ191-SUM(AF191,AG191,AH191,AI191),6)+ROUND(AJ199-SUM(AF199,AG199,AH199,AI199),6))</f>
        <v>0</v>
      </c>
      <c r="AK667" s="588"/>
      <c r="AL667" s="588"/>
      <c r="AM667" s="588"/>
      <c r="AN667" s="588"/>
      <c r="AO667" s="588">
        <f>IF(ISBLANK(INDEX(MO_IS_FirstRow,0,COLUMN())),0,ROUND(AO191-SUM(AK191,AL191,AM191,AN191),6)+ROUND(AO199-SUM(AK199,AL199,AM199,AN199),6))</f>
        <v>0</v>
      </c>
      <c r="AP667" s="588"/>
      <c r="AQ667" s="588"/>
      <c r="AR667" s="588"/>
      <c r="AS667" s="588"/>
      <c r="AT667" s="588">
        <f>IF(ISBLANK(INDEX(MO_IS_FirstRow,0,COLUMN())),0,ROUND(AT191-SUM(AP191,AQ191,AR191,AS191),6)+ROUND(AT199-SUM(AP199,AQ199,AR199,AS199),6))</f>
        <v>0</v>
      </c>
      <c r="AU667" s="588"/>
      <c r="AV667" s="588"/>
      <c r="AW667" s="588"/>
      <c r="AX667" s="588"/>
      <c r="AY667" s="588">
        <f>IF(ISBLANK(INDEX(MO_IS_FirstRow,0,COLUMN())),0,ROUND(AY191-SUM(AU191,AV191,AW191,AX191),6)+ROUND(AY199-SUM(AU199,AV199,AW199,AX199),6))</f>
        <v>0</v>
      </c>
      <c r="AZ667" s="588"/>
      <c r="BA667" s="588"/>
      <c r="BB667" s="588"/>
      <c r="BC667" s="588"/>
      <c r="BD667" s="588">
        <f>IF(ISBLANK(INDEX(MO_IS_FirstRow,0,COLUMN())),0,ROUND(BD191-SUM(AZ191,BA191,BB191,BC191),6)+ROUND(BD199-SUM(AZ199,BA199,BB199,BC199),6))</f>
        <v>0</v>
      </c>
      <c r="BE667" s="588"/>
      <c r="BF667" s="588"/>
      <c r="BG667" s="588"/>
      <c r="BH667" s="588"/>
      <c r="BI667" s="588">
        <f>IF(ISBLANK(INDEX(MO_IS_FirstRow,0,COLUMN())),0,ROUND(BI191-SUM(BE191,BF191,BG191,BH191),6)+ROUND(BI199-SUM(BE199,BF199,BG199,BH199),6))</f>
        <v>0</v>
      </c>
      <c r="BJ667" s="588"/>
      <c r="BK667" s="588"/>
      <c r="BL667" s="589"/>
      <c r="BM667" s="588"/>
      <c r="BN667" s="588">
        <f>IF(ISBLANK(INDEX(MO_IS_FirstRow,0,COLUMN())),0,ROUND(BN191-SUM(BJ191,BK191,BL191,BM191),6)+ROUND(BN199-SUM(BJ199,BK199,BL199,BM199),6))</f>
        <v>0</v>
      </c>
      <c r="BO667" s="588"/>
      <c r="BP667" s="588"/>
      <c r="BQ667" s="588"/>
      <c r="BR667" s="588"/>
      <c r="BS667" s="588">
        <f>IF(ISBLANK(INDEX(MO_IS_FirstRow,0,COLUMN())),0,ROUND(BS191-SUM(BO191,BP191,BQ191,BR191),6)+ROUND(BS199-SUM(BO199,BP199,BQ199,BR199),6))</f>
        <v>0</v>
      </c>
      <c r="BT667" s="588"/>
      <c r="BU667" s="588"/>
      <c r="BV667" s="588"/>
      <c r="BW667" s="519"/>
    </row>
    <row r="668" spans="1:75" s="439" customFormat="1">
      <c r="A668" s="518" t="s">
        <v>567</v>
      </c>
      <c r="B668" s="525"/>
      <c r="C668" s="588">
        <f t="shared" ref="C668:AH668" si="1410">IF(OR(INDEX(MO_CFSum_Acquisition,1,COLUMN())&gt;0,INDEX(MO_CFSum_Divestiture,1,COLUMN())&lt;0,INDEX(MO_CFSum_Capex,1,COLUMN())&gt;0,INDEX(MO_CFSum_Dividend,1,COLUMN())&gt;0),"CHECK",0)</f>
        <v>0</v>
      </c>
      <c r="D668" s="588">
        <f t="shared" si="1410"/>
        <v>0</v>
      </c>
      <c r="E668" s="588">
        <f t="shared" si="1410"/>
        <v>0</v>
      </c>
      <c r="F668" s="588">
        <f t="shared" si="1410"/>
        <v>0</v>
      </c>
      <c r="G668" s="588">
        <f t="shared" si="1410"/>
        <v>0</v>
      </c>
      <c r="H668" s="588">
        <f t="shared" si="1410"/>
        <v>0</v>
      </c>
      <c r="I668" s="588">
        <f t="shared" si="1410"/>
        <v>0</v>
      </c>
      <c r="J668" s="588">
        <f t="shared" si="1410"/>
        <v>0</v>
      </c>
      <c r="K668" s="588">
        <f t="shared" si="1410"/>
        <v>0</v>
      </c>
      <c r="L668" s="588">
        <f t="shared" si="1410"/>
        <v>0</v>
      </c>
      <c r="M668" s="588">
        <f t="shared" si="1410"/>
        <v>0</v>
      </c>
      <c r="N668" s="588">
        <f t="shared" si="1410"/>
        <v>0</v>
      </c>
      <c r="O668" s="588">
        <f t="shared" si="1410"/>
        <v>0</v>
      </c>
      <c r="P668" s="588">
        <f t="shared" si="1410"/>
        <v>0</v>
      </c>
      <c r="Q668" s="588">
        <f t="shared" si="1410"/>
        <v>0</v>
      </c>
      <c r="R668" s="588">
        <f t="shared" si="1410"/>
        <v>0</v>
      </c>
      <c r="S668" s="588">
        <f t="shared" si="1410"/>
        <v>0</v>
      </c>
      <c r="T668" s="588">
        <f t="shared" si="1410"/>
        <v>0</v>
      </c>
      <c r="U668" s="588">
        <f t="shared" si="1410"/>
        <v>0</v>
      </c>
      <c r="V668" s="588">
        <f t="shared" si="1410"/>
        <v>0</v>
      </c>
      <c r="W668" s="588">
        <f t="shared" si="1410"/>
        <v>0</v>
      </c>
      <c r="X668" s="588">
        <f t="shared" si="1410"/>
        <v>0</v>
      </c>
      <c r="Y668" s="588">
        <f t="shared" si="1410"/>
        <v>0</v>
      </c>
      <c r="Z668" s="588">
        <f t="shared" si="1410"/>
        <v>0</v>
      </c>
      <c r="AA668" s="588">
        <f t="shared" si="1410"/>
        <v>0</v>
      </c>
      <c r="AB668" s="588">
        <f t="shared" si="1410"/>
        <v>0</v>
      </c>
      <c r="AC668" s="588">
        <f t="shared" si="1410"/>
        <v>0</v>
      </c>
      <c r="AD668" s="588">
        <f t="shared" si="1410"/>
        <v>0</v>
      </c>
      <c r="AE668" s="588">
        <f t="shared" si="1410"/>
        <v>0</v>
      </c>
      <c r="AF668" s="588">
        <f t="shared" si="1410"/>
        <v>0</v>
      </c>
      <c r="AG668" s="588">
        <f t="shared" si="1410"/>
        <v>0</v>
      </c>
      <c r="AH668" s="588">
        <f t="shared" si="1410"/>
        <v>0</v>
      </c>
      <c r="AI668" s="588">
        <f t="shared" ref="AI668:AQ668" si="1411">IF(OR(INDEX(MO_CFSum_Acquisition,1,COLUMN())&gt;0,INDEX(MO_CFSum_Divestiture,1,COLUMN())&lt;0,INDEX(MO_CFSum_Capex,1,COLUMN())&gt;0,INDEX(MO_CFSum_Dividend,1,COLUMN())&gt;0),"CHECK",0)</f>
        <v>0</v>
      </c>
      <c r="AJ668" s="588">
        <f t="shared" si="1411"/>
        <v>0</v>
      </c>
      <c r="AK668" s="588">
        <f t="shared" si="1411"/>
        <v>0</v>
      </c>
      <c r="AL668" s="588">
        <f t="shared" si="1411"/>
        <v>0</v>
      </c>
      <c r="AM668" s="588">
        <f t="shared" si="1411"/>
        <v>0</v>
      </c>
      <c r="AN668" s="588">
        <f t="shared" si="1411"/>
        <v>0</v>
      </c>
      <c r="AO668" s="588">
        <f t="shared" si="1411"/>
        <v>0</v>
      </c>
      <c r="AP668" s="588">
        <f t="shared" si="1411"/>
        <v>0</v>
      </c>
      <c r="AQ668" s="588">
        <f t="shared" si="1411"/>
        <v>0</v>
      </c>
      <c r="AR668" s="588">
        <f t="shared" ref="AR668:AW668" si="1412">IF(OR(INDEX(MO_CFSum_Acquisition,1,COLUMN())&gt;0,INDEX(MO_CFSum_Divestiture,1,COLUMN())&lt;0,INDEX(MO_CFSum_Capex,1,COLUMN())&gt;0,INDEX(MO_CFSum_Dividend,1,COLUMN())&gt;0),"CHECK",0)</f>
        <v>0</v>
      </c>
      <c r="AS668" s="588">
        <f t="shared" si="1412"/>
        <v>0</v>
      </c>
      <c r="AT668" s="588">
        <f t="shared" si="1412"/>
        <v>0</v>
      </c>
      <c r="AU668" s="588">
        <f t="shared" si="1412"/>
        <v>0</v>
      </c>
      <c r="AV668" s="588">
        <f t="shared" si="1412"/>
        <v>0</v>
      </c>
      <c r="AW668" s="588">
        <f t="shared" si="1412"/>
        <v>0</v>
      </c>
      <c r="AX668" s="588">
        <f t="shared" ref="AX668:BA668" si="1413">IF(OR(INDEX(MO_CFSum_Acquisition,1,COLUMN())&gt;0,INDEX(MO_CFSum_Divestiture,1,COLUMN())&lt;0,INDEX(MO_CFSum_Capex,1,COLUMN())&gt;0,INDEX(MO_CFSum_Dividend,1,COLUMN())&gt;0),"CHECK",0)</f>
        <v>0</v>
      </c>
      <c r="AY668" s="588">
        <f t="shared" si="1413"/>
        <v>0</v>
      </c>
      <c r="AZ668" s="588">
        <f t="shared" si="1413"/>
        <v>0</v>
      </c>
      <c r="BA668" s="588">
        <f t="shared" si="1413"/>
        <v>0</v>
      </c>
      <c r="BB668" s="588">
        <f t="shared" ref="BB668:BN668" si="1414">IF(OR(INDEX(MO_CFSum_Acquisition,1,COLUMN())&gt;0,INDEX(MO_CFSum_Divestiture,1,COLUMN())&lt;0,INDEX(MO_CFSum_Capex,1,COLUMN())&gt;0,INDEX(MO_CFSum_Dividend,1,COLUMN())&gt;0),"CHECK",0)</f>
        <v>0</v>
      </c>
      <c r="BC668" s="588">
        <f t="shared" si="1414"/>
        <v>0</v>
      </c>
      <c r="BD668" s="588">
        <f t="shared" si="1414"/>
        <v>0</v>
      </c>
      <c r="BE668" s="588">
        <f t="shared" ref="BE668:BM668" si="1415">IF(OR(INDEX(MO_CFSum_Acquisition,1,COLUMN())&gt;0,INDEX(MO_CFSum_Divestiture,1,COLUMN())&lt;0,INDEX(MO_CFSum_Capex,1,COLUMN())&gt;0,INDEX(MO_CFSum_Dividend,1,COLUMN())&gt;0),"CHECK",0)</f>
        <v>0</v>
      </c>
      <c r="BF668" s="588">
        <f t="shared" si="1415"/>
        <v>0</v>
      </c>
      <c r="BG668" s="588">
        <f t="shared" si="1415"/>
        <v>0</v>
      </c>
      <c r="BH668" s="588">
        <f t="shared" si="1415"/>
        <v>0</v>
      </c>
      <c r="BI668" s="588">
        <f t="shared" si="1415"/>
        <v>0</v>
      </c>
      <c r="BJ668" s="588">
        <f>IF(OR(INDEX(MO_CFSum_Acquisition,1,COLUMN())&gt;0,INDEX(MO_CFSum_Divestiture,1,COLUMN())&lt;0,INDEX(MO_CFSum_Capex,1,COLUMN())&gt;0,INDEX(MO_CFSum_Dividend,1,COLUMN())&gt;0),"CHECK",0)</f>
        <v>0</v>
      </c>
      <c r="BK668" s="588">
        <f>IF(OR(INDEX(MO_CFSum_Acquisition,1,COLUMN())&gt;0,INDEX(MO_CFSum_Divestiture,1,COLUMN())&lt;0,INDEX(MO_CFSum_Capex,1,COLUMN())&gt;0,INDEX(MO_CFSum_Dividend,1,COLUMN())&gt;0),"CHECK",0)</f>
        <v>0</v>
      </c>
      <c r="BL668" s="589">
        <f>IF(OR(INDEX(MO_CFSum_Acquisition,1,COLUMN())&gt;0,INDEX(MO_CFSum_Divestiture,1,COLUMN())&lt;0,INDEX(MO_CFSum_Capex,1,COLUMN())&gt;0,INDEX(MO_CFSum_Dividend,1,COLUMN())&gt;0),"CHECK",0)</f>
        <v>0</v>
      </c>
      <c r="BM668" s="588" t="e">
        <f t="shared" si="1415"/>
        <v>#REF!</v>
      </c>
      <c r="BN668" s="588" t="e">
        <f t="shared" si="1414"/>
        <v>#REF!</v>
      </c>
      <c r="BO668" s="588" t="e">
        <f t="shared" ref="BO668:BV668" si="1416">IF(OR(INDEX(MO_CFSum_Acquisition,1,COLUMN())&gt;0,INDEX(MO_CFSum_Divestiture,1,COLUMN())&lt;0,INDEX(MO_CFSum_Capex,1,COLUMN())&gt;0,INDEX(MO_CFSum_Dividend,1,COLUMN())&gt;0),"CHECK",0)</f>
        <v>#REF!</v>
      </c>
      <c r="BP668" s="588" t="e">
        <f t="shared" si="1416"/>
        <v>#REF!</v>
      </c>
      <c r="BQ668" s="588" t="e">
        <f t="shared" si="1416"/>
        <v>#REF!</v>
      </c>
      <c r="BR668" s="588" t="e">
        <f t="shared" si="1416"/>
        <v>#REF!</v>
      </c>
      <c r="BS668" s="588" t="e">
        <f t="shared" si="1416"/>
        <v>#REF!</v>
      </c>
      <c r="BT668" s="588" t="e">
        <f t="shared" si="1416"/>
        <v>#REF!</v>
      </c>
      <c r="BU668" s="588" t="e">
        <f t="shared" si="1416"/>
        <v>#REF!</v>
      </c>
      <c r="BV668" s="588" t="e">
        <f t="shared" si="1416"/>
        <v>#REF!</v>
      </c>
      <c r="BW668" s="519"/>
    </row>
    <row r="669" spans="1:75" s="439" customFormat="1">
      <c r="A669" s="518" t="s">
        <v>568</v>
      </c>
      <c r="B669" s="525"/>
      <c r="C669" s="588"/>
      <c r="D669" s="588"/>
      <c r="E669" s="588"/>
      <c r="F669" s="588"/>
      <c r="G669" s="588"/>
      <c r="H669" s="588"/>
      <c r="I669" s="588"/>
      <c r="J669" s="588"/>
      <c r="K669" s="588">
        <f>ROUND(K242-SUM(G242,H242,I242,J242),6)</f>
        <v>0</v>
      </c>
      <c r="L669" s="588"/>
      <c r="M669" s="588"/>
      <c r="N669" s="588"/>
      <c r="O669" s="588"/>
      <c r="P669" s="588">
        <f>ROUND(P242-SUM(L242,M242,N242,O242),6)</f>
        <v>0</v>
      </c>
      <c r="Q669" s="588"/>
      <c r="R669" s="588"/>
      <c r="S669" s="588"/>
      <c r="T669" s="588"/>
      <c r="U669" s="588">
        <f>ROUND(U242-SUM(Q242,R242,S242,T242),6)</f>
        <v>0</v>
      </c>
      <c r="V669" s="588"/>
      <c r="W669" s="588"/>
      <c r="X669" s="588"/>
      <c r="Y669" s="588"/>
      <c r="Z669" s="588">
        <f>ROUND(Z242-SUM(V242,W242,X242,Y242),6)</f>
        <v>0</v>
      </c>
      <c r="AA669" s="588"/>
      <c r="AB669" s="588"/>
      <c r="AC669" s="588"/>
      <c r="AD669" s="588"/>
      <c r="AE669" s="588">
        <f>ROUND(AE242-SUM(AA242,AB242,AC242,AD242),6)</f>
        <v>0</v>
      </c>
      <c r="AF669" s="588"/>
      <c r="AG669" s="588"/>
      <c r="AH669" s="588"/>
      <c r="AI669" s="588"/>
      <c r="AJ669" s="588">
        <f>ROUND(AJ242-SUM(AF242,AG242,AH242,AI242),6)</f>
        <v>0</v>
      </c>
      <c r="AK669" s="588"/>
      <c r="AL669" s="588"/>
      <c r="AM669" s="588"/>
      <c r="AN669" s="588"/>
      <c r="AO669" s="588">
        <f>ROUND(AO242-SUM(AK242,AL242,AM242,AN242),6)</f>
        <v>0</v>
      </c>
      <c r="AP669" s="588"/>
      <c r="AQ669" s="588"/>
      <c r="AR669" s="588"/>
      <c r="AS669" s="588"/>
      <c r="AT669" s="588">
        <f>ROUND(AT242-SUM(AP242,AQ242,AR242,AS242),6)</f>
        <v>0</v>
      </c>
      <c r="AU669" s="588"/>
      <c r="AV669" s="588"/>
      <c r="AW669" s="588"/>
      <c r="AX669" s="588"/>
      <c r="AY669" s="588">
        <f>ROUND(AY242-SUM(AU242,AV242,AW242,AX242),6)</f>
        <v>0</v>
      </c>
      <c r="AZ669" s="588"/>
      <c r="BA669" s="588"/>
      <c r="BB669" s="588"/>
      <c r="BC669" s="588"/>
      <c r="BD669" s="588">
        <f>ROUND(BD242-SUM(AZ242,BA242,BB242,BC242),6)</f>
        <v>0</v>
      </c>
      <c r="BE669" s="588"/>
      <c r="BF669" s="588"/>
      <c r="BG669" s="588"/>
      <c r="BH669" s="588"/>
      <c r="BI669" s="588">
        <f>ROUND(BI242-SUM(BE242,BF242,BG242,BH242),6)</f>
        <v>0</v>
      </c>
      <c r="BJ669" s="588"/>
      <c r="BK669" s="588"/>
      <c r="BL669" s="589"/>
      <c r="BM669" s="588"/>
      <c r="BN669" s="588">
        <f>ROUND(BN242-SUM(BJ242,BK242,BL242,BM242),6)</f>
        <v>0</v>
      </c>
      <c r="BO669" s="588"/>
      <c r="BP669" s="588"/>
      <c r="BQ669" s="588"/>
      <c r="BR669" s="588"/>
      <c r="BS669" s="588">
        <f>ROUND(BS242-SUM(BO242,BP242,BQ242,BR242),6)</f>
        <v>0</v>
      </c>
      <c r="BT669" s="588"/>
      <c r="BU669" s="588"/>
      <c r="BV669" s="588"/>
      <c r="BW669" s="519"/>
    </row>
    <row r="670" spans="1:75" s="439" customFormat="1">
      <c r="A670" s="518" t="s">
        <v>569</v>
      </c>
      <c r="B670" s="525"/>
      <c r="C670" s="588"/>
      <c r="D670" s="588"/>
      <c r="E670" s="588"/>
      <c r="F670" s="588"/>
      <c r="G670" s="588"/>
      <c r="H670" s="588"/>
      <c r="I670" s="588"/>
      <c r="J670" s="588"/>
      <c r="K670" s="588"/>
      <c r="L670" s="588"/>
      <c r="M670" s="588"/>
      <c r="N670" s="588"/>
      <c r="O670" s="588"/>
      <c r="P670" s="588"/>
      <c r="Q670" s="588"/>
      <c r="R670" s="588"/>
      <c r="S670" s="588"/>
      <c r="T670" s="588"/>
      <c r="U670" s="588">
        <f>ROUND(SUM(Q251,R251,S251,T251)-INDEX(MO_RIS_NI_NONGAAP_Diluted,1,COLUMN()),6)</f>
        <v>0</v>
      </c>
      <c r="V670" s="588"/>
      <c r="W670" s="588"/>
      <c r="X670" s="588"/>
      <c r="Y670" s="588"/>
      <c r="Z670" s="588">
        <f>ROUND(SUM(V251,W251,X251,Y251)-INDEX(MO_RIS_NI_NONGAAP_Diluted,1,COLUMN()),6)</f>
        <v>-1E-3</v>
      </c>
      <c r="AA670" s="588"/>
      <c r="AB670" s="588"/>
      <c r="AC670" s="588"/>
      <c r="AD670" s="588"/>
      <c r="AE670" s="588">
        <f>ROUND(SUM(AA251,AB251,AC251,AD251)-INDEX(MO_RIS_NI_NONGAAP_Diluted,1,COLUMN()),6)</f>
        <v>-1E-3</v>
      </c>
      <c r="AF670" s="588"/>
      <c r="AG670" s="588"/>
      <c r="AH670" s="588"/>
      <c r="AI670" s="588"/>
      <c r="AJ670" s="588">
        <f>ROUND(SUM(AF251,AG251,AH251,AI251)-INDEX(MO_RIS_NI_NONGAAP_Diluted,1,COLUMN()),6)</f>
        <v>0</v>
      </c>
      <c r="AK670" s="588"/>
      <c r="AL670" s="588"/>
      <c r="AM670" s="588"/>
      <c r="AN670" s="588"/>
      <c r="AO670" s="588">
        <f>ROUND(SUM(AK251,AL251,AM251,AN251)-INDEX(MO_RIS_NI_NONGAAP_Diluted,1,COLUMN()),6)</f>
        <v>0</v>
      </c>
      <c r="AP670" s="588"/>
      <c r="AQ670" s="588"/>
      <c r="AR670" s="588"/>
      <c r="AS670" s="588"/>
      <c r="AT670" s="588">
        <f>ROUND(SUM(AP251,AQ251,AR251,AS251)-INDEX(MO_RIS_NI_NONGAAP_Diluted,1,COLUMN()),6)</f>
        <v>0</v>
      </c>
      <c r="AU670" s="588"/>
      <c r="AV670" s="588"/>
      <c r="AW670" s="588"/>
      <c r="AX670" s="588"/>
      <c r="AY670" s="588">
        <f>ROUND(SUM(AU251,AV251,AW251,AX251)-INDEX(MO_RIS_NI_NONGAAP_Diluted,1,COLUMN()),6)</f>
        <v>0</v>
      </c>
      <c r="AZ670" s="588"/>
      <c r="BA670" s="588"/>
      <c r="BB670" s="588"/>
      <c r="BC670" s="588"/>
      <c r="BD670" s="588">
        <f>ROUND(SUM(AZ251,BA251,BB251,BC251)-INDEX(MO_RIS_NI_NONGAAP_Diluted,1,COLUMN()),6)</f>
        <v>0</v>
      </c>
      <c r="BE670" s="588"/>
      <c r="BF670" s="588"/>
      <c r="BG670" s="588"/>
      <c r="BH670" s="588"/>
      <c r="BI670" s="588">
        <f>ROUND(SUM(BE251,BF251,BG251,BH251)-INDEX(MO_RIS_NI_NONGAAP_Diluted,1,COLUMN()),6)</f>
        <v>0</v>
      </c>
      <c r="BJ670" s="588"/>
      <c r="BK670" s="588"/>
      <c r="BL670" s="589"/>
      <c r="BM670" s="588"/>
      <c r="BN670" s="588">
        <f>ROUND(SUM(BJ251,BK251,BL251,BM251)-INDEX(MO_RIS_NI_NONGAAP_Diluted,1,COLUMN()),6)</f>
        <v>0</v>
      </c>
      <c r="BO670" s="588"/>
      <c r="BP670" s="588"/>
      <c r="BQ670" s="588"/>
      <c r="BR670" s="588"/>
      <c r="BS670" s="588">
        <f>ROUND(SUM(BO251,BP251,BQ251,BR251)-INDEX(MO_RIS_NI_NONGAAP_Diluted,1,COLUMN()),6)</f>
        <v>0</v>
      </c>
      <c r="BT670" s="588"/>
      <c r="BU670" s="588"/>
      <c r="BV670" s="588"/>
      <c r="BW670" s="519"/>
    </row>
    <row r="671" spans="1:75" s="439" customFormat="1">
      <c r="A671" s="518" t="s">
        <v>570</v>
      </c>
      <c r="B671" s="525"/>
      <c r="C671" s="588"/>
      <c r="D671" s="588"/>
      <c r="E671" s="588"/>
      <c r="F671" s="588"/>
      <c r="G671" s="588"/>
      <c r="H671" s="588"/>
      <c r="I671" s="588"/>
      <c r="J671" s="588"/>
      <c r="K671" s="588">
        <f ca="1">ROUND(SUM(G521,H521,I521,J521)-SUM(OFFSET(INDEX(MO_CFS_CFO_BeforeWC,1,COLUMN()),ROW(INDEX(MO_SubSection_CFS_CFO,1,COLUMN()))-ROW(INDEX(MO_CFS_CFO_BeforeWC,1,COLUMN())),0,ROW(INDEX(MO_CFS_CFO_BeforeWC,1,COLUMN()))-ROW(INDEX(MO_SubSection_CFS_CFO,1,COLUMN())),1)),6)</f>
        <v>0</v>
      </c>
      <c r="L671" s="588"/>
      <c r="M671" s="588"/>
      <c r="N671" s="588"/>
      <c r="O671" s="588"/>
      <c r="P671" s="588">
        <f ca="1">ROUND(SUM(L521,M521,N521,O521)-SUM(OFFSET(INDEX(MO_CFS_CFO_BeforeWC,1,COLUMN()),ROW(INDEX(MO_SubSection_CFS_CFO,1,COLUMN()))-ROW(INDEX(MO_CFS_CFO_BeforeWC,1,COLUMN())),0,ROW(INDEX(MO_CFS_CFO_BeforeWC,1,COLUMN()))-ROW(INDEX(MO_SubSection_CFS_CFO,1,COLUMN())),1)),6)</f>
        <v>0</v>
      </c>
      <c r="Q671" s="588"/>
      <c r="R671" s="588"/>
      <c r="S671" s="588"/>
      <c r="T671" s="588"/>
      <c r="U671" s="588">
        <f ca="1">ROUND(SUM(Q521,R521,S521,T521)-SUM(OFFSET(INDEX(MO_CFS_CFO_BeforeWC,1,COLUMN()),ROW(INDEX(MO_SubSection_CFS_CFO,1,COLUMN()))-ROW(INDEX(MO_CFS_CFO_BeforeWC,1,COLUMN())),0,ROW(INDEX(MO_CFS_CFO_BeforeWC,1,COLUMN()))-ROW(INDEX(MO_SubSection_CFS_CFO,1,COLUMN())),1)),6)</f>
        <v>0</v>
      </c>
      <c r="V671" s="588"/>
      <c r="W671" s="588"/>
      <c r="X671" s="588"/>
      <c r="Y671" s="588"/>
      <c r="Z671" s="588">
        <f ca="1">ROUND(SUM(V521,W521,X521,Y521)-SUM(OFFSET(INDEX(MO_CFS_CFO_BeforeWC,1,COLUMN()),ROW(INDEX(MO_SubSection_CFS_CFO,1,COLUMN()))-ROW(INDEX(MO_CFS_CFO_BeforeWC,1,COLUMN())),0,ROW(INDEX(MO_CFS_CFO_BeforeWC,1,COLUMN()))-ROW(INDEX(MO_SubSection_CFS_CFO,1,COLUMN())),1)),6)</f>
        <v>0</v>
      </c>
      <c r="AA671" s="588"/>
      <c r="AB671" s="588"/>
      <c r="AC671" s="588"/>
      <c r="AD671" s="588"/>
      <c r="AE671" s="588">
        <f ca="1">ROUND(SUM(AA521,AB521,AC521,AD521)-SUM(OFFSET(INDEX(MO_CFS_CFO_BeforeWC,1,COLUMN()),ROW(INDEX(MO_SubSection_CFS_CFO,1,COLUMN()))-ROW(INDEX(MO_CFS_CFO_BeforeWC,1,COLUMN())),0,ROW(INDEX(MO_CFS_CFO_BeforeWC,1,COLUMN()))-ROW(INDEX(MO_SubSection_CFS_CFO,1,COLUMN())),1)),6)</f>
        <v>0</v>
      </c>
      <c r="AF671" s="588"/>
      <c r="AG671" s="588"/>
      <c r="AH671" s="588"/>
      <c r="AI671" s="588"/>
      <c r="AJ671" s="588">
        <f ca="1">ROUND(SUM(AF521,AG521,AH521,AI521)-SUM(OFFSET(INDEX(MO_CFS_CFO_BeforeWC,1,COLUMN()),ROW(INDEX(MO_SubSection_CFS_CFO,1,COLUMN()))-ROW(INDEX(MO_CFS_CFO_BeforeWC,1,COLUMN())),0,ROW(INDEX(MO_CFS_CFO_BeforeWC,1,COLUMN()))-ROW(INDEX(MO_SubSection_CFS_CFO,1,COLUMN())),1)),6)</f>
        <v>0</v>
      </c>
      <c r="AK671" s="588"/>
      <c r="AL671" s="588"/>
      <c r="AM671" s="588"/>
      <c r="AN671" s="588"/>
      <c r="AO671" s="588">
        <f ca="1">ROUND(SUM(AK521,AL521,AM521,AN521)-SUM(OFFSET(INDEX(MO_CFS_CFO_BeforeWC,1,COLUMN()),ROW(INDEX(MO_SubSection_CFS_CFO,1,COLUMN()))-ROW(INDEX(MO_CFS_CFO_BeforeWC,1,COLUMN())),0,ROW(INDEX(MO_CFS_CFO_BeforeWC,1,COLUMN()))-ROW(INDEX(MO_SubSection_CFS_CFO,1,COLUMN())),1)),6)</f>
        <v>0</v>
      </c>
      <c r="AP671" s="588"/>
      <c r="AQ671" s="588"/>
      <c r="AR671" s="588"/>
      <c r="AS671" s="588"/>
      <c r="AT671" s="588">
        <f ca="1">ROUND(SUM(AP521,AQ521,AR521,AS521)-SUM(OFFSET(INDEX(MO_CFS_CFO_BeforeWC,1,COLUMN()),ROW(INDEX(MO_SubSection_CFS_CFO,1,COLUMN()))-ROW(INDEX(MO_CFS_CFO_BeforeWC,1,COLUMN())),0,ROW(INDEX(MO_CFS_CFO_BeforeWC,1,COLUMN()))-ROW(INDEX(MO_SubSection_CFS_CFO,1,COLUMN())),1)),6)</f>
        <v>0</v>
      </c>
      <c r="AU671" s="588"/>
      <c r="AV671" s="588"/>
      <c r="AW671" s="588"/>
      <c r="AX671" s="588"/>
      <c r="AY671" s="588">
        <f ca="1">ROUND(SUM(AU521,AV521,AW521,AX521)-SUM(OFFSET(INDEX(MO_CFS_CFO_BeforeWC,1,COLUMN()),ROW(INDEX(MO_SubSection_CFS_CFO,1,COLUMN()))-ROW(INDEX(MO_CFS_CFO_BeforeWC,1,COLUMN())),0,ROW(INDEX(MO_CFS_CFO_BeforeWC,1,COLUMN()))-ROW(INDEX(MO_SubSection_CFS_CFO,1,COLUMN())),1)),6)</f>
        <v>0</v>
      </c>
      <c r="AZ671" s="588"/>
      <c r="BA671" s="588"/>
      <c r="BB671" s="588"/>
      <c r="BC671" s="588"/>
      <c r="BD671" s="588">
        <f ca="1">ROUND(SUM(AZ521,BA521,BB521,BC521)-SUM(OFFSET(INDEX(MO_CFS_CFO_BeforeWC,1,COLUMN()),ROW(INDEX(MO_SubSection_CFS_CFO,1,COLUMN()))-ROW(INDEX(MO_CFS_CFO_BeforeWC,1,COLUMN())),0,ROW(INDEX(MO_CFS_CFO_BeforeWC,1,COLUMN()))-ROW(INDEX(MO_SubSection_CFS_CFO,1,COLUMN())),1)),6)</f>
        <v>0</v>
      </c>
      <c r="BE671" s="588"/>
      <c r="BF671" s="588"/>
      <c r="BG671" s="588"/>
      <c r="BH671" s="588"/>
      <c r="BI671" s="588">
        <f ca="1">ROUND(SUM(BE521,BF521,BG521,BH521)-SUM(OFFSET(INDEX(MO_CFS_CFO_BeforeWC,1,COLUMN()),ROW(INDEX(MO_SubSection_CFS_CFO,1,COLUMN()))-ROW(INDEX(MO_CFS_CFO_BeforeWC,1,COLUMN())),0,ROW(INDEX(MO_CFS_CFO_BeforeWC,1,COLUMN()))-ROW(INDEX(MO_SubSection_CFS_CFO,1,COLUMN())),1)),6)</f>
        <v>0</v>
      </c>
      <c r="BJ671" s="588"/>
      <c r="BK671" s="588"/>
      <c r="BL671" s="589"/>
      <c r="BM671" s="588"/>
      <c r="BN671" s="588">
        <f ca="1">ROUND(SUM(BJ521,BK521,BL521,BM521)-SUM(OFFSET(INDEX(MO_CFS_CFO_BeforeWC,1,COLUMN()),ROW(INDEX(MO_SubSection_CFS_CFO,1,COLUMN()))-ROW(INDEX(MO_CFS_CFO_BeforeWC,1,COLUMN())),0,ROW(INDEX(MO_CFS_CFO_BeforeWC,1,COLUMN()))-ROW(INDEX(MO_SubSection_CFS_CFO,1,COLUMN())),1)),6)</f>
        <v>0</v>
      </c>
      <c r="BO671" s="588"/>
      <c r="BP671" s="588"/>
      <c r="BQ671" s="588"/>
      <c r="BR671" s="588"/>
      <c r="BS671" s="588">
        <f ca="1">ROUND(SUM(BO521,BP521,BQ521,BR521)-SUM(OFFSET(INDEX(MO_CFS_CFO_BeforeWC,1,COLUMN()),ROW(INDEX(MO_SubSection_CFS_CFO,1,COLUMN()))-ROW(INDEX(MO_CFS_CFO_BeforeWC,1,COLUMN())),0,ROW(INDEX(MO_CFS_CFO_BeforeWC,1,COLUMN()))-ROW(INDEX(MO_SubSection_CFS_CFO,1,COLUMN())),1)),6)</f>
        <v>0</v>
      </c>
      <c r="BT671" s="588"/>
      <c r="BU671" s="588"/>
      <c r="BV671" s="588"/>
      <c r="BW671" s="519"/>
    </row>
    <row r="672" spans="1:75" s="439" customFormat="1">
      <c r="A672" s="518" t="s">
        <v>571</v>
      </c>
      <c r="B672" s="525"/>
      <c r="C672" s="588"/>
      <c r="D672" s="588"/>
      <c r="E672" s="588"/>
      <c r="F672" s="588"/>
      <c r="G672" s="588"/>
      <c r="H672" s="588"/>
      <c r="I672" s="588"/>
      <c r="J672" s="588"/>
      <c r="K672" s="588">
        <f ca="1">ROUND(SUM(G527,H527,I527,J527)-SUM(OFFSET(INDEX(MO_CFS_CFO,1,COLUMN()),ROW(INDEX(MO_CFS_CFO_BeforeWC,1,COLUMN()))-ROW(INDEX(MO_CFS_CFO,1,COLUMN())),0,ROW(INDEX(MO_CFS_CFO,1,COLUMN()))-ROW(INDEX(MO_CFS_CFO_BeforeWC,1,COLUMN())),1)),6)</f>
        <v>0</v>
      </c>
      <c r="L672" s="588"/>
      <c r="M672" s="588"/>
      <c r="N672" s="588"/>
      <c r="O672" s="588"/>
      <c r="P672" s="588">
        <f ca="1">ROUND(SUM(L527,M527,N527,O527)-SUM(OFFSET(INDEX(MO_CFS_CFO,1,COLUMN()),ROW(INDEX(MO_CFS_CFO_BeforeWC,1,COLUMN()))-ROW(INDEX(MO_CFS_CFO,1,COLUMN())),0,ROW(INDEX(MO_CFS_CFO,1,COLUMN()))-ROW(INDEX(MO_CFS_CFO_BeforeWC,1,COLUMN())),1)),6)</f>
        <v>0</v>
      </c>
      <c r="Q672" s="588"/>
      <c r="R672" s="588"/>
      <c r="S672" s="588"/>
      <c r="T672" s="588"/>
      <c r="U672" s="588">
        <f ca="1">ROUND(SUM(Q527,R527,S527,T527)-SUM(OFFSET(INDEX(MO_CFS_CFO,1,COLUMN()),ROW(INDEX(MO_CFS_CFO_BeforeWC,1,COLUMN()))-ROW(INDEX(MO_CFS_CFO,1,COLUMN())),0,ROW(INDEX(MO_CFS_CFO,1,COLUMN()))-ROW(INDEX(MO_CFS_CFO_BeforeWC,1,COLUMN())),1)),6)</f>
        <v>0</v>
      </c>
      <c r="V672" s="588"/>
      <c r="W672" s="588"/>
      <c r="X672" s="588"/>
      <c r="Y672" s="588"/>
      <c r="Z672" s="588">
        <f ca="1">ROUND(SUM(V527,W527,X527,Y527)-SUM(OFFSET(INDEX(MO_CFS_CFO,1,COLUMN()),ROW(INDEX(MO_CFS_CFO_BeforeWC,1,COLUMN()))-ROW(INDEX(MO_CFS_CFO,1,COLUMN())),0,ROW(INDEX(MO_CFS_CFO,1,COLUMN()))-ROW(INDEX(MO_CFS_CFO_BeforeWC,1,COLUMN())),1)),6)</f>
        <v>0</v>
      </c>
      <c r="AA672" s="588"/>
      <c r="AB672" s="588"/>
      <c r="AC672" s="588"/>
      <c r="AD672" s="588"/>
      <c r="AE672" s="588">
        <f ca="1">ROUND(SUM(AA527,AB527,AC527,AD527)-SUM(OFFSET(INDEX(MO_CFS_CFO,1,COLUMN()),ROW(INDEX(MO_CFS_CFO_BeforeWC,1,COLUMN()))-ROW(INDEX(MO_CFS_CFO,1,COLUMN())),0,ROW(INDEX(MO_CFS_CFO,1,COLUMN()))-ROW(INDEX(MO_CFS_CFO_BeforeWC,1,COLUMN())),1)),6)</f>
        <v>0</v>
      </c>
      <c r="AF672" s="588"/>
      <c r="AG672" s="588"/>
      <c r="AH672" s="588"/>
      <c r="AI672" s="588"/>
      <c r="AJ672" s="588">
        <f ca="1">ROUND(SUM(AF527,AG527,AH527,AI527)-SUM(OFFSET(INDEX(MO_CFS_CFO,1,COLUMN()),ROW(INDEX(MO_CFS_CFO_BeforeWC,1,COLUMN()))-ROW(INDEX(MO_CFS_CFO,1,COLUMN())),0,ROW(INDEX(MO_CFS_CFO,1,COLUMN()))-ROW(INDEX(MO_CFS_CFO_BeforeWC,1,COLUMN())),1)),6)</f>
        <v>0</v>
      </c>
      <c r="AK672" s="588"/>
      <c r="AL672" s="588"/>
      <c r="AM672" s="588"/>
      <c r="AN672" s="588"/>
      <c r="AO672" s="588">
        <f ca="1">ROUND(SUM(AK527,AL527,AM527,AN527)-SUM(OFFSET(INDEX(MO_CFS_CFO,1,COLUMN()),ROW(INDEX(MO_CFS_CFO_BeforeWC,1,COLUMN()))-ROW(INDEX(MO_CFS_CFO,1,COLUMN())),0,ROW(INDEX(MO_CFS_CFO,1,COLUMN()))-ROW(INDEX(MO_CFS_CFO_BeforeWC,1,COLUMN())),1)),6)</f>
        <v>0</v>
      </c>
      <c r="AP672" s="588"/>
      <c r="AQ672" s="588"/>
      <c r="AR672" s="588"/>
      <c r="AS672" s="588"/>
      <c r="AT672" s="588">
        <f ca="1">ROUND(SUM(AP527,AQ527,AR527,AS527)-SUM(OFFSET(INDEX(MO_CFS_CFO,1,COLUMN()),ROW(INDEX(MO_CFS_CFO_BeforeWC,1,COLUMN()))-ROW(INDEX(MO_CFS_CFO,1,COLUMN())),0,ROW(INDEX(MO_CFS_CFO,1,COLUMN()))-ROW(INDEX(MO_CFS_CFO_BeforeWC,1,COLUMN())),1)),6)</f>
        <v>0</v>
      </c>
      <c r="AU672" s="588"/>
      <c r="AV672" s="588"/>
      <c r="AW672" s="588"/>
      <c r="AX672" s="588"/>
      <c r="AY672" s="588">
        <f ca="1">ROUND(SUM(AU527,AV527,AW527,AX527)-SUM(OFFSET(INDEX(MO_CFS_CFO,1,COLUMN()),ROW(INDEX(MO_CFS_CFO_BeforeWC,1,COLUMN()))-ROW(INDEX(MO_CFS_CFO,1,COLUMN())),0,ROW(INDEX(MO_CFS_CFO,1,COLUMN()))-ROW(INDEX(MO_CFS_CFO_BeforeWC,1,COLUMN())),1)),6)</f>
        <v>0</v>
      </c>
      <c r="AZ672" s="588"/>
      <c r="BA672" s="588"/>
      <c r="BB672" s="588"/>
      <c r="BC672" s="588"/>
      <c r="BD672" s="588">
        <f ca="1">ROUND(SUM(AZ527,BA527,BB527,BC527)-SUM(OFFSET(INDEX(MO_CFS_CFO,1,COLUMN()),ROW(INDEX(MO_CFS_CFO_BeforeWC,1,COLUMN()))-ROW(INDEX(MO_CFS_CFO,1,COLUMN())),0,ROW(INDEX(MO_CFS_CFO,1,COLUMN()))-ROW(INDEX(MO_CFS_CFO_BeforeWC,1,COLUMN())),1)),6)</f>
        <v>0</v>
      </c>
      <c r="BE672" s="588"/>
      <c r="BF672" s="588"/>
      <c r="BG672" s="588"/>
      <c r="BH672" s="588"/>
      <c r="BI672" s="588">
        <f ca="1">ROUND(SUM(BE527,BF527,BG527,BH527)-SUM(OFFSET(INDEX(MO_CFS_CFO,1,COLUMN()),ROW(INDEX(MO_CFS_CFO_BeforeWC,1,COLUMN()))-ROW(INDEX(MO_CFS_CFO,1,COLUMN())),0,ROW(INDEX(MO_CFS_CFO,1,COLUMN()))-ROW(INDEX(MO_CFS_CFO_BeforeWC,1,COLUMN())),1)),6)</f>
        <v>0</v>
      </c>
      <c r="BJ672" s="588"/>
      <c r="BK672" s="588"/>
      <c r="BL672" s="589"/>
      <c r="BM672" s="588"/>
      <c r="BN672" s="588">
        <f ca="1">ROUND(SUM(BJ527,BK527,BL527,BM527)-SUM(OFFSET(INDEX(MO_CFS_CFO,1,COLUMN()),ROW(INDEX(MO_CFS_CFO_BeforeWC,1,COLUMN()))-ROW(INDEX(MO_CFS_CFO,1,COLUMN())),0,ROW(INDEX(MO_CFS_CFO,1,COLUMN()))-ROW(INDEX(MO_CFS_CFO_BeforeWC,1,COLUMN())),1)),6)</f>
        <v>0</v>
      </c>
      <c r="BO672" s="588"/>
      <c r="BP672" s="588"/>
      <c r="BQ672" s="588"/>
      <c r="BR672" s="588"/>
      <c r="BS672" s="588">
        <f ca="1">ROUND(SUM(BO527,BP527,BQ527,BR527)-SUM(OFFSET(INDEX(MO_CFS_CFO,1,COLUMN()),ROW(INDEX(MO_CFS_CFO_BeforeWC,1,COLUMN()))-ROW(INDEX(MO_CFS_CFO,1,COLUMN())),0,ROW(INDEX(MO_CFS_CFO,1,COLUMN()))-ROW(INDEX(MO_CFS_CFO_BeforeWC,1,COLUMN())),1)),6)</f>
        <v>0</v>
      </c>
      <c r="BT672" s="588"/>
      <c r="BU672" s="588"/>
      <c r="BV672" s="588"/>
      <c r="BW672" s="519"/>
    </row>
    <row r="673" spans="1:75" s="439" customFormat="1">
      <c r="A673" s="518" t="s">
        <v>572</v>
      </c>
      <c r="B673" s="525"/>
      <c r="C673" s="588"/>
      <c r="D673" s="588"/>
      <c r="E673" s="588"/>
      <c r="F673" s="588"/>
      <c r="G673" s="588"/>
      <c r="H673" s="588"/>
      <c r="I673" s="588"/>
      <c r="J673" s="588"/>
      <c r="K673" s="588">
        <f ca="1">ROUND(SUM(G545,H545,I545,J545)-SUM(OFFSET(INDEX(MO_CFS_CFI,1,COLUMN()),ROW(INDEX(MO_SubSection_CFS_CFI,1,COLUMN()))-ROW(INDEX(MO_CFS_CFI,1,COLUMN())),0,ROW(INDEX(MO_CFS_CFI,1,COLUMN()))-ROW(INDEX(MO_SubSection_CFS_CFI,1,COLUMN())),1)),6)</f>
        <v>0</v>
      </c>
      <c r="L673" s="588"/>
      <c r="M673" s="588"/>
      <c r="N673" s="588"/>
      <c r="O673" s="588"/>
      <c r="P673" s="588">
        <f ca="1">ROUND(SUM(L545,M545,N545,O545)-SUM(OFFSET(INDEX(MO_CFS_CFI,1,COLUMN()),ROW(INDEX(MO_SubSection_CFS_CFI,1,COLUMN()))-ROW(INDEX(MO_CFS_CFI,1,COLUMN())),0,ROW(INDEX(MO_CFS_CFI,1,COLUMN()))-ROW(INDEX(MO_SubSection_CFS_CFI,1,COLUMN())),1)),6)</f>
        <v>0</v>
      </c>
      <c r="Q673" s="588"/>
      <c r="R673" s="588"/>
      <c r="S673" s="588"/>
      <c r="T673" s="588"/>
      <c r="U673" s="588">
        <f ca="1">ROUND(SUM(Q545,R545,S545,T545)-SUM(OFFSET(INDEX(MO_CFS_CFI,1,COLUMN()),ROW(INDEX(MO_SubSection_CFS_CFI,1,COLUMN()))-ROW(INDEX(MO_CFS_CFI,1,COLUMN())),0,ROW(INDEX(MO_CFS_CFI,1,COLUMN()))-ROW(INDEX(MO_SubSection_CFS_CFI,1,COLUMN())),1)),6)</f>
        <v>0</v>
      </c>
      <c r="V673" s="588"/>
      <c r="W673" s="588"/>
      <c r="X673" s="588"/>
      <c r="Y673" s="588"/>
      <c r="Z673" s="588">
        <f ca="1">ROUND(SUM(V545,W545,X545,Y545)-SUM(OFFSET(INDEX(MO_CFS_CFI,1,COLUMN()),ROW(INDEX(MO_SubSection_CFS_CFI,1,COLUMN()))-ROW(INDEX(MO_CFS_CFI,1,COLUMN())),0,ROW(INDEX(MO_CFS_CFI,1,COLUMN()))-ROW(INDEX(MO_SubSection_CFS_CFI,1,COLUMN())),1)),6)</f>
        <v>0</v>
      </c>
      <c r="AA673" s="588"/>
      <c r="AB673" s="588"/>
      <c r="AC673" s="588"/>
      <c r="AD673" s="588"/>
      <c r="AE673" s="588">
        <f ca="1">ROUND(SUM(AA545,AB545,AC545,AD545)-SUM(OFFSET(INDEX(MO_CFS_CFI,1,COLUMN()),ROW(INDEX(MO_SubSection_CFS_CFI,1,COLUMN()))-ROW(INDEX(MO_CFS_CFI,1,COLUMN())),0,ROW(INDEX(MO_CFS_CFI,1,COLUMN()))-ROW(INDEX(MO_SubSection_CFS_CFI,1,COLUMN())),1)),6)</f>
        <v>0</v>
      </c>
      <c r="AF673" s="588"/>
      <c r="AG673" s="588"/>
      <c r="AH673" s="588"/>
      <c r="AI673" s="588"/>
      <c r="AJ673" s="588">
        <f ca="1">ROUND(SUM(AF545,AG545,AH545,AI545)-SUM(OFFSET(INDEX(MO_CFS_CFI,1,COLUMN()),ROW(INDEX(MO_SubSection_CFS_CFI,1,COLUMN()))-ROW(INDEX(MO_CFS_CFI,1,COLUMN())),0,ROW(INDEX(MO_CFS_CFI,1,COLUMN()))-ROW(INDEX(MO_SubSection_CFS_CFI,1,COLUMN())),1)),6)</f>
        <v>0</v>
      </c>
      <c r="AK673" s="588"/>
      <c r="AL673" s="588"/>
      <c r="AM673" s="588"/>
      <c r="AN673" s="588"/>
      <c r="AO673" s="588">
        <f ca="1">ROUND(SUM(AK545,AL545,AM545,AN545)-SUM(OFFSET(INDEX(MO_CFS_CFI,1,COLUMN()),ROW(INDEX(MO_SubSection_CFS_CFI,1,COLUMN()))-ROW(INDEX(MO_CFS_CFI,1,COLUMN())),0,ROW(INDEX(MO_CFS_CFI,1,COLUMN()))-ROW(INDEX(MO_SubSection_CFS_CFI,1,COLUMN())),1)),6)</f>
        <v>0</v>
      </c>
      <c r="AP673" s="588"/>
      <c r="AQ673" s="588"/>
      <c r="AR673" s="588"/>
      <c r="AS673" s="588"/>
      <c r="AT673" s="588">
        <f ca="1">ROUND(SUM(AP545,AQ545,AR545,AS545)-SUM(OFFSET(INDEX(MO_CFS_CFI,1,COLUMN()),ROW(INDEX(MO_SubSection_CFS_CFI,1,COLUMN()))-ROW(INDEX(MO_CFS_CFI,1,COLUMN())),0,ROW(INDEX(MO_CFS_CFI,1,COLUMN()))-ROW(INDEX(MO_SubSection_CFS_CFI,1,COLUMN())),1)),6)</f>
        <v>0</v>
      </c>
      <c r="AU673" s="588"/>
      <c r="AV673" s="588"/>
      <c r="AW673" s="588"/>
      <c r="AX673" s="588"/>
      <c r="AY673" s="588">
        <f ca="1">ROUND(SUM(AU545,AV545,AW545,AX545)-SUM(OFFSET(INDEX(MO_CFS_CFI,1,COLUMN()),ROW(INDEX(MO_SubSection_CFS_CFI,1,COLUMN()))-ROW(INDEX(MO_CFS_CFI,1,COLUMN())),0,ROW(INDEX(MO_CFS_CFI,1,COLUMN()))-ROW(INDEX(MO_SubSection_CFS_CFI,1,COLUMN())),1)),6)</f>
        <v>0</v>
      </c>
      <c r="AZ673" s="588"/>
      <c r="BA673" s="588"/>
      <c r="BB673" s="588"/>
      <c r="BC673" s="588"/>
      <c r="BD673" s="588">
        <f ca="1">ROUND(SUM(AZ545,BA545,BB545,BC545)-SUM(OFFSET(INDEX(MO_CFS_CFI,1,COLUMN()),ROW(INDEX(MO_SubSection_CFS_CFI,1,COLUMN()))-ROW(INDEX(MO_CFS_CFI,1,COLUMN())),0,ROW(INDEX(MO_CFS_CFI,1,COLUMN()))-ROW(INDEX(MO_SubSection_CFS_CFI,1,COLUMN())),1)),6)</f>
        <v>0</v>
      </c>
      <c r="BE673" s="588"/>
      <c r="BF673" s="588"/>
      <c r="BG673" s="588"/>
      <c r="BH673" s="588"/>
      <c r="BI673" s="588">
        <f ca="1">ROUND(SUM(BE545,BF545,BG545,BH545)-SUM(OFFSET(INDEX(MO_CFS_CFI,1,COLUMN()),ROW(INDEX(MO_SubSection_CFS_CFI,1,COLUMN()))-ROW(INDEX(MO_CFS_CFI,1,COLUMN())),0,ROW(INDEX(MO_CFS_CFI,1,COLUMN()))-ROW(INDEX(MO_SubSection_CFS_CFI,1,COLUMN())),1)),6)</f>
        <v>0</v>
      </c>
      <c r="BJ673" s="588"/>
      <c r="BK673" s="588"/>
      <c r="BL673" s="589"/>
      <c r="BM673" s="588"/>
      <c r="BN673" s="588">
        <f ca="1">ROUND(SUM(BJ545,BK545,BL545,BM545)-SUM(OFFSET(INDEX(MO_CFS_CFI,1,COLUMN()),ROW(INDEX(MO_SubSection_CFS_CFI,1,COLUMN()))-ROW(INDEX(MO_CFS_CFI,1,COLUMN())),0,ROW(INDEX(MO_CFS_CFI,1,COLUMN()))-ROW(INDEX(MO_SubSection_CFS_CFI,1,COLUMN())),1)),6)</f>
        <v>0</v>
      </c>
      <c r="BO673" s="588"/>
      <c r="BP673" s="588"/>
      <c r="BQ673" s="588"/>
      <c r="BR673" s="588"/>
      <c r="BS673" s="588">
        <f ca="1">ROUND(SUM(BO545,BP545,BQ545,BR545)-SUM(OFFSET(INDEX(MO_CFS_CFI,1,COLUMN()),ROW(INDEX(MO_SubSection_CFS_CFI,1,COLUMN()))-ROW(INDEX(MO_CFS_CFI,1,COLUMN())),0,ROW(INDEX(MO_CFS_CFI,1,COLUMN()))-ROW(INDEX(MO_SubSection_CFS_CFI,1,COLUMN())),1)),6)</f>
        <v>0</v>
      </c>
      <c r="BT673" s="588"/>
      <c r="BU673" s="588"/>
      <c r="BV673" s="588"/>
      <c r="BW673" s="519"/>
    </row>
    <row r="674" spans="1:75" s="439" customFormat="1">
      <c r="A674" s="518" t="s">
        <v>573</v>
      </c>
      <c r="B674" s="525"/>
      <c r="C674" s="588"/>
      <c r="D674" s="588"/>
      <c r="E674" s="588"/>
      <c r="F674" s="588"/>
      <c r="G674" s="588"/>
      <c r="H674" s="588"/>
      <c r="I674" s="588"/>
      <c r="J674" s="588"/>
      <c r="K674" s="588">
        <f ca="1">ROUND(SUM(G561,H561,I561,J561)-SUM(OFFSET(INDEX(MO_CFS_CFF,1,COLUMN()),ROW(INDEX(MO_SubSection_CFS_CFF,1,COLUMN()))-ROW(INDEX(MO_CFS_CFF,1,COLUMN())),0,ROW(INDEX(MO_CFS_CFF,1,COLUMN()))-ROW(INDEX(MO_SubSection_CFS_CFF,1,COLUMN())),1)),6)</f>
        <v>0</v>
      </c>
      <c r="L674" s="588"/>
      <c r="M674" s="588"/>
      <c r="N674" s="588"/>
      <c r="O674" s="588"/>
      <c r="P674" s="588">
        <f ca="1">ROUND(SUM(L561,M561,N561,O561)-SUM(OFFSET(INDEX(MO_CFS_CFF,1,COLUMN()),ROW(INDEX(MO_SubSection_CFS_CFF,1,COLUMN()))-ROW(INDEX(MO_CFS_CFF,1,COLUMN())),0,ROW(INDEX(MO_CFS_CFF,1,COLUMN()))-ROW(INDEX(MO_SubSection_CFS_CFF,1,COLUMN())),1)),6)</f>
        <v>0</v>
      </c>
      <c r="Q674" s="588"/>
      <c r="R674" s="588"/>
      <c r="S674" s="588"/>
      <c r="T674" s="588"/>
      <c r="U674" s="588">
        <f ca="1">ROUND(SUM(Q561,R561,S561,T561)-SUM(OFFSET(INDEX(MO_CFS_CFF,1,COLUMN()),ROW(INDEX(MO_SubSection_CFS_CFF,1,COLUMN()))-ROW(INDEX(MO_CFS_CFF,1,COLUMN())),0,ROW(INDEX(MO_CFS_CFF,1,COLUMN()))-ROW(INDEX(MO_SubSection_CFS_CFF,1,COLUMN())),1)),6)</f>
        <v>0</v>
      </c>
      <c r="V674" s="588"/>
      <c r="W674" s="588"/>
      <c r="X674" s="588"/>
      <c r="Y674" s="588"/>
      <c r="Z674" s="588">
        <f ca="1">ROUND(SUM(V561,W561,X561,Y561)-SUM(OFFSET(INDEX(MO_CFS_CFF,1,COLUMN()),ROW(INDEX(MO_SubSection_CFS_CFF,1,COLUMN()))-ROW(INDEX(MO_CFS_CFF,1,COLUMN())),0,ROW(INDEX(MO_CFS_CFF,1,COLUMN()))-ROW(INDEX(MO_SubSection_CFS_CFF,1,COLUMN())),1)),6)</f>
        <v>0</v>
      </c>
      <c r="AA674" s="588"/>
      <c r="AB674" s="588"/>
      <c r="AC674" s="588"/>
      <c r="AD674" s="588"/>
      <c r="AE674" s="588">
        <f ca="1">ROUND(SUM(AA561,AB561,AC561,AD561)-SUM(OFFSET(INDEX(MO_CFS_CFF,1,COLUMN()),ROW(INDEX(MO_SubSection_CFS_CFF,1,COLUMN()))-ROW(INDEX(MO_CFS_CFF,1,COLUMN())),0,ROW(INDEX(MO_CFS_CFF,1,COLUMN()))-ROW(INDEX(MO_SubSection_CFS_CFF,1,COLUMN())),1)),6)</f>
        <v>0</v>
      </c>
      <c r="AF674" s="588"/>
      <c r="AG674" s="588"/>
      <c r="AH674" s="588"/>
      <c r="AI674" s="588"/>
      <c r="AJ674" s="588">
        <f ca="1">ROUND(SUM(AF561,AG561,AH561,AI561)-SUM(OFFSET(INDEX(MO_CFS_CFF,1,COLUMN()),ROW(INDEX(MO_SubSection_CFS_CFF,1,COLUMN()))-ROW(INDEX(MO_CFS_CFF,1,COLUMN())),0,ROW(INDEX(MO_CFS_CFF,1,COLUMN()))-ROW(INDEX(MO_SubSection_CFS_CFF,1,COLUMN())),1)),6)</f>
        <v>0</v>
      </c>
      <c r="AK674" s="588"/>
      <c r="AL674" s="588"/>
      <c r="AM674" s="588"/>
      <c r="AN674" s="588"/>
      <c r="AO674" s="588">
        <f ca="1">ROUND(SUM(AK561,AL561,AM561,AN561)-SUM(OFFSET(INDEX(MO_CFS_CFF,1,COLUMN()),ROW(INDEX(MO_SubSection_CFS_CFF,1,COLUMN()))-ROW(INDEX(MO_CFS_CFF,1,COLUMN())),0,ROW(INDEX(MO_CFS_CFF,1,COLUMN()))-ROW(INDEX(MO_SubSection_CFS_CFF,1,COLUMN())),1)),6)</f>
        <v>0</v>
      </c>
      <c r="AP674" s="588"/>
      <c r="AQ674" s="588"/>
      <c r="AR674" s="588"/>
      <c r="AS674" s="588"/>
      <c r="AT674" s="588">
        <f ca="1">ROUND(SUM(AP561,AQ561,AR561,AS561)-SUM(OFFSET(INDEX(MO_CFS_CFF,1,COLUMN()),ROW(INDEX(MO_SubSection_CFS_CFF,1,COLUMN()))-ROW(INDEX(MO_CFS_CFF,1,COLUMN())),0,ROW(INDEX(MO_CFS_CFF,1,COLUMN()))-ROW(INDEX(MO_SubSection_CFS_CFF,1,COLUMN())),1)),6)</f>
        <v>0</v>
      </c>
      <c r="AU674" s="588"/>
      <c r="AV674" s="588"/>
      <c r="AW674" s="588"/>
      <c r="AX674" s="588"/>
      <c r="AY674" s="588">
        <f ca="1">ROUND(SUM(AU561,AV561,AW561,AX561)-SUM(OFFSET(INDEX(MO_CFS_CFF,1,COLUMN()),ROW(INDEX(MO_SubSection_CFS_CFF,1,COLUMN()))-ROW(INDEX(MO_CFS_CFF,1,COLUMN())),0,ROW(INDEX(MO_CFS_CFF,1,COLUMN()))-ROW(INDEX(MO_SubSection_CFS_CFF,1,COLUMN())),1)),6)</f>
        <v>0</v>
      </c>
      <c r="AZ674" s="588"/>
      <c r="BA674" s="588"/>
      <c r="BB674" s="588"/>
      <c r="BC674" s="588"/>
      <c r="BD674" s="588">
        <f ca="1">ROUND(SUM(AZ561,BA561,BB561,BC561)-SUM(OFFSET(INDEX(MO_CFS_CFF,1,COLUMN()),ROW(INDEX(MO_SubSection_CFS_CFF,1,COLUMN()))-ROW(INDEX(MO_CFS_CFF,1,COLUMN())),0,ROW(INDEX(MO_CFS_CFF,1,COLUMN()))-ROW(INDEX(MO_SubSection_CFS_CFF,1,COLUMN())),1)),6)</f>
        <v>0</v>
      </c>
      <c r="BE674" s="588"/>
      <c r="BF674" s="588"/>
      <c r="BG674" s="588"/>
      <c r="BH674" s="588"/>
      <c r="BI674" s="588">
        <f ca="1">ROUND(SUM(BE561,BF561,BG561,BH561)-SUM(OFFSET(INDEX(MO_CFS_CFF,1,COLUMN()),ROW(INDEX(MO_SubSection_CFS_CFF,1,COLUMN()))-ROW(INDEX(MO_CFS_CFF,1,COLUMN())),0,ROW(INDEX(MO_CFS_CFF,1,COLUMN()))-ROW(INDEX(MO_SubSection_CFS_CFF,1,COLUMN())),1)),6)</f>
        <v>0</v>
      </c>
      <c r="BJ674" s="588"/>
      <c r="BK674" s="588"/>
      <c r="BL674" s="589"/>
      <c r="BM674" s="588"/>
      <c r="BN674" s="588" t="e">
        <f ca="1">ROUND(SUM(BJ561,BK561,BL561,BM561)-SUM(OFFSET(INDEX(MO_CFS_CFF,1,COLUMN()),ROW(INDEX(MO_SubSection_CFS_CFF,1,COLUMN()))-ROW(INDEX(MO_CFS_CFF,1,COLUMN())),0,ROW(INDEX(MO_CFS_CFF,1,COLUMN()))-ROW(INDEX(MO_SubSection_CFS_CFF,1,COLUMN())),1)),6)</f>
        <v>#REF!</v>
      </c>
      <c r="BO674" s="588"/>
      <c r="BP674" s="588"/>
      <c r="BQ674" s="588"/>
      <c r="BR674" s="588"/>
      <c r="BS674" s="588" t="e">
        <f ca="1">ROUND(SUM(BO561,BP561,BQ561,BR561)-SUM(OFFSET(INDEX(MO_CFS_CFF,1,COLUMN()),ROW(INDEX(MO_SubSection_CFS_CFF,1,COLUMN()))-ROW(INDEX(MO_CFS_CFF,1,COLUMN())),0,ROW(INDEX(MO_CFS_CFF,1,COLUMN()))-ROW(INDEX(MO_SubSection_CFS_CFF,1,COLUMN())),1)),6)</f>
        <v>#REF!</v>
      </c>
      <c r="BT674" s="588"/>
      <c r="BU674" s="588"/>
      <c r="BV674" s="588"/>
      <c r="BW674" s="519"/>
    </row>
    <row r="675" spans="1:75" s="439" customFormat="1">
      <c r="A675" s="518" t="s">
        <v>574</v>
      </c>
      <c r="B675" s="525"/>
      <c r="C675" s="588"/>
      <c r="D675" s="588"/>
      <c r="E675" s="588"/>
      <c r="F675" s="588"/>
      <c r="G675" s="588"/>
      <c r="H675" s="588"/>
      <c r="I675" s="588"/>
      <c r="J675" s="588"/>
      <c r="K675" s="588">
        <f>ROUND(SUM(INDEX(MO_CFSum_Acquisition,0,COLUMN()),INDEX(MO_CFSum_Capex,0,COLUMN()),INDEX(MO_CFSum_Divestiture,0,COLUMN()),INDEX(MO_CFSum_Dividend,0,COLUMN()))-SUM(G372,H372,I372,J372,G373,H373,I373,J373,G374,H374,I374,J374)-SUM(G370,H370,I370,J370),6)</f>
        <v>0</v>
      </c>
      <c r="L675" s="588"/>
      <c r="M675" s="588"/>
      <c r="N675" s="588"/>
      <c r="O675" s="588"/>
      <c r="P675" s="588">
        <f>ROUND(SUM(INDEX(MO_CFSum_Acquisition,0,COLUMN()),INDEX(MO_CFSum_Capex,0,COLUMN()),INDEX(MO_CFSum_Divestiture,0,COLUMN()),INDEX(MO_CFSum_Dividend,0,COLUMN()))-SUM(L372,M372,N372,O372,L373,M373,N373,O373,L374,M374,N374,O374)-SUM(L370,M370,N370,O370),6)</f>
        <v>0</v>
      </c>
      <c r="Q675" s="588"/>
      <c r="R675" s="588"/>
      <c r="S675" s="588"/>
      <c r="T675" s="588"/>
      <c r="U675" s="588">
        <f>ROUND(SUM(INDEX(MO_CFSum_Acquisition,0,COLUMN()),INDEX(MO_CFSum_Capex,0,COLUMN()),INDEX(MO_CFSum_Divestiture,0,COLUMN()),INDEX(MO_CFSum_Dividend,0,COLUMN()))-SUM(Q372,R372,S372,T372,Q373,R373,S373,T373,Q374,R374,S374,T374)-SUM(Q370,R370,S370,T370),6)</f>
        <v>0</v>
      </c>
      <c r="V675" s="588"/>
      <c r="W675" s="588"/>
      <c r="X675" s="588"/>
      <c r="Y675" s="588"/>
      <c r="Z675" s="588">
        <f>ROUND(SUM(INDEX(MO_CFSum_Acquisition,0,COLUMN()),INDEX(MO_CFSum_Capex,0,COLUMN()),INDEX(MO_CFSum_Divestiture,0,COLUMN()),INDEX(MO_CFSum_Dividend,0,COLUMN()))-SUM(V372,W372,X372,Y372,V373,W373,X373,Y373,V374,W374,X374,Y374)-SUM(V370,W370,X370,Y370),6)</f>
        <v>0</v>
      </c>
      <c r="AA675" s="588"/>
      <c r="AB675" s="588"/>
      <c r="AC675" s="588"/>
      <c r="AD675" s="588"/>
      <c r="AE675" s="588">
        <f>ROUND(SUM(INDEX(MO_CFSum_Acquisition,0,COLUMN()),INDEX(MO_CFSum_Capex,0,COLUMN()),INDEX(MO_CFSum_Divestiture,0,COLUMN()),INDEX(MO_CFSum_Dividend,0,COLUMN()))-SUM(AA372,AB372,AC372,AD372,AA373,AB373,AC373,AD373,AA374,AB374,AC374,AD374)-SUM(AA370,AB370,AC370,AD370),6)</f>
        <v>0</v>
      </c>
      <c r="AF675" s="588"/>
      <c r="AG675" s="588"/>
      <c r="AH675" s="588"/>
      <c r="AI675" s="588"/>
      <c r="AJ675" s="588">
        <f>ROUND(SUM(INDEX(MO_CFSum_Acquisition,0,COLUMN()),INDEX(MO_CFSum_Capex,0,COLUMN()),INDEX(MO_CFSum_Divestiture,0,COLUMN()),INDEX(MO_CFSum_Dividend,0,COLUMN()))-SUM(AF372,AG372,AH372,AI372,AF373,AG373,AH373,AI373,AF374,AG374,AH374,AI374)-SUM(AF370,AG370,AH370,AI370),6)</f>
        <v>0</v>
      </c>
      <c r="AK675" s="588"/>
      <c r="AL675" s="588"/>
      <c r="AM675" s="588"/>
      <c r="AN675" s="588"/>
      <c r="AO675" s="588">
        <f>ROUND(SUM(INDEX(MO_CFSum_Acquisition,0,COLUMN()),INDEX(MO_CFSum_Capex,0,COLUMN()),INDEX(MO_CFSum_Divestiture,0,COLUMN()),INDEX(MO_CFSum_Dividend,0,COLUMN()))-SUM(AK372,AL372,AM372,AN372,AK373,AL373,AM373,AN373,AK374,AL374,AM374,AN374)-SUM(AK370,AL370,AM370,AN370),6)</f>
        <v>0</v>
      </c>
      <c r="AP675" s="588"/>
      <c r="AQ675" s="588"/>
      <c r="AR675" s="588"/>
      <c r="AS675" s="588"/>
      <c r="AT675" s="588">
        <f>ROUND(SUM(INDEX(MO_CFSum_Acquisition,0,COLUMN()),INDEX(MO_CFSum_Capex,0,COLUMN()),INDEX(MO_CFSum_Divestiture,0,COLUMN()),INDEX(MO_CFSum_Dividend,0,COLUMN()))-SUM(AP372,AQ372,AR372,AS372,AP373,AQ373,AR373,AS373,AP374,AQ374,AR374,AS374)-SUM(AP370,AQ370,AR370,AS370),6)</f>
        <v>0</v>
      </c>
      <c r="AU675" s="588"/>
      <c r="AV675" s="588"/>
      <c r="AW675" s="588"/>
      <c r="AX675" s="588"/>
      <c r="AY675" s="588">
        <f>ROUND(SUM(INDEX(MO_CFSum_Acquisition,0,COLUMN()),INDEX(MO_CFSum_Capex,0,COLUMN()),INDEX(MO_CFSum_Divestiture,0,COLUMN()),INDEX(MO_CFSum_Dividend,0,COLUMN()))-SUM(AU372,AV372,AW372,AX372,AU373,AV373,AW373,AX373,AU374,AV374,AW374,AX374)-SUM(AU370,AV370,AW370,AX370),6)</f>
        <v>0</v>
      </c>
      <c r="AZ675" s="588"/>
      <c r="BA675" s="588"/>
      <c r="BB675" s="588"/>
      <c r="BC675" s="588"/>
      <c r="BD675" s="588">
        <f>ROUND(SUM(INDEX(MO_CFSum_Acquisition,0,COLUMN()),INDEX(MO_CFSum_Capex,0,COLUMN()),INDEX(MO_CFSum_Divestiture,0,COLUMN()),INDEX(MO_CFSum_Dividend,0,COLUMN()))-SUM(AZ372,BA372,BB372,BC372,AZ373,BA373,BB373,BC373,AZ374,BA374,BB374,BC374)-SUM(AZ370,BA370,BB370,BC370),6)</f>
        <v>0</v>
      </c>
      <c r="BE675" s="588"/>
      <c r="BF675" s="588"/>
      <c r="BG675" s="588"/>
      <c r="BH675" s="588"/>
      <c r="BI675" s="588">
        <f>ROUND(SUM(INDEX(MO_CFSum_Acquisition,0,COLUMN()),INDEX(MO_CFSum_Capex,0,COLUMN()),INDEX(MO_CFSum_Divestiture,0,COLUMN()),INDEX(MO_CFSum_Dividend,0,COLUMN()))-SUM(BE372,BF372,BG372,BH372,BE373,BF373,BG373,BH373,BE374,BF374,BG374,BH374)-SUM(BE370,BF370,BG370,BH370),6)</f>
        <v>0</v>
      </c>
      <c r="BJ675" s="588"/>
      <c r="BK675" s="588"/>
      <c r="BL675" s="589"/>
      <c r="BM675" s="588"/>
      <c r="BN675" s="588" t="e">
        <f>ROUND(SUM(INDEX(MO_CFSum_Acquisition,0,COLUMN()),INDEX(MO_CFSum_Capex,0,COLUMN()),INDEX(MO_CFSum_Divestiture,0,COLUMN()),INDEX(MO_CFSum_Dividend,0,COLUMN()))-SUM(BJ372,BK372,BL372,BM372,BJ373,BK373,BL373,BM373,BJ374,BK374,BL374,BM374)-SUM(BJ370,BK370,BL370,BM370),6)</f>
        <v>#REF!</v>
      </c>
      <c r="BO675" s="588"/>
      <c r="BP675" s="588"/>
      <c r="BQ675" s="588"/>
      <c r="BR675" s="588"/>
      <c r="BS675" s="588" t="e">
        <f>ROUND(SUM(INDEX(MO_CFSum_Acquisition,0,COLUMN()),INDEX(MO_CFSum_Capex,0,COLUMN()),INDEX(MO_CFSum_Divestiture,0,COLUMN()),INDEX(MO_CFSum_Dividend,0,COLUMN()))-SUM(BO372,BP372,BQ372,BR372,BO373,BP373,BQ373,BR373,BO374,BP374,BQ374,BR374)-SUM(BO370,BP370,BQ370,BR370),6)</f>
        <v>#REF!</v>
      </c>
      <c r="BT675" s="588"/>
      <c r="BU675" s="588"/>
      <c r="BV675" s="588"/>
      <c r="BW675" s="519"/>
    </row>
    <row r="676" spans="1:75" s="439" customFormat="1">
      <c r="A676" s="518"/>
      <c r="B676" s="525"/>
      <c r="C676" s="525"/>
      <c r="D676" s="525"/>
      <c r="E676" s="525"/>
      <c r="F676" s="525"/>
      <c r="G676" s="525"/>
      <c r="H676" s="525"/>
      <c r="I676" s="525"/>
      <c r="J676" s="525"/>
      <c r="K676" s="525"/>
      <c r="L676" s="525"/>
      <c r="M676" s="525"/>
      <c r="N676" s="525"/>
      <c r="O676" s="525"/>
      <c r="P676" s="525"/>
      <c r="Q676" s="525"/>
      <c r="R676" s="525"/>
      <c r="S676" s="525"/>
      <c r="T676" s="525"/>
      <c r="U676" s="525"/>
      <c r="V676" s="525"/>
      <c r="W676" s="518"/>
      <c r="X676" s="518"/>
      <c r="Y676" s="518"/>
      <c r="Z676" s="518"/>
      <c r="AA676" s="525"/>
      <c r="AB676" s="518"/>
      <c r="AC676" s="518"/>
      <c r="AD676" s="518"/>
      <c r="AE676" s="518"/>
      <c r="AF676" s="525"/>
      <c r="AG676" s="518"/>
      <c r="AH676" s="518"/>
      <c r="AI676" s="518"/>
      <c r="AJ676" s="518"/>
      <c r="AK676" s="525"/>
      <c r="AL676" s="518"/>
      <c r="AM676" s="518"/>
      <c r="AN676" s="518"/>
      <c r="AO676" s="518"/>
      <c r="AP676" s="525"/>
      <c r="AQ676" s="518"/>
      <c r="AR676" s="518"/>
      <c r="AS676" s="518"/>
      <c r="AT676" s="518"/>
      <c r="AU676" s="525"/>
      <c r="AV676" s="518"/>
      <c r="AW676" s="518"/>
      <c r="AX676" s="518"/>
      <c r="AY676" s="518"/>
      <c r="AZ676" s="525"/>
      <c r="BA676" s="518"/>
      <c r="BB676" s="518"/>
      <c r="BC676" s="518"/>
      <c r="BD676" s="518"/>
      <c r="BE676" s="525"/>
      <c r="BF676" s="518"/>
      <c r="BG676" s="518"/>
      <c r="BH676" s="518"/>
      <c r="BI676" s="518"/>
      <c r="BJ676" s="525"/>
      <c r="BK676" s="518"/>
      <c r="BL676" s="520"/>
      <c r="BM676" s="518"/>
      <c r="BN676" s="518"/>
      <c r="BO676" s="518"/>
      <c r="BP676" s="518"/>
      <c r="BQ676" s="518"/>
      <c r="BR676" s="518"/>
      <c r="BS676" s="518"/>
      <c r="BT676" s="518"/>
      <c r="BU676" s="518"/>
      <c r="BV676" s="518"/>
      <c r="BW676" s="519"/>
    </row>
    <row r="677" spans="1:75" s="444" customFormat="1">
      <c r="A677" s="526" t="s">
        <v>575</v>
      </c>
      <c r="B677" s="526"/>
      <c r="C677" s="526"/>
      <c r="D677" s="526"/>
      <c r="E677" s="526"/>
      <c r="F677" s="526"/>
      <c r="G677" s="526"/>
      <c r="H677" s="526"/>
      <c r="I677" s="526"/>
      <c r="J677" s="526"/>
      <c r="K677" s="526"/>
      <c r="L677" s="526"/>
      <c r="M677" s="526"/>
      <c r="N677" s="526"/>
      <c r="O677" s="526"/>
      <c r="P677" s="526"/>
      <c r="Q677" s="526"/>
      <c r="R677" s="526"/>
      <c r="S677" s="526"/>
      <c r="T677" s="526"/>
      <c r="U677" s="526"/>
      <c r="V677" s="526"/>
      <c r="W677" s="526"/>
      <c r="X677" s="526"/>
      <c r="Y677" s="526"/>
      <c r="Z677" s="526"/>
      <c r="AA677" s="526"/>
      <c r="AB677" s="526"/>
      <c r="AC677" s="526"/>
      <c r="AD677" s="526"/>
      <c r="AE677" s="526"/>
      <c r="AF677" s="526"/>
      <c r="AG677" s="526"/>
      <c r="AH677" s="526"/>
      <c r="AI677" s="526"/>
      <c r="AJ677" s="526"/>
      <c r="AK677" s="526"/>
      <c r="AL677" s="526"/>
      <c r="AM677" s="526"/>
      <c r="AN677" s="526"/>
      <c r="AO677" s="526"/>
      <c r="AP677" s="526"/>
      <c r="AQ677" s="526"/>
      <c r="AR677" s="526"/>
      <c r="AS677" s="526"/>
      <c r="AT677" s="526"/>
      <c r="AU677" s="526"/>
      <c r="AV677" s="526"/>
      <c r="AW677" s="526"/>
      <c r="AX677" s="526"/>
      <c r="AY677" s="526"/>
      <c r="AZ677" s="526"/>
      <c r="BA677" s="526"/>
      <c r="BB677" s="526"/>
      <c r="BC677" s="526"/>
      <c r="BD677" s="526"/>
      <c r="BE677" s="526"/>
      <c r="BF677" s="526"/>
      <c r="BG677" s="526"/>
      <c r="BH677" s="526"/>
      <c r="BI677" s="526"/>
      <c r="BJ677" s="526"/>
      <c r="BK677" s="526"/>
      <c r="BL677" s="527"/>
      <c r="BM677" s="526"/>
      <c r="BN677" s="526"/>
      <c r="BO677" s="526"/>
      <c r="BP677" s="526"/>
      <c r="BQ677" s="526"/>
      <c r="BR677" s="526"/>
      <c r="BS677" s="526"/>
      <c r="BT677" s="526"/>
      <c r="BU677" s="526"/>
      <c r="BV677" s="526"/>
      <c r="BW677" s="318"/>
    </row>
    <row r="678" spans="1:75" s="439" customFormat="1">
      <c r="A678" s="42"/>
      <c r="B678" s="518"/>
      <c r="C678" s="533"/>
      <c r="D678" s="533"/>
      <c r="E678" s="518"/>
      <c r="F678" s="518"/>
      <c r="G678" s="518"/>
      <c r="H678" s="518"/>
      <c r="I678" s="518"/>
      <c r="J678" s="518"/>
      <c r="K678" s="518"/>
      <c r="L678" s="518"/>
      <c r="M678" s="518"/>
      <c r="N678" s="518"/>
      <c r="O678" s="518"/>
      <c r="P678" s="518"/>
      <c r="Q678" s="518"/>
      <c r="R678" s="518"/>
      <c r="S678" s="518"/>
      <c r="T678" s="518"/>
      <c r="U678" s="518"/>
      <c r="V678" s="518"/>
      <c r="W678" s="518"/>
      <c r="X678" s="518"/>
      <c r="Y678" s="518"/>
      <c r="Z678" s="518"/>
      <c r="AA678" s="518"/>
      <c r="AB678" s="518"/>
      <c r="AC678" s="518"/>
      <c r="AD678" s="518"/>
      <c r="AE678" s="518"/>
      <c r="AF678" s="518"/>
      <c r="AG678" s="518"/>
      <c r="AH678" s="518"/>
      <c r="AI678" s="518"/>
      <c r="AJ678" s="518"/>
      <c r="AK678" s="518"/>
      <c r="AL678" s="518"/>
      <c r="AM678" s="518"/>
      <c r="AN678" s="518"/>
      <c r="AO678" s="518"/>
      <c r="AP678" s="518"/>
      <c r="AQ678" s="518"/>
      <c r="AR678" s="518"/>
      <c r="AS678" s="518"/>
      <c r="AT678" s="518"/>
      <c r="AU678" s="518"/>
      <c r="AV678" s="518"/>
      <c r="AW678" s="518"/>
      <c r="AX678" s="518"/>
      <c r="AY678" s="518"/>
      <c r="AZ678" s="518"/>
      <c r="BA678" s="518"/>
      <c r="BB678" s="518"/>
      <c r="BC678" s="518"/>
      <c r="BD678" s="518"/>
      <c r="BE678" s="518"/>
      <c r="BF678" s="518"/>
      <c r="BG678" s="518"/>
      <c r="BH678" s="518"/>
      <c r="BI678" s="518"/>
      <c r="BJ678" s="518"/>
      <c r="BK678" s="518"/>
      <c r="BL678" s="520"/>
      <c r="BM678" s="518"/>
      <c r="BN678" s="518"/>
      <c r="BO678" s="518"/>
      <c r="BP678" s="518"/>
      <c r="BQ678" s="518"/>
      <c r="BR678" s="518"/>
      <c r="BS678" s="518"/>
      <c r="BT678" s="518"/>
      <c r="BU678" s="518"/>
      <c r="BV678" s="518"/>
      <c r="BW678" s="519"/>
    </row>
    <row r="679" spans="1:75" s="447" customFormat="1">
      <c r="A679" s="195" t="s">
        <v>576</v>
      </c>
      <c r="B679" s="21"/>
      <c r="C679" s="544"/>
      <c r="D679" s="544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  <c r="AQ679" s="21"/>
      <c r="AR679" s="21"/>
      <c r="AS679" s="21"/>
      <c r="AT679" s="21"/>
      <c r="AU679" s="21"/>
      <c r="AV679" s="21"/>
      <c r="AW679" s="21"/>
      <c r="AX679" s="21"/>
      <c r="AY679" s="21"/>
      <c r="AZ679" s="21"/>
      <c r="BA679" s="21"/>
      <c r="BB679" s="21"/>
      <c r="BC679" s="21"/>
      <c r="BD679" s="21"/>
      <c r="BE679" s="21"/>
      <c r="BF679" s="21"/>
      <c r="BG679" s="21"/>
      <c r="BH679" s="21"/>
      <c r="BI679" s="21"/>
      <c r="BJ679" s="21"/>
      <c r="BK679" s="21"/>
      <c r="BL679" s="186"/>
      <c r="BM679" s="21"/>
      <c r="BN679" s="21"/>
      <c r="BO679" s="21"/>
      <c r="BP679" s="21"/>
      <c r="BQ679" s="21"/>
      <c r="BR679" s="21"/>
      <c r="BS679" s="21"/>
      <c r="BT679" s="21"/>
      <c r="BU679" s="21"/>
      <c r="BV679" s="21"/>
      <c r="BW679" s="139"/>
    </row>
    <row r="680" spans="1:75" s="447" customFormat="1">
      <c r="A680" s="430" t="s">
        <v>577</v>
      </c>
      <c r="B680" s="43"/>
      <c r="C680" s="545"/>
      <c r="D680" s="545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  <c r="AB680" s="43"/>
      <c r="AC680" s="43"/>
      <c r="AD680" s="43"/>
      <c r="AE680" s="43"/>
      <c r="AF680" s="43"/>
      <c r="AG680" s="43"/>
      <c r="AH680" s="43"/>
      <c r="AI680" s="43"/>
      <c r="AJ680" s="43"/>
      <c r="AK680" s="43"/>
      <c r="AL680" s="43"/>
      <c r="AM680" s="43"/>
      <c r="AN680" s="43"/>
      <c r="AO680" s="43"/>
      <c r="AP680" s="43"/>
      <c r="AQ680" s="43"/>
      <c r="AR680" s="43"/>
      <c r="AS680" s="43"/>
      <c r="AT680" s="43"/>
      <c r="AU680" s="43"/>
      <c r="AV680" s="43"/>
      <c r="AW680" s="43"/>
      <c r="AX680" s="43"/>
      <c r="AY680" s="43"/>
      <c r="AZ680" s="43"/>
      <c r="BA680" s="43"/>
      <c r="BB680" s="43"/>
      <c r="BC680" s="43"/>
      <c r="BD680" s="43"/>
      <c r="BE680" s="43"/>
      <c r="BF680" s="43"/>
      <c r="BG680" s="43"/>
      <c r="BH680" s="43"/>
      <c r="BI680" s="43"/>
      <c r="BJ680" s="43"/>
      <c r="BK680" s="43"/>
      <c r="BL680" s="207"/>
      <c r="BM680" s="43"/>
      <c r="BN680" s="43"/>
      <c r="BO680" s="43"/>
      <c r="BP680" s="43"/>
      <c r="BQ680" s="43"/>
      <c r="BR680" s="43"/>
      <c r="BS680" s="43"/>
      <c r="BT680" s="43"/>
      <c r="BU680" s="43"/>
      <c r="BV680" s="43"/>
      <c r="BW680" s="139"/>
    </row>
    <row r="681" spans="1:75" s="446" customFormat="1">
      <c r="A681" s="196" t="s">
        <v>578</v>
      </c>
      <c r="B681" s="43"/>
      <c r="C681" s="545"/>
      <c r="D681" s="545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  <c r="AB681" s="43"/>
      <c r="AC681" s="43"/>
      <c r="AD681" s="43"/>
      <c r="AE681" s="43"/>
      <c r="AF681" s="43"/>
      <c r="AG681" s="43"/>
      <c r="AH681" s="43"/>
      <c r="AI681" s="43"/>
      <c r="AJ681" s="43"/>
      <c r="AK681" s="43"/>
      <c r="AL681" s="43"/>
      <c r="AM681" s="43"/>
      <c r="AN681" s="43"/>
      <c r="AO681" s="43"/>
      <c r="AP681" s="43"/>
      <c r="AQ681" s="43"/>
      <c r="AR681" s="43"/>
      <c r="AS681" s="43"/>
      <c r="AT681" s="43"/>
      <c r="AU681" s="43"/>
      <c r="AV681" s="43"/>
      <c r="AW681" s="43"/>
      <c r="AX681" s="43"/>
      <c r="AY681" s="43"/>
      <c r="AZ681" s="43"/>
      <c r="BA681" s="43"/>
      <c r="BB681" s="43"/>
      <c r="BC681" s="43"/>
      <c r="BD681" s="43"/>
      <c r="BE681" s="43"/>
      <c r="BF681" s="43"/>
      <c r="BG681" s="43"/>
      <c r="BH681" s="43"/>
      <c r="BI681" s="43"/>
      <c r="BJ681" s="43"/>
      <c r="BK681" s="43"/>
      <c r="BL681" s="207"/>
      <c r="BM681" s="43"/>
      <c r="BN681" s="43"/>
      <c r="BO681" s="43"/>
      <c r="BP681" s="43"/>
      <c r="BQ681" s="43"/>
      <c r="BR681" s="43"/>
      <c r="BS681" s="43"/>
      <c r="BT681" s="43"/>
      <c r="BU681" s="43"/>
      <c r="BV681" s="43"/>
      <c r="BW681" s="124"/>
    </row>
    <row r="682" spans="1:75" s="446" customFormat="1">
      <c r="A682" s="197" t="s">
        <v>579</v>
      </c>
      <c r="B682" s="43"/>
      <c r="C682" s="545"/>
      <c r="D682" s="545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  <c r="AB682" s="43"/>
      <c r="AC682" s="43"/>
      <c r="AD682" s="43"/>
      <c r="AE682" s="43"/>
      <c r="AF682" s="43"/>
      <c r="AG682" s="43"/>
      <c r="AH682" s="43"/>
      <c r="AI682" s="43"/>
      <c r="AJ682" s="43"/>
      <c r="AK682" s="43"/>
      <c r="AL682" s="43"/>
      <c r="AM682" s="43"/>
      <c r="AN682" s="43"/>
      <c r="AO682" s="43"/>
      <c r="AP682" s="43"/>
      <c r="AQ682" s="43"/>
      <c r="AR682" s="43"/>
      <c r="AS682" s="43"/>
      <c r="AT682" s="43"/>
      <c r="AU682" s="43"/>
      <c r="AV682" s="43"/>
      <c r="AW682" s="43"/>
      <c r="AX682" s="43"/>
      <c r="AY682" s="43"/>
      <c r="AZ682" s="43"/>
      <c r="BA682" s="43"/>
      <c r="BB682" s="43"/>
      <c r="BC682" s="43"/>
      <c r="BD682" s="43"/>
      <c r="BE682" s="43"/>
      <c r="BF682" s="43"/>
      <c r="BG682" s="43"/>
      <c r="BH682" s="43"/>
      <c r="BI682" s="43"/>
      <c r="BJ682" s="43"/>
      <c r="BK682" s="43"/>
      <c r="BL682" s="207"/>
      <c r="BM682" s="43"/>
      <c r="BN682" s="43"/>
      <c r="BO682" s="43"/>
      <c r="BP682" s="43"/>
      <c r="BQ682" s="43"/>
      <c r="BR682" s="43"/>
      <c r="BS682" s="43"/>
      <c r="BT682" s="43"/>
      <c r="BU682" s="43"/>
      <c r="BV682" s="43"/>
      <c r="BW682" s="124"/>
    </row>
    <row r="683" spans="1:75" s="446" customFormat="1">
      <c r="A683" s="198" t="s">
        <v>580</v>
      </c>
      <c r="B683" s="43"/>
      <c r="C683" s="545"/>
      <c r="D683" s="545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  <c r="AB683" s="43"/>
      <c r="AC683" s="43"/>
      <c r="AD683" s="43"/>
      <c r="AE683" s="43"/>
      <c r="AF683" s="43"/>
      <c r="AG683" s="43"/>
      <c r="AH683" s="43"/>
      <c r="AI683" s="43"/>
      <c r="AJ683" s="43"/>
      <c r="AK683" s="43"/>
      <c r="AL683" s="43"/>
      <c r="AM683" s="43"/>
      <c r="AN683" s="43"/>
      <c r="AO683" s="43"/>
      <c r="AP683" s="43"/>
      <c r="AQ683" s="43"/>
      <c r="AR683" s="43"/>
      <c r="AS683" s="43"/>
      <c r="AT683" s="43"/>
      <c r="AU683" s="43"/>
      <c r="AV683" s="43"/>
      <c r="AW683" s="43"/>
      <c r="AX683" s="43"/>
      <c r="AY683" s="43"/>
      <c r="AZ683" s="43"/>
      <c r="BA683" s="43"/>
      <c r="BB683" s="43"/>
      <c r="BC683" s="43"/>
      <c r="BD683" s="43"/>
      <c r="BE683" s="43"/>
      <c r="BF683" s="43"/>
      <c r="BG683" s="43"/>
      <c r="BH683" s="43"/>
      <c r="BI683" s="43"/>
      <c r="BJ683" s="43"/>
      <c r="BK683" s="43"/>
      <c r="BL683" s="207"/>
      <c r="BM683" s="43"/>
      <c r="BN683" s="43"/>
      <c r="BO683" s="43"/>
      <c r="BP683" s="43"/>
      <c r="BQ683" s="43"/>
      <c r="BR683" s="43"/>
      <c r="BS683" s="43"/>
      <c r="BT683" s="43"/>
      <c r="BU683" s="43"/>
      <c r="BV683" s="43"/>
      <c r="BW683" s="124"/>
    </row>
    <row r="684" spans="1:75" s="446" customFormat="1">
      <c r="A684" s="233" t="s">
        <v>581</v>
      </c>
      <c r="B684" s="43"/>
      <c r="C684" s="545"/>
      <c r="D684" s="545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  <c r="AB684" s="43"/>
      <c r="AC684" s="43"/>
      <c r="AD684" s="43"/>
      <c r="AE684" s="43"/>
      <c r="AF684" s="43"/>
      <c r="AG684" s="43"/>
      <c r="AH684" s="43"/>
      <c r="AI684" s="43"/>
      <c r="AJ684" s="43"/>
      <c r="AK684" s="43"/>
      <c r="AL684" s="43"/>
      <c r="AM684" s="43"/>
      <c r="AN684" s="43"/>
      <c r="AO684" s="43"/>
      <c r="AP684" s="43"/>
      <c r="AQ684" s="43"/>
      <c r="AR684" s="43"/>
      <c r="AS684" s="43"/>
      <c r="AT684" s="43"/>
      <c r="AU684" s="43"/>
      <c r="AV684" s="43"/>
      <c r="AW684" s="43"/>
      <c r="AX684" s="43"/>
      <c r="AY684" s="43"/>
      <c r="AZ684" s="43"/>
      <c r="BA684" s="43"/>
      <c r="BB684" s="43"/>
      <c r="BC684" s="43"/>
      <c r="BD684" s="43"/>
      <c r="BE684" s="43"/>
      <c r="BF684" s="43"/>
      <c r="BG684" s="43"/>
      <c r="BH684" s="43"/>
      <c r="BI684" s="43"/>
      <c r="BJ684" s="43"/>
      <c r="BK684" s="43"/>
      <c r="BL684" s="207"/>
      <c r="BM684" s="43"/>
      <c r="BN684" s="43"/>
      <c r="BO684" s="43"/>
      <c r="BP684" s="43"/>
      <c r="BQ684" s="43"/>
      <c r="BR684" s="43"/>
      <c r="BS684" s="43"/>
      <c r="BT684" s="43"/>
      <c r="BU684" s="43"/>
      <c r="BV684" s="43"/>
      <c r="BW684" s="124"/>
    </row>
    <row r="685" spans="1:75" s="446" customFormat="1">
      <c r="A685" s="42"/>
      <c r="B685" s="43"/>
      <c r="C685" s="545"/>
      <c r="D685" s="545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  <c r="AB685" s="43"/>
      <c r="AC685" s="43"/>
      <c r="AD685" s="43"/>
      <c r="AE685" s="43"/>
      <c r="AF685" s="43"/>
      <c r="AG685" s="43"/>
      <c r="AH685" s="43"/>
      <c r="AI685" s="43"/>
      <c r="AJ685" s="43"/>
      <c r="AK685" s="43"/>
      <c r="AL685" s="43"/>
      <c r="AM685" s="43"/>
      <c r="AN685" s="43"/>
      <c r="AO685" s="43"/>
      <c r="AP685" s="43"/>
      <c r="AQ685" s="43"/>
      <c r="AR685" s="43"/>
      <c r="AS685" s="43"/>
      <c r="AT685" s="43"/>
      <c r="AU685" s="43"/>
      <c r="AV685" s="43"/>
      <c r="AW685" s="43"/>
      <c r="AX685" s="43"/>
      <c r="AY685" s="43"/>
      <c r="AZ685" s="43"/>
      <c r="BA685" s="43"/>
      <c r="BB685" s="43"/>
      <c r="BC685" s="43"/>
      <c r="BD685" s="43"/>
      <c r="BE685" s="43"/>
      <c r="BF685" s="43"/>
      <c r="BG685" s="43"/>
      <c r="BH685" s="43"/>
      <c r="BI685" s="43"/>
      <c r="BJ685" s="43"/>
      <c r="BK685" s="43"/>
      <c r="BL685" s="207"/>
      <c r="BM685" s="43"/>
      <c r="BN685" s="43"/>
      <c r="BO685" s="43"/>
      <c r="BP685" s="43"/>
      <c r="BQ685" s="43"/>
      <c r="BR685" s="43"/>
      <c r="BS685" s="43"/>
      <c r="BT685" s="43"/>
      <c r="BU685" s="43"/>
      <c r="BV685" s="43"/>
      <c r="BW685" s="124"/>
    </row>
    <row r="686" spans="1:75" s="440" customFormat="1">
      <c r="A686" s="200" t="s">
        <v>582</v>
      </c>
      <c r="B686" s="199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  <c r="AA686" s="44"/>
      <c r="AB686" s="44"/>
      <c r="AC686" s="44"/>
      <c r="AD686" s="44"/>
      <c r="AE686" s="44"/>
      <c r="AF686" s="44"/>
      <c r="AG686" s="44"/>
      <c r="AH686" s="44"/>
      <c r="AI686" s="44"/>
      <c r="AJ686" s="44"/>
      <c r="AK686" s="44"/>
      <c r="AL686" s="44"/>
      <c r="AM686" s="44"/>
      <c r="AN686" s="44"/>
      <c r="AO686" s="44"/>
      <c r="AP686" s="44"/>
      <c r="AQ686" s="44"/>
      <c r="AR686" s="44"/>
      <c r="AS686" s="44"/>
      <c r="AT686" s="44"/>
      <c r="AU686" s="44"/>
      <c r="AV686" s="44"/>
      <c r="AW686" s="44"/>
      <c r="AX686" s="44"/>
      <c r="AY686" s="44"/>
      <c r="AZ686" s="44"/>
      <c r="BA686" s="44"/>
      <c r="BB686" s="44"/>
      <c r="BC686" s="44"/>
      <c r="BD686" s="44"/>
      <c r="BE686" s="44"/>
      <c r="BF686" s="44"/>
      <c r="BG686" s="44"/>
      <c r="BH686" s="44"/>
      <c r="BI686" s="44"/>
      <c r="BJ686" s="44"/>
      <c r="BK686" s="44"/>
      <c r="BL686" s="234"/>
      <c r="BM686" s="44"/>
      <c r="BN686" s="44"/>
      <c r="BO686" s="44"/>
      <c r="BP686" s="44"/>
      <c r="BQ686" s="44"/>
      <c r="BR686" s="44"/>
      <c r="BS686" s="44"/>
      <c r="BT686" s="44"/>
      <c r="BU686" s="44"/>
      <c r="BV686" s="44"/>
      <c r="BW686" s="134"/>
    </row>
    <row r="687" spans="1:75" s="446" customFormat="1">
      <c r="A687" s="193" t="s">
        <v>583</v>
      </c>
      <c r="B687" s="650">
        <v>1</v>
      </c>
      <c r="C687" s="43"/>
      <c r="D687" s="545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  <c r="AB687" s="43"/>
      <c r="AC687" s="43"/>
      <c r="AD687" s="43"/>
      <c r="AE687" s="43"/>
      <c r="AF687" s="43"/>
      <c r="AG687" s="43"/>
      <c r="AH687" s="43"/>
      <c r="AI687" s="43"/>
      <c r="AJ687" s="43"/>
      <c r="AK687" s="43"/>
      <c r="AL687" s="43"/>
      <c r="AM687" s="43"/>
      <c r="AN687" s="43"/>
      <c r="AO687" s="43"/>
      <c r="AP687" s="43"/>
      <c r="AQ687" s="43"/>
      <c r="AR687" s="43"/>
      <c r="AS687" s="43"/>
      <c r="AT687" s="43"/>
      <c r="AU687" s="43"/>
      <c r="AV687" s="43"/>
      <c r="AW687" s="43"/>
      <c r="AX687" s="43"/>
      <c r="AY687" s="43"/>
      <c r="AZ687" s="43"/>
      <c r="BA687" s="43"/>
      <c r="BB687" s="43"/>
      <c r="BC687" s="43"/>
      <c r="BD687" s="43"/>
      <c r="BE687" s="43"/>
      <c r="BF687" s="43"/>
      <c r="BG687" s="43"/>
      <c r="BH687" s="43"/>
      <c r="BI687" s="43"/>
      <c r="BJ687" s="43"/>
      <c r="BK687" s="43"/>
      <c r="BL687" s="207"/>
      <c r="BM687" s="43"/>
      <c r="BN687" s="43"/>
      <c r="BO687" s="43"/>
      <c r="BP687" s="43"/>
      <c r="BQ687" s="43"/>
      <c r="BR687" s="43"/>
      <c r="BS687" s="43"/>
      <c r="BT687" s="43"/>
      <c r="BU687" s="43"/>
      <c r="BV687" s="43"/>
      <c r="BW687" s="124"/>
    </row>
    <row r="688" spans="1:75" s="446" customFormat="1">
      <c r="A688" s="193" t="s">
        <v>584</v>
      </c>
      <c r="B688" s="650">
        <v>2</v>
      </c>
      <c r="C688" s="43"/>
      <c r="D688" s="545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  <c r="AB688" s="43"/>
      <c r="AC688" s="43"/>
      <c r="AD688" s="43"/>
      <c r="AE688" s="43"/>
      <c r="AF688" s="43"/>
      <c r="AG688" s="43"/>
      <c r="AH688" s="43"/>
      <c r="AI688" s="43"/>
      <c r="AJ688" s="43"/>
      <c r="AK688" s="43"/>
      <c r="AL688" s="43"/>
      <c r="AM688" s="43"/>
      <c r="AN688" s="43"/>
      <c r="AO688" s="43"/>
      <c r="AP688" s="43"/>
      <c r="AQ688" s="43"/>
      <c r="AR688" s="43"/>
      <c r="AS688" s="43"/>
      <c r="AT688" s="43"/>
      <c r="AU688" s="43"/>
      <c r="AV688" s="43"/>
      <c r="AW688" s="43"/>
      <c r="AX688" s="43"/>
      <c r="AY688" s="43"/>
      <c r="AZ688" s="43"/>
      <c r="BA688" s="43"/>
      <c r="BB688" s="43"/>
      <c r="BC688" s="43"/>
      <c r="BD688" s="43"/>
      <c r="BE688" s="43"/>
      <c r="BF688" s="43"/>
      <c r="BG688" s="43"/>
      <c r="BH688" s="43"/>
      <c r="BI688" s="43"/>
      <c r="BJ688" s="43"/>
      <c r="BK688" s="43"/>
      <c r="BL688" s="207"/>
      <c r="BM688" s="43"/>
      <c r="BN688" s="43"/>
      <c r="BO688" s="43"/>
      <c r="BP688" s="43"/>
      <c r="BQ688" s="43"/>
      <c r="BR688" s="43"/>
      <c r="BS688" s="43"/>
      <c r="BT688" s="43"/>
      <c r="BU688" s="43"/>
      <c r="BV688" s="43"/>
      <c r="BW688" s="124"/>
    </row>
    <row r="689" spans="1:75" s="446" customFormat="1">
      <c r="A689" s="193" t="s">
        <v>585</v>
      </c>
      <c r="B689" s="650">
        <v>3</v>
      </c>
      <c r="C689" s="43"/>
      <c r="D689" s="545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  <c r="AB689" s="43"/>
      <c r="AC689" s="43"/>
      <c r="AD689" s="43"/>
      <c r="AE689" s="43"/>
      <c r="AF689" s="43"/>
      <c r="AG689" s="43"/>
      <c r="AH689" s="43"/>
      <c r="AI689" s="43"/>
      <c r="AJ689" s="43"/>
      <c r="AK689" s="43"/>
      <c r="AL689" s="43"/>
      <c r="AM689" s="43"/>
      <c r="AN689" s="43"/>
      <c r="AO689" s="43"/>
      <c r="AP689" s="43"/>
      <c r="AQ689" s="43"/>
      <c r="AR689" s="43"/>
      <c r="AS689" s="43"/>
      <c r="AT689" s="43"/>
      <c r="AU689" s="43"/>
      <c r="AV689" s="43"/>
      <c r="AW689" s="43"/>
      <c r="AX689" s="43"/>
      <c r="AY689" s="43"/>
      <c r="AZ689" s="43"/>
      <c r="BA689" s="43"/>
      <c r="BB689" s="43"/>
      <c r="BC689" s="43"/>
      <c r="BD689" s="43"/>
      <c r="BE689" s="43"/>
      <c r="BF689" s="43"/>
      <c r="BG689" s="43"/>
      <c r="BH689" s="43"/>
      <c r="BI689" s="43"/>
      <c r="BJ689" s="43"/>
      <c r="BK689" s="43"/>
      <c r="BL689" s="207"/>
      <c r="BM689" s="43"/>
      <c r="BN689" s="43"/>
      <c r="BO689" s="43"/>
      <c r="BP689" s="43"/>
      <c r="BQ689" s="43"/>
      <c r="BR689" s="43"/>
      <c r="BS689" s="43"/>
      <c r="BT689" s="43"/>
      <c r="BU689" s="43"/>
      <c r="BV689" s="43"/>
      <c r="BW689" s="124"/>
    </row>
    <row r="690" spans="1:75" s="446" customFormat="1">
      <c r="A690" s="194" t="s">
        <v>424</v>
      </c>
      <c r="B690" s="651">
        <v>4</v>
      </c>
      <c r="C690" s="43"/>
      <c r="D690" s="545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  <c r="AB690" s="43"/>
      <c r="AC690" s="43"/>
      <c r="AD690" s="43"/>
      <c r="AE690" s="43"/>
      <c r="AF690" s="43"/>
      <c r="AG690" s="43"/>
      <c r="AH690" s="43"/>
      <c r="AI690" s="43"/>
      <c r="AJ690" s="43"/>
      <c r="AK690" s="43"/>
      <c r="AL690" s="43"/>
      <c r="AM690" s="43"/>
      <c r="AN690" s="43"/>
      <c r="AO690" s="43"/>
      <c r="AP690" s="43"/>
      <c r="AQ690" s="43"/>
      <c r="AR690" s="43"/>
      <c r="AS690" s="43"/>
      <c r="AT690" s="43"/>
      <c r="AU690" s="43"/>
      <c r="AV690" s="43"/>
      <c r="AW690" s="43"/>
      <c r="AX690" s="43"/>
      <c r="AY690" s="43"/>
      <c r="AZ690" s="43"/>
      <c r="BA690" s="43"/>
      <c r="BB690" s="43"/>
      <c r="BC690" s="43"/>
      <c r="BD690" s="43"/>
      <c r="BE690" s="43"/>
      <c r="BF690" s="43"/>
      <c r="BG690" s="43"/>
      <c r="BH690" s="43"/>
      <c r="BI690" s="43"/>
      <c r="BJ690" s="43"/>
      <c r="BK690" s="43"/>
      <c r="BL690" s="207"/>
      <c r="BM690" s="43"/>
      <c r="BN690" s="43"/>
      <c r="BO690" s="43"/>
      <c r="BP690" s="43"/>
      <c r="BQ690" s="43"/>
      <c r="BR690" s="43"/>
      <c r="BS690" s="43"/>
      <c r="BT690" s="43"/>
      <c r="BU690" s="43"/>
      <c r="BV690" s="43"/>
      <c r="BW690" s="124"/>
    </row>
    <row r="691" spans="1:75" s="446" customFormat="1">
      <c r="A691" s="42"/>
      <c r="B691" s="43"/>
      <c r="C691" s="545"/>
      <c r="D691" s="545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  <c r="AB691" s="43"/>
      <c r="AC691" s="43"/>
      <c r="AD691" s="43"/>
      <c r="AE691" s="43"/>
      <c r="AF691" s="43"/>
      <c r="AG691" s="43"/>
      <c r="AH691" s="43"/>
      <c r="AI691" s="43"/>
      <c r="AJ691" s="43"/>
      <c r="AK691" s="43"/>
      <c r="AL691" s="43"/>
      <c r="AM691" s="43"/>
      <c r="AN691" s="43"/>
      <c r="AO691" s="43"/>
      <c r="AP691" s="43"/>
      <c r="AQ691" s="43"/>
      <c r="AR691" s="43"/>
      <c r="AS691" s="43"/>
      <c r="AT691" s="43"/>
      <c r="AU691" s="43"/>
      <c r="AV691" s="43"/>
      <c r="AW691" s="43"/>
      <c r="AX691" s="43"/>
      <c r="AY691" s="43"/>
      <c r="AZ691" s="43"/>
      <c r="BA691" s="43"/>
      <c r="BB691" s="43"/>
      <c r="BC691" s="43"/>
      <c r="BD691" s="43"/>
      <c r="BE691" s="43"/>
      <c r="BF691" s="43"/>
      <c r="BG691" s="43"/>
      <c r="BH691" s="43"/>
      <c r="BI691" s="43"/>
      <c r="BJ691" s="43"/>
      <c r="BK691" s="43"/>
      <c r="BL691" s="207"/>
      <c r="BM691" s="43"/>
      <c r="BN691" s="43"/>
      <c r="BO691" s="43"/>
      <c r="BP691" s="43"/>
      <c r="BQ691" s="43"/>
      <c r="BR691" s="43"/>
      <c r="BS691" s="43"/>
      <c r="BT691" s="43"/>
      <c r="BU691" s="43"/>
      <c r="BV691" s="43"/>
      <c r="BW691" s="124"/>
    </row>
    <row r="692" spans="1:75" s="446" customFormat="1">
      <c r="A692" s="209" t="s">
        <v>586</v>
      </c>
      <c r="B692" s="43"/>
      <c r="C692" s="545"/>
      <c r="D692" s="545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  <c r="AB692" s="43"/>
      <c r="AC692" s="43"/>
      <c r="AD692" s="43"/>
      <c r="AE692" s="43"/>
      <c r="AF692" s="43"/>
      <c r="AG692" s="43"/>
      <c r="AH692" s="43"/>
      <c r="AI692" s="43"/>
      <c r="AJ692" s="43"/>
      <c r="AK692" s="43"/>
      <c r="AL692" s="43"/>
      <c r="AM692" s="43"/>
      <c r="AN692" s="43"/>
      <c r="AO692" s="43"/>
      <c r="AP692" s="43"/>
      <c r="AQ692" s="43"/>
      <c r="AR692" s="43"/>
      <c r="AS692" s="43"/>
      <c r="AT692" s="43"/>
      <c r="AU692" s="43"/>
      <c r="AV692" s="43"/>
      <c r="AW692" s="43"/>
      <c r="AX692" s="43"/>
      <c r="AY692" s="43"/>
      <c r="AZ692" s="43"/>
      <c r="BA692" s="43"/>
      <c r="BB692" s="43"/>
      <c r="BC692" s="43"/>
      <c r="BD692" s="43"/>
      <c r="BE692" s="43"/>
      <c r="BF692" s="43"/>
      <c r="BG692" s="43"/>
      <c r="BH692" s="43"/>
      <c r="BI692" s="43"/>
      <c r="BJ692" s="43"/>
      <c r="BK692" s="43"/>
      <c r="BL692" s="207"/>
      <c r="BM692" s="43"/>
      <c r="BN692" s="43"/>
      <c r="BO692" s="43"/>
      <c r="BP692" s="43"/>
      <c r="BQ692" s="43"/>
      <c r="BR692" s="43"/>
      <c r="BS692" s="43"/>
      <c r="BT692" s="43"/>
      <c r="BU692" s="43"/>
      <c r="BV692" s="43"/>
      <c r="BW692" s="124"/>
    </row>
    <row r="693" spans="1:75" s="446" customFormat="1">
      <c r="A693" s="210" t="str">
        <f>MO_RIS_REV</f>
        <v>Net Revenue</v>
      </c>
      <c r="B693" s="43"/>
      <c r="C693" s="545"/>
      <c r="D693" s="545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  <c r="AB693" s="43"/>
      <c r="AC693" s="43"/>
      <c r="AD693" s="43"/>
      <c r="AE693" s="43"/>
      <c r="AF693" s="43"/>
      <c r="AG693" s="43"/>
      <c r="AH693" s="43"/>
      <c r="AI693" s="43"/>
      <c r="AJ693" s="43"/>
      <c r="AK693" s="43"/>
      <c r="AL693" s="43"/>
      <c r="AM693" s="43"/>
      <c r="AN693" s="43"/>
      <c r="AO693" s="43"/>
      <c r="AP693" s="43"/>
      <c r="AQ693" s="43"/>
      <c r="AR693" s="43"/>
      <c r="AS693" s="43"/>
      <c r="AT693" s="43"/>
      <c r="AU693" s="43"/>
      <c r="AV693" s="43"/>
      <c r="AW693" s="43"/>
      <c r="AX693" s="43"/>
      <c r="AY693" s="43"/>
      <c r="AZ693" s="43"/>
      <c r="BA693" s="43"/>
      <c r="BB693" s="43"/>
      <c r="BC693" s="43"/>
      <c r="BD693" s="43"/>
      <c r="BE693" s="43"/>
      <c r="BF693" s="43"/>
      <c r="BG693" s="43"/>
      <c r="BH693" s="43"/>
      <c r="BI693" s="43"/>
      <c r="BJ693" s="43"/>
      <c r="BK693" s="43"/>
      <c r="BL693" s="207"/>
      <c r="BM693" s="43"/>
      <c r="BN693" s="43"/>
      <c r="BO693" s="43"/>
      <c r="BP693" s="43"/>
      <c r="BQ693" s="43"/>
      <c r="BR693" s="43"/>
      <c r="BS693" s="43"/>
      <c r="BT693" s="43"/>
      <c r="BU693" s="43"/>
      <c r="BV693" s="43"/>
      <c r="BW693" s="124"/>
    </row>
    <row r="694" spans="1:75" s="446" customFormat="1">
      <c r="A694" s="210" t="e">
        <f>MO_RIS_EBITDA_Adj</f>
        <v>#VALUE!</v>
      </c>
      <c r="B694" s="43"/>
      <c r="C694" s="545"/>
      <c r="D694" s="545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  <c r="AB694" s="43"/>
      <c r="AC694" s="43"/>
      <c r="AD694" s="43"/>
      <c r="AE694" s="43"/>
      <c r="AF694" s="43"/>
      <c r="AG694" s="43"/>
      <c r="AH694" s="43"/>
      <c r="AI694" s="43"/>
      <c r="AJ694" s="43"/>
      <c r="AK694" s="43"/>
      <c r="AL694" s="43"/>
      <c r="AM694" s="43"/>
      <c r="AN694" s="43"/>
      <c r="AO694" s="43"/>
      <c r="AP694" s="43"/>
      <c r="AQ694" s="43"/>
      <c r="AR694" s="43"/>
      <c r="AS694" s="43"/>
      <c r="AT694" s="43"/>
      <c r="AU694" s="43"/>
      <c r="AV694" s="43"/>
      <c r="AW694" s="43"/>
      <c r="AX694" s="43"/>
      <c r="AY694" s="43"/>
      <c r="AZ694" s="43"/>
      <c r="BA694" s="43"/>
      <c r="BB694" s="43"/>
      <c r="BC694" s="43"/>
      <c r="BD694" s="43"/>
      <c r="BE694" s="43"/>
      <c r="BF694" s="43"/>
      <c r="BG694" s="43"/>
      <c r="BH694" s="43"/>
      <c r="BI694" s="43"/>
      <c r="BJ694" s="43"/>
      <c r="BK694" s="43"/>
      <c r="BL694" s="207"/>
      <c r="BM694" s="43"/>
      <c r="BN694" s="43"/>
      <c r="BO694" s="43"/>
      <c r="BP694" s="43"/>
      <c r="BQ694" s="43"/>
      <c r="BR694" s="43"/>
      <c r="BS694" s="43"/>
      <c r="BT694" s="43"/>
      <c r="BU694" s="43"/>
      <c r="BV694" s="43"/>
      <c r="BW694" s="124"/>
    </row>
    <row r="695" spans="1:75" s="446" customFormat="1">
      <c r="A695" s="210" t="str">
        <f>MO_RIS_EPS_WAD_Adj</f>
        <v>Adjusted Earnings Per Share - WAD</v>
      </c>
      <c r="B695" s="43"/>
      <c r="C695" s="545"/>
      <c r="D695" s="545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  <c r="AB695" s="43"/>
      <c r="AC695" s="43"/>
      <c r="AD695" s="43"/>
      <c r="AE695" s="43"/>
      <c r="AF695" s="43"/>
      <c r="AG695" s="43"/>
      <c r="AH695" s="43"/>
      <c r="AI695" s="43"/>
      <c r="AJ695" s="43"/>
      <c r="AK695" s="43"/>
      <c r="AL695" s="43"/>
      <c r="AM695" s="43"/>
      <c r="AN695" s="43"/>
      <c r="AO695" s="43"/>
      <c r="AP695" s="43"/>
      <c r="AQ695" s="43"/>
      <c r="AR695" s="43"/>
      <c r="AS695" s="43"/>
      <c r="AT695" s="43"/>
      <c r="AU695" s="43"/>
      <c r="AV695" s="43"/>
      <c r="AW695" s="43"/>
      <c r="AX695" s="43"/>
      <c r="AY695" s="43"/>
      <c r="AZ695" s="43"/>
      <c r="BA695" s="43"/>
      <c r="BB695" s="43"/>
      <c r="BC695" s="43"/>
      <c r="BD695" s="43"/>
      <c r="BE695" s="43"/>
      <c r="BF695" s="43"/>
      <c r="BG695" s="43"/>
      <c r="BH695" s="43"/>
      <c r="BI695" s="43"/>
      <c r="BJ695" s="43"/>
      <c r="BK695" s="43"/>
      <c r="BL695" s="207"/>
      <c r="BM695" s="43"/>
      <c r="BN695" s="43"/>
      <c r="BO695" s="43"/>
      <c r="BP695" s="43"/>
      <c r="BQ695" s="43"/>
      <c r="BR695" s="43"/>
      <c r="BS695" s="43"/>
      <c r="BT695" s="43"/>
      <c r="BU695" s="43"/>
      <c r="BV695" s="43"/>
      <c r="BW695" s="124"/>
    </row>
    <row r="696" spans="1:75" s="446" customFormat="1">
      <c r="A696" s="210" t="str">
        <f>MO_VA_EV_ToEBITDA</f>
        <v>EV/EBITDA - EoP</v>
      </c>
      <c r="B696" s="43"/>
      <c r="C696" s="545"/>
      <c r="D696" s="545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  <c r="AB696" s="43"/>
      <c r="AC696" s="43"/>
      <c r="AD696" s="43"/>
      <c r="AE696" s="43"/>
      <c r="AF696" s="43"/>
      <c r="AG696" s="43"/>
      <c r="AH696" s="43"/>
      <c r="AI696" s="43"/>
      <c r="AJ696" s="43"/>
      <c r="AK696" s="43"/>
      <c r="AL696" s="43"/>
      <c r="AM696" s="43"/>
      <c r="AN696" s="43"/>
      <c r="AO696" s="43"/>
      <c r="AP696" s="43"/>
      <c r="AQ696" s="43"/>
      <c r="AR696" s="43"/>
      <c r="AS696" s="43"/>
      <c r="AT696" s="43"/>
      <c r="AU696" s="43"/>
      <c r="AV696" s="43"/>
      <c r="AW696" s="43"/>
      <c r="AX696" s="43"/>
      <c r="AY696" s="43"/>
      <c r="AZ696" s="43"/>
      <c r="BA696" s="43"/>
      <c r="BB696" s="43"/>
      <c r="BC696" s="43"/>
      <c r="BD696" s="43"/>
      <c r="BE696" s="43"/>
      <c r="BF696" s="43"/>
      <c r="BG696" s="43"/>
      <c r="BH696" s="43"/>
      <c r="BI696" s="43"/>
      <c r="BJ696" s="43"/>
      <c r="BK696" s="43"/>
      <c r="BL696" s="207"/>
      <c r="BM696" s="43"/>
      <c r="BN696" s="43"/>
      <c r="BO696" s="43"/>
      <c r="BP696" s="43"/>
      <c r="BQ696" s="43"/>
      <c r="BR696" s="43"/>
      <c r="BS696" s="43"/>
      <c r="BT696" s="43"/>
      <c r="BU696" s="43"/>
      <c r="BV696" s="43"/>
      <c r="BW696" s="124"/>
    </row>
    <row r="697" spans="1:75" s="446" customFormat="1">
      <c r="A697" s="210" t="str">
        <f>MO_VA_P_ToE</f>
        <v>P/E - EoP</v>
      </c>
      <c r="B697" s="43"/>
      <c r="C697" s="545"/>
      <c r="D697" s="545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  <c r="AB697" s="43"/>
      <c r="AC697" s="43"/>
      <c r="AD697" s="43"/>
      <c r="AE697" s="43"/>
      <c r="AF697" s="43"/>
      <c r="AG697" s="43"/>
      <c r="AH697" s="43"/>
      <c r="AI697" s="43"/>
      <c r="AJ697" s="43"/>
      <c r="AK697" s="43"/>
      <c r="AL697" s="43"/>
      <c r="AM697" s="43"/>
      <c r="AN697" s="43"/>
      <c r="AO697" s="43"/>
      <c r="AP697" s="43"/>
      <c r="AQ697" s="43"/>
      <c r="AR697" s="43"/>
      <c r="AS697" s="43"/>
      <c r="AT697" s="43"/>
      <c r="AU697" s="43"/>
      <c r="AV697" s="43"/>
      <c r="AW697" s="43"/>
      <c r="AX697" s="43"/>
      <c r="AY697" s="43"/>
      <c r="AZ697" s="43"/>
      <c r="BA697" s="43"/>
      <c r="BB697" s="43"/>
      <c r="BC697" s="43"/>
      <c r="BD697" s="43"/>
      <c r="BE697" s="43"/>
      <c r="BF697" s="43"/>
      <c r="BG697" s="43"/>
      <c r="BH697" s="43"/>
      <c r="BI697" s="43"/>
      <c r="BJ697" s="43"/>
      <c r="BK697" s="43"/>
      <c r="BL697" s="207"/>
      <c r="BM697" s="43"/>
      <c r="BN697" s="43"/>
      <c r="BO697" s="43"/>
      <c r="BP697" s="43"/>
      <c r="BQ697" s="43"/>
      <c r="BR697" s="43"/>
      <c r="BS697" s="43"/>
      <c r="BT697" s="43"/>
      <c r="BU697" s="43"/>
      <c r="BV697" s="43"/>
      <c r="BW697" s="124"/>
    </row>
    <row r="698" spans="1:75" s="446" customFormat="1">
      <c r="A698" s="211"/>
      <c r="B698" s="43"/>
      <c r="C698" s="545"/>
      <c r="D698" s="545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  <c r="AB698" s="43"/>
      <c r="AC698" s="43"/>
      <c r="AD698" s="43"/>
      <c r="AE698" s="43"/>
      <c r="AF698" s="43"/>
      <c r="AG698" s="43"/>
      <c r="AH698" s="43"/>
      <c r="AI698" s="43"/>
      <c r="AJ698" s="43"/>
      <c r="AK698" s="43"/>
      <c r="AL698" s="43"/>
      <c r="AM698" s="43"/>
      <c r="AN698" s="43"/>
      <c r="AO698" s="43"/>
      <c r="AP698" s="43"/>
      <c r="AQ698" s="43"/>
      <c r="AR698" s="43"/>
      <c r="AS698" s="43"/>
      <c r="AT698" s="43"/>
      <c r="AU698" s="43"/>
      <c r="AV698" s="43"/>
      <c r="AW698" s="43"/>
      <c r="AX698" s="43"/>
      <c r="AY698" s="43"/>
      <c r="AZ698" s="43"/>
      <c r="BA698" s="43"/>
      <c r="BB698" s="43"/>
      <c r="BC698" s="43"/>
      <c r="BD698" s="43"/>
      <c r="BE698" s="43"/>
      <c r="BF698" s="43"/>
      <c r="BG698" s="43"/>
      <c r="BH698" s="43"/>
      <c r="BI698" s="43"/>
      <c r="BJ698" s="43"/>
      <c r="BK698" s="43"/>
      <c r="BL698" s="207"/>
      <c r="BM698" s="43"/>
      <c r="BN698" s="43"/>
      <c r="BO698" s="43"/>
      <c r="BP698" s="43"/>
      <c r="BQ698" s="43"/>
      <c r="BR698" s="43"/>
      <c r="BS698" s="43"/>
      <c r="BT698" s="43"/>
      <c r="BU698" s="43"/>
      <c r="BV698" s="43"/>
      <c r="BW698" s="124"/>
    </row>
    <row r="699" spans="1:75" s="446" customFormat="1">
      <c r="A699" s="42"/>
      <c r="B699" s="43"/>
      <c r="C699" s="545"/>
      <c r="D699" s="545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  <c r="AB699" s="43"/>
      <c r="AC699" s="43"/>
      <c r="AD699" s="43"/>
      <c r="AE699" s="43"/>
      <c r="AF699" s="43"/>
      <c r="AG699" s="43"/>
      <c r="AH699" s="43"/>
      <c r="AI699" s="43"/>
      <c r="AJ699" s="43"/>
      <c r="AK699" s="43"/>
      <c r="AL699" s="43"/>
      <c r="AM699" s="43"/>
      <c r="AN699" s="43"/>
      <c r="AO699" s="43"/>
      <c r="AP699" s="43"/>
      <c r="AQ699" s="43"/>
      <c r="AR699" s="43"/>
      <c r="AS699" s="43"/>
      <c r="AT699" s="43"/>
      <c r="AU699" s="43"/>
      <c r="AV699" s="43"/>
      <c r="AW699" s="43"/>
      <c r="AX699" s="43"/>
      <c r="AY699" s="43"/>
      <c r="AZ699" s="43"/>
      <c r="BA699" s="43"/>
      <c r="BB699" s="43"/>
      <c r="BC699" s="43"/>
      <c r="BD699" s="43"/>
      <c r="BE699" s="43"/>
      <c r="BF699" s="43"/>
      <c r="BG699" s="43"/>
      <c r="BH699" s="43"/>
      <c r="BI699" s="43"/>
      <c r="BJ699" s="43"/>
      <c r="BK699" s="43"/>
      <c r="BL699" s="207"/>
      <c r="BM699" s="43"/>
      <c r="BN699" s="43"/>
      <c r="BO699" s="43"/>
      <c r="BP699" s="43"/>
      <c r="BQ699" s="43"/>
      <c r="BR699" s="43"/>
      <c r="BS699" s="43"/>
      <c r="BT699" s="43"/>
      <c r="BU699" s="43"/>
      <c r="BV699" s="43"/>
      <c r="BW699" s="124"/>
    </row>
    <row r="700" spans="1:75" s="446" customFormat="1">
      <c r="A700" s="209" t="s">
        <v>587</v>
      </c>
      <c r="B700" s="43"/>
      <c r="C700" s="545"/>
      <c r="D700" s="545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  <c r="AB700" s="43"/>
      <c r="AC700" s="43"/>
      <c r="AD700" s="43"/>
      <c r="AE700" s="43"/>
      <c r="AF700" s="43"/>
      <c r="AG700" s="43"/>
      <c r="AH700" s="43"/>
      <c r="AI700" s="43"/>
      <c r="AJ700" s="43"/>
      <c r="AK700" s="43"/>
      <c r="AL700" s="43"/>
      <c r="AM700" s="43"/>
      <c r="AN700" s="43"/>
      <c r="AO700" s="43"/>
      <c r="AP700" s="43"/>
      <c r="AQ700" s="43"/>
      <c r="AR700" s="43"/>
      <c r="AS700" s="43"/>
      <c r="AT700" s="43"/>
      <c r="AU700" s="43"/>
      <c r="AV700" s="43"/>
      <c r="AW700" s="43"/>
      <c r="AX700" s="43"/>
      <c r="AY700" s="43"/>
      <c r="AZ700" s="43"/>
      <c r="BA700" s="43"/>
      <c r="BB700" s="43"/>
      <c r="BC700" s="43"/>
      <c r="BD700" s="43"/>
      <c r="BE700" s="43"/>
      <c r="BF700" s="43"/>
      <c r="BG700" s="43"/>
      <c r="BH700" s="43"/>
      <c r="BI700" s="43"/>
      <c r="BJ700" s="43"/>
      <c r="BK700" s="43"/>
      <c r="BL700" s="207"/>
      <c r="BM700" s="43"/>
      <c r="BN700" s="43"/>
      <c r="BO700" s="43"/>
      <c r="BP700" s="43"/>
      <c r="BQ700" s="43"/>
      <c r="BR700" s="43"/>
      <c r="BS700" s="43"/>
      <c r="BT700" s="43"/>
      <c r="BU700" s="43"/>
      <c r="BV700" s="43"/>
      <c r="BW700" s="124"/>
    </row>
    <row r="701" spans="1:75" s="446" customFormat="1">
      <c r="A701" s="210" t="s">
        <v>588</v>
      </c>
      <c r="B701" s="43"/>
      <c r="C701" s="545"/>
      <c r="D701" s="545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  <c r="AB701" s="43"/>
      <c r="AC701" s="43"/>
      <c r="AD701" s="43"/>
      <c r="AE701" s="43"/>
      <c r="AF701" s="43"/>
      <c r="AG701" s="43"/>
      <c r="AH701" s="43"/>
      <c r="AI701" s="43"/>
      <c r="AJ701" s="43"/>
      <c r="AK701" s="43"/>
      <c r="AL701" s="43"/>
      <c r="AM701" s="43"/>
      <c r="AN701" s="43"/>
      <c r="AO701" s="43"/>
      <c r="AP701" s="43"/>
      <c r="AQ701" s="43"/>
      <c r="AR701" s="43"/>
      <c r="AS701" s="43"/>
      <c r="AT701" s="43"/>
      <c r="AU701" s="43"/>
      <c r="AV701" s="43"/>
      <c r="AW701" s="43"/>
      <c r="AX701" s="43"/>
      <c r="AY701" s="43"/>
      <c r="AZ701" s="43"/>
      <c r="BA701" s="43"/>
      <c r="BB701" s="43"/>
      <c r="BC701" s="43"/>
      <c r="BD701" s="43"/>
      <c r="BE701" s="43"/>
      <c r="BF701" s="43"/>
      <c r="BG701" s="43"/>
      <c r="BH701" s="43"/>
      <c r="BI701" s="43"/>
      <c r="BJ701" s="43"/>
      <c r="BK701" s="43"/>
      <c r="BL701" s="207"/>
      <c r="BM701" s="43"/>
      <c r="BN701" s="43"/>
      <c r="BO701" s="43"/>
      <c r="BP701" s="43"/>
      <c r="BQ701" s="43"/>
      <c r="BR701" s="43"/>
      <c r="BS701" s="43"/>
      <c r="BT701" s="43"/>
      <c r="BU701" s="43"/>
      <c r="BV701" s="43"/>
      <c r="BW701" s="124"/>
    </row>
    <row r="702" spans="1:75" s="446" customFormat="1">
      <c r="A702" s="210" t="s">
        <v>589</v>
      </c>
      <c r="B702" s="43"/>
      <c r="C702" s="545"/>
      <c r="D702" s="545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  <c r="AB702" s="43"/>
      <c r="AC702" s="43"/>
      <c r="AD702" s="43"/>
      <c r="AE702" s="43"/>
      <c r="AF702" s="43"/>
      <c r="AG702" s="43"/>
      <c r="AH702" s="43"/>
      <c r="AI702" s="43"/>
      <c r="AJ702" s="43"/>
      <c r="AK702" s="43"/>
      <c r="AL702" s="43"/>
      <c r="AM702" s="43"/>
      <c r="AN702" s="43"/>
      <c r="AO702" s="43"/>
      <c r="AP702" s="43"/>
      <c r="AQ702" s="43"/>
      <c r="AR702" s="43"/>
      <c r="AS702" s="43"/>
      <c r="AT702" s="43"/>
      <c r="AU702" s="43"/>
      <c r="AV702" s="43"/>
      <c r="AW702" s="43"/>
      <c r="AX702" s="43"/>
      <c r="AY702" s="43"/>
      <c r="AZ702" s="43"/>
      <c r="BA702" s="43"/>
      <c r="BB702" s="43"/>
      <c r="BC702" s="43"/>
      <c r="BD702" s="43"/>
      <c r="BE702" s="43"/>
      <c r="BF702" s="43"/>
      <c r="BG702" s="43"/>
      <c r="BH702" s="43"/>
      <c r="BI702" s="43"/>
      <c r="BJ702" s="43"/>
      <c r="BK702" s="43"/>
      <c r="BL702" s="207"/>
      <c r="BM702" s="43"/>
      <c r="BN702" s="43"/>
      <c r="BO702" s="43"/>
      <c r="BP702" s="43"/>
      <c r="BQ702" s="43"/>
      <c r="BR702" s="43"/>
      <c r="BS702" s="43"/>
      <c r="BT702" s="43"/>
      <c r="BU702" s="43"/>
      <c r="BV702" s="43"/>
      <c r="BW702" s="124"/>
    </row>
    <row r="703" spans="1:75" s="446" customFormat="1">
      <c r="A703" s="210" t="s">
        <v>590</v>
      </c>
      <c r="B703" s="43"/>
      <c r="C703" s="545"/>
      <c r="D703" s="545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  <c r="AB703" s="43"/>
      <c r="AC703" s="43"/>
      <c r="AD703" s="43"/>
      <c r="AE703" s="43"/>
      <c r="AF703" s="43"/>
      <c r="AG703" s="43"/>
      <c r="AH703" s="43"/>
      <c r="AI703" s="43"/>
      <c r="AJ703" s="43"/>
      <c r="AK703" s="43"/>
      <c r="AL703" s="43"/>
      <c r="AM703" s="43"/>
      <c r="AN703" s="43"/>
      <c r="AO703" s="43"/>
      <c r="AP703" s="43"/>
      <c r="AQ703" s="43"/>
      <c r="AR703" s="43"/>
      <c r="AS703" s="43"/>
      <c r="AT703" s="43"/>
      <c r="AU703" s="43"/>
      <c r="AV703" s="43"/>
      <c r="AW703" s="43"/>
      <c r="AX703" s="43"/>
      <c r="AY703" s="43"/>
      <c r="AZ703" s="43"/>
      <c r="BA703" s="43"/>
      <c r="BB703" s="43"/>
      <c r="BC703" s="43"/>
      <c r="BD703" s="43"/>
      <c r="BE703" s="43"/>
      <c r="BF703" s="43"/>
      <c r="BG703" s="43"/>
      <c r="BH703" s="43"/>
      <c r="BI703" s="43"/>
      <c r="BJ703" s="43"/>
      <c r="BK703" s="43"/>
      <c r="BL703" s="207"/>
      <c r="BM703" s="43"/>
      <c r="BN703" s="43"/>
      <c r="BO703" s="43"/>
      <c r="BP703" s="43"/>
      <c r="BQ703" s="43"/>
      <c r="BR703" s="43"/>
      <c r="BS703" s="43"/>
      <c r="BT703" s="43"/>
      <c r="BU703" s="43"/>
      <c r="BV703" s="43"/>
      <c r="BW703" s="124"/>
    </row>
    <row r="704" spans="1:75" s="446" customFormat="1">
      <c r="A704" s="210" t="s">
        <v>591</v>
      </c>
      <c r="B704" s="43"/>
      <c r="C704" s="545"/>
      <c r="D704" s="545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  <c r="AB704" s="43"/>
      <c r="AC704" s="43"/>
      <c r="AD704" s="43"/>
      <c r="AE704" s="43"/>
      <c r="AF704" s="43"/>
      <c r="AG704" s="43"/>
      <c r="AH704" s="43"/>
      <c r="AI704" s="43"/>
      <c r="AJ704" s="43"/>
      <c r="AK704" s="43"/>
      <c r="AL704" s="43"/>
      <c r="AM704" s="43"/>
      <c r="AN704" s="43"/>
      <c r="AO704" s="43"/>
      <c r="AP704" s="43"/>
      <c r="AQ704" s="43"/>
      <c r="AR704" s="43"/>
      <c r="AS704" s="43"/>
      <c r="AT704" s="43"/>
      <c r="AU704" s="43"/>
      <c r="AV704" s="43"/>
      <c r="AW704" s="43"/>
      <c r="AX704" s="43"/>
      <c r="AY704" s="43"/>
      <c r="AZ704" s="43"/>
      <c r="BA704" s="43"/>
      <c r="BB704" s="43"/>
      <c r="BC704" s="43"/>
      <c r="BD704" s="43"/>
      <c r="BE704" s="43"/>
      <c r="BF704" s="43"/>
      <c r="BG704" s="43"/>
      <c r="BH704" s="43"/>
      <c r="BI704" s="43"/>
      <c r="BJ704" s="43"/>
      <c r="BK704" s="43"/>
      <c r="BL704" s="207"/>
      <c r="BM704" s="43"/>
      <c r="BN704" s="43"/>
      <c r="BO704" s="43"/>
      <c r="BP704" s="43"/>
      <c r="BQ704" s="43"/>
      <c r="BR704" s="43"/>
      <c r="BS704" s="43"/>
      <c r="BT704" s="43"/>
      <c r="BU704" s="43"/>
      <c r="BV704" s="43"/>
      <c r="BW704" s="124"/>
    </row>
    <row r="705" spans="1:75" s="446" customFormat="1">
      <c r="A705" s="210" t="s">
        <v>592</v>
      </c>
      <c r="B705" s="43"/>
      <c r="C705" s="545"/>
      <c r="D705" s="545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  <c r="AB705" s="43"/>
      <c r="AC705" s="43"/>
      <c r="AD705" s="43"/>
      <c r="AE705" s="43"/>
      <c r="AF705" s="43"/>
      <c r="AG705" s="43"/>
      <c r="AH705" s="43"/>
      <c r="AI705" s="43"/>
      <c r="AJ705" s="43"/>
      <c r="AK705" s="43"/>
      <c r="AL705" s="43"/>
      <c r="AM705" s="43"/>
      <c r="AN705" s="43"/>
      <c r="AO705" s="43"/>
      <c r="AP705" s="43"/>
      <c r="AQ705" s="43"/>
      <c r="AR705" s="43"/>
      <c r="AS705" s="43"/>
      <c r="AT705" s="43"/>
      <c r="AU705" s="43"/>
      <c r="AV705" s="43"/>
      <c r="AW705" s="43"/>
      <c r="AX705" s="43"/>
      <c r="AY705" s="43"/>
      <c r="AZ705" s="43"/>
      <c r="BA705" s="43"/>
      <c r="BB705" s="43"/>
      <c r="BC705" s="43"/>
      <c r="BD705" s="43"/>
      <c r="BE705" s="43"/>
      <c r="BF705" s="43"/>
      <c r="BG705" s="43"/>
      <c r="BH705" s="43"/>
      <c r="BI705" s="43"/>
      <c r="BJ705" s="43"/>
      <c r="BK705" s="43"/>
      <c r="BL705" s="207"/>
      <c r="BM705" s="43"/>
      <c r="BN705" s="43"/>
      <c r="BO705" s="43"/>
      <c r="BP705" s="43"/>
      <c r="BQ705" s="43"/>
      <c r="BR705" s="43"/>
      <c r="BS705" s="43"/>
      <c r="BT705" s="43"/>
      <c r="BU705" s="43"/>
      <c r="BV705" s="43"/>
      <c r="BW705" s="124"/>
    </row>
    <row r="706" spans="1:75" s="446" customFormat="1">
      <c r="A706" s="210" t="s">
        <v>593</v>
      </c>
      <c r="B706" s="43"/>
      <c r="C706" s="545"/>
      <c r="D706" s="545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  <c r="AB706" s="43"/>
      <c r="AC706" s="43"/>
      <c r="AD706" s="43"/>
      <c r="AE706" s="43"/>
      <c r="AF706" s="43"/>
      <c r="AG706" s="43"/>
      <c r="AH706" s="43"/>
      <c r="AI706" s="43"/>
      <c r="AJ706" s="43"/>
      <c r="AK706" s="43"/>
      <c r="AL706" s="43"/>
      <c r="AM706" s="43"/>
      <c r="AN706" s="43"/>
      <c r="AO706" s="43"/>
      <c r="AP706" s="43"/>
      <c r="AQ706" s="43"/>
      <c r="AR706" s="43"/>
      <c r="AS706" s="43"/>
      <c r="AT706" s="43"/>
      <c r="AU706" s="43"/>
      <c r="AV706" s="43"/>
      <c r="AW706" s="43"/>
      <c r="AX706" s="43"/>
      <c r="AY706" s="43"/>
      <c r="AZ706" s="43"/>
      <c r="BA706" s="43"/>
      <c r="BB706" s="43"/>
      <c r="BC706" s="43"/>
      <c r="BD706" s="43"/>
      <c r="BE706" s="43"/>
      <c r="BF706" s="43"/>
      <c r="BG706" s="43"/>
      <c r="BH706" s="43"/>
      <c r="BI706" s="43"/>
      <c r="BJ706" s="43"/>
      <c r="BK706" s="43"/>
      <c r="BL706" s="207"/>
      <c r="BM706" s="43"/>
      <c r="BN706" s="43"/>
      <c r="BO706" s="43"/>
      <c r="BP706" s="43"/>
      <c r="BQ706" s="43"/>
      <c r="BR706" s="43"/>
      <c r="BS706" s="43"/>
      <c r="BT706" s="43"/>
      <c r="BU706" s="43"/>
      <c r="BV706" s="43"/>
      <c r="BW706" s="124"/>
    </row>
    <row r="707" spans="1:75" s="446" customFormat="1">
      <c r="A707" s="210" t="s">
        <v>594</v>
      </c>
      <c r="B707" s="43"/>
      <c r="C707" s="545"/>
      <c r="D707" s="545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  <c r="AB707" s="43"/>
      <c r="AC707" s="43"/>
      <c r="AD707" s="43"/>
      <c r="AE707" s="43"/>
      <c r="AF707" s="43"/>
      <c r="AG707" s="43"/>
      <c r="AH707" s="43"/>
      <c r="AI707" s="43"/>
      <c r="AJ707" s="43"/>
      <c r="AK707" s="43"/>
      <c r="AL707" s="43"/>
      <c r="AM707" s="43"/>
      <c r="AN707" s="43"/>
      <c r="AO707" s="43"/>
      <c r="AP707" s="43"/>
      <c r="AQ707" s="43"/>
      <c r="AR707" s="43"/>
      <c r="AS707" s="43"/>
      <c r="AT707" s="43"/>
      <c r="AU707" s="43"/>
      <c r="AV707" s="43"/>
      <c r="AW707" s="43"/>
      <c r="AX707" s="43"/>
      <c r="AY707" s="43"/>
      <c r="AZ707" s="43"/>
      <c r="BA707" s="43"/>
      <c r="BB707" s="43"/>
      <c r="BC707" s="43"/>
      <c r="BD707" s="43"/>
      <c r="BE707" s="43"/>
      <c r="BF707" s="43"/>
      <c r="BG707" s="43"/>
      <c r="BH707" s="43"/>
      <c r="BI707" s="43"/>
      <c r="BJ707" s="43"/>
      <c r="BK707" s="43"/>
      <c r="BL707" s="207"/>
      <c r="BM707" s="43"/>
      <c r="BN707" s="43"/>
      <c r="BO707" s="43"/>
      <c r="BP707" s="43"/>
      <c r="BQ707" s="43"/>
      <c r="BR707" s="43"/>
      <c r="BS707" s="43"/>
      <c r="BT707" s="43"/>
      <c r="BU707" s="43"/>
      <c r="BV707" s="43"/>
      <c r="BW707" s="124"/>
    </row>
    <row r="708" spans="1:75" s="446" customFormat="1">
      <c r="A708" s="210" t="s">
        <v>595</v>
      </c>
      <c r="B708" s="43"/>
      <c r="C708" s="545"/>
      <c r="D708" s="545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  <c r="AB708" s="43"/>
      <c r="AC708" s="43"/>
      <c r="AD708" s="43"/>
      <c r="AE708" s="43"/>
      <c r="AF708" s="43"/>
      <c r="AG708" s="43"/>
      <c r="AH708" s="43"/>
      <c r="AI708" s="43"/>
      <c r="AJ708" s="43"/>
      <c r="AK708" s="43"/>
      <c r="AL708" s="43"/>
      <c r="AM708" s="43"/>
      <c r="AN708" s="43"/>
      <c r="AO708" s="43"/>
      <c r="AP708" s="43"/>
      <c r="AQ708" s="43"/>
      <c r="AR708" s="43"/>
      <c r="AS708" s="43"/>
      <c r="AT708" s="43"/>
      <c r="AU708" s="43"/>
      <c r="AV708" s="43"/>
      <c r="AW708" s="43"/>
      <c r="AX708" s="43"/>
      <c r="AY708" s="43"/>
      <c r="AZ708" s="43"/>
      <c r="BA708" s="43"/>
      <c r="BB708" s="43"/>
      <c r="BC708" s="43"/>
      <c r="BD708" s="43"/>
      <c r="BE708" s="43"/>
      <c r="BF708" s="43"/>
      <c r="BG708" s="43"/>
      <c r="BH708" s="43"/>
      <c r="BI708" s="43"/>
      <c r="BJ708" s="43"/>
      <c r="BK708" s="43"/>
      <c r="BL708" s="207"/>
      <c r="BM708" s="43"/>
      <c r="BN708" s="43"/>
      <c r="BO708" s="43"/>
      <c r="BP708" s="43"/>
      <c r="BQ708" s="43"/>
      <c r="BR708" s="43"/>
      <c r="BS708" s="43"/>
      <c r="BT708" s="43"/>
      <c r="BU708" s="43"/>
      <c r="BV708" s="43"/>
      <c r="BW708" s="124"/>
    </row>
    <row r="709" spans="1:75" s="446" customFormat="1">
      <c r="A709" s="210" t="s">
        <v>596</v>
      </c>
      <c r="B709" s="43"/>
      <c r="C709" s="545"/>
      <c r="D709" s="545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  <c r="AB709" s="43"/>
      <c r="AC709" s="43"/>
      <c r="AD709" s="43"/>
      <c r="AE709" s="43"/>
      <c r="AF709" s="43"/>
      <c r="AG709" s="43"/>
      <c r="AH709" s="43"/>
      <c r="AI709" s="43"/>
      <c r="AJ709" s="43"/>
      <c r="AK709" s="43"/>
      <c r="AL709" s="43"/>
      <c r="AM709" s="43"/>
      <c r="AN709" s="43"/>
      <c r="AO709" s="43"/>
      <c r="AP709" s="43"/>
      <c r="AQ709" s="43"/>
      <c r="AR709" s="43"/>
      <c r="AS709" s="43"/>
      <c r="AT709" s="43"/>
      <c r="AU709" s="43"/>
      <c r="AV709" s="43"/>
      <c r="AW709" s="43"/>
      <c r="AX709" s="43"/>
      <c r="AY709" s="43"/>
      <c r="AZ709" s="43"/>
      <c r="BA709" s="43"/>
      <c r="BB709" s="43"/>
      <c r="BC709" s="43"/>
      <c r="BD709" s="43"/>
      <c r="BE709" s="43"/>
      <c r="BF709" s="43"/>
      <c r="BG709" s="43"/>
      <c r="BH709" s="43"/>
      <c r="BI709" s="43"/>
      <c r="BJ709" s="43"/>
      <c r="BK709" s="43"/>
      <c r="BL709" s="207"/>
      <c r="BM709" s="43"/>
      <c r="BN709" s="43"/>
      <c r="BO709" s="43"/>
      <c r="BP709" s="43"/>
      <c r="BQ709" s="43"/>
      <c r="BR709" s="43"/>
      <c r="BS709" s="43"/>
      <c r="BT709" s="43"/>
      <c r="BU709" s="43"/>
      <c r="BV709" s="43"/>
      <c r="BW709" s="124"/>
    </row>
    <row r="710" spans="1:75" s="446" customFormat="1">
      <c r="A710" s="211"/>
      <c r="B710" s="43"/>
      <c r="C710" s="545"/>
      <c r="D710" s="545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  <c r="AB710" s="43"/>
      <c r="AC710" s="43"/>
      <c r="AD710" s="43"/>
      <c r="AE710" s="43"/>
      <c r="AF710" s="43"/>
      <c r="AG710" s="43"/>
      <c r="AH710" s="43"/>
      <c r="AI710" s="43"/>
      <c r="AJ710" s="43"/>
      <c r="AK710" s="43"/>
      <c r="AL710" s="43"/>
      <c r="AM710" s="43"/>
      <c r="AN710" s="43"/>
      <c r="AO710" s="43"/>
      <c r="AP710" s="43"/>
      <c r="AQ710" s="43"/>
      <c r="AR710" s="43"/>
      <c r="AS710" s="43"/>
      <c r="AT710" s="43"/>
      <c r="AU710" s="43"/>
      <c r="AV710" s="43"/>
      <c r="AW710" s="43"/>
      <c r="AX710" s="43"/>
      <c r="AY710" s="43"/>
      <c r="AZ710" s="43"/>
      <c r="BA710" s="43"/>
      <c r="BB710" s="43"/>
      <c r="BC710" s="43"/>
      <c r="BD710" s="43"/>
      <c r="BE710" s="43"/>
      <c r="BF710" s="43"/>
      <c r="BG710" s="43"/>
      <c r="BH710" s="43"/>
      <c r="BI710" s="43"/>
      <c r="BJ710" s="43"/>
      <c r="BK710" s="43"/>
      <c r="BL710" s="207"/>
      <c r="BM710" s="43"/>
      <c r="BN710" s="43"/>
      <c r="BO710" s="43"/>
      <c r="BP710" s="43"/>
      <c r="BQ710" s="43"/>
      <c r="BR710" s="43"/>
      <c r="BS710" s="43"/>
      <c r="BT710" s="43"/>
      <c r="BU710" s="43"/>
      <c r="BV710" s="43"/>
      <c r="BW710" s="124"/>
    </row>
    <row r="711" spans="1:75" s="446" customFormat="1">
      <c r="A711" s="42"/>
      <c r="B711" s="43"/>
      <c r="C711" s="545"/>
      <c r="D711" s="545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  <c r="AB711" s="43"/>
      <c r="AC711" s="43"/>
      <c r="AD711" s="43"/>
      <c r="AE711" s="43"/>
      <c r="AF711" s="43"/>
      <c r="AG711" s="43"/>
      <c r="AH711" s="43"/>
      <c r="AI711" s="43"/>
      <c r="AJ711" s="43"/>
      <c r="AK711" s="43"/>
      <c r="AL711" s="43"/>
      <c r="AM711" s="43"/>
      <c r="AN711" s="43"/>
      <c r="AO711" s="43"/>
      <c r="AP711" s="43"/>
      <c r="AQ711" s="43"/>
      <c r="AR711" s="43"/>
      <c r="AS711" s="43"/>
      <c r="AT711" s="43"/>
      <c r="AU711" s="43"/>
      <c r="AV711" s="43"/>
      <c r="AW711" s="43"/>
      <c r="AX711" s="43"/>
      <c r="AY711" s="43"/>
      <c r="AZ711" s="43"/>
      <c r="BA711" s="43"/>
      <c r="BB711" s="43"/>
      <c r="BC711" s="43"/>
      <c r="BD711" s="43"/>
      <c r="BE711" s="43"/>
      <c r="BF711" s="43"/>
      <c r="BG711" s="43"/>
      <c r="BH711" s="43"/>
      <c r="BI711" s="43"/>
      <c r="BJ711" s="43"/>
      <c r="BK711" s="43"/>
      <c r="BL711" s="207"/>
      <c r="BM711" s="43"/>
      <c r="BN711" s="43"/>
      <c r="BO711" s="43"/>
      <c r="BP711" s="43"/>
      <c r="BQ711" s="43"/>
      <c r="BR711" s="43"/>
      <c r="BS711" s="43"/>
      <c r="BT711" s="43"/>
      <c r="BU711" s="43"/>
      <c r="BV711" s="43"/>
      <c r="BW711" s="124"/>
    </row>
    <row r="712" spans="1:75" s="446" customFormat="1">
      <c r="A712" s="371" t="s">
        <v>597</v>
      </c>
      <c r="B712" s="357"/>
      <c r="C712" s="367"/>
      <c r="D712" s="367"/>
      <c r="E712" s="357"/>
      <c r="F712" s="357"/>
      <c r="G712" s="357"/>
      <c r="H712" s="357"/>
      <c r="I712" s="357"/>
      <c r="J712" s="357"/>
      <c r="K712" s="357"/>
      <c r="L712" s="357"/>
      <c r="M712" s="357"/>
      <c r="N712" s="357"/>
      <c r="O712" s="357"/>
      <c r="P712" s="357"/>
      <c r="Q712" s="357"/>
      <c r="R712" s="357"/>
      <c r="S712" s="357"/>
      <c r="T712" s="357"/>
      <c r="U712" s="357"/>
      <c r="V712" s="357"/>
      <c r="W712" s="357"/>
      <c r="X712" s="357"/>
      <c r="Y712" s="357"/>
      <c r="Z712" s="357"/>
      <c r="AA712" s="357"/>
      <c r="AB712" s="357"/>
      <c r="AC712" s="357"/>
      <c r="AD712" s="357"/>
      <c r="AE712" s="357"/>
      <c r="AF712" s="357"/>
      <c r="AG712" s="357"/>
      <c r="AH712" s="357"/>
      <c r="AI712" s="357"/>
      <c r="AJ712" s="357"/>
      <c r="AK712" s="357"/>
      <c r="AL712" s="357"/>
      <c r="AM712" s="357"/>
      <c r="AN712" s="357"/>
      <c r="AO712" s="357"/>
      <c r="AP712" s="357"/>
      <c r="AQ712" s="357"/>
      <c r="AR712" s="357"/>
      <c r="AS712" s="357"/>
      <c r="AT712" s="357"/>
      <c r="AU712" s="357"/>
      <c r="AV712" s="357"/>
      <c r="AW712" s="357"/>
      <c r="AX712" s="357"/>
      <c r="AY712" s="357"/>
      <c r="AZ712" s="357"/>
      <c r="BA712" s="357"/>
      <c r="BB712" s="357"/>
      <c r="BC712" s="357"/>
      <c r="BD712" s="357"/>
      <c r="BE712" s="357"/>
      <c r="BF712" s="357"/>
      <c r="BG712" s="357"/>
      <c r="BH712" s="357"/>
      <c r="BI712" s="357"/>
      <c r="BJ712" s="357"/>
      <c r="BK712" s="357"/>
      <c r="BL712" s="358"/>
      <c r="BM712" s="357"/>
      <c r="BN712" s="357"/>
      <c r="BO712" s="357"/>
      <c r="BP712" s="357"/>
      <c r="BQ712" s="357"/>
      <c r="BR712" s="357"/>
      <c r="BS712" s="357"/>
      <c r="BT712" s="357"/>
      <c r="BU712" s="357"/>
      <c r="BV712" s="368"/>
      <c r="BW712" s="124"/>
    </row>
    <row r="713" spans="1:75" s="446" customFormat="1">
      <c r="A713" s="372" t="s">
        <v>598</v>
      </c>
      <c r="B713" s="43"/>
      <c r="C713" s="546"/>
      <c r="D713" s="546"/>
      <c r="E713" s="374"/>
      <c r="F713" s="374"/>
      <c r="G713" s="374"/>
      <c r="H713" s="374"/>
      <c r="I713" s="374"/>
      <c r="J713" s="374"/>
      <c r="K713" s="374"/>
      <c r="L713" s="374"/>
      <c r="M713" s="374"/>
      <c r="N713" s="374"/>
      <c r="O713" s="374"/>
      <c r="P713" s="374"/>
      <c r="Q713" s="374"/>
      <c r="R713" s="374"/>
      <c r="S713" s="374"/>
      <c r="T713" s="374"/>
      <c r="U713" s="374"/>
      <c r="V713" s="374"/>
      <c r="W713" s="374"/>
      <c r="X713" s="374"/>
      <c r="Y713" s="374"/>
      <c r="Z713" s="374"/>
      <c r="AA713" s="374"/>
      <c r="AB713" s="374"/>
      <c r="AC713" s="374"/>
      <c r="AD713" s="652">
        <v>43138</v>
      </c>
      <c r="AE713" s="652">
        <v>43138</v>
      </c>
      <c r="AF713" s="652">
        <v>43230</v>
      </c>
      <c r="AG713" s="652">
        <v>43320</v>
      </c>
      <c r="AH713" s="652">
        <v>43412</v>
      </c>
      <c r="AI713" s="652">
        <v>43509</v>
      </c>
      <c r="AJ713" s="652">
        <v>43509</v>
      </c>
      <c r="AK713" s="652">
        <v>43594</v>
      </c>
      <c r="AL713" s="652">
        <v>43686</v>
      </c>
      <c r="AM713" s="652">
        <v>43776</v>
      </c>
      <c r="AN713" s="652">
        <v>43874</v>
      </c>
      <c r="AO713" s="652">
        <v>43874</v>
      </c>
      <c r="AP713" s="652">
        <v>43959</v>
      </c>
      <c r="AQ713" s="652">
        <v>44049</v>
      </c>
      <c r="AR713" s="652">
        <v>44140</v>
      </c>
      <c r="AS713" s="652">
        <v>44236</v>
      </c>
      <c r="AT713" s="652">
        <v>44236</v>
      </c>
      <c r="AU713" s="652">
        <v>44322</v>
      </c>
      <c r="AV713" s="652">
        <v>44413</v>
      </c>
      <c r="AW713" s="652">
        <v>44504</v>
      </c>
      <c r="AX713" s="652">
        <v>44602</v>
      </c>
      <c r="AY713" s="652">
        <v>44602</v>
      </c>
      <c r="AZ713" s="652">
        <v>44686</v>
      </c>
      <c r="BA713" s="652">
        <v>44777</v>
      </c>
      <c r="BB713" s="652">
        <v>44868</v>
      </c>
      <c r="BC713" s="652">
        <v>44966</v>
      </c>
      <c r="BD713" s="652">
        <v>44966</v>
      </c>
      <c r="BE713" s="652">
        <v>45050</v>
      </c>
      <c r="BF713" s="652">
        <v>45141</v>
      </c>
      <c r="BG713" s="652">
        <v>45232</v>
      </c>
      <c r="BH713" s="652">
        <v>45337</v>
      </c>
      <c r="BI713" s="652">
        <v>45337</v>
      </c>
      <c r="BJ713" s="652">
        <v>45421</v>
      </c>
      <c r="BK713" s="652">
        <v>45512</v>
      </c>
      <c r="BL713" s="653">
        <v>45603</v>
      </c>
      <c r="BM713" s="374"/>
      <c r="BN713" s="374"/>
      <c r="BO713" s="374"/>
      <c r="BP713" s="374"/>
      <c r="BQ713" s="374"/>
      <c r="BR713" s="374"/>
      <c r="BS713" s="374"/>
      <c r="BT713" s="374"/>
      <c r="BU713" s="374"/>
      <c r="BV713" s="375"/>
      <c r="BW713" s="124"/>
    </row>
    <row r="714" spans="1:75" s="446" customFormat="1">
      <c r="A714" s="372" t="s">
        <v>599</v>
      </c>
      <c r="B714" s="43"/>
      <c r="C714" s="547"/>
      <c r="D714" s="547"/>
      <c r="E714" s="376"/>
      <c r="F714" s="376"/>
      <c r="G714" s="376"/>
      <c r="H714" s="376"/>
      <c r="I714" s="376"/>
      <c r="J714" s="376"/>
      <c r="K714" s="376"/>
      <c r="L714" s="376"/>
      <c r="M714" s="376"/>
      <c r="N714" s="376"/>
      <c r="O714" s="376"/>
      <c r="P714" s="376"/>
      <c r="Q714" s="376"/>
      <c r="R714" s="376"/>
      <c r="S714" s="376"/>
      <c r="T714" s="376"/>
      <c r="U714" s="376"/>
      <c r="V714" s="376"/>
      <c r="W714" s="376"/>
      <c r="X714" s="376"/>
      <c r="Y714" s="376"/>
      <c r="Z714" s="376"/>
      <c r="AA714" s="376"/>
      <c r="AB714" s="376"/>
      <c r="AC714" s="376"/>
      <c r="AD714" s="376" t="str">
        <f>AF$5</f>
        <v>Q1-2018</v>
      </c>
      <c r="AE714" s="376" t="str">
        <f>AF$5</f>
        <v>Q1-2018</v>
      </c>
      <c r="AF714" s="376" t="str">
        <f>AG$5</f>
        <v>Q2-2018</v>
      </c>
      <c r="AG714" s="376" t="str">
        <f>AH$5</f>
        <v>Q3-2018</v>
      </c>
      <c r="AH714" s="376" t="str">
        <f>AI$5</f>
        <v>Q4-2018</v>
      </c>
      <c r="AI714" s="376" t="str">
        <f>AK$5</f>
        <v>Q1-2019</v>
      </c>
      <c r="AJ714" s="376" t="str">
        <f>AK$5</f>
        <v>Q1-2019</v>
      </c>
      <c r="AK714" s="376" t="str">
        <f>AL$5</f>
        <v>Q2-2019</v>
      </c>
      <c r="AL714" s="376" t="str">
        <f>AM$5</f>
        <v>Q3-2019</v>
      </c>
      <c r="AM714" s="376" t="str">
        <f>AN$5</f>
        <v>Q4-2019</v>
      </c>
      <c r="AN714" s="376" t="str">
        <f>AP$5</f>
        <v>Q1-2020</v>
      </c>
      <c r="AO714" s="376" t="str">
        <f>AP$5</f>
        <v>Q1-2020</v>
      </c>
      <c r="AP714" s="376" t="str">
        <f>AQ$5</f>
        <v>Q2-2020</v>
      </c>
      <c r="AQ714" s="376" t="str">
        <f>AR$5</f>
        <v>Q3-2020</v>
      </c>
      <c r="AR714" s="376" t="str">
        <f>AS$5</f>
        <v>Q4-2020</v>
      </c>
      <c r="AS714" s="376" t="str">
        <f>AU$5</f>
        <v>Q1-2021</v>
      </c>
      <c r="AT714" s="376" t="str">
        <f>AU$5</f>
        <v>Q1-2021</v>
      </c>
      <c r="AU714" s="376" t="str">
        <f>AV$5</f>
        <v>Q2-2021</v>
      </c>
      <c r="AV714" s="376" t="str">
        <f>AW$5</f>
        <v>Q3-2021</v>
      </c>
      <c r="AW714" s="376" t="str">
        <f>AX$5</f>
        <v>Q4-2021</v>
      </c>
      <c r="AX714" s="376" t="str">
        <f>AZ$5</f>
        <v>Q1-2022</v>
      </c>
      <c r="AY714" s="376" t="str">
        <f>AZ$5</f>
        <v>Q1-2022</v>
      </c>
      <c r="AZ714" s="376" t="str">
        <f>BA$5</f>
        <v>Q2-2022</v>
      </c>
      <c r="BA714" s="376" t="str">
        <f>BB$5</f>
        <v>Q3-2022</v>
      </c>
      <c r="BB714" s="376" t="str">
        <f>BC$5</f>
        <v>Q4-2022</v>
      </c>
      <c r="BC714" s="376" t="str">
        <f>BE$5</f>
        <v>Q1-2023</v>
      </c>
      <c r="BD714" s="376" t="str">
        <f>BE$5</f>
        <v>Q1-2023</v>
      </c>
      <c r="BE714" s="376" t="str">
        <f>BF$5</f>
        <v>Q2-2023</v>
      </c>
      <c r="BF714" s="376" t="str">
        <f>BG$5</f>
        <v>Q3-2023</v>
      </c>
      <c r="BG714" s="376" t="str">
        <f>BH$5</f>
        <v>Q4-2023</v>
      </c>
      <c r="BH714" s="376" t="str">
        <f>BJ$5</f>
        <v>Q1-2024</v>
      </c>
      <c r="BI714" s="376" t="str">
        <f>BJ$5</f>
        <v>Q1-2024</v>
      </c>
      <c r="BJ714" s="376" t="str">
        <f>BK$5</f>
        <v>Q2-2024</v>
      </c>
      <c r="BK714" s="376" t="str">
        <f>BL$5</f>
        <v>Q3-2024</v>
      </c>
      <c r="BL714" s="515" t="str">
        <f>BM$5</f>
        <v>Q4-2024</v>
      </c>
      <c r="BM714" s="376"/>
      <c r="BN714" s="376"/>
      <c r="BO714" s="376"/>
      <c r="BP714" s="376"/>
      <c r="BQ714" s="376"/>
      <c r="BR714" s="376"/>
      <c r="BS714" s="376"/>
      <c r="BT714" s="376"/>
      <c r="BU714" s="376"/>
      <c r="BV714" s="377"/>
      <c r="BW714" s="124"/>
    </row>
    <row r="715" spans="1:75" s="446" customFormat="1">
      <c r="A715" s="373"/>
      <c r="B715" s="249"/>
      <c r="C715" s="369"/>
      <c r="D715" s="369"/>
      <c r="E715" s="249"/>
      <c r="F715" s="249"/>
      <c r="G715" s="249"/>
      <c r="H715" s="249"/>
      <c r="I715" s="249"/>
      <c r="J715" s="249"/>
      <c r="K715" s="249"/>
      <c r="L715" s="249"/>
      <c r="M715" s="249"/>
      <c r="N715" s="249"/>
      <c r="O715" s="249"/>
      <c r="P715" s="249"/>
      <c r="Q715" s="249"/>
      <c r="R715" s="249"/>
      <c r="S715" s="249"/>
      <c r="T715" s="249"/>
      <c r="U715" s="249"/>
      <c r="V715" s="249"/>
      <c r="W715" s="249"/>
      <c r="X715" s="249"/>
      <c r="Y715" s="249"/>
      <c r="Z715" s="249"/>
      <c r="AA715" s="249"/>
      <c r="AB715" s="249"/>
      <c r="AC715" s="249"/>
      <c r="AD715" s="249"/>
      <c r="AE715" s="249"/>
      <c r="AF715" s="249"/>
      <c r="AG715" s="249"/>
      <c r="AH715" s="249"/>
      <c r="AI715" s="249"/>
      <c r="AJ715" s="249"/>
      <c r="AK715" s="249"/>
      <c r="AL715" s="249"/>
      <c r="AM715" s="249"/>
      <c r="AN715" s="249"/>
      <c r="AO715" s="249"/>
      <c r="AP715" s="249"/>
      <c r="AQ715" s="249"/>
      <c r="AR715" s="249"/>
      <c r="AS715" s="249"/>
      <c r="AT715" s="249"/>
      <c r="AU715" s="249"/>
      <c r="AV715" s="249"/>
      <c r="AW715" s="249"/>
      <c r="AX715" s="249"/>
      <c r="AY715" s="249"/>
      <c r="AZ715" s="249"/>
      <c r="BA715" s="249"/>
      <c r="BB715" s="249"/>
      <c r="BC715" s="249"/>
      <c r="BD715" s="249"/>
      <c r="BE715" s="249"/>
      <c r="BF715" s="249"/>
      <c r="BG715" s="249"/>
      <c r="BH715" s="249"/>
      <c r="BI715" s="249"/>
      <c r="BJ715" s="249"/>
      <c r="BK715" s="249"/>
      <c r="BL715" s="351"/>
      <c r="BM715" s="249"/>
      <c r="BN715" s="249"/>
      <c r="BO715" s="249"/>
      <c r="BP715" s="249"/>
      <c r="BQ715" s="249"/>
      <c r="BR715" s="249"/>
      <c r="BS715" s="249"/>
      <c r="BT715" s="249"/>
      <c r="BU715" s="249"/>
      <c r="BV715" s="370"/>
      <c r="BW715" s="124"/>
    </row>
    <row r="716" spans="1:75" s="446" customFormat="1">
      <c r="A716" s="42"/>
      <c r="B716" s="43"/>
      <c r="C716" s="545"/>
      <c r="D716" s="545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  <c r="AB716" s="43"/>
      <c r="AC716" s="43"/>
      <c r="AD716" s="43"/>
      <c r="AE716" s="43"/>
      <c r="AF716" s="43"/>
      <c r="AG716" s="43"/>
      <c r="AH716" s="43"/>
      <c r="AI716" s="43"/>
      <c r="AJ716" s="43"/>
      <c r="AK716" s="43"/>
      <c r="AL716" s="43"/>
      <c r="AM716" s="43"/>
      <c r="AN716" s="43"/>
      <c r="AO716" s="43"/>
      <c r="AP716" s="43"/>
      <c r="AQ716" s="43"/>
      <c r="AR716" s="43"/>
      <c r="AS716" s="43"/>
      <c r="AT716" s="43"/>
      <c r="AU716" s="43"/>
      <c r="AV716" s="43"/>
      <c r="AW716" s="43"/>
      <c r="AX716" s="43"/>
      <c r="AY716" s="43"/>
      <c r="AZ716" s="43"/>
      <c r="BA716" s="43"/>
      <c r="BB716" s="43"/>
      <c r="BC716" s="43"/>
      <c r="BD716" s="43"/>
      <c r="BE716" s="43"/>
      <c r="BF716" s="43"/>
      <c r="BG716" s="43"/>
      <c r="BH716" s="43"/>
      <c r="BI716" s="43"/>
      <c r="BJ716" s="43"/>
      <c r="BK716" s="43"/>
      <c r="BL716" s="207"/>
      <c r="BM716" s="43"/>
      <c r="BN716" s="43"/>
      <c r="BO716" s="43"/>
      <c r="BP716" s="43"/>
      <c r="BQ716" s="43"/>
      <c r="BR716" s="43"/>
      <c r="BS716" s="43"/>
      <c r="BT716" s="43"/>
      <c r="BU716" s="43"/>
      <c r="BV716" s="43"/>
      <c r="BW716" s="124"/>
    </row>
    <row r="717" spans="1:75" s="446" customFormat="1">
      <c r="A717" s="371" t="s">
        <v>600</v>
      </c>
      <c r="B717" s="357"/>
      <c r="C717" s="367"/>
      <c r="D717" s="367"/>
      <c r="E717" s="357"/>
      <c r="F717" s="357"/>
      <c r="G717" s="357"/>
      <c r="H717" s="357"/>
      <c r="I717" s="357"/>
      <c r="J717" s="357"/>
      <c r="K717" s="357"/>
      <c r="L717" s="357"/>
      <c r="M717" s="357"/>
      <c r="N717" s="357"/>
      <c r="O717" s="357"/>
      <c r="P717" s="357"/>
      <c r="Q717" s="357"/>
      <c r="R717" s="357"/>
      <c r="S717" s="357"/>
      <c r="T717" s="357"/>
      <c r="U717" s="357"/>
      <c r="V717" s="357"/>
      <c r="W717" s="357"/>
      <c r="X717" s="357"/>
      <c r="Y717" s="357"/>
      <c r="Z717" s="357"/>
      <c r="AA717" s="357"/>
      <c r="AB717" s="357"/>
      <c r="AC717" s="357"/>
      <c r="AD717" s="357"/>
      <c r="AE717" s="357"/>
      <c r="AF717" s="357"/>
      <c r="AG717" s="357"/>
      <c r="AH717" s="357"/>
      <c r="AI717" s="357"/>
      <c r="AJ717" s="357"/>
      <c r="AK717" s="357"/>
      <c r="AL717" s="357"/>
      <c r="AM717" s="357"/>
      <c r="AN717" s="357"/>
      <c r="AO717" s="357"/>
      <c r="AP717" s="357"/>
      <c r="AQ717" s="357"/>
      <c r="AR717" s="357"/>
      <c r="AS717" s="357"/>
      <c r="AT717" s="357"/>
      <c r="AU717" s="357"/>
      <c r="AV717" s="357"/>
      <c r="AW717" s="357"/>
      <c r="AX717" s="357"/>
      <c r="AY717" s="357"/>
      <c r="AZ717" s="357"/>
      <c r="BA717" s="357"/>
      <c r="BB717" s="357"/>
      <c r="BC717" s="357"/>
      <c r="BD717" s="357"/>
      <c r="BE717" s="357"/>
      <c r="BF717" s="357"/>
      <c r="BG717" s="357"/>
      <c r="BH717" s="357"/>
      <c r="BI717" s="357"/>
      <c r="BJ717" s="357"/>
      <c r="BK717" s="357"/>
      <c r="BL717" s="358"/>
      <c r="BM717" s="357"/>
      <c r="BN717" s="357"/>
      <c r="BO717" s="357"/>
      <c r="BP717" s="357"/>
      <c r="BQ717" s="357"/>
      <c r="BR717" s="357"/>
      <c r="BS717" s="357"/>
      <c r="BT717" s="357"/>
      <c r="BU717" s="357"/>
      <c r="BV717" s="368"/>
      <c r="BW717" s="124"/>
    </row>
    <row r="718" spans="1:75" s="446" customFormat="1">
      <c r="A718" s="372" t="s">
        <v>598</v>
      </c>
      <c r="B718" s="43"/>
      <c r="C718" s="546"/>
      <c r="D718" s="546"/>
      <c r="E718" s="374"/>
      <c r="F718" s="374"/>
      <c r="G718" s="374"/>
      <c r="H718" s="374"/>
      <c r="I718" s="374"/>
      <c r="J718" s="374"/>
      <c r="K718" s="374"/>
      <c r="L718" s="374"/>
      <c r="M718" s="374"/>
      <c r="N718" s="374"/>
      <c r="O718" s="374"/>
      <c r="P718" s="374"/>
      <c r="Q718" s="374"/>
      <c r="R718" s="374"/>
      <c r="S718" s="374"/>
      <c r="T718" s="374"/>
      <c r="U718" s="374"/>
      <c r="V718" s="374"/>
      <c r="W718" s="374"/>
      <c r="X718" s="374"/>
      <c r="Y718" s="374"/>
      <c r="Z718" s="374"/>
      <c r="AA718" s="374"/>
      <c r="AB718" s="374"/>
      <c r="AC718" s="374"/>
      <c r="AD718" s="374">
        <f t="shared" ref="AD718:BG718" si="1417">AD713</f>
        <v>43138</v>
      </c>
      <c r="AE718" s="374">
        <f t="shared" si="1417"/>
        <v>43138</v>
      </c>
      <c r="AF718" s="374">
        <f t="shared" si="1417"/>
        <v>43230</v>
      </c>
      <c r="AG718" s="374">
        <f t="shared" si="1417"/>
        <v>43320</v>
      </c>
      <c r="AH718" s="374">
        <f t="shared" si="1417"/>
        <v>43412</v>
      </c>
      <c r="AI718" s="374">
        <f t="shared" si="1417"/>
        <v>43509</v>
      </c>
      <c r="AJ718" s="374">
        <f t="shared" si="1417"/>
        <v>43509</v>
      </c>
      <c r="AK718" s="374">
        <f t="shared" si="1417"/>
        <v>43594</v>
      </c>
      <c r="AL718" s="374">
        <f t="shared" si="1417"/>
        <v>43686</v>
      </c>
      <c r="AM718" s="374">
        <f t="shared" si="1417"/>
        <v>43776</v>
      </c>
      <c r="AN718" s="374">
        <f t="shared" si="1417"/>
        <v>43874</v>
      </c>
      <c r="AO718" s="374">
        <f t="shared" si="1417"/>
        <v>43874</v>
      </c>
      <c r="AP718" s="374">
        <f t="shared" si="1417"/>
        <v>43959</v>
      </c>
      <c r="AQ718" s="374">
        <f t="shared" si="1417"/>
        <v>44049</v>
      </c>
      <c r="AR718" s="374">
        <f t="shared" si="1417"/>
        <v>44140</v>
      </c>
      <c r="AS718" s="374">
        <f t="shared" si="1417"/>
        <v>44236</v>
      </c>
      <c r="AT718" s="374">
        <f t="shared" si="1417"/>
        <v>44236</v>
      </c>
      <c r="AU718" s="374">
        <f t="shared" si="1417"/>
        <v>44322</v>
      </c>
      <c r="AV718" s="374">
        <f t="shared" si="1417"/>
        <v>44413</v>
      </c>
      <c r="AW718" s="374">
        <f t="shared" si="1417"/>
        <v>44504</v>
      </c>
      <c r="AX718" s="374">
        <f t="shared" si="1417"/>
        <v>44602</v>
      </c>
      <c r="AY718" s="374">
        <f t="shared" si="1417"/>
        <v>44602</v>
      </c>
      <c r="AZ718" s="374">
        <f t="shared" si="1417"/>
        <v>44686</v>
      </c>
      <c r="BA718" s="374">
        <f t="shared" si="1417"/>
        <v>44777</v>
      </c>
      <c r="BB718" s="374">
        <f t="shared" si="1417"/>
        <v>44868</v>
      </c>
      <c r="BC718" s="374">
        <f t="shared" si="1417"/>
        <v>44966</v>
      </c>
      <c r="BD718" s="374">
        <f t="shared" si="1417"/>
        <v>44966</v>
      </c>
      <c r="BE718" s="374">
        <f t="shared" si="1417"/>
        <v>45050</v>
      </c>
      <c r="BF718" s="374">
        <f t="shared" si="1417"/>
        <v>45141</v>
      </c>
      <c r="BG718" s="374">
        <f t="shared" si="1417"/>
        <v>45232</v>
      </c>
      <c r="BH718" s="374">
        <f>BH713</f>
        <v>45337</v>
      </c>
      <c r="BI718" s="374">
        <f>BI713</f>
        <v>45337</v>
      </c>
      <c r="BJ718" s="374">
        <f>BJ713</f>
        <v>45421</v>
      </c>
      <c r="BK718" s="374">
        <f>BK713</f>
        <v>45512</v>
      </c>
      <c r="BL718" s="514">
        <f>BL713</f>
        <v>45603</v>
      </c>
      <c r="BM718" s="374"/>
      <c r="BN718" s="374"/>
      <c r="BO718" s="374"/>
      <c r="BP718" s="374"/>
      <c r="BQ718" s="374"/>
      <c r="BR718" s="374"/>
      <c r="BS718" s="374"/>
      <c r="BT718" s="374"/>
      <c r="BU718" s="374"/>
      <c r="BV718" s="375"/>
      <c r="BW718" s="124"/>
    </row>
    <row r="719" spans="1:75" s="446" customFormat="1">
      <c r="A719" s="372" t="s">
        <v>601</v>
      </c>
      <c r="B719" s="43"/>
      <c r="C719" s="547"/>
      <c r="D719" s="547"/>
      <c r="E719" s="376"/>
      <c r="F719" s="376"/>
      <c r="G719" s="376"/>
      <c r="H719" s="376"/>
      <c r="I719" s="376"/>
      <c r="J719" s="376"/>
      <c r="K719" s="376"/>
      <c r="L719" s="376"/>
      <c r="M719" s="376"/>
      <c r="N719" s="376"/>
      <c r="O719" s="376"/>
      <c r="P719" s="376"/>
      <c r="Q719" s="376"/>
      <c r="R719" s="376"/>
      <c r="S719" s="376"/>
      <c r="T719" s="376"/>
      <c r="U719" s="376"/>
      <c r="V719" s="376"/>
      <c r="W719" s="376"/>
      <c r="X719" s="376"/>
      <c r="Y719" s="376"/>
      <c r="Z719" s="376"/>
      <c r="AA719" s="376"/>
      <c r="AB719" s="376"/>
      <c r="AC719" s="376"/>
      <c r="AD719" s="376" t="str">
        <f t="shared" ref="AD719:BG719" si="1418">IF(AD720=AE720,"",AD720)</f>
        <v/>
      </c>
      <c r="AE719" s="376" t="str">
        <f t="shared" si="1418"/>
        <v/>
      </c>
      <c r="AF719" s="376" t="str">
        <f t="shared" si="1418"/>
        <v/>
      </c>
      <c r="AG719" s="376" t="str">
        <f t="shared" si="1418"/>
        <v/>
      </c>
      <c r="AH719" s="376" t="str">
        <f t="shared" si="1418"/>
        <v>FY2018</v>
      </c>
      <c r="AI719" s="376" t="str">
        <f t="shared" si="1418"/>
        <v/>
      </c>
      <c r="AJ719" s="376" t="str">
        <f t="shared" si="1418"/>
        <v/>
      </c>
      <c r="AK719" s="376" t="str">
        <f t="shared" si="1418"/>
        <v/>
      </c>
      <c r="AL719" s="376" t="str">
        <f t="shared" si="1418"/>
        <v/>
      </c>
      <c r="AM719" s="376" t="str">
        <f t="shared" si="1418"/>
        <v>FY2019</v>
      </c>
      <c r="AN719" s="376" t="str">
        <f t="shared" si="1418"/>
        <v/>
      </c>
      <c r="AO719" s="376" t="str">
        <f t="shared" si="1418"/>
        <v/>
      </c>
      <c r="AP719" s="376" t="str">
        <f t="shared" si="1418"/>
        <v/>
      </c>
      <c r="AQ719" s="376" t="str">
        <f t="shared" si="1418"/>
        <v/>
      </c>
      <c r="AR719" s="376" t="str">
        <f t="shared" si="1418"/>
        <v>FY2020</v>
      </c>
      <c r="AS719" s="376" t="str">
        <f t="shared" si="1418"/>
        <v/>
      </c>
      <c r="AT719" s="376" t="str">
        <f t="shared" si="1418"/>
        <v/>
      </c>
      <c r="AU719" s="376" t="str">
        <f t="shared" si="1418"/>
        <v/>
      </c>
      <c r="AV719" s="376" t="str">
        <f t="shared" si="1418"/>
        <v/>
      </c>
      <c r="AW719" s="376" t="str">
        <f t="shared" si="1418"/>
        <v>FY2021</v>
      </c>
      <c r="AX719" s="376" t="str">
        <f t="shared" si="1418"/>
        <v/>
      </c>
      <c r="AY719" s="376" t="str">
        <f t="shared" si="1418"/>
        <v/>
      </c>
      <c r="AZ719" s="376" t="str">
        <f t="shared" si="1418"/>
        <v/>
      </c>
      <c r="BA719" s="376" t="str">
        <f t="shared" si="1418"/>
        <v/>
      </c>
      <c r="BB719" s="376" t="str">
        <f t="shared" si="1418"/>
        <v>FY2022</v>
      </c>
      <c r="BC719" s="376" t="str">
        <f t="shared" si="1418"/>
        <v/>
      </c>
      <c r="BD719" s="376" t="str">
        <f t="shared" si="1418"/>
        <v/>
      </c>
      <c r="BE719" s="376" t="str">
        <f t="shared" si="1418"/>
        <v/>
      </c>
      <c r="BF719" s="376" t="str">
        <f t="shared" si="1418"/>
        <v/>
      </c>
      <c r="BG719" s="376" t="str">
        <f t="shared" si="1418"/>
        <v>FY2023</v>
      </c>
      <c r="BH719" s="376" t="str">
        <f>IF(BH720=BI720,"",BH720)</f>
        <v/>
      </c>
      <c r="BI719" s="376" t="str">
        <f>IF(BI720=BJ720,"",BI720)</f>
        <v/>
      </c>
      <c r="BJ719" s="376" t="str">
        <f>IF(BJ720=BK720,"",BJ720)</f>
        <v/>
      </c>
      <c r="BK719" s="376" t="str">
        <f>IF(BK720=BL720,"",BK720)</f>
        <v/>
      </c>
      <c r="BL719" s="515" t="str">
        <f>IF(BL720=BM720,"",BL720)</f>
        <v>FY2024</v>
      </c>
      <c r="BM719" s="376"/>
      <c r="BN719" s="376"/>
      <c r="BO719" s="376"/>
      <c r="BP719" s="376"/>
      <c r="BQ719" s="376"/>
      <c r="BR719" s="376"/>
      <c r="BS719" s="376"/>
      <c r="BT719" s="376"/>
      <c r="BU719" s="376"/>
      <c r="BV719" s="377"/>
      <c r="BW719" s="124"/>
    </row>
    <row r="720" spans="1:75" s="446" customFormat="1">
      <c r="A720" s="372" t="s">
        <v>599</v>
      </c>
      <c r="B720" s="43"/>
      <c r="C720" s="547"/>
      <c r="D720" s="547"/>
      <c r="E720" s="376"/>
      <c r="F720" s="376"/>
      <c r="G720" s="376"/>
      <c r="H720" s="376"/>
      <c r="I720" s="376"/>
      <c r="J720" s="376"/>
      <c r="K720" s="376"/>
      <c r="L720" s="376"/>
      <c r="M720" s="376"/>
      <c r="N720" s="376"/>
      <c r="O720" s="376"/>
      <c r="P720" s="376"/>
      <c r="Q720" s="376"/>
      <c r="R720" s="376"/>
      <c r="S720" s="376"/>
      <c r="T720" s="376"/>
      <c r="U720" s="376"/>
      <c r="V720" s="376"/>
      <c r="W720" s="376"/>
      <c r="X720" s="376"/>
      <c r="Y720" s="376"/>
      <c r="Z720" s="376"/>
      <c r="AA720" s="376"/>
      <c r="AB720" s="376"/>
      <c r="AC720" s="376"/>
      <c r="AD720" s="376" t="str">
        <f>AJ$5</f>
        <v>FY2018</v>
      </c>
      <c r="AE720" s="376" t="str">
        <f>AJ$5</f>
        <v>FY2018</v>
      </c>
      <c r="AF720" s="376" t="str">
        <f>AJ$5</f>
        <v>FY2018</v>
      </c>
      <c r="AG720" s="376" t="str">
        <f>AJ$5</f>
        <v>FY2018</v>
      </c>
      <c r="AH720" s="376" t="str">
        <f>AJ$5</f>
        <v>FY2018</v>
      </c>
      <c r="AI720" s="376" t="str">
        <f>AO$5</f>
        <v>FY2019</v>
      </c>
      <c r="AJ720" s="376" t="str">
        <f>AO$5</f>
        <v>FY2019</v>
      </c>
      <c r="AK720" s="376" t="str">
        <f>AO$5</f>
        <v>FY2019</v>
      </c>
      <c r="AL720" s="376" t="str">
        <f>AO$5</f>
        <v>FY2019</v>
      </c>
      <c r="AM720" s="376" t="str">
        <f>AO$5</f>
        <v>FY2019</v>
      </c>
      <c r="AN720" s="376" t="str">
        <f>AT$5</f>
        <v>FY2020</v>
      </c>
      <c r="AO720" s="376" t="str">
        <f>AT$5</f>
        <v>FY2020</v>
      </c>
      <c r="AP720" s="376" t="str">
        <f>AT$5</f>
        <v>FY2020</v>
      </c>
      <c r="AQ720" s="376" t="str">
        <f>AT$5</f>
        <v>FY2020</v>
      </c>
      <c r="AR720" s="376" t="str">
        <f>AT$5</f>
        <v>FY2020</v>
      </c>
      <c r="AS720" s="376" t="str">
        <f>AY$5</f>
        <v>FY2021</v>
      </c>
      <c r="AT720" s="376" t="str">
        <f>AY$5</f>
        <v>FY2021</v>
      </c>
      <c r="AU720" s="376" t="str">
        <f>AY$5</f>
        <v>FY2021</v>
      </c>
      <c r="AV720" s="376" t="str">
        <f>AY$5</f>
        <v>FY2021</v>
      </c>
      <c r="AW720" s="376" t="str">
        <f>AY$5</f>
        <v>FY2021</v>
      </c>
      <c r="AX720" s="376" t="str">
        <f>BD$5</f>
        <v>FY2022</v>
      </c>
      <c r="AY720" s="376" t="str">
        <f>BD$5</f>
        <v>FY2022</v>
      </c>
      <c r="AZ720" s="376" t="str">
        <f>BD$5</f>
        <v>FY2022</v>
      </c>
      <c r="BA720" s="376" t="str">
        <f>BD$5</f>
        <v>FY2022</v>
      </c>
      <c r="BB720" s="376" t="str">
        <f>BD$5</f>
        <v>FY2022</v>
      </c>
      <c r="BC720" s="376" t="str">
        <f>BI$5</f>
        <v>FY2023</v>
      </c>
      <c r="BD720" s="376" t="str">
        <f>BI$5</f>
        <v>FY2023</v>
      </c>
      <c r="BE720" s="376" t="str">
        <f>BI$5</f>
        <v>FY2023</v>
      </c>
      <c r="BF720" s="376" t="str">
        <f>BI$5</f>
        <v>FY2023</v>
      </c>
      <c r="BG720" s="376" t="str">
        <f>BI$5</f>
        <v>FY2023</v>
      </c>
      <c r="BH720" s="376" t="str">
        <f>BN$5</f>
        <v>FY2024</v>
      </c>
      <c r="BI720" s="376" t="str">
        <f>BN$5</f>
        <v>FY2024</v>
      </c>
      <c r="BJ720" s="376" t="str">
        <f>BN$5</f>
        <v>FY2024</v>
      </c>
      <c r="BK720" s="376" t="str">
        <f>BN$5</f>
        <v>FY2024</v>
      </c>
      <c r="BL720" s="515" t="str">
        <f>BN$5</f>
        <v>FY2024</v>
      </c>
      <c r="BM720" s="376"/>
      <c r="BN720" s="376"/>
      <c r="BO720" s="376"/>
      <c r="BP720" s="376"/>
      <c r="BQ720" s="376"/>
      <c r="BR720" s="376"/>
      <c r="BS720" s="376"/>
      <c r="BT720" s="376"/>
      <c r="BU720" s="376"/>
      <c r="BV720" s="377"/>
      <c r="BW720" s="124"/>
    </row>
    <row r="721" spans="1:75" s="446" customFormat="1">
      <c r="A721" s="373"/>
      <c r="B721" s="249"/>
      <c r="C721" s="369"/>
      <c r="D721" s="369"/>
      <c r="E721" s="249"/>
      <c r="F721" s="249"/>
      <c r="G721" s="249"/>
      <c r="H721" s="249"/>
      <c r="I721" s="249"/>
      <c r="J721" s="249"/>
      <c r="K721" s="249"/>
      <c r="L721" s="249"/>
      <c r="M721" s="249"/>
      <c r="N721" s="249"/>
      <c r="O721" s="249"/>
      <c r="P721" s="249"/>
      <c r="Q721" s="249"/>
      <c r="R721" s="249"/>
      <c r="S721" s="249"/>
      <c r="T721" s="249"/>
      <c r="U721" s="249"/>
      <c r="V721" s="249"/>
      <c r="W721" s="249"/>
      <c r="X721" s="249"/>
      <c r="Y721" s="249"/>
      <c r="Z721" s="249"/>
      <c r="AA721" s="249"/>
      <c r="AB721" s="249"/>
      <c r="AC721" s="249"/>
      <c r="AD721" s="249"/>
      <c r="AE721" s="249"/>
      <c r="AF721" s="249"/>
      <c r="AG721" s="249"/>
      <c r="AH721" s="249"/>
      <c r="AI721" s="249"/>
      <c r="AJ721" s="249"/>
      <c r="AK721" s="249"/>
      <c r="AL721" s="249"/>
      <c r="AM721" s="249"/>
      <c r="AN721" s="249"/>
      <c r="AO721" s="249"/>
      <c r="AP721" s="249"/>
      <c r="AQ721" s="249"/>
      <c r="AR721" s="249"/>
      <c r="AS721" s="249"/>
      <c r="AT721" s="249"/>
      <c r="AU721" s="249"/>
      <c r="AV721" s="249"/>
      <c r="AW721" s="249"/>
      <c r="AX721" s="249"/>
      <c r="AY721" s="249"/>
      <c r="AZ721" s="249"/>
      <c r="BA721" s="249"/>
      <c r="BB721" s="249"/>
      <c r="BC721" s="249"/>
      <c r="BD721" s="249"/>
      <c r="BE721" s="249"/>
      <c r="BF721" s="249"/>
      <c r="BG721" s="249"/>
      <c r="BH721" s="249"/>
      <c r="BI721" s="249"/>
      <c r="BJ721" s="249"/>
      <c r="BK721" s="249"/>
      <c r="BL721" s="351"/>
      <c r="BM721" s="249"/>
      <c r="BN721" s="249"/>
      <c r="BO721" s="249"/>
      <c r="BP721" s="249"/>
      <c r="BQ721" s="249"/>
      <c r="BR721" s="249"/>
      <c r="BS721" s="249"/>
      <c r="BT721" s="249"/>
      <c r="BU721" s="249"/>
      <c r="BV721" s="370"/>
      <c r="BW721" s="124"/>
    </row>
    <row r="722" spans="1:75" s="446" customFormat="1">
      <c r="A722" s="42"/>
      <c r="B722" s="43"/>
      <c r="C722" s="545"/>
      <c r="D722" s="545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  <c r="AB722" s="43"/>
      <c r="AC722" s="43"/>
      <c r="AD722" s="43"/>
      <c r="AE722" s="43"/>
      <c r="AF722" s="43"/>
      <c r="AG722" s="43"/>
      <c r="AH722" s="43"/>
      <c r="AI722" s="43"/>
      <c r="AJ722" s="43"/>
      <c r="AK722" s="43"/>
      <c r="AL722" s="43"/>
      <c r="AM722" s="43"/>
      <c r="AN722" s="43"/>
      <c r="AO722" s="43"/>
      <c r="AP722" s="43"/>
      <c r="AQ722" s="43"/>
      <c r="AR722" s="43"/>
      <c r="AS722" s="43"/>
      <c r="AT722" s="43"/>
      <c r="AU722" s="43"/>
      <c r="AV722" s="43"/>
      <c r="AW722" s="43"/>
      <c r="AX722" s="43"/>
      <c r="AY722" s="43"/>
      <c r="AZ722" s="43"/>
      <c r="BA722" s="43"/>
      <c r="BB722" s="43"/>
      <c r="BC722" s="43"/>
      <c r="BD722" s="43"/>
      <c r="BE722" s="43"/>
      <c r="BF722" s="43"/>
      <c r="BG722" s="43"/>
      <c r="BH722" s="43"/>
      <c r="BI722" s="43"/>
      <c r="BJ722" s="43"/>
      <c r="BK722" s="43"/>
      <c r="BL722" s="207"/>
      <c r="BM722" s="43"/>
      <c r="BN722" s="43"/>
      <c r="BO722" s="43"/>
      <c r="BP722" s="43"/>
      <c r="BQ722" s="43"/>
      <c r="BR722" s="43"/>
      <c r="BS722" s="43"/>
      <c r="BT722" s="43"/>
      <c r="BU722" s="43"/>
      <c r="BV722" s="43"/>
      <c r="BW722" s="124"/>
    </row>
    <row r="723" spans="1:75" s="444" customFormat="1">
      <c r="A723" s="590" t="s">
        <v>602</v>
      </c>
      <c r="B723" s="560"/>
      <c r="C723" s="560"/>
      <c r="D723" s="560"/>
      <c r="E723" s="560"/>
      <c r="F723" s="560"/>
      <c r="G723" s="560"/>
      <c r="H723" s="560"/>
      <c r="I723" s="560"/>
      <c r="J723" s="560"/>
      <c r="K723" s="560"/>
      <c r="L723" s="560"/>
      <c r="M723" s="560"/>
      <c r="N723" s="560"/>
      <c r="O723" s="560"/>
      <c r="P723" s="560"/>
      <c r="Q723" s="560"/>
      <c r="R723" s="560"/>
      <c r="S723" s="560"/>
      <c r="T723" s="560"/>
      <c r="U723" s="560"/>
      <c r="V723" s="560"/>
      <c r="W723" s="560"/>
      <c r="X723" s="560"/>
      <c r="Y723" s="560"/>
      <c r="Z723" s="560"/>
      <c r="AA723" s="560"/>
      <c r="AB723" s="560"/>
      <c r="AC723" s="560"/>
      <c r="AD723" s="560"/>
      <c r="AE723" s="560"/>
      <c r="AF723" s="560"/>
      <c r="AG723" s="560"/>
      <c r="AH723" s="560"/>
      <c r="AI723" s="560"/>
      <c r="AJ723" s="560"/>
      <c r="AK723" s="560"/>
      <c r="AL723" s="560"/>
      <c r="AM723" s="560"/>
      <c r="AN723" s="560"/>
      <c r="AO723" s="560"/>
      <c r="AP723" s="560"/>
      <c r="AQ723" s="560"/>
      <c r="AR723" s="560"/>
      <c r="AS723" s="560"/>
      <c r="AT723" s="560"/>
      <c r="AU723" s="560"/>
      <c r="AV723" s="560"/>
      <c r="AW723" s="560"/>
      <c r="AX723" s="560"/>
      <c r="AY723" s="560"/>
      <c r="AZ723" s="560"/>
      <c r="BA723" s="560"/>
      <c r="BB723" s="560"/>
      <c r="BC723" s="560"/>
      <c r="BD723" s="560"/>
      <c r="BE723" s="560"/>
      <c r="BF723" s="560"/>
      <c r="BG723" s="560"/>
      <c r="BH723" s="560"/>
      <c r="BI723" s="560"/>
      <c r="BJ723" s="560"/>
      <c r="BK723" s="560"/>
      <c r="BL723" s="561"/>
      <c r="BM723" s="560" t="str">
        <f>BM5</f>
        <v>Q4-2024</v>
      </c>
      <c r="BN723" s="560" t="str">
        <f t="shared" ref="BN723" si="1419">BN5</f>
        <v>FY2024</v>
      </c>
      <c r="BO723" s="560" t="str">
        <f t="shared" ref="BO723:BV723" si="1420">BO5</f>
        <v>Q1-2025</v>
      </c>
      <c r="BP723" s="560" t="str">
        <f t="shared" si="1420"/>
        <v>Q2-2025</v>
      </c>
      <c r="BQ723" s="560" t="str">
        <f t="shared" si="1420"/>
        <v>Q3-2025</v>
      </c>
      <c r="BR723" s="560" t="str">
        <f t="shared" si="1420"/>
        <v>Q4-2025</v>
      </c>
      <c r="BS723" s="560" t="str">
        <f t="shared" si="1420"/>
        <v>FY2025</v>
      </c>
      <c r="BT723" s="560" t="str">
        <f t="shared" si="1420"/>
        <v>FY2026</v>
      </c>
      <c r="BU723" s="560" t="str">
        <f t="shared" si="1420"/>
        <v>FY2027</v>
      </c>
      <c r="BV723" s="591" t="str">
        <f t="shared" si="1420"/>
        <v>FY2028</v>
      </c>
      <c r="BW723" s="318"/>
    </row>
    <row r="724" spans="1:75" s="444" customFormat="1">
      <c r="A724" s="592" t="s">
        <v>603</v>
      </c>
      <c r="B724" s="523"/>
      <c r="C724" s="523"/>
      <c r="D724" s="523"/>
      <c r="E724" s="523"/>
      <c r="F724" s="523"/>
      <c r="G724" s="523"/>
      <c r="H724" s="523"/>
      <c r="I724" s="523"/>
      <c r="J724" s="523"/>
      <c r="K724" s="523"/>
      <c r="L724" s="523"/>
      <c r="M724" s="523"/>
      <c r="N724" s="523"/>
      <c r="O724" s="523"/>
      <c r="P724" s="523"/>
      <c r="Q724" s="523"/>
      <c r="R724" s="523"/>
      <c r="S724" s="523"/>
      <c r="T724" s="523"/>
      <c r="U724" s="523"/>
      <c r="V724" s="523"/>
      <c r="W724" s="523"/>
      <c r="X724" s="523"/>
      <c r="Y724" s="523"/>
      <c r="Z724" s="523"/>
      <c r="AA724" s="523"/>
      <c r="AB724" s="523"/>
      <c r="AC724" s="523"/>
      <c r="AD724" s="523"/>
      <c r="AE724" s="523"/>
      <c r="AF724" s="523"/>
      <c r="AG724" s="523"/>
      <c r="AH724" s="523"/>
      <c r="AI724" s="523"/>
      <c r="AJ724" s="523"/>
      <c r="AK724" s="523"/>
      <c r="AL724" s="523"/>
      <c r="AM724" s="523"/>
      <c r="AN724" s="523"/>
      <c r="AO724" s="523"/>
      <c r="AP724" s="523"/>
      <c r="AQ724" s="523"/>
      <c r="AR724" s="523"/>
      <c r="AS724" s="523"/>
      <c r="AT724" s="523"/>
      <c r="AU724" s="523"/>
      <c r="AV724" s="523"/>
      <c r="AW724" s="523"/>
      <c r="AX724" s="523"/>
      <c r="AY724" s="523"/>
      <c r="AZ724" s="523"/>
      <c r="BA724" s="523"/>
      <c r="BB724" s="523"/>
      <c r="BC724" s="523"/>
      <c r="BD724" s="523"/>
      <c r="BE724" s="523"/>
      <c r="BF724" s="523"/>
      <c r="BG724" s="523"/>
      <c r="BH724" s="523"/>
      <c r="BI724" s="523"/>
      <c r="BJ724" s="523"/>
      <c r="BK724" s="523"/>
      <c r="BL724" s="563"/>
      <c r="BM724" s="523" t="e">
        <f ca="1">IF(MO.DataSourceIndex=3,IF(LEFT(INDIRECT(ADDRESS(ROW()-1,COLUMN())),2)="FY","ANNUAL",IF(LEFT(INDIRECT(ADDRESS(ROW()-1,COLUMN())),1)="Q","QUARTERLY","")),IF(LEFT(INDIRECT(ADDRESS(ROW()-1,COLUMN())),2)="FY","FY",IF(LEFT(INDIRECT(ADDRESS(ROW()-1,COLUMN())),1)="Q","FQ","FH")))</f>
        <v>#REF!</v>
      </c>
      <c r="BN724" s="523" t="e">
        <f t="shared" ref="BN724" ca="1" si="1421">IF(MO.DataSourceIndex=3,IF(LEFT(INDIRECT(ADDRESS(ROW()-1,COLUMN())),2)="FY","ANNUAL",IF(LEFT(INDIRECT(ADDRESS(ROW()-1,COLUMN())),1)="Q","QUARTERLY","")),IF(LEFT(INDIRECT(ADDRESS(ROW()-1,COLUMN())),2)="FY","FY",IF(LEFT(INDIRECT(ADDRESS(ROW()-1,COLUMN())),1)="Q","FQ","FH")))</f>
        <v>#REF!</v>
      </c>
      <c r="BO724" s="523" t="e">
        <f t="shared" ref="BO724:BV724" ca="1" si="1422">IF(MO.DataSourceIndex=3,IF(LEFT(INDIRECT(ADDRESS(ROW()-1,COLUMN())),2)="FY","ANNUAL",IF(LEFT(INDIRECT(ADDRESS(ROW()-1,COLUMN())),1)="Q","QUARTERLY","")),IF(LEFT(INDIRECT(ADDRESS(ROW()-1,COLUMN())),2)="FY","FY",IF(LEFT(INDIRECT(ADDRESS(ROW()-1,COLUMN())),1)="Q","FQ","FH")))</f>
        <v>#REF!</v>
      </c>
      <c r="BP724" s="523" t="e">
        <f t="shared" ca="1" si="1422"/>
        <v>#REF!</v>
      </c>
      <c r="BQ724" s="523" t="e">
        <f t="shared" ca="1" si="1422"/>
        <v>#REF!</v>
      </c>
      <c r="BR724" s="523" t="e">
        <f t="shared" ca="1" si="1422"/>
        <v>#REF!</v>
      </c>
      <c r="BS724" s="523" t="e">
        <f t="shared" ca="1" si="1422"/>
        <v>#REF!</v>
      </c>
      <c r="BT724" s="523" t="e">
        <f t="shared" ca="1" si="1422"/>
        <v>#REF!</v>
      </c>
      <c r="BU724" s="523" t="e">
        <f t="shared" ca="1" si="1422"/>
        <v>#REF!</v>
      </c>
      <c r="BV724" s="593" t="e">
        <f t="shared" ca="1" si="1422"/>
        <v>#REF!</v>
      </c>
      <c r="BW724" s="318"/>
    </row>
    <row r="725" spans="1:75" s="444" customFormat="1">
      <c r="A725" s="592" t="s">
        <v>604</v>
      </c>
      <c r="B725" s="523"/>
      <c r="C725" s="523"/>
      <c r="D725" s="523"/>
      <c r="E725" s="523"/>
      <c r="F725" s="523"/>
      <c r="G725" s="523"/>
      <c r="H725" s="523"/>
      <c r="I725" s="523"/>
      <c r="J725" s="523"/>
      <c r="K725" s="523"/>
      <c r="L725" s="523"/>
      <c r="M725" s="523"/>
      <c r="N725" s="523"/>
      <c r="O725" s="523"/>
      <c r="P725" s="523"/>
      <c r="Q725" s="523"/>
      <c r="R725" s="523"/>
      <c r="S725" s="523"/>
      <c r="T725" s="523"/>
      <c r="U725" s="523"/>
      <c r="V725" s="523"/>
      <c r="W725" s="523"/>
      <c r="X725" s="523"/>
      <c r="Y725" s="523"/>
      <c r="Z725" s="523"/>
      <c r="AA725" s="523"/>
      <c r="AB725" s="523"/>
      <c r="AC725" s="523"/>
      <c r="AD725" s="523"/>
      <c r="AE725" s="523"/>
      <c r="AF725" s="523"/>
      <c r="AG725" s="523"/>
      <c r="AH725" s="523"/>
      <c r="AI725" s="523"/>
      <c r="AJ725" s="523"/>
      <c r="AK725" s="523"/>
      <c r="AL725" s="523"/>
      <c r="AM725" s="523"/>
      <c r="AN725" s="523"/>
      <c r="AO725" s="523"/>
      <c r="AP725" s="523"/>
      <c r="AQ725" s="523"/>
      <c r="AR725" s="523"/>
      <c r="AS725" s="523"/>
      <c r="AT725" s="523"/>
      <c r="AU725" s="523"/>
      <c r="AV725" s="523"/>
      <c r="AW725" s="523"/>
      <c r="AX725" s="523"/>
      <c r="AY725" s="523"/>
      <c r="AZ725" s="523"/>
      <c r="BA725" s="523"/>
      <c r="BB725" s="523"/>
      <c r="BC725" s="523"/>
      <c r="BD725" s="523"/>
      <c r="BE725" s="523"/>
      <c r="BF725" s="523"/>
      <c r="BG725" s="523"/>
      <c r="BH725" s="523"/>
      <c r="BI725" s="523"/>
      <c r="BJ725" s="523"/>
      <c r="BK725" s="523"/>
      <c r="BL725" s="563"/>
      <c r="BM725" s="523" t="e">
        <f ca="1">IF(MO.DataSourceIndex=3,IF(INDEX(MO_SNA_ConsensusEstimatePeriodType,,COLUMN())="ANNUAL",COUNTIF(OFFSET(INDEX(MO_SNA_ConsensusEstimatePeriodType,,1),,,,COLUMN()),"ANNUAL"),IF(INDEX(MO_SNA_ConsensusEstimatePeriodType,,COLUMN())="QUARTERLY",COUNTIF(OFFSET(INDEX(MO_SNA_ConsensusEstimatePeriodType,,1),,,,COLUMN()),"QUARTERLY"),"")),IF(INDEX(MO_SNA_ConsensusEstimatePeriodType,,COLUMN())="FY",COUNTIF(OFFSET(INDEX(MO_SNA_ConsensusEstimatePeriodType,,1),,,,COLUMN()),"FY"),IF(INDEX(MO_SNA_ConsensusEstimatePeriodType,,COLUMN())="FQ",COUNTIF(OFFSET(INDEX(MO_SNA_ConsensusEstimatePeriodType,,1),,,,COLUMN()),"FQ"),COUNTIF(OFFSET(INDEX(MO_SNA_ConsensusEstimatePeriodType,,1),,,,COLUMN()),"FH"))))</f>
        <v>#REF!</v>
      </c>
      <c r="BN725" s="523" t="e">
        <f t="shared" ref="BN725" ca="1" si="1423">IF(MO.DataSourceIndex=3,IF(INDEX(MO_SNA_ConsensusEstimatePeriodType,,COLUMN())="ANNUAL",COUNTIF(OFFSET(INDEX(MO_SNA_ConsensusEstimatePeriodType,,1),,,,COLUMN()),"ANNUAL"),IF(INDEX(MO_SNA_ConsensusEstimatePeriodType,,COLUMN())="QUARTERLY",COUNTIF(OFFSET(INDEX(MO_SNA_ConsensusEstimatePeriodType,,1),,,,COLUMN()),"QUARTERLY"),"")),IF(INDEX(MO_SNA_ConsensusEstimatePeriodType,,COLUMN())="FY",COUNTIF(OFFSET(INDEX(MO_SNA_ConsensusEstimatePeriodType,,1),,,,COLUMN()),"FY"),IF(INDEX(MO_SNA_ConsensusEstimatePeriodType,,COLUMN())="FQ",COUNTIF(OFFSET(INDEX(MO_SNA_ConsensusEstimatePeriodType,,1),,,,COLUMN()),"FQ"),COUNTIF(OFFSET(INDEX(MO_SNA_ConsensusEstimatePeriodType,,1),,,,COLUMN()),"FH"))))</f>
        <v>#REF!</v>
      </c>
      <c r="BO725" s="523" t="e">
        <f t="shared" ref="BO725:BV725" ca="1" si="1424">IF(MO.DataSourceIndex=3,IF(INDEX(MO_SNA_ConsensusEstimatePeriodType,,COLUMN())="ANNUAL",COUNTIF(OFFSET(INDEX(MO_SNA_ConsensusEstimatePeriodType,,1),,,,COLUMN()),"ANNUAL"),IF(INDEX(MO_SNA_ConsensusEstimatePeriodType,,COLUMN())="QUARTERLY",COUNTIF(OFFSET(INDEX(MO_SNA_ConsensusEstimatePeriodType,,1),,,,COLUMN()),"QUARTERLY"),"")),IF(INDEX(MO_SNA_ConsensusEstimatePeriodType,,COLUMN())="FY",COUNTIF(OFFSET(INDEX(MO_SNA_ConsensusEstimatePeriodType,,1),,,,COLUMN()),"FY"),IF(INDEX(MO_SNA_ConsensusEstimatePeriodType,,COLUMN())="FQ",COUNTIF(OFFSET(INDEX(MO_SNA_ConsensusEstimatePeriodType,,1),,,,COLUMN()),"FQ"),COUNTIF(OFFSET(INDEX(MO_SNA_ConsensusEstimatePeriodType,,1),,,,COLUMN()),"FH"))))</f>
        <v>#REF!</v>
      </c>
      <c r="BP725" s="523" t="e">
        <f t="shared" ca="1" si="1424"/>
        <v>#REF!</v>
      </c>
      <c r="BQ725" s="523" t="e">
        <f t="shared" ca="1" si="1424"/>
        <v>#REF!</v>
      </c>
      <c r="BR725" s="523" t="e">
        <f t="shared" ca="1" si="1424"/>
        <v>#REF!</v>
      </c>
      <c r="BS725" s="523" t="e">
        <f t="shared" ca="1" si="1424"/>
        <v>#REF!</v>
      </c>
      <c r="BT725" s="523" t="e">
        <f t="shared" ca="1" si="1424"/>
        <v>#REF!</v>
      </c>
      <c r="BU725" s="523" t="e">
        <f t="shared" ca="1" si="1424"/>
        <v>#REF!</v>
      </c>
      <c r="BV725" s="593" t="e">
        <f t="shared" ca="1" si="1424"/>
        <v>#REF!</v>
      </c>
      <c r="BW725" s="318"/>
    </row>
    <row r="726" spans="1:75" s="439" customFormat="1">
      <c r="A726" s="193" t="str">
        <f>$A$136</f>
        <v>Consensus Estimates - Gross Margin, %</v>
      </c>
      <c r="B726" s="518"/>
      <c r="C726" s="532"/>
      <c r="D726" s="532"/>
      <c r="E726" s="532"/>
      <c r="F726" s="532"/>
      <c r="G726" s="532"/>
      <c r="H726" s="26"/>
      <c r="I726" s="26"/>
      <c r="J726" s="26"/>
      <c r="K726" s="26"/>
      <c r="L726" s="26"/>
      <c r="M726" s="26"/>
      <c r="N726" s="26"/>
      <c r="O726" s="26"/>
      <c r="P726" s="518"/>
      <c r="Q726" s="518"/>
      <c r="R726" s="518"/>
      <c r="S726" s="518"/>
      <c r="T726" s="518"/>
      <c r="U726" s="518"/>
      <c r="V726" s="518"/>
      <c r="W726" s="518"/>
      <c r="X726" s="518"/>
      <c r="Y726" s="518"/>
      <c r="Z726" s="518"/>
      <c r="AA726" s="518"/>
      <c r="AB726" s="518"/>
      <c r="AC726" s="518"/>
      <c r="AD726" s="518"/>
      <c r="AE726" s="518"/>
      <c r="AF726" s="518"/>
      <c r="AG726" s="518"/>
      <c r="AH726" s="518"/>
      <c r="AI726" s="518"/>
      <c r="AJ726" s="518"/>
      <c r="AK726" s="518"/>
      <c r="AL726" s="518"/>
      <c r="AM726" s="518"/>
      <c r="AN726" s="518"/>
      <c r="AO726" s="518"/>
      <c r="AP726" s="518"/>
      <c r="AQ726" s="518"/>
      <c r="AR726" s="518"/>
      <c r="AS726" s="518"/>
      <c r="AT726" s="518"/>
      <c r="AU726" s="518"/>
      <c r="AV726" s="518"/>
      <c r="AW726" s="518"/>
      <c r="AX726" s="518"/>
      <c r="AY726" s="518"/>
      <c r="AZ726" s="518"/>
      <c r="BA726" s="518"/>
      <c r="BB726" s="518"/>
      <c r="BC726" s="518"/>
      <c r="BD726" s="518"/>
      <c r="BE726" s="518"/>
      <c r="BF726" s="518"/>
      <c r="BG726" s="518"/>
      <c r="BH726" s="518"/>
      <c r="BI726" s="518"/>
      <c r="BJ726" s="518"/>
      <c r="BK726" s="518"/>
      <c r="BL726" s="520"/>
      <c r="BM726" s="26" t="str">
        <f>IFERROR(CHOOSE(MO.DataSourceIndex,_xll.BDP(MO.Ticker.Bloomberg&amp;" EQUITY","BEST_GROSS_MARGIN","BEST_FPERIOD_OVERRIDE="&amp;INDEX(tb_ConsensusEstimate,3,COLUMN())&amp;INDEX(tb_ConsensusEstimate,2,COLUMN())),_xll.CIQ(MO.Ticker.CapIQ,"IQ_GROSS_MARGIN_EST","IQ_"&amp;INDEX(tb_ConsensusEstimate,2,COLUMN())&amp;"+"&amp;INDEX(tb_ConsensusEstimate,3,COLUMN())),_xll.FDS(MO.Ticker.FactSet,"FE_ESTIMATE(GROSSINCOME,MEAN,"&amp;INDEX(tb_ConsensusEstimate,2,COLUMN())&amp;",+"&amp;INDEX(tb_ConsensusEstimate,3,COLUMN())&amp;",NOW,,,'')")/_xll.FDS(MO.Ticker.FactSet,"FE_ESTIMATE(SALES,MEAN,"&amp;INDEX(tb_ConsensusEstimate,2,COLUMN())&amp;",+"&amp;INDEX(tb_ConsensusEstimate,3,COLUMN())&amp;",NOW,,,'')")*100,_xll.TR(MO.Ticker.Thomson,"ZAV(TR.GPMMean)","Period="&amp;INDEX(tb_ConsensusEstimate,2,COLUMN())&amp;INDEX(tb_ConsensusEstimate,3,COLUMN())))/100,"N/A")</f>
        <v>N/A</v>
      </c>
      <c r="BN726" s="26" t="str">
        <f>IFERROR(CHOOSE(MO.DataSourceIndex,_xll.BDP(MO.Ticker.Bloomberg&amp;" EQUITY","BEST_GROSS_MARGIN","BEST_FPERIOD_OVERRIDE="&amp;INDEX(tb_ConsensusEstimate,3,COLUMN())&amp;INDEX(tb_ConsensusEstimate,2,COLUMN())),_xll.CIQ(MO.Ticker.CapIQ,"IQ_GROSS_MARGIN_EST","IQ_"&amp;INDEX(tb_ConsensusEstimate,2,COLUMN())&amp;"+"&amp;INDEX(tb_ConsensusEstimate,3,COLUMN())),_xll.FDS(MO.Ticker.FactSet,"FE_ESTIMATE(GROSSINCOME,MEAN,"&amp;INDEX(tb_ConsensusEstimate,2,COLUMN())&amp;",+"&amp;INDEX(tb_ConsensusEstimate,3,COLUMN())&amp;",NOW,,,'')")/_xll.FDS(MO.Ticker.FactSet,"FE_ESTIMATE(SALES,MEAN,"&amp;INDEX(tb_ConsensusEstimate,2,COLUMN())&amp;",+"&amp;INDEX(tb_ConsensusEstimate,3,COLUMN())&amp;",NOW,,,'')")*100,_xll.TR(MO.Ticker.Thomson,"ZAV(TR.GPMMean)","Period="&amp;INDEX(tb_ConsensusEstimate,2,COLUMN())&amp;INDEX(tb_ConsensusEstimate,3,COLUMN())))/100,"N/A")</f>
        <v>N/A</v>
      </c>
      <c r="BO726" s="26" t="str">
        <f>IFERROR(CHOOSE(MO.DataSourceIndex,_xll.BDP(MO.Ticker.Bloomberg&amp;" EQUITY","BEST_GROSS_MARGIN","BEST_FPERIOD_OVERRIDE="&amp;INDEX(tb_ConsensusEstimate,3,COLUMN())&amp;INDEX(tb_ConsensusEstimate,2,COLUMN())),_xll.CIQ(MO.Ticker.CapIQ,"IQ_GROSS_MARGIN_EST","IQ_"&amp;INDEX(tb_ConsensusEstimate,2,COLUMN())&amp;"+"&amp;INDEX(tb_ConsensusEstimate,3,COLUMN())),_xll.FDS(MO.Ticker.FactSet,"FE_ESTIMATE(GROSSINCOME,MEAN,"&amp;INDEX(tb_ConsensusEstimate,2,COLUMN())&amp;",+"&amp;INDEX(tb_ConsensusEstimate,3,COLUMN())&amp;",NOW,,,'')")/_xll.FDS(MO.Ticker.FactSet,"FE_ESTIMATE(SALES,MEAN,"&amp;INDEX(tb_ConsensusEstimate,2,COLUMN())&amp;",+"&amp;INDEX(tb_ConsensusEstimate,3,COLUMN())&amp;",NOW,,,'')")*100,_xll.TR(MO.Ticker.Thomson,"ZAV(TR.GPMMean)","Period="&amp;INDEX(tb_ConsensusEstimate,2,COLUMN())&amp;INDEX(tb_ConsensusEstimate,3,COLUMN())))/100,"N/A")</f>
        <v>N/A</v>
      </c>
      <c r="BP726" s="26" t="str">
        <f>IFERROR(CHOOSE(MO.DataSourceIndex,_xll.BDP(MO.Ticker.Bloomberg&amp;" EQUITY","BEST_GROSS_MARGIN","BEST_FPERIOD_OVERRIDE="&amp;INDEX(tb_ConsensusEstimate,3,COLUMN())&amp;INDEX(tb_ConsensusEstimate,2,COLUMN())),_xll.CIQ(MO.Ticker.CapIQ,"IQ_GROSS_MARGIN_EST","IQ_"&amp;INDEX(tb_ConsensusEstimate,2,COLUMN())&amp;"+"&amp;INDEX(tb_ConsensusEstimate,3,COLUMN())),_xll.FDS(MO.Ticker.FactSet,"FE_ESTIMATE(GROSSINCOME,MEAN,"&amp;INDEX(tb_ConsensusEstimate,2,COLUMN())&amp;",+"&amp;INDEX(tb_ConsensusEstimate,3,COLUMN())&amp;",NOW,,,'')")/_xll.FDS(MO.Ticker.FactSet,"FE_ESTIMATE(SALES,MEAN,"&amp;INDEX(tb_ConsensusEstimate,2,COLUMN())&amp;",+"&amp;INDEX(tb_ConsensusEstimate,3,COLUMN())&amp;",NOW,,,'')")*100,_xll.TR(MO.Ticker.Thomson,"ZAV(TR.GPMMean)","Period="&amp;INDEX(tb_ConsensusEstimate,2,COLUMN())&amp;INDEX(tb_ConsensusEstimate,3,COLUMN())))/100,"N/A")</f>
        <v>N/A</v>
      </c>
      <c r="BQ726" s="26" t="str">
        <f>IFERROR(CHOOSE(MO.DataSourceIndex,_xll.BDP(MO.Ticker.Bloomberg&amp;" EQUITY","BEST_GROSS_MARGIN","BEST_FPERIOD_OVERRIDE="&amp;INDEX(tb_ConsensusEstimate,3,COLUMN())&amp;INDEX(tb_ConsensusEstimate,2,COLUMN())),_xll.CIQ(MO.Ticker.CapIQ,"IQ_GROSS_MARGIN_EST","IQ_"&amp;INDEX(tb_ConsensusEstimate,2,COLUMN())&amp;"+"&amp;INDEX(tb_ConsensusEstimate,3,COLUMN())),_xll.FDS(MO.Ticker.FactSet,"FE_ESTIMATE(GROSSINCOME,MEAN,"&amp;INDEX(tb_ConsensusEstimate,2,COLUMN())&amp;",+"&amp;INDEX(tb_ConsensusEstimate,3,COLUMN())&amp;",NOW,,,'')")/_xll.FDS(MO.Ticker.FactSet,"FE_ESTIMATE(SALES,MEAN,"&amp;INDEX(tb_ConsensusEstimate,2,COLUMN())&amp;",+"&amp;INDEX(tb_ConsensusEstimate,3,COLUMN())&amp;",NOW,,,'')")*100,_xll.TR(MO.Ticker.Thomson,"ZAV(TR.GPMMean)","Period="&amp;INDEX(tb_ConsensusEstimate,2,COLUMN())&amp;INDEX(tb_ConsensusEstimate,3,COLUMN())))/100,"N/A")</f>
        <v>N/A</v>
      </c>
      <c r="BR726" s="26" t="str">
        <f>IFERROR(CHOOSE(MO.DataSourceIndex,_xll.BDP(MO.Ticker.Bloomberg&amp;" EQUITY","BEST_GROSS_MARGIN","BEST_FPERIOD_OVERRIDE="&amp;INDEX(tb_ConsensusEstimate,3,COLUMN())&amp;INDEX(tb_ConsensusEstimate,2,COLUMN())),_xll.CIQ(MO.Ticker.CapIQ,"IQ_GROSS_MARGIN_EST","IQ_"&amp;INDEX(tb_ConsensusEstimate,2,COLUMN())&amp;"+"&amp;INDEX(tb_ConsensusEstimate,3,COLUMN())),_xll.FDS(MO.Ticker.FactSet,"FE_ESTIMATE(GROSSINCOME,MEAN,"&amp;INDEX(tb_ConsensusEstimate,2,COLUMN())&amp;",+"&amp;INDEX(tb_ConsensusEstimate,3,COLUMN())&amp;",NOW,,,'')")/_xll.FDS(MO.Ticker.FactSet,"FE_ESTIMATE(SALES,MEAN,"&amp;INDEX(tb_ConsensusEstimate,2,COLUMN())&amp;",+"&amp;INDEX(tb_ConsensusEstimate,3,COLUMN())&amp;",NOW,,,'')")*100,_xll.TR(MO.Ticker.Thomson,"ZAV(TR.GPMMean)","Period="&amp;INDEX(tb_ConsensusEstimate,2,COLUMN())&amp;INDEX(tb_ConsensusEstimate,3,COLUMN())))/100,"N/A")</f>
        <v>N/A</v>
      </c>
      <c r="BS726" s="26" t="str">
        <f>IFERROR(CHOOSE(MO.DataSourceIndex,_xll.BDP(MO.Ticker.Bloomberg&amp;" EQUITY","BEST_GROSS_MARGIN","BEST_FPERIOD_OVERRIDE="&amp;INDEX(tb_ConsensusEstimate,3,COLUMN())&amp;INDEX(tb_ConsensusEstimate,2,COLUMN())),_xll.CIQ(MO.Ticker.CapIQ,"IQ_GROSS_MARGIN_EST","IQ_"&amp;INDEX(tb_ConsensusEstimate,2,COLUMN())&amp;"+"&amp;INDEX(tb_ConsensusEstimate,3,COLUMN())),_xll.FDS(MO.Ticker.FactSet,"FE_ESTIMATE(GROSSINCOME,MEAN,"&amp;INDEX(tb_ConsensusEstimate,2,COLUMN())&amp;",+"&amp;INDEX(tb_ConsensusEstimate,3,COLUMN())&amp;",NOW,,,'')")/_xll.FDS(MO.Ticker.FactSet,"FE_ESTIMATE(SALES,MEAN,"&amp;INDEX(tb_ConsensusEstimate,2,COLUMN())&amp;",+"&amp;INDEX(tb_ConsensusEstimate,3,COLUMN())&amp;",NOW,,,'')")*100,_xll.TR(MO.Ticker.Thomson,"ZAV(TR.GPMMean)","Period="&amp;INDEX(tb_ConsensusEstimate,2,COLUMN())&amp;INDEX(tb_ConsensusEstimate,3,COLUMN())))/100,"N/A")</f>
        <v>N/A</v>
      </c>
      <c r="BT726" s="26" t="str">
        <f>IFERROR(CHOOSE(MO.DataSourceIndex,_xll.BDP(MO.Ticker.Bloomberg&amp;" EQUITY","BEST_GROSS_MARGIN","BEST_FPERIOD_OVERRIDE="&amp;INDEX(tb_ConsensusEstimate,3,COLUMN())&amp;INDEX(tb_ConsensusEstimate,2,COLUMN())),_xll.CIQ(MO.Ticker.CapIQ,"IQ_GROSS_MARGIN_EST","IQ_"&amp;INDEX(tb_ConsensusEstimate,2,COLUMN())&amp;"+"&amp;INDEX(tb_ConsensusEstimate,3,COLUMN())),_xll.FDS(MO.Ticker.FactSet,"FE_ESTIMATE(GROSSINCOME,MEAN,"&amp;INDEX(tb_ConsensusEstimate,2,COLUMN())&amp;",+"&amp;INDEX(tb_ConsensusEstimate,3,COLUMN())&amp;",NOW,,,'')")/_xll.FDS(MO.Ticker.FactSet,"FE_ESTIMATE(SALES,MEAN,"&amp;INDEX(tb_ConsensusEstimate,2,COLUMN())&amp;",+"&amp;INDEX(tb_ConsensusEstimate,3,COLUMN())&amp;",NOW,,,'')")*100,_xll.TR(MO.Ticker.Thomson,"ZAV(TR.GPMMean)","Period="&amp;INDEX(tb_ConsensusEstimate,2,COLUMN())&amp;INDEX(tb_ConsensusEstimate,3,COLUMN())))/100,"N/A")</f>
        <v>N/A</v>
      </c>
      <c r="BU726" s="26" t="str">
        <f>IFERROR(CHOOSE(MO.DataSourceIndex,_xll.BDP(MO.Ticker.Bloomberg&amp;" EQUITY","BEST_GROSS_MARGIN","BEST_FPERIOD_OVERRIDE="&amp;INDEX(tb_ConsensusEstimate,3,COLUMN())&amp;INDEX(tb_ConsensusEstimate,2,COLUMN())),_xll.CIQ(MO.Ticker.CapIQ,"IQ_GROSS_MARGIN_EST","IQ_"&amp;INDEX(tb_ConsensusEstimate,2,COLUMN())&amp;"+"&amp;INDEX(tb_ConsensusEstimate,3,COLUMN())),_xll.FDS(MO.Ticker.FactSet,"FE_ESTIMATE(GROSSINCOME,MEAN,"&amp;INDEX(tb_ConsensusEstimate,2,COLUMN())&amp;",+"&amp;INDEX(tb_ConsensusEstimate,3,COLUMN())&amp;",NOW,,,'')")/_xll.FDS(MO.Ticker.FactSet,"FE_ESTIMATE(SALES,MEAN,"&amp;INDEX(tb_ConsensusEstimate,2,COLUMN())&amp;",+"&amp;INDEX(tb_ConsensusEstimate,3,COLUMN())&amp;",NOW,,,'')")*100,_xll.TR(MO.Ticker.Thomson,"ZAV(TR.GPMMean)","Period="&amp;INDEX(tb_ConsensusEstimate,2,COLUMN())&amp;INDEX(tb_ConsensusEstimate,3,COLUMN())))/100,"N/A")</f>
        <v>N/A</v>
      </c>
      <c r="BV726" s="190" t="str">
        <f>IFERROR(CHOOSE(MO.DataSourceIndex,_xll.BDP(MO.Ticker.Bloomberg&amp;" EQUITY","BEST_GROSS_MARGIN","BEST_FPERIOD_OVERRIDE="&amp;INDEX(tb_ConsensusEstimate,3,COLUMN())&amp;INDEX(tb_ConsensusEstimate,2,COLUMN())),_xll.CIQ(MO.Ticker.CapIQ,"IQ_GROSS_MARGIN_EST","IQ_"&amp;INDEX(tb_ConsensusEstimate,2,COLUMN())&amp;"+"&amp;INDEX(tb_ConsensusEstimate,3,COLUMN())),_xll.FDS(MO.Ticker.FactSet,"FE_ESTIMATE(GROSSINCOME,MEAN,"&amp;INDEX(tb_ConsensusEstimate,2,COLUMN())&amp;",+"&amp;INDEX(tb_ConsensusEstimate,3,COLUMN())&amp;",NOW,,,'')")/_xll.FDS(MO.Ticker.FactSet,"FE_ESTIMATE(SALES,MEAN,"&amp;INDEX(tb_ConsensusEstimate,2,COLUMN())&amp;",+"&amp;INDEX(tb_ConsensusEstimate,3,COLUMN())&amp;",NOW,,,'')")*100,_xll.TR(MO.Ticker.Thomson,"ZAV(TR.GPMMean)","Period="&amp;INDEX(tb_ConsensusEstimate,2,COLUMN())&amp;INDEX(tb_ConsensusEstimate,3,COLUMN())))/100,"N/A")</f>
        <v>N/A</v>
      </c>
      <c r="BW726" s="519"/>
    </row>
    <row r="727" spans="1:75" s="439" customFormat="1">
      <c r="A727" s="193" t="str">
        <f>$A$215</f>
        <v>Consensus Estimates - Net Revenue</v>
      </c>
      <c r="B727" s="518"/>
      <c r="C727" s="533"/>
      <c r="D727" s="533"/>
      <c r="E727" s="533"/>
      <c r="F727" s="533"/>
      <c r="G727" s="533"/>
      <c r="H727" s="518"/>
      <c r="I727" s="518"/>
      <c r="J727" s="518"/>
      <c r="K727" s="518"/>
      <c r="L727" s="518"/>
      <c r="M727" s="518"/>
      <c r="N727" s="518"/>
      <c r="O727" s="518"/>
      <c r="P727" s="518"/>
      <c r="Q727" s="518"/>
      <c r="R727" s="518"/>
      <c r="S727" s="518"/>
      <c r="T727" s="518"/>
      <c r="U727" s="518"/>
      <c r="V727" s="518"/>
      <c r="W727" s="518"/>
      <c r="X727" s="518"/>
      <c r="Y727" s="518"/>
      <c r="Z727" s="518"/>
      <c r="AA727" s="518"/>
      <c r="AB727" s="518"/>
      <c r="AC727" s="518"/>
      <c r="AD727" s="518"/>
      <c r="AE727" s="518"/>
      <c r="AF727" s="518"/>
      <c r="AG727" s="518"/>
      <c r="AH727" s="518"/>
      <c r="AI727" s="518"/>
      <c r="AJ727" s="518"/>
      <c r="AK727" s="518"/>
      <c r="AL727" s="518"/>
      <c r="AM727" s="518"/>
      <c r="AN727" s="518"/>
      <c r="AO727" s="518"/>
      <c r="AP727" s="518"/>
      <c r="AQ727" s="518"/>
      <c r="AR727" s="518"/>
      <c r="AS727" s="518"/>
      <c r="AT727" s="518"/>
      <c r="AU727" s="518"/>
      <c r="AV727" s="518"/>
      <c r="AW727" s="518"/>
      <c r="AX727" s="518"/>
      <c r="AY727" s="518"/>
      <c r="AZ727" s="518"/>
      <c r="BA727" s="518"/>
      <c r="BB727" s="518"/>
      <c r="BC727" s="518"/>
      <c r="BD727" s="518"/>
      <c r="BE727" s="518"/>
      <c r="BF727" s="518"/>
      <c r="BG727" s="518"/>
      <c r="BH727" s="518"/>
      <c r="BI727" s="518"/>
      <c r="BJ727" s="518"/>
      <c r="BK727" s="518"/>
      <c r="BL727" s="520"/>
      <c r="BM727" s="518" t="str">
        <f>IFERROR(CHOOSE(MO.DataSourceIndex,_xll.BDP(MO.Ticker.Bloomberg&amp;" EQUITY","BEST_SALES","BEST_FPERIOD_OVERRIDE="&amp;INDEX(tb_ConsensusEstimate,3,COLUMN())&amp;INDEX(tb_ConsensusEstimate,2,COLUMN())),_xll.CIQ(MO.Ticker.CapIQ,"IQ_REVENUE_EST","IQ_"&amp;INDEX(tb_ConsensusEstimate,2,COLUMN())&amp;"+"&amp;INDEX(tb_ConsensusEstimate,3,COLUMN())),_xll.FDS(MO.Ticker.FactSet,"FE_ESTIMATE(SALES,MEAN,"&amp;INDEX(tb_ConsensusEstimate,2,COLUMN())&amp;",+"&amp;INDEX(tb_ConsensusEstimate,3,COLUMN())&amp;",NOW"&amp;",,,'CURRENCY="&amp;HP.ReportCurrency&amp;"')"),_xll.TR(MO.Ticker.Thomson,"ZAV(TR.RevenueMean(Scale=6))","Period="&amp;INDEX(tb_ConsensusEstimate,2,COLUMN())&amp;INDEX(tb_ConsensusEstimate,3,COLUMN()))),"N/A")</f>
        <v>N/A</v>
      </c>
      <c r="BN727" s="518" t="str">
        <f>IFERROR(CHOOSE(MO.DataSourceIndex,_xll.BDP(MO.Ticker.Bloomberg&amp;" EQUITY","BEST_SALES","BEST_FPERIOD_OVERRIDE="&amp;INDEX(tb_ConsensusEstimate,3,COLUMN())&amp;INDEX(tb_ConsensusEstimate,2,COLUMN())),_xll.CIQ(MO.Ticker.CapIQ,"IQ_REVENUE_EST","IQ_"&amp;INDEX(tb_ConsensusEstimate,2,COLUMN())&amp;"+"&amp;INDEX(tb_ConsensusEstimate,3,COLUMN())),_xll.FDS(MO.Ticker.FactSet,"FE_ESTIMATE(SALES,MEAN,"&amp;INDEX(tb_ConsensusEstimate,2,COLUMN())&amp;",+"&amp;INDEX(tb_ConsensusEstimate,3,COLUMN())&amp;",NOW"&amp;",,,'CURRENCY="&amp;HP.ReportCurrency&amp;"')"),_xll.TR(MO.Ticker.Thomson,"ZAV(TR.RevenueMean(Scale=6))","Period="&amp;INDEX(tb_ConsensusEstimate,2,COLUMN())&amp;INDEX(tb_ConsensusEstimate,3,COLUMN()))),"N/A")</f>
        <v>N/A</v>
      </c>
      <c r="BO727" s="518" t="str">
        <f>IFERROR(CHOOSE(MO.DataSourceIndex,_xll.BDP(MO.Ticker.Bloomberg&amp;" EQUITY","BEST_SALES","BEST_FPERIOD_OVERRIDE="&amp;INDEX(tb_ConsensusEstimate,3,COLUMN())&amp;INDEX(tb_ConsensusEstimate,2,COLUMN())),_xll.CIQ(MO.Ticker.CapIQ,"IQ_REVENUE_EST","IQ_"&amp;INDEX(tb_ConsensusEstimate,2,COLUMN())&amp;"+"&amp;INDEX(tb_ConsensusEstimate,3,COLUMN())),_xll.FDS(MO.Ticker.FactSet,"FE_ESTIMATE(SALES,MEAN,"&amp;INDEX(tb_ConsensusEstimate,2,COLUMN())&amp;",+"&amp;INDEX(tb_ConsensusEstimate,3,COLUMN())&amp;",NOW"&amp;",,,'CURRENCY="&amp;HP.ReportCurrency&amp;"')"),_xll.TR(MO.Ticker.Thomson,"ZAV(TR.RevenueMean(Scale=6))","Period="&amp;INDEX(tb_ConsensusEstimate,2,COLUMN())&amp;INDEX(tb_ConsensusEstimate,3,COLUMN()))),"N/A")</f>
        <v>N/A</v>
      </c>
      <c r="BP727" s="518" t="str">
        <f>IFERROR(CHOOSE(MO.DataSourceIndex,_xll.BDP(MO.Ticker.Bloomberg&amp;" EQUITY","BEST_SALES","BEST_FPERIOD_OVERRIDE="&amp;INDEX(tb_ConsensusEstimate,3,COLUMN())&amp;INDEX(tb_ConsensusEstimate,2,COLUMN())),_xll.CIQ(MO.Ticker.CapIQ,"IQ_REVENUE_EST","IQ_"&amp;INDEX(tb_ConsensusEstimate,2,COLUMN())&amp;"+"&amp;INDEX(tb_ConsensusEstimate,3,COLUMN())),_xll.FDS(MO.Ticker.FactSet,"FE_ESTIMATE(SALES,MEAN,"&amp;INDEX(tb_ConsensusEstimate,2,COLUMN())&amp;",+"&amp;INDEX(tb_ConsensusEstimate,3,COLUMN())&amp;",NOW"&amp;",,,'CURRENCY="&amp;HP.ReportCurrency&amp;"')"),_xll.TR(MO.Ticker.Thomson,"ZAV(TR.RevenueMean(Scale=6))","Period="&amp;INDEX(tb_ConsensusEstimate,2,COLUMN())&amp;INDEX(tb_ConsensusEstimate,3,COLUMN()))),"N/A")</f>
        <v>N/A</v>
      </c>
      <c r="BQ727" s="518" t="str">
        <f>IFERROR(CHOOSE(MO.DataSourceIndex,_xll.BDP(MO.Ticker.Bloomberg&amp;" EQUITY","BEST_SALES","BEST_FPERIOD_OVERRIDE="&amp;INDEX(tb_ConsensusEstimate,3,COLUMN())&amp;INDEX(tb_ConsensusEstimate,2,COLUMN())),_xll.CIQ(MO.Ticker.CapIQ,"IQ_REVENUE_EST","IQ_"&amp;INDEX(tb_ConsensusEstimate,2,COLUMN())&amp;"+"&amp;INDEX(tb_ConsensusEstimate,3,COLUMN())),_xll.FDS(MO.Ticker.FactSet,"FE_ESTIMATE(SALES,MEAN,"&amp;INDEX(tb_ConsensusEstimate,2,COLUMN())&amp;",+"&amp;INDEX(tb_ConsensusEstimate,3,COLUMN())&amp;",NOW"&amp;",,,'CURRENCY="&amp;HP.ReportCurrency&amp;"')"),_xll.TR(MO.Ticker.Thomson,"ZAV(TR.RevenueMean(Scale=6))","Period="&amp;INDEX(tb_ConsensusEstimate,2,COLUMN())&amp;INDEX(tb_ConsensusEstimate,3,COLUMN()))),"N/A")</f>
        <v>N/A</v>
      </c>
      <c r="BR727" s="518" t="str">
        <f>IFERROR(CHOOSE(MO.DataSourceIndex,_xll.BDP(MO.Ticker.Bloomberg&amp;" EQUITY","BEST_SALES","BEST_FPERIOD_OVERRIDE="&amp;INDEX(tb_ConsensusEstimate,3,COLUMN())&amp;INDEX(tb_ConsensusEstimate,2,COLUMN())),_xll.CIQ(MO.Ticker.CapIQ,"IQ_REVENUE_EST","IQ_"&amp;INDEX(tb_ConsensusEstimate,2,COLUMN())&amp;"+"&amp;INDEX(tb_ConsensusEstimate,3,COLUMN())),_xll.FDS(MO.Ticker.FactSet,"FE_ESTIMATE(SALES,MEAN,"&amp;INDEX(tb_ConsensusEstimate,2,COLUMN())&amp;",+"&amp;INDEX(tb_ConsensusEstimate,3,COLUMN())&amp;",NOW"&amp;",,,'CURRENCY="&amp;HP.ReportCurrency&amp;"')"),_xll.TR(MO.Ticker.Thomson,"ZAV(TR.RevenueMean(Scale=6))","Period="&amp;INDEX(tb_ConsensusEstimate,2,COLUMN())&amp;INDEX(tb_ConsensusEstimate,3,COLUMN()))),"N/A")</f>
        <v>N/A</v>
      </c>
      <c r="BS727" s="518" t="str">
        <f>IFERROR(CHOOSE(MO.DataSourceIndex,_xll.BDP(MO.Ticker.Bloomberg&amp;" EQUITY","BEST_SALES","BEST_FPERIOD_OVERRIDE="&amp;INDEX(tb_ConsensusEstimate,3,COLUMN())&amp;INDEX(tb_ConsensusEstimate,2,COLUMN())),_xll.CIQ(MO.Ticker.CapIQ,"IQ_REVENUE_EST","IQ_"&amp;INDEX(tb_ConsensusEstimate,2,COLUMN())&amp;"+"&amp;INDEX(tb_ConsensusEstimate,3,COLUMN())),_xll.FDS(MO.Ticker.FactSet,"FE_ESTIMATE(SALES,MEAN,"&amp;INDEX(tb_ConsensusEstimate,2,COLUMN())&amp;",+"&amp;INDEX(tb_ConsensusEstimate,3,COLUMN())&amp;",NOW"&amp;",,,'CURRENCY="&amp;HP.ReportCurrency&amp;"')"),_xll.TR(MO.Ticker.Thomson,"ZAV(TR.RevenueMean(Scale=6))","Period="&amp;INDEX(tb_ConsensusEstimate,2,COLUMN())&amp;INDEX(tb_ConsensusEstimate,3,COLUMN()))),"N/A")</f>
        <v>N/A</v>
      </c>
      <c r="BT727" s="518" t="str">
        <f>IFERROR(CHOOSE(MO.DataSourceIndex,_xll.BDP(MO.Ticker.Bloomberg&amp;" EQUITY","BEST_SALES","BEST_FPERIOD_OVERRIDE="&amp;INDEX(tb_ConsensusEstimate,3,COLUMN())&amp;INDEX(tb_ConsensusEstimate,2,COLUMN())),_xll.CIQ(MO.Ticker.CapIQ,"IQ_REVENUE_EST","IQ_"&amp;INDEX(tb_ConsensusEstimate,2,COLUMN())&amp;"+"&amp;INDEX(tb_ConsensusEstimate,3,COLUMN())),_xll.FDS(MO.Ticker.FactSet,"FE_ESTIMATE(SALES,MEAN,"&amp;INDEX(tb_ConsensusEstimate,2,COLUMN())&amp;",+"&amp;INDEX(tb_ConsensusEstimate,3,COLUMN())&amp;",NOW"&amp;",,,'CURRENCY="&amp;HP.ReportCurrency&amp;"')"),_xll.TR(MO.Ticker.Thomson,"ZAV(TR.RevenueMean(Scale=6))","Period="&amp;INDEX(tb_ConsensusEstimate,2,COLUMN())&amp;INDEX(tb_ConsensusEstimate,3,COLUMN()))),"N/A")</f>
        <v>N/A</v>
      </c>
      <c r="BU727" s="518" t="str">
        <f>IFERROR(CHOOSE(MO.DataSourceIndex,_xll.BDP(MO.Ticker.Bloomberg&amp;" EQUITY","BEST_SALES","BEST_FPERIOD_OVERRIDE="&amp;INDEX(tb_ConsensusEstimate,3,COLUMN())&amp;INDEX(tb_ConsensusEstimate,2,COLUMN())),_xll.CIQ(MO.Ticker.CapIQ,"IQ_REVENUE_EST","IQ_"&amp;INDEX(tb_ConsensusEstimate,2,COLUMN())&amp;"+"&amp;INDEX(tb_ConsensusEstimate,3,COLUMN())),_xll.FDS(MO.Ticker.FactSet,"FE_ESTIMATE(SALES,MEAN,"&amp;INDEX(tb_ConsensusEstimate,2,COLUMN())&amp;",+"&amp;INDEX(tb_ConsensusEstimate,3,COLUMN())&amp;",NOW"&amp;",,,'CURRENCY="&amp;HP.ReportCurrency&amp;"')"),_xll.TR(MO.Ticker.Thomson,"ZAV(TR.RevenueMean(Scale=6))","Period="&amp;INDEX(tb_ConsensusEstimate,2,COLUMN())&amp;INDEX(tb_ConsensusEstimate,3,COLUMN()))),"N/A")</f>
        <v>N/A</v>
      </c>
      <c r="BV727" s="191" t="str">
        <f>IFERROR(CHOOSE(MO.DataSourceIndex,_xll.BDP(MO.Ticker.Bloomberg&amp;" EQUITY","BEST_SALES","BEST_FPERIOD_OVERRIDE="&amp;INDEX(tb_ConsensusEstimate,3,COLUMN())&amp;INDEX(tb_ConsensusEstimate,2,COLUMN())),_xll.CIQ(MO.Ticker.CapIQ,"IQ_REVENUE_EST","IQ_"&amp;INDEX(tb_ConsensusEstimate,2,COLUMN())&amp;"+"&amp;INDEX(tb_ConsensusEstimate,3,COLUMN())),_xll.FDS(MO.Ticker.FactSet,"FE_ESTIMATE(SALES,MEAN,"&amp;INDEX(tb_ConsensusEstimate,2,COLUMN())&amp;",+"&amp;INDEX(tb_ConsensusEstimate,3,COLUMN())&amp;",NOW"&amp;",,,'CURRENCY="&amp;HP.ReportCurrency&amp;"')"),_xll.TR(MO.Ticker.Thomson,"ZAV(TR.RevenueMean(Scale=6))","Period="&amp;INDEX(tb_ConsensusEstimate,2,COLUMN())&amp;INDEX(tb_ConsensusEstimate,3,COLUMN()))),"N/A")</f>
        <v>N/A</v>
      </c>
      <c r="BW727" s="519"/>
    </row>
    <row r="728" spans="1:75" s="439" customFormat="1">
      <c r="A728" s="193" t="e">
        <f>$A$233</f>
        <v>#VALUE!</v>
      </c>
      <c r="B728" s="518"/>
      <c r="C728" s="533"/>
      <c r="D728" s="533"/>
      <c r="E728" s="533"/>
      <c r="F728" s="533"/>
      <c r="G728" s="533"/>
      <c r="H728" s="518"/>
      <c r="I728" s="518"/>
      <c r="J728" s="518"/>
      <c r="K728" s="518"/>
      <c r="L728" s="518"/>
      <c r="M728" s="518"/>
      <c r="N728" s="518"/>
      <c r="O728" s="518"/>
      <c r="P728" s="518"/>
      <c r="Q728" s="518"/>
      <c r="R728" s="518"/>
      <c r="S728" s="518"/>
      <c r="T728" s="518"/>
      <c r="U728" s="518"/>
      <c r="V728" s="518"/>
      <c r="W728" s="518"/>
      <c r="X728" s="518"/>
      <c r="Y728" s="518"/>
      <c r="Z728" s="518"/>
      <c r="AA728" s="518"/>
      <c r="AB728" s="518"/>
      <c r="AC728" s="518"/>
      <c r="AD728" s="518"/>
      <c r="AE728" s="518"/>
      <c r="AF728" s="518"/>
      <c r="AG728" s="518"/>
      <c r="AH728" s="518"/>
      <c r="AI728" s="518"/>
      <c r="AJ728" s="518"/>
      <c r="AK728" s="518"/>
      <c r="AL728" s="518"/>
      <c r="AM728" s="518"/>
      <c r="AN728" s="518"/>
      <c r="AO728" s="518"/>
      <c r="AP728" s="518"/>
      <c r="AQ728" s="518"/>
      <c r="AR728" s="518"/>
      <c r="AS728" s="518"/>
      <c r="AT728" s="518"/>
      <c r="AU728" s="518"/>
      <c r="AV728" s="518"/>
      <c r="AW728" s="518"/>
      <c r="AX728" s="518"/>
      <c r="AY728" s="518"/>
      <c r="AZ728" s="518"/>
      <c r="BA728" s="518"/>
      <c r="BB728" s="518"/>
      <c r="BC728" s="518"/>
      <c r="BD728" s="518"/>
      <c r="BE728" s="518"/>
      <c r="BF728" s="518"/>
      <c r="BG728" s="518"/>
      <c r="BH728" s="518"/>
      <c r="BI728" s="518"/>
      <c r="BJ728" s="518"/>
      <c r="BK728" s="518"/>
      <c r="BL728" s="520"/>
      <c r="BM728" s="518" t="str">
        <f>IFERROR(CHOOSE(MO.DataSourceIndex,_xll.BDP(MO.Ticker.Bloomberg&amp;" EQUITY","BEST_EBITDA","BEST_FPERIOD_OVERRIDE="&amp;INDEX(tb_ConsensusEstimate,3,COLUMN())&amp;INDEX(tb_ConsensusEstimate,2,COLUMN())),_xll.CIQ(MO.Ticker.CapIQ,"IQ_EBITDA_EST","IQ_"&amp;INDEX(tb_ConsensusEstimate,2,COLUMN())&amp;"+"&amp;INDEX(tb_ConsensusEstimate,3,COLUMN())),_xll.FDS(MO.Ticker.FactSet,"FE_ESTIMATE(EBITDA,MEAN,"&amp;INDEX(tb_ConsensusEstimate,2,COLUMN())&amp;",+"&amp;INDEX(tb_ConsensusEstimate,3,COLUMN())&amp;",NOW"&amp;",,,'CURRENCY="&amp;HP.ReportCurrency&amp;"')"),_xll.TR(MO.Ticker.Thomson,"ZAV(TR.EBITDAMean(Scale=6))","Period="&amp;INDEX(tb_ConsensusEstimate,2,COLUMN())&amp;INDEX(tb_ConsensusEstimate,3,COLUMN()))),"N/A")</f>
        <v>N/A</v>
      </c>
      <c r="BN728" s="518" t="str">
        <f>IFERROR(CHOOSE(MO.DataSourceIndex,_xll.BDP(MO.Ticker.Bloomberg&amp;" EQUITY","BEST_EBITDA","BEST_FPERIOD_OVERRIDE="&amp;INDEX(tb_ConsensusEstimate,3,COLUMN())&amp;INDEX(tb_ConsensusEstimate,2,COLUMN())),_xll.CIQ(MO.Ticker.CapIQ,"IQ_EBITDA_EST","IQ_"&amp;INDEX(tb_ConsensusEstimate,2,COLUMN())&amp;"+"&amp;INDEX(tb_ConsensusEstimate,3,COLUMN())),_xll.FDS(MO.Ticker.FactSet,"FE_ESTIMATE(EBITDA,MEAN,"&amp;INDEX(tb_ConsensusEstimate,2,COLUMN())&amp;",+"&amp;INDEX(tb_ConsensusEstimate,3,COLUMN())&amp;",NOW"&amp;",,,'CURRENCY="&amp;HP.ReportCurrency&amp;"')"),_xll.TR(MO.Ticker.Thomson,"ZAV(TR.EBITDAMean(Scale=6))","Period="&amp;INDEX(tb_ConsensusEstimate,2,COLUMN())&amp;INDEX(tb_ConsensusEstimate,3,COLUMN()))),"N/A")</f>
        <v>N/A</v>
      </c>
      <c r="BO728" s="518" t="str">
        <f>IFERROR(CHOOSE(MO.DataSourceIndex,_xll.BDP(MO.Ticker.Bloomberg&amp;" EQUITY","BEST_EBITDA","BEST_FPERIOD_OVERRIDE="&amp;INDEX(tb_ConsensusEstimate,3,COLUMN())&amp;INDEX(tb_ConsensusEstimate,2,COLUMN())),_xll.CIQ(MO.Ticker.CapIQ,"IQ_EBITDA_EST","IQ_"&amp;INDEX(tb_ConsensusEstimate,2,COLUMN())&amp;"+"&amp;INDEX(tb_ConsensusEstimate,3,COLUMN())),_xll.FDS(MO.Ticker.FactSet,"FE_ESTIMATE(EBITDA,MEAN,"&amp;INDEX(tb_ConsensusEstimate,2,COLUMN())&amp;",+"&amp;INDEX(tb_ConsensusEstimate,3,COLUMN())&amp;",NOW"&amp;",,,'CURRENCY="&amp;HP.ReportCurrency&amp;"')"),_xll.TR(MO.Ticker.Thomson,"ZAV(TR.EBITDAMean(Scale=6))","Period="&amp;INDEX(tb_ConsensusEstimate,2,COLUMN())&amp;INDEX(tb_ConsensusEstimate,3,COLUMN()))),"N/A")</f>
        <v>N/A</v>
      </c>
      <c r="BP728" s="518" t="str">
        <f>IFERROR(CHOOSE(MO.DataSourceIndex,_xll.BDP(MO.Ticker.Bloomberg&amp;" EQUITY","BEST_EBITDA","BEST_FPERIOD_OVERRIDE="&amp;INDEX(tb_ConsensusEstimate,3,COLUMN())&amp;INDEX(tb_ConsensusEstimate,2,COLUMN())),_xll.CIQ(MO.Ticker.CapIQ,"IQ_EBITDA_EST","IQ_"&amp;INDEX(tb_ConsensusEstimate,2,COLUMN())&amp;"+"&amp;INDEX(tb_ConsensusEstimate,3,COLUMN())),_xll.FDS(MO.Ticker.FactSet,"FE_ESTIMATE(EBITDA,MEAN,"&amp;INDEX(tb_ConsensusEstimate,2,COLUMN())&amp;",+"&amp;INDEX(tb_ConsensusEstimate,3,COLUMN())&amp;",NOW"&amp;",,,'CURRENCY="&amp;HP.ReportCurrency&amp;"')"),_xll.TR(MO.Ticker.Thomson,"ZAV(TR.EBITDAMean(Scale=6))","Period="&amp;INDEX(tb_ConsensusEstimate,2,COLUMN())&amp;INDEX(tb_ConsensusEstimate,3,COLUMN()))),"N/A")</f>
        <v>N/A</v>
      </c>
      <c r="BQ728" s="518" t="str">
        <f>IFERROR(CHOOSE(MO.DataSourceIndex,_xll.BDP(MO.Ticker.Bloomberg&amp;" EQUITY","BEST_EBITDA","BEST_FPERIOD_OVERRIDE="&amp;INDEX(tb_ConsensusEstimate,3,COLUMN())&amp;INDEX(tb_ConsensusEstimate,2,COLUMN())),_xll.CIQ(MO.Ticker.CapIQ,"IQ_EBITDA_EST","IQ_"&amp;INDEX(tb_ConsensusEstimate,2,COLUMN())&amp;"+"&amp;INDEX(tb_ConsensusEstimate,3,COLUMN())),_xll.FDS(MO.Ticker.FactSet,"FE_ESTIMATE(EBITDA,MEAN,"&amp;INDEX(tb_ConsensusEstimate,2,COLUMN())&amp;",+"&amp;INDEX(tb_ConsensusEstimate,3,COLUMN())&amp;",NOW"&amp;",,,'CURRENCY="&amp;HP.ReportCurrency&amp;"')"),_xll.TR(MO.Ticker.Thomson,"ZAV(TR.EBITDAMean(Scale=6))","Period="&amp;INDEX(tb_ConsensusEstimate,2,COLUMN())&amp;INDEX(tb_ConsensusEstimate,3,COLUMN()))),"N/A")</f>
        <v>N/A</v>
      </c>
      <c r="BR728" s="518" t="str">
        <f>IFERROR(CHOOSE(MO.DataSourceIndex,_xll.BDP(MO.Ticker.Bloomberg&amp;" EQUITY","BEST_EBITDA","BEST_FPERIOD_OVERRIDE="&amp;INDEX(tb_ConsensusEstimate,3,COLUMN())&amp;INDEX(tb_ConsensusEstimate,2,COLUMN())),_xll.CIQ(MO.Ticker.CapIQ,"IQ_EBITDA_EST","IQ_"&amp;INDEX(tb_ConsensusEstimate,2,COLUMN())&amp;"+"&amp;INDEX(tb_ConsensusEstimate,3,COLUMN())),_xll.FDS(MO.Ticker.FactSet,"FE_ESTIMATE(EBITDA,MEAN,"&amp;INDEX(tb_ConsensusEstimate,2,COLUMN())&amp;",+"&amp;INDEX(tb_ConsensusEstimate,3,COLUMN())&amp;",NOW"&amp;",,,'CURRENCY="&amp;HP.ReportCurrency&amp;"')"),_xll.TR(MO.Ticker.Thomson,"ZAV(TR.EBITDAMean(Scale=6))","Period="&amp;INDEX(tb_ConsensusEstimate,2,COLUMN())&amp;INDEX(tb_ConsensusEstimate,3,COLUMN()))),"N/A")</f>
        <v>N/A</v>
      </c>
      <c r="BS728" s="518" t="str">
        <f>IFERROR(CHOOSE(MO.DataSourceIndex,_xll.BDP(MO.Ticker.Bloomberg&amp;" EQUITY","BEST_EBITDA","BEST_FPERIOD_OVERRIDE="&amp;INDEX(tb_ConsensusEstimate,3,COLUMN())&amp;INDEX(tb_ConsensusEstimate,2,COLUMN())),_xll.CIQ(MO.Ticker.CapIQ,"IQ_EBITDA_EST","IQ_"&amp;INDEX(tb_ConsensusEstimate,2,COLUMN())&amp;"+"&amp;INDEX(tb_ConsensusEstimate,3,COLUMN())),_xll.FDS(MO.Ticker.FactSet,"FE_ESTIMATE(EBITDA,MEAN,"&amp;INDEX(tb_ConsensusEstimate,2,COLUMN())&amp;",+"&amp;INDEX(tb_ConsensusEstimate,3,COLUMN())&amp;",NOW"&amp;",,,'CURRENCY="&amp;HP.ReportCurrency&amp;"')"),_xll.TR(MO.Ticker.Thomson,"ZAV(TR.EBITDAMean(Scale=6))","Period="&amp;INDEX(tb_ConsensusEstimate,2,COLUMN())&amp;INDEX(tb_ConsensusEstimate,3,COLUMN()))),"N/A")</f>
        <v>N/A</v>
      </c>
      <c r="BT728" s="518" t="str">
        <f>IFERROR(CHOOSE(MO.DataSourceIndex,_xll.BDP(MO.Ticker.Bloomberg&amp;" EQUITY","BEST_EBITDA","BEST_FPERIOD_OVERRIDE="&amp;INDEX(tb_ConsensusEstimate,3,COLUMN())&amp;INDEX(tb_ConsensusEstimate,2,COLUMN())),_xll.CIQ(MO.Ticker.CapIQ,"IQ_EBITDA_EST","IQ_"&amp;INDEX(tb_ConsensusEstimate,2,COLUMN())&amp;"+"&amp;INDEX(tb_ConsensusEstimate,3,COLUMN())),_xll.FDS(MO.Ticker.FactSet,"FE_ESTIMATE(EBITDA,MEAN,"&amp;INDEX(tb_ConsensusEstimate,2,COLUMN())&amp;",+"&amp;INDEX(tb_ConsensusEstimate,3,COLUMN())&amp;",NOW"&amp;",,,'CURRENCY="&amp;HP.ReportCurrency&amp;"')"),_xll.TR(MO.Ticker.Thomson,"ZAV(TR.EBITDAMean(Scale=6))","Period="&amp;INDEX(tb_ConsensusEstimate,2,COLUMN())&amp;INDEX(tb_ConsensusEstimate,3,COLUMN()))),"N/A")</f>
        <v>N/A</v>
      </c>
      <c r="BU728" s="518" t="str">
        <f>IFERROR(CHOOSE(MO.DataSourceIndex,_xll.BDP(MO.Ticker.Bloomberg&amp;" EQUITY","BEST_EBITDA","BEST_FPERIOD_OVERRIDE="&amp;INDEX(tb_ConsensusEstimate,3,COLUMN())&amp;INDEX(tb_ConsensusEstimate,2,COLUMN())),_xll.CIQ(MO.Ticker.CapIQ,"IQ_EBITDA_EST","IQ_"&amp;INDEX(tb_ConsensusEstimate,2,COLUMN())&amp;"+"&amp;INDEX(tb_ConsensusEstimate,3,COLUMN())),_xll.FDS(MO.Ticker.FactSet,"FE_ESTIMATE(EBITDA,MEAN,"&amp;INDEX(tb_ConsensusEstimate,2,COLUMN())&amp;",+"&amp;INDEX(tb_ConsensusEstimate,3,COLUMN())&amp;",NOW"&amp;",,,'CURRENCY="&amp;HP.ReportCurrency&amp;"')"),_xll.TR(MO.Ticker.Thomson,"ZAV(TR.EBITDAMean(Scale=6))","Period="&amp;INDEX(tb_ConsensusEstimate,2,COLUMN())&amp;INDEX(tb_ConsensusEstimate,3,COLUMN()))),"N/A")</f>
        <v>N/A</v>
      </c>
      <c r="BV728" s="191" t="str">
        <f>IFERROR(CHOOSE(MO.DataSourceIndex,_xll.BDP(MO.Ticker.Bloomberg&amp;" EQUITY","BEST_EBITDA","BEST_FPERIOD_OVERRIDE="&amp;INDEX(tb_ConsensusEstimate,3,COLUMN())&amp;INDEX(tb_ConsensusEstimate,2,COLUMN())),_xll.CIQ(MO.Ticker.CapIQ,"IQ_EBITDA_EST","IQ_"&amp;INDEX(tb_ConsensusEstimate,2,COLUMN())&amp;"+"&amp;INDEX(tb_ConsensusEstimate,3,COLUMN())),_xll.FDS(MO.Ticker.FactSet,"FE_ESTIMATE(EBITDA,MEAN,"&amp;INDEX(tb_ConsensusEstimate,2,COLUMN())&amp;",+"&amp;INDEX(tb_ConsensusEstimate,3,COLUMN())&amp;",NOW"&amp;",,,'CURRENCY="&amp;HP.ReportCurrency&amp;"')"),_xll.TR(MO.Ticker.Thomson,"ZAV(TR.EBITDAMean(Scale=6))","Period="&amp;INDEX(tb_ConsensusEstimate,2,COLUMN())&amp;INDEX(tb_ConsensusEstimate,3,COLUMN()))),"N/A")</f>
        <v>N/A</v>
      </c>
      <c r="BW728" s="519"/>
    </row>
    <row r="729" spans="1:75" s="439" customFormat="1">
      <c r="A729" s="193" t="str">
        <f>$A$227</f>
        <v xml:space="preserve">Consensus Estimates - Adjusted EBIT </v>
      </c>
      <c r="B729" s="518"/>
      <c r="C729" s="533"/>
      <c r="D729" s="533"/>
      <c r="E729" s="533"/>
      <c r="F729" s="533"/>
      <c r="G729" s="533"/>
      <c r="H729" s="518"/>
      <c r="I729" s="518"/>
      <c r="J729" s="518"/>
      <c r="K729" s="518"/>
      <c r="L729" s="518"/>
      <c r="M729" s="518"/>
      <c r="N729" s="518"/>
      <c r="O729" s="518"/>
      <c r="P729" s="518"/>
      <c r="Q729" s="518"/>
      <c r="R729" s="518"/>
      <c r="S729" s="518"/>
      <c r="T729" s="518"/>
      <c r="U729" s="518"/>
      <c r="V729" s="518"/>
      <c r="W729" s="518"/>
      <c r="X729" s="518"/>
      <c r="Y729" s="518"/>
      <c r="Z729" s="518"/>
      <c r="AA729" s="518"/>
      <c r="AB729" s="518"/>
      <c r="AC729" s="518"/>
      <c r="AD729" s="518"/>
      <c r="AE729" s="518"/>
      <c r="AF729" s="518"/>
      <c r="AG729" s="518"/>
      <c r="AH729" s="518"/>
      <c r="AI729" s="518"/>
      <c r="AJ729" s="518"/>
      <c r="AK729" s="518"/>
      <c r="AL729" s="518"/>
      <c r="AM729" s="518"/>
      <c r="AN729" s="518"/>
      <c r="AO729" s="518"/>
      <c r="AP729" s="518"/>
      <c r="AQ729" s="518"/>
      <c r="AR729" s="518"/>
      <c r="AS729" s="518"/>
      <c r="AT729" s="518"/>
      <c r="AU729" s="518"/>
      <c r="AV729" s="518"/>
      <c r="AW729" s="518"/>
      <c r="AX729" s="518"/>
      <c r="AY729" s="518"/>
      <c r="AZ729" s="518"/>
      <c r="BA729" s="518"/>
      <c r="BB729" s="518"/>
      <c r="BC729" s="518"/>
      <c r="BD729" s="518"/>
      <c r="BE729" s="518"/>
      <c r="BF729" s="518"/>
      <c r="BG729" s="518"/>
      <c r="BH729" s="518"/>
      <c r="BI729" s="518"/>
      <c r="BJ729" s="518"/>
      <c r="BK729" s="518"/>
      <c r="BL729" s="520"/>
      <c r="BM729" s="518" t="str">
        <f>IFERROR(CHOOSE(MO.DataSourceIndex,_xll.BDP(MO.Ticker.Bloomberg&amp;" EQUITY","BEST_EBIT","BEST_FPERIOD_OVERRIDE="&amp;INDEX(tb_ConsensusEstimate,3,COLUMN())&amp;INDEX(tb_ConsensusEstimate,2,COLUMN())),_xll.CIQ(MO.Ticker.CapIQ,"IQ_EBIT_EST","IQ_"&amp;INDEX(tb_ConsensusEstimate,2,COLUMN())&amp;"+"&amp;INDEX(tb_ConsensusEstimate,3,COLUMN())),_xll.FDS(MO.Ticker.FactSet,"FE_ESTIMATE(EBIT,MEAN,"&amp;INDEX(tb_ConsensusEstimate,2,COLUMN())&amp;",+"&amp;INDEX(tb_ConsensusEstimate,3,COLUMN())&amp;",NOW"&amp;",,,'CURRENCY="&amp;HP.ReportCurrency&amp;"')"),_xll.TR(MO.Ticker.Thomson,"ZAV(TR.EBITMean(Scale=6))","Period="&amp;INDEX(tb_ConsensusEstimate,2,COLUMN())&amp;INDEX(tb_ConsensusEstimate,3,COLUMN()))),"N/A")</f>
        <v>N/A</v>
      </c>
      <c r="BN729" s="518" t="str">
        <f>IFERROR(CHOOSE(MO.DataSourceIndex,_xll.BDP(MO.Ticker.Bloomberg&amp;" EQUITY","BEST_EBIT","BEST_FPERIOD_OVERRIDE="&amp;INDEX(tb_ConsensusEstimate,3,COLUMN())&amp;INDEX(tb_ConsensusEstimate,2,COLUMN())),_xll.CIQ(MO.Ticker.CapIQ,"IQ_EBIT_EST","IQ_"&amp;INDEX(tb_ConsensusEstimate,2,COLUMN())&amp;"+"&amp;INDEX(tb_ConsensusEstimate,3,COLUMN())),_xll.FDS(MO.Ticker.FactSet,"FE_ESTIMATE(EBIT,MEAN,"&amp;INDEX(tb_ConsensusEstimate,2,COLUMN())&amp;",+"&amp;INDEX(tb_ConsensusEstimate,3,COLUMN())&amp;",NOW"&amp;",,,'CURRENCY="&amp;HP.ReportCurrency&amp;"')"),_xll.TR(MO.Ticker.Thomson,"ZAV(TR.EBITMean(Scale=6))","Period="&amp;INDEX(tb_ConsensusEstimate,2,COLUMN())&amp;INDEX(tb_ConsensusEstimate,3,COLUMN()))),"N/A")</f>
        <v>N/A</v>
      </c>
      <c r="BO729" s="518" t="str">
        <f>IFERROR(CHOOSE(MO.DataSourceIndex,_xll.BDP(MO.Ticker.Bloomberg&amp;" EQUITY","BEST_EBIT","BEST_FPERIOD_OVERRIDE="&amp;INDEX(tb_ConsensusEstimate,3,COLUMN())&amp;INDEX(tb_ConsensusEstimate,2,COLUMN())),_xll.CIQ(MO.Ticker.CapIQ,"IQ_EBIT_EST","IQ_"&amp;INDEX(tb_ConsensusEstimate,2,COLUMN())&amp;"+"&amp;INDEX(tb_ConsensusEstimate,3,COLUMN())),_xll.FDS(MO.Ticker.FactSet,"FE_ESTIMATE(EBIT,MEAN,"&amp;INDEX(tb_ConsensusEstimate,2,COLUMN())&amp;",+"&amp;INDEX(tb_ConsensusEstimate,3,COLUMN())&amp;",NOW"&amp;",,,'CURRENCY="&amp;HP.ReportCurrency&amp;"')"),_xll.TR(MO.Ticker.Thomson,"ZAV(TR.EBITMean(Scale=6))","Period="&amp;INDEX(tb_ConsensusEstimate,2,COLUMN())&amp;INDEX(tb_ConsensusEstimate,3,COLUMN()))),"N/A")</f>
        <v>N/A</v>
      </c>
      <c r="BP729" s="518" t="str">
        <f>IFERROR(CHOOSE(MO.DataSourceIndex,_xll.BDP(MO.Ticker.Bloomberg&amp;" EQUITY","BEST_EBIT","BEST_FPERIOD_OVERRIDE="&amp;INDEX(tb_ConsensusEstimate,3,COLUMN())&amp;INDEX(tb_ConsensusEstimate,2,COLUMN())),_xll.CIQ(MO.Ticker.CapIQ,"IQ_EBIT_EST","IQ_"&amp;INDEX(tb_ConsensusEstimate,2,COLUMN())&amp;"+"&amp;INDEX(tb_ConsensusEstimate,3,COLUMN())),_xll.FDS(MO.Ticker.FactSet,"FE_ESTIMATE(EBIT,MEAN,"&amp;INDEX(tb_ConsensusEstimate,2,COLUMN())&amp;",+"&amp;INDEX(tb_ConsensusEstimate,3,COLUMN())&amp;",NOW"&amp;",,,'CURRENCY="&amp;HP.ReportCurrency&amp;"')"),_xll.TR(MO.Ticker.Thomson,"ZAV(TR.EBITMean(Scale=6))","Period="&amp;INDEX(tb_ConsensusEstimate,2,COLUMN())&amp;INDEX(tb_ConsensusEstimate,3,COLUMN()))),"N/A")</f>
        <v>N/A</v>
      </c>
      <c r="BQ729" s="518" t="str">
        <f>IFERROR(CHOOSE(MO.DataSourceIndex,_xll.BDP(MO.Ticker.Bloomberg&amp;" EQUITY","BEST_EBIT","BEST_FPERIOD_OVERRIDE="&amp;INDEX(tb_ConsensusEstimate,3,COLUMN())&amp;INDEX(tb_ConsensusEstimate,2,COLUMN())),_xll.CIQ(MO.Ticker.CapIQ,"IQ_EBIT_EST","IQ_"&amp;INDEX(tb_ConsensusEstimate,2,COLUMN())&amp;"+"&amp;INDEX(tb_ConsensusEstimate,3,COLUMN())),_xll.FDS(MO.Ticker.FactSet,"FE_ESTIMATE(EBIT,MEAN,"&amp;INDEX(tb_ConsensusEstimate,2,COLUMN())&amp;",+"&amp;INDEX(tb_ConsensusEstimate,3,COLUMN())&amp;",NOW"&amp;",,,'CURRENCY="&amp;HP.ReportCurrency&amp;"')"),_xll.TR(MO.Ticker.Thomson,"ZAV(TR.EBITMean(Scale=6))","Period="&amp;INDEX(tb_ConsensusEstimate,2,COLUMN())&amp;INDEX(tb_ConsensusEstimate,3,COLUMN()))),"N/A")</f>
        <v>N/A</v>
      </c>
      <c r="BR729" s="518" t="str">
        <f>IFERROR(CHOOSE(MO.DataSourceIndex,_xll.BDP(MO.Ticker.Bloomberg&amp;" EQUITY","BEST_EBIT","BEST_FPERIOD_OVERRIDE="&amp;INDEX(tb_ConsensusEstimate,3,COLUMN())&amp;INDEX(tb_ConsensusEstimate,2,COLUMN())),_xll.CIQ(MO.Ticker.CapIQ,"IQ_EBIT_EST","IQ_"&amp;INDEX(tb_ConsensusEstimate,2,COLUMN())&amp;"+"&amp;INDEX(tb_ConsensusEstimate,3,COLUMN())),_xll.FDS(MO.Ticker.FactSet,"FE_ESTIMATE(EBIT,MEAN,"&amp;INDEX(tb_ConsensusEstimate,2,COLUMN())&amp;",+"&amp;INDEX(tb_ConsensusEstimate,3,COLUMN())&amp;",NOW"&amp;",,,'CURRENCY="&amp;HP.ReportCurrency&amp;"')"),_xll.TR(MO.Ticker.Thomson,"ZAV(TR.EBITMean(Scale=6))","Period="&amp;INDEX(tb_ConsensusEstimate,2,COLUMN())&amp;INDEX(tb_ConsensusEstimate,3,COLUMN()))),"N/A")</f>
        <v>N/A</v>
      </c>
      <c r="BS729" s="518" t="str">
        <f>IFERROR(CHOOSE(MO.DataSourceIndex,_xll.BDP(MO.Ticker.Bloomberg&amp;" EQUITY","BEST_EBIT","BEST_FPERIOD_OVERRIDE="&amp;INDEX(tb_ConsensusEstimate,3,COLUMN())&amp;INDEX(tb_ConsensusEstimate,2,COLUMN())),_xll.CIQ(MO.Ticker.CapIQ,"IQ_EBIT_EST","IQ_"&amp;INDEX(tb_ConsensusEstimate,2,COLUMN())&amp;"+"&amp;INDEX(tb_ConsensusEstimate,3,COLUMN())),_xll.FDS(MO.Ticker.FactSet,"FE_ESTIMATE(EBIT,MEAN,"&amp;INDEX(tb_ConsensusEstimate,2,COLUMN())&amp;",+"&amp;INDEX(tb_ConsensusEstimate,3,COLUMN())&amp;",NOW"&amp;",,,'CURRENCY="&amp;HP.ReportCurrency&amp;"')"),_xll.TR(MO.Ticker.Thomson,"ZAV(TR.EBITMean(Scale=6))","Period="&amp;INDEX(tb_ConsensusEstimate,2,COLUMN())&amp;INDEX(tb_ConsensusEstimate,3,COLUMN()))),"N/A")</f>
        <v>N/A</v>
      </c>
      <c r="BT729" s="518" t="str">
        <f>IFERROR(CHOOSE(MO.DataSourceIndex,_xll.BDP(MO.Ticker.Bloomberg&amp;" EQUITY","BEST_EBIT","BEST_FPERIOD_OVERRIDE="&amp;INDEX(tb_ConsensusEstimate,3,COLUMN())&amp;INDEX(tb_ConsensusEstimate,2,COLUMN())),_xll.CIQ(MO.Ticker.CapIQ,"IQ_EBIT_EST","IQ_"&amp;INDEX(tb_ConsensusEstimate,2,COLUMN())&amp;"+"&amp;INDEX(tb_ConsensusEstimate,3,COLUMN())),_xll.FDS(MO.Ticker.FactSet,"FE_ESTIMATE(EBIT,MEAN,"&amp;INDEX(tb_ConsensusEstimate,2,COLUMN())&amp;",+"&amp;INDEX(tb_ConsensusEstimate,3,COLUMN())&amp;",NOW"&amp;",,,'CURRENCY="&amp;HP.ReportCurrency&amp;"')"),_xll.TR(MO.Ticker.Thomson,"ZAV(TR.EBITMean(Scale=6))","Period="&amp;INDEX(tb_ConsensusEstimate,2,COLUMN())&amp;INDEX(tb_ConsensusEstimate,3,COLUMN()))),"N/A")</f>
        <v>N/A</v>
      </c>
      <c r="BU729" s="518" t="str">
        <f>IFERROR(CHOOSE(MO.DataSourceIndex,_xll.BDP(MO.Ticker.Bloomberg&amp;" EQUITY","BEST_EBIT","BEST_FPERIOD_OVERRIDE="&amp;INDEX(tb_ConsensusEstimate,3,COLUMN())&amp;INDEX(tb_ConsensusEstimate,2,COLUMN())),_xll.CIQ(MO.Ticker.CapIQ,"IQ_EBIT_EST","IQ_"&amp;INDEX(tb_ConsensusEstimate,2,COLUMN())&amp;"+"&amp;INDEX(tb_ConsensusEstimate,3,COLUMN())),_xll.FDS(MO.Ticker.FactSet,"FE_ESTIMATE(EBIT,MEAN,"&amp;INDEX(tb_ConsensusEstimate,2,COLUMN())&amp;",+"&amp;INDEX(tb_ConsensusEstimate,3,COLUMN())&amp;",NOW"&amp;",,,'CURRENCY="&amp;HP.ReportCurrency&amp;"')"),_xll.TR(MO.Ticker.Thomson,"ZAV(TR.EBITMean(Scale=6))","Period="&amp;INDEX(tb_ConsensusEstimate,2,COLUMN())&amp;INDEX(tb_ConsensusEstimate,3,COLUMN()))),"N/A")</f>
        <v>N/A</v>
      </c>
      <c r="BV729" s="191" t="str">
        <f>IFERROR(CHOOSE(MO.DataSourceIndex,_xll.BDP(MO.Ticker.Bloomberg&amp;" EQUITY","BEST_EBIT","BEST_FPERIOD_OVERRIDE="&amp;INDEX(tb_ConsensusEstimate,3,COLUMN())&amp;INDEX(tb_ConsensusEstimate,2,COLUMN())),_xll.CIQ(MO.Ticker.CapIQ,"IQ_EBIT_EST","IQ_"&amp;INDEX(tb_ConsensusEstimate,2,COLUMN())&amp;"+"&amp;INDEX(tb_ConsensusEstimate,3,COLUMN())),_xll.FDS(MO.Ticker.FactSet,"FE_ESTIMATE(EBIT,MEAN,"&amp;INDEX(tb_ConsensusEstimate,2,COLUMN())&amp;",+"&amp;INDEX(tb_ConsensusEstimate,3,COLUMN())&amp;",NOW"&amp;",,,'CURRENCY="&amp;HP.ReportCurrency&amp;"')"),_xll.TR(MO.Ticker.Thomson,"ZAV(TR.EBITMean(Scale=6))","Period="&amp;INDEX(tb_ConsensusEstimate,2,COLUMN())&amp;INDEX(tb_ConsensusEstimate,3,COLUMN()))),"N/A")</f>
        <v>N/A</v>
      </c>
      <c r="BW729" s="519"/>
    </row>
    <row r="730" spans="1:75" s="439" customFormat="1">
      <c r="A730" s="193" t="str">
        <f>$A$259</f>
        <v>Consensus Estimates - Adjusted Earnings Per Share - WAD</v>
      </c>
      <c r="B730" s="518"/>
      <c r="C730" s="534"/>
      <c r="D730" s="534"/>
      <c r="E730" s="534"/>
      <c r="F730" s="534"/>
      <c r="G730" s="534"/>
      <c r="H730" s="518"/>
      <c r="I730" s="518"/>
      <c r="J730" s="518"/>
      <c r="K730" s="518"/>
      <c r="L730" s="518"/>
      <c r="M730" s="518"/>
      <c r="N730" s="518"/>
      <c r="O730" s="518"/>
      <c r="P730" s="518"/>
      <c r="Q730" s="518"/>
      <c r="R730" s="518"/>
      <c r="S730" s="518"/>
      <c r="T730" s="518"/>
      <c r="U730" s="518"/>
      <c r="V730" s="518"/>
      <c r="W730" s="518"/>
      <c r="X730" s="518"/>
      <c r="Y730" s="518"/>
      <c r="Z730" s="518"/>
      <c r="AA730" s="518"/>
      <c r="AB730" s="518"/>
      <c r="AC730" s="518"/>
      <c r="AD730" s="518"/>
      <c r="AE730" s="518"/>
      <c r="AF730" s="518"/>
      <c r="AG730" s="518"/>
      <c r="AH730" s="518"/>
      <c r="AI730" s="518"/>
      <c r="AJ730" s="518"/>
      <c r="AK730" s="518"/>
      <c r="AL730" s="518"/>
      <c r="AM730" s="518"/>
      <c r="AN730" s="518"/>
      <c r="AO730" s="518"/>
      <c r="AP730" s="518"/>
      <c r="AQ730" s="518"/>
      <c r="AR730" s="518"/>
      <c r="AS730" s="518"/>
      <c r="AT730" s="518"/>
      <c r="AU730" s="518"/>
      <c r="AV730" s="518"/>
      <c r="AW730" s="518"/>
      <c r="AX730" s="518"/>
      <c r="AY730" s="518"/>
      <c r="AZ730" s="518"/>
      <c r="BA730" s="518"/>
      <c r="BB730" s="518"/>
      <c r="BC730" s="518"/>
      <c r="BD730" s="518"/>
      <c r="BE730" s="518"/>
      <c r="BF730" s="518"/>
      <c r="BG730" s="518"/>
      <c r="BH730" s="518"/>
      <c r="BI730" s="518"/>
      <c r="BJ730" s="518"/>
      <c r="BK730" s="518"/>
      <c r="BL730" s="520"/>
      <c r="BM730" s="518" t="str">
        <f>IFERROR(CHOOSE(MO.DataSourceIndex,_xll.BDP(MO.Ticker.Bloomberg&amp;" EQUITY","BEST_EPS","BEST_FPERIOD_OVERRIDE="&amp;INDEX(tb_ConsensusEstimate,3,COLUMN())&amp;INDEX(tb_ConsensusEstimate,2,COLUMN())),_xll.CIQ(MO.Ticker.CapIQ,"IQ_EPS_NORM_EST","IQ_"&amp;INDEX(tb_ConsensusEstimate,2,COLUMN())&amp;"+"&amp;INDEX(tb_ConsensusEstimate,3,COLUMN())),_xll.FDS(MO.Ticker.FactSet,"FE_ESTIMATE(EPS,MEAN,"&amp;INDEX(tb_ConsensusEstimate,2,COLUMN())&amp;",+"&amp;INDEX(tb_ConsensusEstimate,3,COLUMN())&amp;",NOW"&amp;",,,'CURRENCY="&amp;HP.ReportCurrency&amp;"')"),_xll.TR(MO.Ticker.Thomson,"ZAV(TR.EPSMean)","Period="&amp;INDEX(tb_ConsensusEstimate,2,COLUMN())&amp;INDEX(tb_ConsensusEstimate,3,COLUMN()))),"N/A")</f>
        <v>N/A</v>
      </c>
      <c r="BN730" s="518" t="str">
        <f>IFERROR(CHOOSE(MO.DataSourceIndex,_xll.BDP(MO.Ticker.Bloomberg&amp;" EQUITY","BEST_EPS","BEST_FPERIOD_OVERRIDE="&amp;INDEX(tb_ConsensusEstimate,3,COLUMN())&amp;INDEX(tb_ConsensusEstimate,2,COLUMN())),_xll.CIQ(MO.Ticker.CapIQ,"IQ_EPS_NORM_EST","IQ_"&amp;INDEX(tb_ConsensusEstimate,2,COLUMN())&amp;"+"&amp;INDEX(tb_ConsensusEstimate,3,COLUMN())),_xll.FDS(MO.Ticker.FactSet,"FE_ESTIMATE(EPS,MEAN,"&amp;INDEX(tb_ConsensusEstimate,2,COLUMN())&amp;",+"&amp;INDEX(tb_ConsensusEstimate,3,COLUMN())&amp;",NOW"&amp;",,,'CURRENCY="&amp;HP.ReportCurrency&amp;"')"),_xll.TR(MO.Ticker.Thomson,"ZAV(TR.EPSMean)","Period="&amp;INDEX(tb_ConsensusEstimate,2,COLUMN())&amp;INDEX(tb_ConsensusEstimate,3,COLUMN()))),"N/A")</f>
        <v>N/A</v>
      </c>
      <c r="BO730" s="518" t="str">
        <f>IFERROR(CHOOSE(MO.DataSourceIndex,_xll.BDP(MO.Ticker.Bloomberg&amp;" EQUITY","BEST_EPS","BEST_FPERIOD_OVERRIDE="&amp;INDEX(tb_ConsensusEstimate,3,COLUMN())&amp;INDEX(tb_ConsensusEstimate,2,COLUMN())),_xll.CIQ(MO.Ticker.CapIQ,"IQ_EPS_NORM_EST","IQ_"&amp;INDEX(tb_ConsensusEstimate,2,COLUMN())&amp;"+"&amp;INDEX(tb_ConsensusEstimate,3,COLUMN())),_xll.FDS(MO.Ticker.FactSet,"FE_ESTIMATE(EPS,MEAN,"&amp;INDEX(tb_ConsensusEstimate,2,COLUMN())&amp;",+"&amp;INDEX(tb_ConsensusEstimate,3,COLUMN())&amp;",NOW"&amp;",,,'CURRENCY="&amp;HP.ReportCurrency&amp;"')"),_xll.TR(MO.Ticker.Thomson,"ZAV(TR.EPSMean)","Period="&amp;INDEX(tb_ConsensusEstimate,2,COLUMN())&amp;INDEX(tb_ConsensusEstimate,3,COLUMN()))),"N/A")</f>
        <v>N/A</v>
      </c>
      <c r="BP730" s="518" t="str">
        <f>IFERROR(CHOOSE(MO.DataSourceIndex,_xll.BDP(MO.Ticker.Bloomberg&amp;" EQUITY","BEST_EPS","BEST_FPERIOD_OVERRIDE="&amp;INDEX(tb_ConsensusEstimate,3,COLUMN())&amp;INDEX(tb_ConsensusEstimate,2,COLUMN())),_xll.CIQ(MO.Ticker.CapIQ,"IQ_EPS_NORM_EST","IQ_"&amp;INDEX(tb_ConsensusEstimate,2,COLUMN())&amp;"+"&amp;INDEX(tb_ConsensusEstimate,3,COLUMN())),_xll.FDS(MO.Ticker.FactSet,"FE_ESTIMATE(EPS,MEAN,"&amp;INDEX(tb_ConsensusEstimate,2,COLUMN())&amp;",+"&amp;INDEX(tb_ConsensusEstimate,3,COLUMN())&amp;",NOW"&amp;",,,'CURRENCY="&amp;HP.ReportCurrency&amp;"')"),_xll.TR(MO.Ticker.Thomson,"ZAV(TR.EPSMean)","Period="&amp;INDEX(tb_ConsensusEstimate,2,COLUMN())&amp;INDEX(tb_ConsensusEstimate,3,COLUMN()))),"N/A")</f>
        <v>N/A</v>
      </c>
      <c r="BQ730" s="518" t="str">
        <f>IFERROR(CHOOSE(MO.DataSourceIndex,_xll.BDP(MO.Ticker.Bloomberg&amp;" EQUITY","BEST_EPS","BEST_FPERIOD_OVERRIDE="&amp;INDEX(tb_ConsensusEstimate,3,COLUMN())&amp;INDEX(tb_ConsensusEstimate,2,COLUMN())),_xll.CIQ(MO.Ticker.CapIQ,"IQ_EPS_NORM_EST","IQ_"&amp;INDEX(tb_ConsensusEstimate,2,COLUMN())&amp;"+"&amp;INDEX(tb_ConsensusEstimate,3,COLUMN())),_xll.FDS(MO.Ticker.FactSet,"FE_ESTIMATE(EPS,MEAN,"&amp;INDEX(tb_ConsensusEstimate,2,COLUMN())&amp;",+"&amp;INDEX(tb_ConsensusEstimate,3,COLUMN())&amp;",NOW"&amp;",,,'CURRENCY="&amp;HP.ReportCurrency&amp;"')"),_xll.TR(MO.Ticker.Thomson,"ZAV(TR.EPSMean)","Period="&amp;INDEX(tb_ConsensusEstimate,2,COLUMN())&amp;INDEX(tb_ConsensusEstimate,3,COLUMN()))),"N/A")</f>
        <v>N/A</v>
      </c>
      <c r="BR730" s="518" t="str">
        <f>IFERROR(CHOOSE(MO.DataSourceIndex,_xll.BDP(MO.Ticker.Bloomberg&amp;" EQUITY","BEST_EPS","BEST_FPERIOD_OVERRIDE="&amp;INDEX(tb_ConsensusEstimate,3,COLUMN())&amp;INDEX(tb_ConsensusEstimate,2,COLUMN())),_xll.CIQ(MO.Ticker.CapIQ,"IQ_EPS_NORM_EST","IQ_"&amp;INDEX(tb_ConsensusEstimate,2,COLUMN())&amp;"+"&amp;INDEX(tb_ConsensusEstimate,3,COLUMN())),_xll.FDS(MO.Ticker.FactSet,"FE_ESTIMATE(EPS,MEAN,"&amp;INDEX(tb_ConsensusEstimate,2,COLUMN())&amp;",+"&amp;INDEX(tb_ConsensusEstimate,3,COLUMN())&amp;",NOW"&amp;",,,'CURRENCY="&amp;HP.ReportCurrency&amp;"')"),_xll.TR(MO.Ticker.Thomson,"ZAV(TR.EPSMean)","Period="&amp;INDEX(tb_ConsensusEstimate,2,COLUMN())&amp;INDEX(tb_ConsensusEstimate,3,COLUMN()))),"N/A")</f>
        <v>N/A</v>
      </c>
      <c r="BS730" s="518" t="str">
        <f>IFERROR(CHOOSE(MO.DataSourceIndex,_xll.BDP(MO.Ticker.Bloomberg&amp;" EQUITY","BEST_EPS","BEST_FPERIOD_OVERRIDE="&amp;INDEX(tb_ConsensusEstimate,3,COLUMN())&amp;INDEX(tb_ConsensusEstimate,2,COLUMN())),_xll.CIQ(MO.Ticker.CapIQ,"IQ_EPS_NORM_EST","IQ_"&amp;INDEX(tb_ConsensusEstimate,2,COLUMN())&amp;"+"&amp;INDEX(tb_ConsensusEstimate,3,COLUMN())),_xll.FDS(MO.Ticker.FactSet,"FE_ESTIMATE(EPS,MEAN,"&amp;INDEX(tb_ConsensusEstimate,2,COLUMN())&amp;",+"&amp;INDEX(tb_ConsensusEstimate,3,COLUMN())&amp;",NOW"&amp;",,,'CURRENCY="&amp;HP.ReportCurrency&amp;"')"),_xll.TR(MO.Ticker.Thomson,"ZAV(TR.EPSMean)","Period="&amp;INDEX(tb_ConsensusEstimate,2,COLUMN())&amp;INDEX(tb_ConsensusEstimate,3,COLUMN()))),"N/A")</f>
        <v>N/A</v>
      </c>
      <c r="BT730" s="518" t="str">
        <f>IFERROR(CHOOSE(MO.DataSourceIndex,_xll.BDP(MO.Ticker.Bloomberg&amp;" EQUITY","BEST_EPS","BEST_FPERIOD_OVERRIDE="&amp;INDEX(tb_ConsensusEstimate,3,COLUMN())&amp;INDEX(tb_ConsensusEstimate,2,COLUMN())),_xll.CIQ(MO.Ticker.CapIQ,"IQ_EPS_NORM_EST","IQ_"&amp;INDEX(tb_ConsensusEstimate,2,COLUMN())&amp;"+"&amp;INDEX(tb_ConsensusEstimate,3,COLUMN())),_xll.FDS(MO.Ticker.FactSet,"FE_ESTIMATE(EPS,MEAN,"&amp;INDEX(tb_ConsensusEstimate,2,COLUMN())&amp;",+"&amp;INDEX(tb_ConsensusEstimate,3,COLUMN())&amp;",NOW"&amp;",,,'CURRENCY="&amp;HP.ReportCurrency&amp;"')"),_xll.TR(MO.Ticker.Thomson,"ZAV(TR.EPSMean)","Period="&amp;INDEX(tb_ConsensusEstimate,2,COLUMN())&amp;INDEX(tb_ConsensusEstimate,3,COLUMN()))),"N/A")</f>
        <v>N/A</v>
      </c>
      <c r="BU730" s="518" t="str">
        <f>IFERROR(CHOOSE(MO.DataSourceIndex,_xll.BDP(MO.Ticker.Bloomberg&amp;" EQUITY","BEST_EPS","BEST_FPERIOD_OVERRIDE="&amp;INDEX(tb_ConsensusEstimate,3,COLUMN())&amp;INDEX(tb_ConsensusEstimate,2,COLUMN())),_xll.CIQ(MO.Ticker.CapIQ,"IQ_EPS_NORM_EST","IQ_"&amp;INDEX(tb_ConsensusEstimate,2,COLUMN())&amp;"+"&amp;INDEX(tb_ConsensusEstimate,3,COLUMN())),_xll.FDS(MO.Ticker.FactSet,"FE_ESTIMATE(EPS,MEAN,"&amp;INDEX(tb_ConsensusEstimate,2,COLUMN())&amp;",+"&amp;INDEX(tb_ConsensusEstimate,3,COLUMN())&amp;",NOW"&amp;",,,'CURRENCY="&amp;HP.ReportCurrency&amp;"')"),_xll.TR(MO.Ticker.Thomson,"ZAV(TR.EPSMean)","Period="&amp;INDEX(tb_ConsensusEstimate,2,COLUMN())&amp;INDEX(tb_ConsensusEstimate,3,COLUMN()))),"N/A")</f>
        <v>N/A</v>
      </c>
      <c r="BV730" s="191" t="str">
        <f>IFERROR(CHOOSE(MO.DataSourceIndex,_xll.BDP(MO.Ticker.Bloomberg&amp;" EQUITY","BEST_EPS","BEST_FPERIOD_OVERRIDE="&amp;INDEX(tb_ConsensusEstimate,3,COLUMN())&amp;INDEX(tb_ConsensusEstimate,2,COLUMN())),_xll.CIQ(MO.Ticker.CapIQ,"IQ_EPS_NORM_EST","IQ_"&amp;INDEX(tb_ConsensusEstimate,2,COLUMN())&amp;"+"&amp;INDEX(tb_ConsensusEstimate,3,COLUMN())),_xll.FDS(MO.Ticker.FactSet,"FE_ESTIMATE(EPS,MEAN,"&amp;INDEX(tb_ConsensusEstimate,2,COLUMN())&amp;",+"&amp;INDEX(tb_ConsensusEstimate,3,COLUMN())&amp;",NOW"&amp;",,,'CURRENCY="&amp;HP.ReportCurrency&amp;"')"),_xll.TR(MO.Ticker.Thomson,"ZAV(TR.EPSMean)","Period="&amp;INDEX(tb_ConsensusEstimate,2,COLUMN())&amp;INDEX(tb_ConsensusEstimate,3,COLUMN()))),"N/A")</f>
        <v>N/A</v>
      </c>
      <c r="BW730" s="519"/>
    </row>
    <row r="731" spans="1:75" s="439" customFormat="1">
      <c r="A731" s="193" t="str">
        <f>$A$369</f>
        <v>Consensus Estimates - Cash Flow Per Diluted Share</v>
      </c>
      <c r="B731" s="518"/>
      <c r="C731" s="534"/>
      <c r="D731" s="534"/>
      <c r="E731" s="534"/>
      <c r="F731" s="534"/>
      <c r="G731" s="534"/>
      <c r="H731" s="518"/>
      <c r="I731" s="518"/>
      <c r="J731" s="518"/>
      <c r="K731" s="518"/>
      <c r="L731" s="518"/>
      <c r="M731" s="518"/>
      <c r="N731" s="518"/>
      <c r="O731" s="518"/>
      <c r="P731" s="518"/>
      <c r="Q731" s="518"/>
      <c r="R731" s="518"/>
      <c r="S731" s="518"/>
      <c r="T731" s="518"/>
      <c r="U731" s="518"/>
      <c r="V731" s="518"/>
      <c r="W731" s="518"/>
      <c r="X731" s="518"/>
      <c r="Y731" s="518"/>
      <c r="Z731" s="518"/>
      <c r="AA731" s="518"/>
      <c r="AB731" s="518"/>
      <c r="AC731" s="518"/>
      <c r="AD731" s="518"/>
      <c r="AE731" s="518"/>
      <c r="AF731" s="518"/>
      <c r="AG731" s="518"/>
      <c r="AH731" s="518"/>
      <c r="AI731" s="518"/>
      <c r="AJ731" s="518"/>
      <c r="AK731" s="518"/>
      <c r="AL731" s="518"/>
      <c r="AM731" s="518"/>
      <c r="AN731" s="518"/>
      <c r="AO731" s="518"/>
      <c r="AP731" s="518"/>
      <c r="AQ731" s="518"/>
      <c r="AR731" s="518"/>
      <c r="AS731" s="518"/>
      <c r="AT731" s="518"/>
      <c r="AU731" s="518"/>
      <c r="AV731" s="518"/>
      <c r="AW731" s="518"/>
      <c r="AX731" s="518"/>
      <c r="AY731" s="518"/>
      <c r="AZ731" s="518"/>
      <c r="BA731" s="518"/>
      <c r="BB731" s="518"/>
      <c r="BC731" s="518"/>
      <c r="BD731" s="518"/>
      <c r="BE731" s="518"/>
      <c r="BF731" s="518"/>
      <c r="BG731" s="518"/>
      <c r="BH731" s="518"/>
      <c r="BI731" s="518"/>
      <c r="BJ731" s="518"/>
      <c r="BK731" s="518"/>
      <c r="BL731" s="520"/>
      <c r="BM731" s="518" t="str">
        <f>IFERROR(CHOOSE(MO.DataSourceIndex,_xll.BDP(MO.Ticker.Bloomberg&amp;" EQUITY","BEST_CPS","BEST_FPERIOD_OVERRIDE="&amp;INDEX(tb_ConsensusEstimate,3,COLUMN())&amp;INDEX(tb_ConsensusEstimate,2,COLUMN())),_xll.CIQ(MO.Ticker.CapIQ,"IQ_CFPS_EST","IQ_"&amp;INDEX(tb_ConsensusEstimate,2,COLUMN())&amp;"+"&amp;INDEX(tb_ConsensusEstimate,3,COLUMN())),_xll.FDS(MO.Ticker.FactSet,"FE_ESTIMATE(CFPS,MEAN,"&amp;INDEX(tb_ConsensusEstimate,2,COLUMN())&amp;",+"&amp;INDEX(tb_ConsensusEstimate,3,COLUMN())&amp;",NOW"&amp;",,,'CURRENCY="&amp;HP.ReportCurrency&amp;"')"),_xll.TR(MO.Ticker.Thomson,"ZAV(TR.CFPSMean)","Period="&amp;INDEX(tb_ConsensusEstimate,2,COLUMN())&amp;INDEX(tb_ConsensusEstimate,3,COLUMN()))),"N/A")</f>
        <v>N/A</v>
      </c>
      <c r="BN731" s="518" t="str">
        <f>IFERROR(CHOOSE(MO.DataSourceIndex,_xll.BDP(MO.Ticker.Bloomberg&amp;" EQUITY","BEST_CPS","BEST_FPERIOD_OVERRIDE="&amp;INDEX(tb_ConsensusEstimate,3,COLUMN())&amp;INDEX(tb_ConsensusEstimate,2,COLUMN())),_xll.CIQ(MO.Ticker.CapIQ,"IQ_CFPS_EST","IQ_"&amp;INDEX(tb_ConsensusEstimate,2,COLUMN())&amp;"+"&amp;INDEX(tb_ConsensusEstimate,3,COLUMN())),_xll.FDS(MO.Ticker.FactSet,"FE_ESTIMATE(CFPS,MEAN,"&amp;INDEX(tb_ConsensusEstimate,2,COLUMN())&amp;",+"&amp;INDEX(tb_ConsensusEstimate,3,COLUMN())&amp;",NOW"&amp;",,,'CURRENCY="&amp;HP.ReportCurrency&amp;"')"),_xll.TR(MO.Ticker.Thomson,"ZAV(TR.CFPSMean)","Period="&amp;INDEX(tb_ConsensusEstimate,2,COLUMN())&amp;INDEX(tb_ConsensusEstimate,3,COLUMN()))),"N/A")</f>
        <v>N/A</v>
      </c>
      <c r="BO731" s="518" t="str">
        <f>IFERROR(CHOOSE(MO.DataSourceIndex,_xll.BDP(MO.Ticker.Bloomberg&amp;" EQUITY","BEST_CPS","BEST_FPERIOD_OVERRIDE="&amp;INDEX(tb_ConsensusEstimate,3,COLUMN())&amp;INDEX(tb_ConsensusEstimate,2,COLUMN())),_xll.CIQ(MO.Ticker.CapIQ,"IQ_CFPS_EST","IQ_"&amp;INDEX(tb_ConsensusEstimate,2,COLUMN())&amp;"+"&amp;INDEX(tb_ConsensusEstimate,3,COLUMN())),_xll.FDS(MO.Ticker.FactSet,"FE_ESTIMATE(CFPS,MEAN,"&amp;INDEX(tb_ConsensusEstimate,2,COLUMN())&amp;",+"&amp;INDEX(tb_ConsensusEstimate,3,COLUMN())&amp;",NOW"&amp;",,,'CURRENCY="&amp;HP.ReportCurrency&amp;"')"),_xll.TR(MO.Ticker.Thomson,"ZAV(TR.CFPSMean)","Period="&amp;INDEX(tb_ConsensusEstimate,2,COLUMN())&amp;INDEX(tb_ConsensusEstimate,3,COLUMN()))),"N/A")</f>
        <v>N/A</v>
      </c>
      <c r="BP731" s="518" t="str">
        <f>IFERROR(CHOOSE(MO.DataSourceIndex,_xll.BDP(MO.Ticker.Bloomberg&amp;" EQUITY","BEST_CPS","BEST_FPERIOD_OVERRIDE="&amp;INDEX(tb_ConsensusEstimate,3,COLUMN())&amp;INDEX(tb_ConsensusEstimate,2,COLUMN())),_xll.CIQ(MO.Ticker.CapIQ,"IQ_CFPS_EST","IQ_"&amp;INDEX(tb_ConsensusEstimate,2,COLUMN())&amp;"+"&amp;INDEX(tb_ConsensusEstimate,3,COLUMN())),_xll.FDS(MO.Ticker.FactSet,"FE_ESTIMATE(CFPS,MEAN,"&amp;INDEX(tb_ConsensusEstimate,2,COLUMN())&amp;",+"&amp;INDEX(tb_ConsensusEstimate,3,COLUMN())&amp;",NOW"&amp;",,,'CURRENCY="&amp;HP.ReportCurrency&amp;"')"),_xll.TR(MO.Ticker.Thomson,"ZAV(TR.CFPSMean)","Period="&amp;INDEX(tb_ConsensusEstimate,2,COLUMN())&amp;INDEX(tb_ConsensusEstimate,3,COLUMN()))),"N/A")</f>
        <v>N/A</v>
      </c>
      <c r="BQ731" s="518" t="str">
        <f>IFERROR(CHOOSE(MO.DataSourceIndex,_xll.BDP(MO.Ticker.Bloomberg&amp;" EQUITY","BEST_CPS","BEST_FPERIOD_OVERRIDE="&amp;INDEX(tb_ConsensusEstimate,3,COLUMN())&amp;INDEX(tb_ConsensusEstimate,2,COLUMN())),_xll.CIQ(MO.Ticker.CapIQ,"IQ_CFPS_EST","IQ_"&amp;INDEX(tb_ConsensusEstimate,2,COLUMN())&amp;"+"&amp;INDEX(tb_ConsensusEstimate,3,COLUMN())),_xll.FDS(MO.Ticker.FactSet,"FE_ESTIMATE(CFPS,MEAN,"&amp;INDEX(tb_ConsensusEstimate,2,COLUMN())&amp;",+"&amp;INDEX(tb_ConsensusEstimate,3,COLUMN())&amp;",NOW"&amp;",,,'CURRENCY="&amp;HP.ReportCurrency&amp;"')"),_xll.TR(MO.Ticker.Thomson,"ZAV(TR.CFPSMean)","Period="&amp;INDEX(tb_ConsensusEstimate,2,COLUMN())&amp;INDEX(tb_ConsensusEstimate,3,COLUMN()))),"N/A")</f>
        <v>N/A</v>
      </c>
      <c r="BR731" s="518" t="str">
        <f>IFERROR(CHOOSE(MO.DataSourceIndex,_xll.BDP(MO.Ticker.Bloomberg&amp;" EQUITY","BEST_CPS","BEST_FPERIOD_OVERRIDE="&amp;INDEX(tb_ConsensusEstimate,3,COLUMN())&amp;INDEX(tb_ConsensusEstimate,2,COLUMN())),_xll.CIQ(MO.Ticker.CapIQ,"IQ_CFPS_EST","IQ_"&amp;INDEX(tb_ConsensusEstimate,2,COLUMN())&amp;"+"&amp;INDEX(tb_ConsensusEstimate,3,COLUMN())),_xll.FDS(MO.Ticker.FactSet,"FE_ESTIMATE(CFPS,MEAN,"&amp;INDEX(tb_ConsensusEstimate,2,COLUMN())&amp;",+"&amp;INDEX(tb_ConsensusEstimate,3,COLUMN())&amp;",NOW"&amp;",,,'CURRENCY="&amp;HP.ReportCurrency&amp;"')"),_xll.TR(MO.Ticker.Thomson,"ZAV(TR.CFPSMean)","Period="&amp;INDEX(tb_ConsensusEstimate,2,COLUMN())&amp;INDEX(tb_ConsensusEstimate,3,COLUMN()))),"N/A")</f>
        <v>N/A</v>
      </c>
      <c r="BS731" s="518" t="str">
        <f>IFERROR(CHOOSE(MO.DataSourceIndex,_xll.BDP(MO.Ticker.Bloomberg&amp;" EQUITY","BEST_CPS","BEST_FPERIOD_OVERRIDE="&amp;INDEX(tb_ConsensusEstimate,3,COLUMN())&amp;INDEX(tb_ConsensusEstimate,2,COLUMN())),_xll.CIQ(MO.Ticker.CapIQ,"IQ_CFPS_EST","IQ_"&amp;INDEX(tb_ConsensusEstimate,2,COLUMN())&amp;"+"&amp;INDEX(tb_ConsensusEstimate,3,COLUMN())),_xll.FDS(MO.Ticker.FactSet,"FE_ESTIMATE(CFPS,MEAN,"&amp;INDEX(tb_ConsensusEstimate,2,COLUMN())&amp;",+"&amp;INDEX(tb_ConsensusEstimate,3,COLUMN())&amp;",NOW"&amp;",,,'CURRENCY="&amp;HP.ReportCurrency&amp;"')"),_xll.TR(MO.Ticker.Thomson,"ZAV(TR.CFPSMean)","Period="&amp;INDEX(tb_ConsensusEstimate,2,COLUMN())&amp;INDEX(tb_ConsensusEstimate,3,COLUMN()))),"N/A")</f>
        <v>N/A</v>
      </c>
      <c r="BT731" s="518" t="str">
        <f>IFERROR(CHOOSE(MO.DataSourceIndex,_xll.BDP(MO.Ticker.Bloomberg&amp;" EQUITY","BEST_CPS","BEST_FPERIOD_OVERRIDE="&amp;INDEX(tb_ConsensusEstimate,3,COLUMN())&amp;INDEX(tb_ConsensusEstimate,2,COLUMN())),_xll.CIQ(MO.Ticker.CapIQ,"IQ_CFPS_EST","IQ_"&amp;INDEX(tb_ConsensusEstimate,2,COLUMN())&amp;"+"&amp;INDEX(tb_ConsensusEstimate,3,COLUMN())),_xll.FDS(MO.Ticker.FactSet,"FE_ESTIMATE(CFPS,MEAN,"&amp;INDEX(tb_ConsensusEstimate,2,COLUMN())&amp;",+"&amp;INDEX(tb_ConsensusEstimate,3,COLUMN())&amp;",NOW"&amp;",,,'CURRENCY="&amp;HP.ReportCurrency&amp;"')"),_xll.TR(MO.Ticker.Thomson,"ZAV(TR.CFPSMean)","Period="&amp;INDEX(tb_ConsensusEstimate,2,COLUMN())&amp;INDEX(tb_ConsensusEstimate,3,COLUMN()))),"N/A")</f>
        <v>N/A</v>
      </c>
      <c r="BU731" s="518" t="str">
        <f>IFERROR(CHOOSE(MO.DataSourceIndex,_xll.BDP(MO.Ticker.Bloomberg&amp;" EQUITY","BEST_CPS","BEST_FPERIOD_OVERRIDE="&amp;INDEX(tb_ConsensusEstimate,3,COLUMN())&amp;INDEX(tb_ConsensusEstimate,2,COLUMN())),_xll.CIQ(MO.Ticker.CapIQ,"IQ_CFPS_EST","IQ_"&amp;INDEX(tb_ConsensusEstimate,2,COLUMN())&amp;"+"&amp;INDEX(tb_ConsensusEstimate,3,COLUMN())),_xll.FDS(MO.Ticker.FactSet,"FE_ESTIMATE(CFPS,MEAN,"&amp;INDEX(tb_ConsensusEstimate,2,COLUMN())&amp;",+"&amp;INDEX(tb_ConsensusEstimate,3,COLUMN())&amp;",NOW"&amp;",,,'CURRENCY="&amp;HP.ReportCurrency&amp;"')"),_xll.TR(MO.Ticker.Thomson,"ZAV(TR.CFPSMean)","Period="&amp;INDEX(tb_ConsensusEstimate,2,COLUMN())&amp;INDEX(tb_ConsensusEstimate,3,COLUMN()))),"N/A")</f>
        <v>N/A</v>
      </c>
      <c r="BV731" s="191" t="str">
        <f>IFERROR(CHOOSE(MO.DataSourceIndex,_xll.BDP(MO.Ticker.Bloomberg&amp;" EQUITY","BEST_CPS","BEST_FPERIOD_OVERRIDE="&amp;INDEX(tb_ConsensusEstimate,3,COLUMN())&amp;INDEX(tb_ConsensusEstimate,2,COLUMN())),_xll.CIQ(MO.Ticker.CapIQ,"IQ_CFPS_EST","IQ_"&amp;INDEX(tb_ConsensusEstimate,2,COLUMN())&amp;"+"&amp;INDEX(tb_ConsensusEstimate,3,COLUMN())),_xll.FDS(MO.Ticker.FactSet,"FE_ESTIMATE(CFPS,MEAN,"&amp;INDEX(tb_ConsensusEstimate,2,COLUMN())&amp;",+"&amp;INDEX(tb_ConsensusEstimate,3,COLUMN())&amp;",NOW"&amp;",,,'CURRENCY="&amp;HP.ReportCurrency&amp;"')"),_xll.TR(MO.Ticker.Thomson,"ZAV(TR.CFPSMean)","Period="&amp;INDEX(tb_ConsensusEstimate,2,COLUMN())&amp;INDEX(tb_ConsensusEstimate,3,COLUMN()))),"N/A")</f>
        <v>N/A</v>
      </c>
      <c r="BW731" s="519"/>
    </row>
    <row r="732" spans="1:75" s="439" customFormat="1">
      <c r="A732" s="193" t="str">
        <f>A371</f>
        <v>Consensus Estimates - Capex</v>
      </c>
      <c r="B732" s="518"/>
      <c r="C732" s="533"/>
      <c r="D732" s="533"/>
      <c r="E732" s="533"/>
      <c r="F732" s="533"/>
      <c r="G732" s="533"/>
      <c r="H732" s="518"/>
      <c r="I732" s="518"/>
      <c r="J732" s="518"/>
      <c r="K732" s="518"/>
      <c r="L732" s="518"/>
      <c r="M732" s="518"/>
      <c r="N732" s="518"/>
      <c r="O732" s="518"/>
      <c r="P732" s="518"/>
      <c r="Q732" s="518"/>
      <c r="R732" s="518"/>
      <c r="S732" s="518"/>
      <c r="T732" s="518"/>
      <c r="U732" s="518"/>
      <c r="V732" s="518"/>
      <c r="W732" s="518"/>
      <c r="X732" s="518"/>
      <c r="Y732" s="518"/>
      <c r="Z732" s="518"/>
      <c r="AA732" s="518"/>
      <c r="AB732" s="518"/>
      <c r="AC732" s="518"/>
      <c r="AD732" s="518"/>
      <c r="AE732" s="518"/>
      <c r="AF732" s="518"/>
      <c r="AG732" s="518"/>
      <c r="AH732" s="518"/>
      <c r="AI732" s="518"/>
      <c r="AJ732" s="518"/>
      <c r="AK732" s="518"/>
      <c r="AL732" s="518"/>
      <c r="AM732" s="518"/>
      <c r="AN732" s="518"/>
      <c r="AO732" s="518"/>
      <c r="AP732" s="518"/>
      <c r="AQ732" s="518"/>
      <c r="AR732" s="518"/>
      <c r="AS732" s="518"/>
      <c r="AT732" s="518"/>
      <c r="AU732" s="518"/>
      <c r="AV732" s="518"/>
      <c r="AW732" s="518"/>
      <c r="AX732" s="518"/>
      <c r="AY732" s="518"/>
      <c r="AZ732" s="518"/>
      <c r="BA732" s="518"/>
      <c r="BB732" s="518"/>
      <c r="BC732" s="518"/>
      <c r="BD732" s="518"/>
      <c r="BE732" s="518"/>
      <c r="BF732" s="518"/>
      <c r="BG732" s="518"/>
      <c r="BH732" s="518"/>
      <c r="BI732" s="518"/>
      <c r="BJ732" s="518"/>
      <c r="BK732" s="518"/>
      <c r="BL732" s="520"/>
      <c r="BM732" s="518" t="str">
        <f>IFERROR(CHOOSE(MO.DataSourceIndex,_xll.BDP(MO.Ticker.Bloomberg&amp;" EQUITY","BEST_CAPEX","BEST_FPERIOD_OVERRIDE="&amp;INDEX(tb_ConsensusEstimate,3,COLUMN())&amp;INDEX(tb_ConsensusEstimate,2,COLUMN())),_xll.CIQ(MO.Ticker.CapIQ,"IQ_CAPEX_EST","IQ_"&amp;INDEX(tb_ConsensusEstimate,2,COLUMN())&amp;"+"&amp;INDEX(tb_ConsensusEstimate,3,COLUMN())),-_xll.FDS(MO.Ticker.FactSet,"FE_ESTIMATE(CAPEX,MEAN,"&amp;INDEX(tb_ConsensusEstimate,2,COLUMN())&amp;",+"&amp;INDEX(tb_ConsensusEstimate,3,COLUMN())&amp;",NOW"&amp;",,,'CURRENCY="&amp;HP.ReportCurrency&amp;"')"),-_xll.TR(MO.Ticker.Thomson,"ZAV(TR.CAPEXMean(Scale=6))","Period="&amp;INDEX(tb_ConsensusEstimate,2,COLUMN())&amp;INDEX(tb_ConsensusEstimate,3,COLUMN()))),"N/A")</f>
        <v>N/A</v>
      </c>
      <c r="BN732" s="518" t="str">
        <f>IFERROR(CHOOSE(MO.DataSourceIndex,_xll.BDP(MO.Ticker.Bloomberg&amp;" EQUITY","BEST_CAPEX","BEST_FPERIOD_OVERRIDE="&amp;INDEX(tb_ConsensusEstimate,3,COLUMN())&amp;INDEX(tb_ConsensusEstimate,2,COLUMN())),_xll.CIQ(MO.Ticker.CapIQ,"IQ_CAPEX_EST","IQ_"&amp;INDEX(tb_ConsensusEstimate,2,COLUMN())&amp;"+"&amp;INDEX(tb_ConsensusEstimate,3,COLUMN())),-_xll.FDS(MO.Ticker.FactSet,"FE_ESTIMATE(CAPEX,MEAN,"&amp;INDEX(tb_ConsensusEstimate,2,COLUMN())&amp;",+"&amp;INDEX(tb_ConsensusEstimate,3,COLUMN())&amp;",NOW"&amp;",,,'CURRENCY="&amp;HP.ReportCurrency&amp;"')"),-_xll.TR(MO.Ticker.Thomson,"ZAV(TR.CAPEXMean(Scale=6))","Period="&amp;INDEX(tb_ConsensusEstimate,2,COLUMN())&amp;INDEX(tb_ConsensusEstimate,3,COLUMN()))),"N/A")</f>
        <v>N/A</v>
      </c>
      <c r="BO732" s="518" t="str">
        <f>IFERROR(CHOOSE(MO.DataSourceIndex,_xll.BDP(MO.Ticker.Bloomberg&amp;" EQUITY","BEST_CAPEX","BEST_FPERIOD_OVERRIDE="&amp;INDEX(tb_ConsensusEstimate,3,COLUMN())&amp;INDEX(tb_ConsensusEstimate,2,COLUMN())),_xll.CIQ(MO.Ticker.CapIQ,"IQ_CAPEX_EST","IQ_"&amp;INDEX(tb_ConsensusEstimate,2,COLUMN())&amp;"+"&amp;INDEX(tb_ConsensusEstimate,3,COLUMN())),-_xll.FDS(MO.Ticker.FactSet,"FE_ESTIMATE(CAPEX,MEAN,"&amp;INDEX(tb_ConsensusEstimate,2,COLUMN())&amp;",+"&amp;INDEX(tb_ConsensusEstimate,3,COLUMN())&amp;",NOW"&amp;",,,'CURRENCY="&amp;HP.ReportCurrency&amp;"')"),-_xll.TR(MO.Ticker.Thomson,"ZAV(TR.CAPEXMean(Scale=6))","Period="&amp;INDEX(tb_ConsensusEstimate,2,COLUMN())&amp;INDEX(tb_ConsensusEstimate,3,COLUMN()))),"N/A")</f>
        <v>N/A</v>
      </c>
      <c r="BP732" s="518" t="str">
        <f>IFERROR(CHOOSE(MO.DataSourceIndex,_xll.BDP(MO.Ticker.Bloomberg&amp;" EQUITY","BEST_CAPEX","BEST_FPERIOD_OVERRIDE="&amp;INDEX(tb_ConsensusEstimate,3,COLUMN())&amp;INDEX(tb_ConsensusEstimate,2,COLUMN())),_xll.CIQ(MO.Ticker.CapIQ,"IQ_CAPEX_EST","IQ_"&amp;INDEX(tb_ConsensusEstimate,2,COLUMN())&amp;"+"&amp;INDEX(tb_ConsensusEstimate,3,COLUMN())),-_xll.FDS(MO.Ticker.FactSet,"FE_ESTIMATE(CAPEX,MEAN,"&amp;INDEX(tb_ConsensusEstimate,2,COLUMN())&amp;",+"&amp;INDEX(tb_ConsensusEstimate,3,COLUMN())&amp;",NOW"&amp;",,,'CURRENCY="&amp;HP.ReportCurrency&amp;"')"),-_xll.TR(MO.Ticker.Thomson,"ZAV(TR.CAPEXMean(Scale=6))","Period="&amp;INDEX(tb_ConsensusEstimate,2,COLUMN())&amp;INDEX(tb_ConsensusEstimate,3,COLUMN()))),"N/A")</f>
        <v>N/A</v>
      </c>
      <c r="BQ732" s="518" t="str">
        <f>IFERROR(CHOOSE(MO.DataSourceIndex,_xll.BDP(MO.Ticker.Bloomberg&amp;" EQUITY","BEST_CAPEX","BEST_FPERIOD_OVERRIDE="&amp;INDEX(tb_ConsensusEstimate,3,COLUMN())&amp;INDEX(tb_ConsensusEstimate,2,COLUMN())),_xll.CIQ(MO.Ticker.CapIQ,"IQ_CAPEX_EST","IQ_"&amp;INDEX(tb_ConsensusEstimate,2,COLUMN())&amp;"+"&amp;INDEX(tb_ConsensusEstimate,3,COLUMN())),-_xll.FDS(MO.Ticker.FactSet,"FE_ESTIMATE(CAPEX,MEAN,"&amp;INDEX(tb_ConsensusEstimate,2,COLUMN())&amp;",+"&amp;INDEX(tb_ConsensusEstimate,3,COLUMN())&amp;",NOW"&amp;",,,'CURRENCY="&amp;HP.ReportCurrency&amp;"')"),-_xll.TR(MO.Ticker.Thomson,"ZAV(TR.CAPEXMean(Scale=6))","Period="&amp;INDEX(tb_ConsensusEstimate,2,COLUMN())&amp;INDEX(tb_ConsensusEstimate,3,COLUMN()))),"N/A")</f>
        <v>N/A</v>
      </c>
      <c r="BR732" s="518" t="str">
        <f>IFERROR(CHOOSE(MO.DataSourceIndex,_xll.BDP(MO.Ticker.Bloomberg&amp;" EQUITY","BEST_CAPEX","BEST_FPERIOD_OVERRIDE="&amp;INDEX(tb_ConsensusEstimate,3,COLUMN())&amp;INDEX(tb_ConsensusEstimate,2,COLUMN())),_xll.CIQ(MO.Ticker.CapIQ,"IQ_CAPEX_EST","IQ_"&amp;INDEX(tb_ConsensusEstimate,2,COLUMN())&amp;"+"&amp;INDEX(tb_ConsensusEstimate,3,COLUMN())),-_xll.FDS(MO.Ticker.FactSet,"FE_ESTIMATE(CAPEX,MEAN,"&amp;INDEX(tb_ConsensusEstimate,2,COLUMN())&amp;",+"&amp;INDEX(tb_ConsensusEstimate,3,COLUMN())&amp;",NOW"&amp;",,,'CURRENCY="&amp;HP.ReportCurrency&amp;"')"),-_xll.TR(MO.Ticker.Thomson,"ZAV(TR.CAPEXMean(Scale=6))","Period="&amp;INDEX(tb_ConsensusEstimate,2,COLUMN())&amp;INDEX(tb_ConsensusEstimate,3,COLUMN()))),"N/A")</f>
        <v>N/A</v>
      </c>
      <c r="BS732" s="518" t="str">
        <f>IFERROR(CHOOSE(MO.DataSourceIndex,_xll.BDP(MO.Ticker.Bloomberg&amp;" EQUITY","BEST_CAPEX","BEST_FPERIOD_OVERRIDE="&amp;INDEX(tb_ConsensusEstimate,3,COLUMN())&amp;INDEX(tb_ConsensusEstimate,2,COLUMN())),_xll.CIQ(MO.Ticker.CapIQ,"IQ_CAPEX_EST","IQ_"&amp;INDEX(tb_ConsensusEstimate,2,COLUMN())&amp;"+"&amp;INDEX(tb_ConsensusEstimate,3,COLUMN())),-_xll.FDS(MO.Ticker.FactSet,"FE_ESTIMATE(CAPEX,MEAN,"&amp;INDEX(tb_ConsensusEstimate,2,COLUMN())&amp;",+"&amp;INDEX(tb_ConsensusEstimate,3,COLUMN())&amp;",NOW"&amp;",,,'CURRENCY="&amp;HP.ReportCurrency&amp;"')"),-_xll.TR(MO.Ticker.Thomson,"ZAV(TR.CAPEXMean(Scale=6))","Period="&amp;INDEX(tb_ConsensusEstimate,2,COLUMN())&amp;INDEX(tb_ConsensusEstimate,3,COLUMN()))),"N/A")</f>
        <v>N/A</v>
      </c>
      <c r="BT732" s="518" t="str">
        <f>IFERROR(CHOOSE(MO.DataSourceIndex,_xll.BDP(MO.Ticker.Bloomberg&amp;" EQUITY","BEST_CAPEX","BEST_FPERIOD_OVERRIDE="&amp;INDEX(tb_ConsensusEstimate,3,COLUMN())&amp;INDEX(tb_ConsensusEstimate,2,COLUMN())),_xll.CIQ(MO.Ticker.CapIQ,"IQ_CAPEX_EST","IQ_"&amp;INDEX(tb_ConsensusEstimate,2,COLUMN())&amp;"+"&amp;INDEX(tb_ConsensusEstimate,3,COLUMN())),-_xll.FDS(MO.Ticker.FactSet,"FE_ESTIMATE(CAPEX,MEAN,"&amp;INDEX(tb_ConsensusEstimate,2,COLUMN())&amp;",+"&amp;INDEX(tb_ConsensusEstimate,3,COLUMN())&amp;",NOW"&amp;",,,'CURRENCY="&amp;HP.ReportCurrency&amp;"')"),-_xll.TR(MO.Ticker.Thomson,"ZAV(TR.CAPEXMean(Scale=6))","Period="&amp;INDEX(tb_ConsensusEstimate,2,COLUMN())&amp;INDEX(tb_ConsensusEstimate,3,COLUMN()))),"N/A")</f>
        <v>N/A</v>
      </c>
      <c r="BU732" s="518" t="str">
        <f>IFERROR(CHOOSE(MO.DataSourceIndex,_xll.BDP(MO.Ticker.Bloomberg&amp;" EQUITY","BEST_CAPEX","BEST_FPERIOD_OVERRIDE="&amp;INDEX(tb_ConsensusEstimate,3,COLUMN())&amp;INDEX(tb_ConsensusEstimate,2,COLUMN())),_xll.CIQ(MO.Ticker.CapIQ,"IQ_CAPEX_EST","IQ_"&amp;INDEX(tb_ConsensusEstimate,2,COLUMN())&amp;"+"&amp;INDEX(tb_ConsensusEstimate,3,COLUMN())),-_xll.FDS(MO.Ticker.FactSet,"FE_ESTIMATE(CAPEX,MEAN,"&amp;INDEX(tb_ConsensusEstimate,2,COLUMN())&amp;",+"&amp;INDEX(tb_ConsensusEstimate,3,COLUMN())&amp;",NOW"&amp;",,,'CURRENCY="&amp;HP.ReportCurrency&amp;"')"),-_xll.TR(MO.Ticker.Thomson,"ZAV(TR.CAPEXMean(Scale=6))","Period="&amp;INDEX(tb_ConsensusEstimate,2,COLUMN())&amp;INDEX(tb_ConsensusEstimate,3,COLUMN()))),"N/A")</f>
        <v>N/A</v>
      </c>
      <c r="BV732" s="191" t="str">
        <f>IFERROR(CHOOSE(MO.DataSourceIndex,_xll.BDP(MO.Ticker.Bloomberg&amp;" EQUITY","BEST_CAPEX","BEST_FPERIOD_OVERRIDE="&amp;INDEX(tb_ConsensusEstimate,3,COLUMN())&amp;INDEX(tb_ConsensusEstimate,2,COLUMN())),_xll.CIQ(MO.Ticker.CapIQ,"IQ_CAPEX_EST","IQ_"&amp;INDEX(tb_ConsensusEstimate,2,COLUMN())&amp;"+"&amp;INDEX(tb_ConsensusEstimate,3,COLUMN())),-_xll.FDS(MO.Ticker.FactSet,"FE_ESTIMATE(CAPEX,MEAN,"&amp;INDEX(tb_ConsensusEstimate,2,COLUMN())&amp;",+"&amp;INDEX(tb_ConsensusEstimate,3,COLUMN())&amp;",NOW"&amp;",,,'CURRENCY="&amp;HP.ReportCurrency&amp;"')"),-_xll.TR(MO.Ticker.Thomson,"ZAV(TR.CAPEXMean(Scale=6))","Period="&amp;INDEX(tb_ConsensusEstimate,2,COLUMN())&amp;INDEX(tb_ConsensusEstimate,3,COLUMN()))),"N/A")</f>
        <v>N/A</v>
      </c>
      <c r="BW732" s="519"/>
    </row>
    <row r="733" spans="1:75" s="439" customFormat="1">
      <c r="A733" s="194"/>
      <c r="B733" s="521"/>
      <c r="C733" s="189"/>
      <c r="D733" s="189"/>
      <c r="E733" s="189"/>
      <c r="F733" s="189"/>
      <c r="G733" s="189"/>
      <c r="H733" s="521"/>
      <c r="I733" s="521"/>
      <c r="J733" s="521"/>
      <c r="K733" s="521"/>
      <c r="L733" s="521"/>
      <c r="M733" s="521"/>
      <c r="N733" s="521"/>
      <c r="O733" s="521"/>
      <c r="P733" s="521"/>
      <c r="Q733" s="521"/>
      <c r="R733" s="521"/>
      <c r="S733" s="521"/>
      <c r="T733" s="521"/>
      <c r="U733" s="521"/>
      <c r="V733" s="521"/>
      <c r="W733" s="521"/>
      <c r="X733" s="521"/>
      <c r="Y733" s="521"/>
      <c r="Z733" s="521"/>
      <c r="AA733" s="521"/>
      <c r="AB733" s="521"/>
      <c r="AC733" s="521"/>
      <c r="AD733" s="521"/>
      <c r="AE733" s="521"/>
      <c r="AF733" s="521"/>
      <c r="AG733" s="521"/>
      <c r="AH733" s="521"/>
      <c r="AI733" s="521"/>
      <c r="AJ733" s="521"/>
      <c r="AK733" s="521"/>
      <c r="AL733" s="521"/>
      <c r="AM733" s="521"/>
      <c r="AN733" s="521"/>
      <c r="AO733" s="521"/>
      <c r="AP733" s="521"/>
      <c r="AQ733" s="521"/>
      <c r="AR733" s="521"/>
      <c r="AS733" s="521"/>
      <c r="AT733" s="521"/>
      <c r="AU733" s="521"/>
      <c r="AV733" s="521"/>
      <c r="AW733" s="521"/>
      <c r="AX733" s="521"/>
      <c r="AY733" s="521"/>
      <c r="AZ733" s="521"/>
      <c r="BA733" s="521"/>
      <c r="BB733" s="521"/>
      <c r="BC733" s="521"/>
      <c r="BD733" s="521"/>
      <c r="BE733" s="521"/>
      <c r="BF733" s="521"/>
      <c r="BG733" s="521"/>
      <c r="BH733" s="521"/>
      <c r="BI733" s="521"/>
      <c r="BJ733" s="521"/>
      <c r="BK733" s="521"/>
      <c r="BL733" s="522"/>
      <c r="BM733" s="521"/>
      <c r="BN733" s="521"/>
      <c r="BO733" s="521"/>
      <c r="BP733" s="521"/>
      <c r="BQ733" s="521"/>
      <c r="BR733" s="521"/>
      <c r="BS733" s="521"/>
      <c r="BT733" s="521"/>
      <c r="BU733" s="521"/>
      <c r="BV733" s="192"/>
      <c r="BW733" s="519"/>
    </row>
    <row r="734" spans="1:75" s="439" customFormat="1">
      <c r="A734" s="42"/>
      <c r="B734" s="518"/>
      <c r="C734" s="533"/>
      <c r="D734" s="533"/>
      <c r="E734" s="533"/>
      <c r="F734" s="533"/>
      <c r="G734" s="533"/>
      <c r="H734" s="518"/>
      <c r="I734" s="518"/>
      <c r="J734" s="518"/>
      <c r="K734" s="518"/>
      <c r="L734" s="518"/>
      <c r="M734" s="518"/>
      <c r="N734" s="518"/>
      <c r="O734" s="518"/>
      <c r="P734" s="518"/>
      <c r="Q734" s="518"/>
      <c r="R734" s="518"/>
      <c r="S734" s="518"/>
      <c r="T734" s="518"/>
      <c r="U734" s="518"/>
      <c r="V734" s="518"/>
      <c r="W734" s="518"/>
      <c r="X734" s="518"/>
      <c r="Y734" s="518"/>
      <c r="Z734" s="518"/>
      <c r="AA734" s="518"/>
      <c r="AB734" s="518"/>
      <c r="AC734" s="518"/>
      <c r="AD734" s="518"/>
      <c r="AE734" s="518"/>
      <c r="AF734" s="518"/>
      <c r="AG734" s="518"/>
      <c r="AH734" s="518"/>
      <c r="AI734" s="518"/>
      <c r="AJ734" s="518"/>
      <c r="AK734" s="518"/>
      <c r="AL734" s="518"/>
      <c r="AM734" s="518"/>
      <c r="AN734" s="518"/>
      <c r="AO734" s="518"/>
      <c r="AP734" s="518"/>
      <c r="AQ734" s="518"/>
      <c r="AR734" s="518"/>
      <c r="AS734" s="518"/>
      <c r="AT734" s="518"/>
      <c r="AU734" s="518"/>
      <c r="AV734" s="518"/>
      <c r="AW734" s="518"/>
      <c r="AX734" s="518"/>
      <c r="AY734" s="518"/>
      <c r="AZ734" s="518"/>
      <c r="BA734" s="518"/>
      <c r="BB734" s="518"/>
      <c r="BC734" s="518"/>
      <c r="BD734" s="518"/>
      <c r="BE734" s="518"/>
      <c r="BF734" s="518"/>
      <c r="BG734" s="518"/>
      <c r="BH734" s="518"/>
      <c r="BI734" s="518"/>
      <c r="BJ734" s="518"/>
      <c r="BK734" s="518"/>
      <c r="BL734" s="520"/>
      <c r="BM734" s="518"/>
      <c r="BN734" s="518"/>
      <c r="BO734" s="518"/>
      <c r="BP734" s="518"/>
      <c r="BQ734" s="518"/>
      <c r="BR734" s="518"/>
      <c r="BS734" s="518"/>
      <c r="BT734" s="518"/>
      <c r="BU734" s="518"/>
      <c r="BV734" s="518"/>
      <c r="BW734" s="519"/>
    </row>
    <row r="735" spans="1:75" s="439" customFormat="1">
      <c r="A735" s="155" t="s">
        <v>605</v>
      </c>
      <c r="B735" s="125"/>
      <c r="C735" s="153"/>
      <c r="D735" s="153"/>
      <c r="E735" s="153"/>
      <c r="F735" s="153"/>
      <c r="G735" s="153"/>
      <c r="H735" s="125"/>
      <c r="I735" s="125"/>
      <c r="J735" s="125"/>
      <c r="K735" s="125"/>
      <c r="L735" s="125"/>
      <c r="M735" s="125"/>
      <c r="N735" s="125"/>
      <c r="O735" s="125"/>
      <c r="P735" s="125"/>
      <c r="Q735" s="125"/>
      <c r="R735" s="125"/>
      <c r="S735" s="125"/>
      <c r="T735" s="125"/>
      <c r="U735" s="125"/>
      <c r="V735" s="125"/>
      <c r="W735" s="125"/>
      <c r="X735" s="125"/>
      <c r="Y735" s="125"/>
      <c r="Z735" s="125"/>
      <c r="AA735" s="125"/>
      <c r="AB735" s="125"/>
      <c r="AC735" s="125"/>
      <c r="AD735" s="125"/>
      <c r="AE735" s="125"/>
      <c r="AF735" s="125"/>
      <c r="AG735" s="125"/>
      <c r="AH735" s="125"/>
      <c r="AI735" s="125"/>
      <c r="AJ735" s="125"/>
      <c r="AK735" s="125"/>
      <c r="AL735" s="125"/>
      <c r="AM735" s="125"/>
      <c r="AN735" s="125"/>
      <c r="AO735" s="125"/>
      <c r="AP735" s="125"/>
      <c r="AQ735" s="125"/>
      <c r="AR735" s="125"/>
      <c r="AS735" s="125"/>
      <c r="AT735" s="125"/>
      <c r="AU735" s="125"/>
      <c r="AV735" s="125"/>
      <c r="AW735" s="125"/>
      <c r="AX735" s="125"/>
      <c r="AY735" s="125"/>
      <c r="AZ735" s="125"/>
      <c r="BA735" s="125"/>
      <c r="BB735" s="125"/>
      <c r="BC735" s="125"/>
      <c r="BD735" s="125"/>
      <c r="BE735" s="125"/>
      <c r="BF735" s="125"/>
      <c r="BG735" s="125"/>
      <c r="BH735" s="125"/>
      <c r="BI735" s="125"/>
      <c r="BJ735" s="125"/>
      <c r="BK735" s="125"/>
      <c r="BL735" s="168"/>
      <c r="BM735" s="125"/>
      <c r="BN735" s="125"/>
      <c r="BO735" s="125"/>
      <c r="BP735" s="125"/>
      <c r="BQ735" s="125"/>
      <c r="BR735" s="125"/>
      <c r="BS735" s="125"/>
      <c r="BT735" s="125"/>
      <c r="BU735" s="125"/>
      <c r="BV735" s="154"/>
      <c r="BW735" s="519"/>
    </row>
    <row r="736" spans="1:75" s="439" customFormat="1">
      <c r="A736" s="156" t="s">
        <v>606</v>
      </c>
      <c r="B736" s="518"/>
      <c r="C736" s="548">
        <f t="shared" ref="C736:AH736" si="1425">INDEX(MO_Common_QEndDate,0,COLUMN())-INDEX(MO_Common_FPDays,0,COLUMN())+1</f>
        <v>39814</v>
      </c>
      <c r="D736" s="548">
        <f t="shared" si="1425"/>
        <v>40179</v>
      </c>
      <c r="E736" s="548">
        <f t="shared" si="1425"/>
        <v>40544</v>
      </c>
      <c r="F736" s="548">
        <f t="shared" si="1425"/>
        <v>40909</v>
      </c>
      <c r="G736" s="548">
        <f t="shared" si="1425"/>
        <v>41275</v>
      </c>
      <c r="H736" s="157">
        <f t="shared" si="1425"/>
        <v>41365</v>
      </c>
      <c r="I736" s="157">
        <f t="shared" si="1425"/>
        <v>41456</v>
      </c>
      <c r="J736" s="157">
        <f t="shared" si="1425"/>
        <v>41548</v>
      </c>
      <c r="K736" s="157">
        <f t="shared" si="1425"/>
        <v>41275</v>
      </c>
      <c r="L736" s="157">
        <f t="shared" si="1425"/>
        <v>41640</v>
      </c>
      <c r="M736" s="157">
        <f t="shared" si="1425"/>
        <v>41730</v>
      </c>
      <c r="N736" s="157">
        <f t="shared" si="1425"/>
        <v>41821</v>
      </c>
      <c r="O736" s="157">
        <f t="shared" si="1425"/>
        <v>41913</v>
      </c>
      <c r="P736" s="157">
        <f t="shared" si="1425"/>
        <v>41640</v>
      </c>
      <c r="Q736" s="157">
        <f t="shared" si="1425"/>
        <v>42005</v>
      </c>
      <c r="R736" s="157">
        <f t="shared" si="1425"/>
        <v>42095</v>
      </c>
      <c r="S736" s="157">
        <f t="shared" si="1425"/>
        <v>42186</v>
      </c>
      <c r="T736" s="157">
        <f t="shared" si="1425"/>
        <v>42278</v>
      </c>
      <c r="U736" s="157">
        <f t="shared" si="1425"/>
        <v>42005</v>
      </c>
      <c r="V736" s="157">
        <f t="shared" si="1425"/>
        <v>42370</v>
      </c>
      <c r="W736" s="157">
        <f t="shared" si="1425"/>
        <v>42461</v>
      </c>
      <c r="X736" s="157">
        <f t="shared" si="1425"/>
        <v>42552</v>
      </c>
      <c r="Y736" s="157">
        <f t="shared" si="1425"/>
        <v>42644</v>
      </c>
      <c r="Z736" s="157">
        <f t="shared" si="1425"/>
        <v>42370</v>
      </c>
      <c r="AA736" s="157">
        <f t="shared" si="1425"/>
        <v>42736</v>
      </c>
      <c r="AB736" s="157">
        <f t="shared" si="1425"/>
        <v>42826</v>
      </c>
      <c r="AC736" s="157">
        <f t="shared" si="1425"/>
        <v>42917</v>
      </c>
      <c r="AD736" s="157">
        <f t="shared" si="1425"/>
        <v>43009</v>
      </c>
      <c r="AE736" s="157">
        <f t="shared" si="1425"/>
        <v>42736</v>
      </c>
      <c r="AF736" s="157">
        <f t="shared" si="1425"/>
        <v>43101</v>
      </c>
      <c r="AG736" s="157">
        <f t="shared" si="1425"/>
        <v>43191</v>
      </c>
      <c r="AH736" s="157">
        <f t="shared" si="1425"/>
        <v>43282</v>
      </c>
      <c r="AI736" s="157">
        <f t="shared" ref="AI736:AQ736" si="1426">INDEX(MO_Common_QEndDate,0,COLUMN())-INDEX(MO_Common_FPDays,0,COLUMN())+1</f>
        <v>43374</v>
      </c>
      <c r="AJ736" s="157">
        <f t="shared" si="1426"/>
        <v>43101</v>
      </c>
      <c r="AK736" s="157">
        <f t="shared" si="1426"/>
        <v>43466</v>
      </c>
      <c r="AL736" s="157">
        <f t="shared" si="1426"/>
        <v>43556</v>
      </c>
      <c r="AM736" s="157">
        <f t="shared" si="1426"/>
        <v>43647</v>
      </c>
      <c r="AN736" s="157">
        <f t="shared" si="1426"/>
        <v>43739</v>
      </c>
      <c r="AO736" s="157">
        <f t="shared" si="1426"/>
        <v>43466</v>
      </c>
      <c r="AP736" s="157">
        <f t="shared" si="1426"/>
        <v>43831</v>
      </c>
      <c r="AQ736" s="157">
        <f t="shared" si="1426"/>
        <v>43922</v>
      </c>
      <c r="AR736" s="157">
        <f t="shared" ref="AR736:AW736" si="1427">INDEX(MO_Common_QEndDate,0,COLUMN())-INDEX(MO_Common_FPDays,0,COLUMN())+1</f>
        <v>44013</v>
      </c>
      <c r="AS736" s="157">
        <f t="shared" si="1427"/>
        <v>44105</v>
      </c>
      <c r="AT736" s="157">
        <f t="shared" si="1427"/>
        <v>43831</v>
      </c>
      <c r="AU736" s="157">
        <f t="shared" si="1427"/>
        <v>44197</v>
      </c>
      <c r="AV736" s="157">
        <f t="shared" si="1427"/>
        <v>44287</v>
      </c>
      <c r="AW736" s="157">
        <f t="shared" si="1427"/>
        <v>44378</v>
      </c>
      <c r="AX736" s="157">
        <f t="shared" ref="AX736:BA736" si="1428">INDEX(MO_Common_QEndDate,0,COLUMN())-INDEX(MO_Common_FPDays,0,COLUMN())+1</f>
        <v>44470</v>
      </c>
      <c r="AY736" s="157">
        <f t="shared" si="1428"/>
        <v>44197</v>
      </c>
      <c r="AZ736" s="157">
        <f t="shared" si="1428"/>
        <v>44562</v>
      </c>
      <c r="BA736" s="157">
        <f t="shared" si="1428"/>
        <v>44652</v>
      </c>
      <c r="BB736" s="157">
        <f t="shared" ref="BB736:BN736" si="1429">INDEX(MO_Common_QEndDate,0,COLUMN())-INDEX(MO_Common_FPDays,0,COLUMN())+1</f>
        <v>44743</v>
      </c>
      <c r="BC736" s="157">
        <f t="shared" si="1429"/>
        <v>44835</v>
      </c>
      <c r="BD736" s="157">
        <f t="shared" si="1429"/>
        <v>44562</v>
      </c>
      <c r="BE736" s="157">
        <f t="shared" ref="BE736:BM736" si="1430">INDEX(MO_Common_QEndDate,0,COLUMN())-INDEX(MO_Common_FPDays,0,COLUMN())+1</f>
        <v>44927</v>
      </c>
      <c r="BF736" s="157">
        <f t="shared" si="1430"/>
        <v>45017</v>
      </c>
      <c r="BG736" s="157">
        <f t="shared" si="1430"/>
        <v>45108</v>
      </c>
      <c r="BH736" s="157">
        <f t="shared" si="1430"/>
        <v>45200</v>
      </c>
      <c r="BI736" s="157">
        <f t="shared" si="1430"/>
        <v>44927</v>
      </c>
      <c r="BJ736" s="157">
        <f>INDEX(MO_Common_QEndDate,0,COLUMN())-INDEX(MO_Common_FPDays,0,COLUMN())+1</f>
        <v>45292</v>
      </c>
      <c r="BK736" s="157">
        <f>INDEX(MO_Common_QEndDate,0,COLUMN())-INDEX(MO_Common_FPDays,0,COLUMN())+1</f>
        <v>45383</v>
      </c>
      <c r="BL736" s="516">
        <f>INDEX(MO_Common_QEndDate,0,COLUMN())-INDEX(MO_Common_FPDays,0,COLUMN())+1</f>
        <v>45474</v>
      </c>
      <c r="BM736" s="157">
        <f t="shared" si="1430"/>
        <v>45566</v>
      </c>
      <c r="BN736" s="157">
        <f t="shared" si="1429"/>
        <v>45292</v>
      </c>
      <c r="BO736" s="157">
        <f t="shared" ref="BO736:BV736" si="1431">INDEX(MO_Common_QEndDate,0,COLUMN())-INDEX(MO_Common_FPDays,0,COLUMN())+1</f>
        <v>45658</v>
      </c>
      <c r="BP736" s="157">
        <f t="shared" si="1431"/>
        <v>45748</v>
      </c>
      <c r="BQ736" s="157">
        <f t="shared" si="1431"/>
        <v>45839</v>
      </c>
      <c r="BR736" s="157">
        <f t="shared" si="1431"/>
        <v>45931</v>
      </c>
      <c r="BS736" s="157">
        <f t="shared" si="1431"/>
        <v>45658</v>
      </c>
      <c r="BT736" s="157">
        <f t="shared" si="1431"/>
        <v>46023</v>
      </c>
      <c r="BU736" s="157">
        <f t="shared" si="1431"/>
        <v>46388</v>
      </c>
      <c r="BV736" s="299">
        <f t="shared" si="1431"/>
        <v>46753</v>
      </c>
      <c r="BW736" s="519"/>
    </row>
    <row r="737" spans="1:75" s="439" customFormat="1">
      <c r="A737" s="156" t="s">
        <v>607</v>
      </c>
      <c r="B737" s="518"/>
      <c r="C737" s="548" t="b">
        <f>TRUE</f>
        <v>1</v>
      </c>
      <c r="D737" s="548" t="b">
        <f>TRUE</f>
        <v>1</v>
      </c>
      <c r="E737" s="548" t="b">
        <f>TRUE</f>
        <v>1</v>
      </c>
      <c r="F737" s="548" t="b">
        <f>TRUE</f>
        <v>1</v>
      </c>
      <c r="G737" s="548" t="b">
        <f>TRUE</f>
        <v>1</v>
      </c>
      <c r="H737" s="157" t="b">
        <f>TRUE</f>
        <v>1</v>
      </c>
      <c r="I737" s="157" t="b">
        <f>TRUE</f>
        <v>1</v>
      </c>
      <c r="J737" s="157" t="b">
        <f>TRUE</f>
        <v>1</v>
      </c>
      <c r="K737" s="157" t="b">
        <f>TRUE</f>
        <v>1</v>
      </c>
      <c r="L737" s="157" t="b">
        <f>TRUE</f>
        <v>1</v>
      </c>
      <c r="M737" s="157" t="b">
        <f>TRUE</f>
        <v>1</v>
      </c>
      <c r="N737" s="157" t="b">
        <f>TRUE</f>
        <v>1</v>
      </c>
      <c r="O737" s="157" t="b">
        <f>TRUE</f>
        <v>1</v>
      </c>
      <c r="P737" s="157" t="b">
        <f>TRUE</f>
        <v>1</v>
      </c>
      <c r="Q737" s="157" t="b">
        <f>TRUE</f>
        <v>1</v>
      </c>
      <c r="R737" s="157" t="b">
        <f>TRUE</f>
        <v>1</v>
      </c>
      <c r="S737" s="157" t="b">
        <f>TRUE</f>
        <v>1</v>
      </c>
      <c r="T737" s="157" t="b">
        <f>TRUE</f>
        <v>1</v>
      </c>
      <c r="U737" s="157" t="b">
        <f>TRUE</f>
        <v>1</v>
      </c>
      <c r="V737" s="157" t="b">
        <f>TRUE</f>
        <v>1</v>
      </c>
      <c r="W737" s="157" t="b">
        <f>TRUE</f>
        <v>1</v>
      </c>
      <c r="X737" s="157" t="b">
        <f>TRUE</f>
        <v>1</v>
      </c>
      <c r="Y737" s="157" t="b">
        <f>TRUE</f>
        <v>1</v>
      </c>
      <c r="Z737" s="157" t="b">
        <f>TRUE</f>
        <v>1</v>
      </c>
      <c r="AA737" s="157" t="b">
        <f>TRUE</f>
        <v>1</v>
      </c>
      <c r="AB737" s="157" t="b">
        <f>TRUE</f>
        <v>1</v>
      </c>
      <c r="AC737" s="157" t="b">
        <f>TRUE</f>
        <v>1</v>
      </c>
      <c r="AD737" s="157" t="b">
        <f>TRUE</f>
        <v>1</v>
      </c>
      <c r="AE737" s="157" t="b">
        <f>TRUE</f>
        <v>1</v>
      </c>
      <c r="AF737" s="157" t="b">
        <f>TRUE</f>
        <v>1</v>
      </c>
      <c r="AG737" s="157" t="b">
        <f>TRUE</f>
        <v>1</v>
      </c>
      <c r="AH737" s="157" t="b">
        <f>TRUE</f>
        <v>1</v>
      </c>
      <c r="AI737" s="157" t="b">
        <f>TRUE</f>
        <v>1</v>
      </c>
      <c r="AJ737" s="157" t="b">
        <f>TRUE</f>
        <v>1</v>
      </c>
      <c r="AK737" s="157" t="b">
        <f>TRUE</f>
        <v>1</v>
      </c>
      <c r="AL737" s="157" t="b">
        <f>TRUE</f>
        <v>1</v>
      </c>
      <c r="AM737" s="157" t="b">
        <f>TRUE</f>
        <v>1</v>
      </c>
      <c r="AN737" s="157" t="b">
        <f>TRUE</f>
        <v>1</v>
      </c>
      <c r="AO737" s="157" t="b">
        <f>TRUE</f>
        <v>1</v>
      </c>
      <c r="AP737" s="157" t="b">
        <f>TRUE</f>
        <v>1</v>
      </c>
      <c r="AQ737" s="157" t="b">
        <f>TRUE</f>
        <v>1</v>
      </c>
      <c r="AR737" s="157" t="b">
        <f>TRUE</f>
        <v>1</v>
      </c>
      <c r="AS737" s="157" t="b">
        <f>TRUE</f>
        <v>1</v>
      </c>
      <c r="AT737" s="157" t="b">
        <f>TRUE</f>
        <v>1</v>
      </c>
      <c r="AU737" s="157" t="b">
        <f>TRUE</f>
        <v>1</v>
      </c>
      <c r="AV737" s="157" t="b">
        <f>TRUE</f>
        <v>1</v>
      </c>
      <c r="AW737" s="157" t="b">
        <f>TRUE</f>
        <v>1</v>
      </c>
      <c r="AX737" s="157" t="b">
        <f>TRUE</f>
        <v>1</v>
      </c>
      <c r="AY737" s="157" t="b">
        <f>TRUE</f>
        <v>1</v>
      </c>
      <c r="AZ737" s="157" t="b">
        <f>TRUE</f>
        <v>1</v>
      </c>
      <c r="BA737" s="157" t="b">
        <f>TRUE</f>
        <v>1</v>
      </c>
      <c r="BB737" s="157" t="b">
        <f>TRUE</f>
        <v>1</v>
      </c>
      <c r="BC737" s="157" t="b">
        <f>TRUE</f>
        <v>1</v>
      </c>
      <c r="BD737" s="157" t="b">
        <f>TRUE</f>
        <v>1</v>
      </c>
      <c r="BE737" s="157" t="b">
        <f>TRUE</f>
        <v>1</v>
      </c>
      <c r="BF737" s="157" t="b">
        <f>TRUE</f>
        <v>1</v>
      </c>
      <c r="BG737" s="157" t="b">
        <f>TRUE</f>
        <v>1</v>
      </c>
      <c r="BH737" s="157" t="b">
        <f>TRUE</f>
        <v>1</v>
      </c>
      <c r="BI737" s="157" t="b">
        <f>TRUE</f>
        <v>1</v>
      </c>
      <c r="BJ737" s="157" t="b">
        <f>TRUE</f>
        <v>1</v>
      </c>
      <c r="BK737" s="157" t="b">
        <f>TRUE</f>
        <v>1</v>
      </c>
      <c r="BL737" s="516" t="b">
        <f>TRUE</f>
        <v>1</v>
      </c>
      <c r="BM737" s="157" t="b">
        <f>FALSE</f>
        <v>0</v>
      </c>
      <c r="BN737" s="157" t="b">
        <f>FALSE</f>
        <v>0</v>
      </c>
      <c r="BO737" s="157" t="b">
        <f>FALSE</f>
        <v>0</v>
      </c>
      <c r="BP737" s="157" t="b">
        <f>FALSE</f>
        <v>0</v>
      </c>
      <c r="BQ737" s="157" t="b">
        <f>FALSE</f>
        <v>0</v>
      </c>
      <c r="BR737" s="157" t="b">
        <f>FALSE</f>
        <v>0</v>
      </c>
      <c r="BS737" s="157" t="b">
        <f>FALSE</f>
        <v>0</v>
      </c>
      <c r="BT737" s="157" t="b">
        <f>FALSE</f>
        <v>0</v>
      </c>
      <c r="BU737" s="157" t="b">
        <f>FALSE</f>
        <v>0</v>
      </c>
      <c r="BV737" s="299" t="b">
        <f>FALSE</f>
        <v>0</v>
      </c>
      <c r="BW737" s="519"/>
    </row>
    <row r="738" spans="1:75" s="476" customFormat="1">
      <c r="A738" s="158" t="e">
        <f>"Stock High: "&amp;IF(OR(MO.RealTimeStockPriceToggle=FALSE,VLOOKUP(MO.DataSourceName,MO_SPT_StockHigh_Sources,COLUMN()+2,FALSE)="N/A"),"Real-Time Off Source",MO.DataSourceName)</f>
        <v>#REF!</v>
      </c>
      <c r="B738" s="127"/>
      <c r="C738" s="549" t="e">
        <f t="shared" ref="C738:AH738" si="1432">IF(OR(MO.RealTimeStockPriceToggle=FALSE,VLOOKUP(MO.DataSourceName,MO_SPT_StockHigh_Sources,COLUMN(),FALSE)="N/A"),VLOOKUP("Real-Time Off Source",MO_SPT_StockHigh_Sources,COLUMN(),FALSE),VLOOKUP(MO.DataSourceName,MO_SPT_StockHigh_Sources,COLUMN(),FALSE))</f>
        <v>#REF!</v>
      </c>
      <c r="D738" s="549" t="e">
        <f t="shared" si="1432"/>
        <v>#REF!</v>
      </c>
      <c r="E738" s="549" t="e">
        <f t="shared" si="1432"/>
        <v>#REF!</v>
      </c>
      <c r="F738" s="549" t="e">
        <f t="shared" si="1432"/>
        <v>#REF!</v>
      </c>
      <c r="G738" s="549" t="e">
        <f t="shared" si="1432"/>
        <v>#REF!</v>
      </c>
      <c r="H738" s="127" t="e">
        <f t="shared" si="1432"/>
        <v>#REF!</v>
      </c>
      <c r="I738" s="127" t="e">
        <f t="shared" si="1432"/>
        <v>#REF!</v>
      </c>
      <c r="J738" s="127" t="e">
        <f t="shared" si="1432"/>
        <v>#REF!</v>
      </c>
      <c r="K738" s="127" t="e">
        <f t="shared" si="1432"/>
        <v>#REF!</v>
      </c>
      <c r="L738" s="127" t="e">
        <f t="shared" si="1432"/>
        <v>#REF!</v>
      </c>
      <c r="M738" s="127" t="e">
        <f t="shared" si="1432"/>
        <v>#REF!</v>
      </c>
      <c r="N738" s="127" t="e">
        <f t="shared" si="1432"/>
        <v>#REF!</v>
      </c>
      <c r="O738" s="127" t="e">
        <f t="shared" si="1432"/>
        <v>#REF!</v>
      </c>
      <c r="P738" s="127" t="e">
        <f t="shared" si="1432"/>
        <v>#REF!</v>
      </c>
      <c r="Q738" s="127" t="e">
        <f t="shared" si="1432"/>
        <v>#REF!</v>
      </c>
      <c r="R738" s="127" t="e">
        <f t="shared" si="1432"/>
        <v>#REF!</v>
      </c>
      <c r="S738" s="127" t="e">
        <f t="shared" si="1432"/>
        <v>#REF!</v>
      </c>
      <c r="T738" s="127" t="e">
        <f t="shared" si="1432"/>
        <v>#REF!</v>
      </c>
      <c r="U738" s="127" t="e">
        <f t="shared" si="1432"/>
        <v>#REF!</v>
      </c>
      <c r="V738" s="127" t="e">
        <f t="shared" si="1432"/>
        <v>#REF!</v>
      </c>
      <c r="W738" s="127" t="e">
        <f t="shared" si="1432"/>
        <v>#REF!</v>
      </c>
      <c r="X738" s="127" t="e">
        <f t="shared" si="1432"/>
        <v>#REF!</v>
      </c>
      <c r="Y738" s="127" t="e">
        <f t="shared" si="1432"/>
        <v>#REF!</v>
      </c>
      <c r="Z738" s="127" t="e">
        <f t="shared" si="1432"/>
        <v>#REF!</v>
      </c>
      <c r="AA738" s="127" t="e">
        <f t="shared" si="1432"/>
        <v>#REF!</v>
      </c>
      <c r="AB738" s="127" t="e">
        <f t="shared" si="1432"/>
        <v>#REF!</v>
      </c>
      <c r="AC738" s="127" t="e">
        <f t="shared" si="1432"/>
        <v>#REF!</v>
      </c>
      <c r="AD738" s="127" t="e">
        <f t="shared" si="1432"/>
        <v>#REF!</v>
      </c>
      <c r="AE738" s="127" t="e">
        <f t="shared" si="1432"/>
        <v>#REF!</v>
      </c>
      <c r="AF738" s="127" t="e">
        <f t="shared" si="1432"/>
        <v>#REF!</v>
      </c>
      <c r="AG738" s="127" t="e">
        <f t="shared" si="1432"/>
        <v>#REF!</v>
      </c>
      <c r="AH738" s="127" t="e">
        <f t="shared" si="1432"/>
        <v>#REF!</v>
      </c>
      <c r="AI738" s="127" t="e">
        <f t="shared" ref="AI738:AQ738" si="1433">IF(OR(MO.RealTimeStockPriceToggle=FALSE,VLOOKUP(MO.DataSourceName,MO_SPT_StockHigh_Sources,COLUMN(),FALSE)="N/A"),VLOOKUP("Real-Time Off Source",MO_SPT_StockHigh_Sources,COLUMN(),FALSE),VLOOKUP(MO.DataSourceName,MO_SPT_StockHigh_Sources,COLUMN(),FALSE))</f>
        <v>#REF!</v>
      </c>
      <c r="AJ738" s="127" t="e">
        <f t="shared" si="1433"/>
        <v>#REF!</v>
      </c>
      <c r="AK738" s="127" t="e">
        <f t="shared" si="1433"/>
        <v>#REF!</v>
      </c>
      <c r="AL738" s="127" t="e">
        <f t="shared" si="1433"/>
        <v>#REF!</v>
      </c>
      <c r="AM738" s="127" t="e">
        <f t="shared" si="1433"/>
        <v>#REF!</v>
      </c>
      <c r="AN738" s="127" t="e">
        <f t="shared" si="1433"/>
        <v>#REF!</v>
      </c>
      <c r="AO738" s="127" t="e">
        <f t="shared" si="1433"/>
        <v>#REF!</v>
      </c>
      <c r="AP738" s="127" t="e">
        <f t="shared" si="1433"/>
        <v>#REF!</v>
      </c>
      <c r="AQ738" s="127" t="e">
        <f t="shared" si="1433"/>
        <v>#REF!</v>
      </c>
      <c r="AR738" s="127" t="e">
        <f t="shared" ref="AR738:AW738" si="1434">IF(OR(MO.RealTimeStockPriceToggle=FALSE,VLOOKUP(MO.DataSourceName,MO_SPT_StockHigh_Sources,COLUMN(),FALSE)="N/A"),VLOOKUP("Real-Time Off Source",MO_SPT_StockHigh_Sources,COLUMN(),FALSE),VLOOKUP(MO.DataSourceName,MO_SPT_StockHigh_Sources,COLUMN(),FALSE))</f>
        <v>#REF!</v>
      </c>
      <c r="AS738" s="127" t="e">
        <f t="shared" si="1434"/>
        <v>#REF!</v>
      </c>
      <c r="AT738" s="127" t="e">
        <f t="shared" si="1434"/>
        <v>#REF!</v>
      </c>
      <c r="AU738" s="127" t="e">
        <f t="shared" si="1434"/>
        <v>#REF!</v>
      </c>
      <c r="AV738" s="127" t="e">
        <f t="shared" si="1434"/>
        <v>#REF!</v>
      </c>
      <c r="AW738" s="127" t="e">
        <f t="shared" si="1434"/>
        <v>#REF!</v>
      </c>
      <c r="AX738" s="127" t="e">
        <f t="shared" ref="AX738:BA738" si="1435">IF(OR(MO.RealTimeStockPriceToggle=FALSE,VLOOKUP(MO.DataSourceName,MO_SPT_StockHigh_Sources,COLUMN(),FALSE)="N/A"),VLOOKUP("Real-Time Off Source",MO_SPT_StockHigh_Sources,COLUMN(),FALSE),VLOOKUP(MO.DataSourceName,MO_SPT_StockHigh_Sources,COLUMN(),FALSE))</f>
        <v>#REF!</v>
      </c>
      <c r="AY738" s="127" t="e">
        <f t="shared" si="1435"/>
        <v>#REF!</v>
      </c>
      <c r="AZ738" s="127" t="e">
        <f t="shared" si="1435"/>
        <v>#REF!</v>
      </c>
      <c r="BA738" s="127" t="e">
        <f t="shared" si="1435"/>
        <v>#REF!</v>
      </c>
      <c r="BB738" s="127" t="e">
        <f t="shared" ref="BB738:BN738" si="1436">IF(OR(MO.RealTimeStockPriceToggle=FALSE,VLOOKUP(MO.DataSourceName,MO_SPT_StockHigh_Sources,COLUMN(),FALSE)="N/A"),VLOOKUP("Real-Time Off Source",MO_SPT_StockHigh_Sources,COLUMN(),FALSE),VLOOKUP(MO.DataSourceName,MO_SPT_StockHigh_Sources,COLUMN(),FALSE))</f>
        <v>#REF!</v>
      </c>
      <c r="BC738" s="127" t="e">
        <f t="shared" si="1436"/>
        <v>#REF!</v>
      </c>
      <c r="BD738" s="127" t="e">
        <f t="shared" si="1436"/>
        <v>#REF!</v>
      </c>
      <c r="BE738" s="127" t="e">
        <f t="shared" ref="BE738:BM738" si="1437">IF(OR(MO.RealTimeStockPriceToggle=FALSE,VLOOKUP(MO.DataSourceName,MO_SPT_StockHigh_Sources,COLUMN(),FALSE)="N/A"),VLOOKUP("Real-Time Off Source",MO_SPT_StockHigh_Sources,COLUMN(),FALSE),VLOOKUP(MO.DataSourceName,MO_SPT_StockHigh_Sources,COLUMN(),FALSE))</f>
        <v>#REF!</v>
      </c>
      <c r="BF738" s="127" t="e">
        <f t="shared" si="1437"/>
        <v>#REF!</v>
      </c>
      <c r="BG738" s="127" t="e">
        <f t="shared" si="1437"/>
        <v>#REF!</v>
      </c>
      <c r="BH738" s="127" t="e">
        <f t="shared" si="1437"/>
        <v>#REF!</v>
      </c>
      <c r="BI738" s="127" t="e">
        <f t="shared" si="1437"/>
        <v>#REF!</v>
      </c>
      <c r="BJ738" s="127" t="e">
        <f>IF(OR(MO.RealTimeStockPriceToggle=FALSE,VLOOKUP(MO.DataSourceName,MO_SPT_StockHigh_Sources,COLUMN(),FALSE)="N/A"),VLOOKUP("Real-Time Off Source",MO_SPT_StockHigh_Sources,COLUMN(),FALSE),VLOOKUP(MO.DataSourceName,MO_SPT_StockHigh_Sources,COLUMN(),FALSE))</f>
        <v>#REF!</v>
      </c>
      <c r="BK738" s="127" t="e">
        <f>IF(OR(MO.RealTimeStockPriceToggle=FALSE,VLOOKUP(MO.DataSourceName,MO_SPT_StockHigh_Sources,COLUMN(),FALSE)="N/A"),VLOOKUP("Real-Time Off Source",MO_SPT_StockHigh_Sources,COLUMN(),FALSE),VLOOKUP(MO.DataSourceName,MO_SPT_StockHigh_Sources,COLUMN(),FALSE))</f>
        <v>#REF!</v>
      </c>
      <c r="BL738" s="169" t="e">
        <f>IF(OR(MO.RealTimeStockPriceToggle=FALSE,VLOOKUP(MO.DataSourceName,MO_SPT_StockHigh_Sources,COLUMN(),FALSE)="N/A"),VLOOKUP("Real-Time Off Source",MO_SPT_StockHigh_Sources,COLUMN(),FALSE),VLOOKUP(MO.DataSourceName,MO_SPT_StockHigh_Sources,COLUMN(),FALSE))</f>
        <v>#REF!</v>
      </c>
      <c r="BM738" s="127" t="e">
        <f t="shared" si="1437"/>
        <v>#REF!</v>
      </c>
      <c r="BN738" s="127" t="e">
        <f t="shared" si="1436"/>
        <v>#REF!</v>
      </c>
      <c r="BO738" s="127" t="e">
        <f t="shared" ref="BO738:BV738" si="1438">IF(OR(MO.RealTimeStockPriceToggle=FALSE,VLOOKUP(MO.DataSourceName,MO_SPT_StockHigh_Sources,COLUMN(),FALSE)="N/A"),VLOOKUP("Real-Time Off Source",MO_SPT_StockHigh_Sources,COLUMN(),FALSE),VLOOKUP(MO.DataSourceName,MO_SPT_StockHigh_Sources,COLUMN(),FALSE))</f>
        <v>#REF!</v>
      </c>
      <c r="BP738" s="127" t="e">
        <f t="shared" si="1438"/>
        <v>#REF!</v>
      </c>
      <c r="BQ738" s="127" t="e">
        <f t="shared" si="1438"/>
        <v>#REF!</v>
      </c>
      <c r="BR738" s="127" t="e">
        <f t="shared" si="1438"/>
        <v>#REF!</v>
      </c>
      <c r="BS738" s="127" t="e">
        <f t="shared" si="1438"/>
        <v>#REF!</v>
      </c>
      <c r="BT738" s="127" t="e">
        <f t="shared" si="1438"/>
        <v>#REF!</v>
      </c>
      <c r="BU738" s="127" t="e">
        <f t="shared" si="1438"/>
        <v>#REF!</v>
      </c>
      <c r="BV738" s="159" t="e">
        <f t="shared" si="1438"/>
        <v>#REF!</v>
      </c>
      <c r="BW738" s="128"/>
    </row>
    <row r="739" spans="1:75" s="476" customFormat="1" hidden="1" outlineLevel="1">
      <c r="A739" s="160" t="s">
        <v>608</v>
      </c>
      <c r="B739" s="127"/>
      <c r="C739" s="654">
        <v>0</v>
      </c>
      <c r="D739" s="654">
        <v>0</v>
      </c>
      <c r="E739" s="654">
        <v>0</v>
      </c>
      <c r="F739" s="654">
        <v>31.96</v>
      </c>
      <c r="G739" s="654">
        <v>25.46</v>
      </c>
      <c r="H739" s="655">
        <v>36.14</v>
      </c>
      <c r="I739" s="655">
        <v>71.5</v>
      </c>
      <c r="J739" s="655">
        <v>75.37</v>
      </c>
      <c r="K739" s="655">
        <v>75.37</v>
      </c>
      <c r="L739" s="655">
        <v>101.75</v>
      </c>
      <c r="M739" s="655">
        <v>81.400000000000006</v>
      </c>
      <c r="N739" s="655">
        <v>86.88</v>
      </c>
      <c r="O739" s="655">
        <v>73.41</v>
      </c>
      <c r="P739" s="655">
        <v>101.75</v>
      </c>
      <c r="Q739" s="655">
        <v>57.7</v>
      </c>
      <c r="R739" s="655">
        <v>52.51</v>
      </c>
      <c r="S739" s="655">
        <v>43.49</v>
      </c>
      <c r="T739" s="655">
        <v>32.47</v>
      </c>
      <c r="U739" s="655">
        <v>57.7</v>
      </c>
      <c r="V739" s="655">
        <v>28.55</v>
      </c>
      <c r="W739" s="655">
        <v>30.54</v>
      </c>
      <c r="X739" s="655">
        <v>41.94</v>
      </c>
      <c r="Y739" s="655">
        <v>43.36</v>
      </c>
      <c r="Z739" s="655">
        <v>43.36</v>
      </c>
      <c r="AA739" s="655">
        <v>43.41</v>
      </c>
      <c r="AB739" s="655">
        <v>36.25</v>
      </c>
      <c r="AC739" s="655">
        <v>44.25</v>
      </c>
      <c r="AD739" s="655">
        <v>48.4</v>
      </c>
      <c r="AE739" s="655">
        <v>48.4</v>
      </c>
      <c r="AF739" s="655">
        <v>46.81</v>
      </c>
      <c r="AG739" s="655">
        <v>47.92</v>
      </c>
      <c r="AH739" s="655">
        <v>52.07</v>
      </c>
      <c r="AI739" s="655">
        <v>48.43</v>
      </c>
      <c r="AJ739" s="655">
        <v>52.07</v>
      </c>
      <c r="AK739" s="655">
        <v>39.94</v>
      </c>
      <c r="AL739" s="655">
        <v>40.98</v>
      </c>
      <c r="AM739" s="655">
        <v>38.21</v>
      </c>
      <c r="AN739" s="655">
        <v>36.06</v>
      </c>
      <c r="AO739" s="655">
        <v>40.98</v>
      </c>
      <c r="AP739" s="655">
        <v>37.24</v>
      </c>
      <c r="AQ739" s="655">
        <v>27.42</v>
      </c>
      <c r="AR739" s="655">
        <v>26.71</v>
      </c>
      <c r="AS739" s="655">
        <v>34.26</v>
      </c>
      <c r="AT739" s="655">
        <v>37.24</v>
      </c>
      <c r="AU739" s="655">
        <v>43.43</v>
      </c>
      <c r="AV739" s="655">
        <v>42.28</v>
      </c>
      <c r="AW739" s="655">
        <v>40.89</v>
      </c>
      <c r="AX739" s="655">
        <v>40.32</v>
      </c>
      <c r="AY739" s="655">
        <v>43.43</v>
      </c>
      <c r="AZ739" s="655">
        <v>36.92</v>
      </c>
      <c r="BA739" s="655">
        <v>35.19</v>
      </c>
      <c r="BB739" s="655">
        <v>38.54</v>
      </c>
      <c r="BC739" s="655">
        <v>38.81</v>
      </c>
      <c r="BD739" s="655">
        <v>38.81</v>
      </c>
      <c r="BE739" s="655">
        <v>33.11</v>
      </c>
      <c r="BF739" s="655">
        <v>36.56</v>
      </c>
      <c r="BG739" s="655">
        <v>45.61</v>
      </c>
      <c r="BH739" s="655">
        <v>48.43</v>
      </c>
      <c r="BI739" s="655">
        <v>48.43</v>
      </c>
      <c r="BJ739" s="655">
        <v>46.37</v>
      </c>
      <c r="BK739" s="655">
        <v>41.11</v>
      </c>
      <c r="BL739" s="656">
        <v>37.770000000000003</v>
      </c>
      <c r="BM739" s="127"/>
      <c r="BN739" s="127"/>
      <c r="BO739" s="127"/>
      <c r="BP739" s="127"/>
      <c r="BQ739" s="127"/>
      <c r="BR739" s="127"/>
      <c r="BS739" s="127"/>
      <c r="BT739" s="127"/>
      <c r="BU739" s="127"/>
      <c r="BV739" s="159"/>
      <c r="BW739" s="128"/>
    </row>
    <row r="740" spans="1:75" s="476" customFormat="1" hidden="1" outlineLevel="1">
      <c r="A740" s="160" t="s">
        <v>609</v>
      </c>
      <c r="B740" s="127"/>
      <c r="C740" s="549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D740" s="549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E740" s="549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F740" s="549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G740" s="549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H740" s="127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I740" s="127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J740" s="127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K740" s="127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L740" s="127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M740" s="127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N740" s="127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O740" s="127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P740" s="127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Q740" s="127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R740" s="127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S740" s="127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T740" s="127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U740" s="127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V740" s="127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W740" s="127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X740" s="127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Y740" s="127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Z740" s="127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AA740" s="127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AB740" s="127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AC740" s="127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AD740" s="127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AE740" s="127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AF740" s="127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AG740" s="127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AH740" s="127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AI740" s="127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AJ740" s="127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AK740" s="127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AL740" s="127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AM740" s="127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AN740" s="127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AO740" s="127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AP740" s="127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AQ740" s="127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AR740" s="127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AS740" s="127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AT740" s="127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AU740" s="127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AV740" s="127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AW740" s="127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AX740" s="127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AY740" s="127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AZ740" s="127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BA740" s="127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BB740" s="127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BC740" s="127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BD740" s="127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BE740" s="127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BF740" s="127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BG740" s="127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BH740" s="127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BI740" s="127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BJ740" s="127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BK740" s="127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BL740" s="169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BM740" s="127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BN740" s="127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BO740" s="127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BP740" s="127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BQ740" s="127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BR740" s="127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BS740" s="127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BT740" s="127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BU740" s="127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BV740" s="159" t="str">
        <f>IFERROR(_xll.BDP(MO.Ticker.Bloomberg&amp;" Equity","INTERVAL_HIGH","MARKET_DATA_OVERRIDE=PX_LAST","START_DATE_OVERRIDE",TEXT(INDEX(MO_SNA_FPStartDate,0,COLUMN()),"YYYYMMDD"),"END_DATE_OVERRIDE",TEXT(INDEX(MO_Common_QEndDate,0,COLUMN()),"YYYYMMDD")),"N/A")</f>
        <v>#N/A Connection</v>
      </c>
      <c r="BW740" s="128"/>
    </row>
    <row r="741" spans="1:75" s="476" customFormat="1" hidden="1" outlineLevel="1">
      <c r="A741" s="160" t="s">
        <v>610</v>
      </c>
      <c r="B741" s="127"/>
      <c r="C741" s="549" t="str">
        <f ca="1">IFERROR(_xll.CIQHI(MO.Ticker.CapIQ,"IQ_LASTSALEPRICE",INDEX(MO_SNA_FPStartDate,0,COLUMN()),INDEX(MO_Common_QEndDate,0,COLUMN())),"N/A")</f>
        <v>N/A</v>
      </c>
      <c r="D741" s="549" t="str">
        <f ca="1">IFERROR(_xll.CIQHI(MO.Ticker.CapIQ,"IQ_LASTSALEPRICE",INDEX(MO_SNA_FPStartDate,0,COLUMN()),INDEX(MO_Common_QEndDate,0,COLUMN())),"N/A")</f>
        <v>N/A</v>
      </c>
      <c r="E741" s="549" t="str">
        <f ca="1">IFERROR(_xll.CIQHI(MO.Ticker.CapIQ,"IQ_LASTSALEPRICE",INDEX(MO_SNA_FPStartDate,0,COLUMN()),INDEX(MO_Common_QEndDate,0,COLUMN())),"N/A")</f>
        <v>N/A</v>
      </c>
      <c r="F741" s="549" t="str">
        <f ca="1">IFERROR(_xll.CIQHI(MO.Ticker.CapIQ,"IQ_LASTSALEPRICE",INDEX(MO_SNA_FPStartDate,0,COLUMN()),INDEX(MO_Common_QEndDate,0,COLUMN())),"N/A")</f>
        <v>N/A</v>
      </c>
      <c r="G741" s="549" t="str">
        <f ca="1">IFERROR(_xll.CIQHI(MO.Ticker.CapIQ,"IQ_LASTSALEPRICE",INDEX(MO_SNA_FPStartDate,0,COLUMN()),INDEX(MO_Common_QEndDate,0,COLUMN())),"N/A")</f>
        <v>N/A</v>
      </c>
      <c r="H741" s="127" t="str">
        <f ca="1">IFERROR(_xll.CIQHI(MO.Ticker.CapIQ,"IQ_LASTSALEPRICE",INDEX(MO_SNA_FPStartDate,0,COLUMN()),INDEX(MO_Common_QEndDate,0,COLUMN())),"N/A")</f>
        <v>N/A</v>
      </c>
      <c r="I741" s="127" t="str">
        <f ca="1">IFERROR(_xll.CIQHI(MO.Ticker.CapIQ,"IQ_LASTSALEPRICE",INDEX(MO_SNA_FPStartDate,0,COLUMN()),INDEX(MO_Common_QEndDate,0,COLUMN())),"N/A")</f>
        <v>N/A</v>
      </c>
      <c r="J741" s="127" t="str">
        <f ca="1">IFERROR(_xll.CIQHI(MO.Ticker.CapIQ,"IQ_LASTSALEPRICE",INDEX(MO_SNA_FPStartDate,0,COLUMN()),INDEX(MO_Common_QEndDate,0,COLUMN())),"N/A")</f>
        <v>N/A</v>
      </c>
      <c r="K741" s="127" t="str">
        <f ca="1">IFERROR(_xll.CIQHI(MO.Ticker.CapIQ,"IQ_LASTSALEPRICE",INDEX(MO_SNA_FPStartDate,0,COLUMN()),INDEX(MO_Common_QEndDate,0,COLUMN())),"N/A")</f>
        <v>N/A</v>
      </c>
      <c r="L741" s="127" t="str">
        <f ca="1">IFERROR(_xll.CIQHI(MO.Ticker.CapIQ,"IQ_LASTSALEPRICE",INDEX(MO_SNA_FPStartDate,0,COLUMN()),INDEX(MO_Common_QEndDate,0,COLUMN())),"N/A")</f>
        <v>N/A</v>
      </c>
      <c r="M741" s="127" t="str">
        <f ca="1">IFERROR(_xll.CIQHI(MO.Ticker.CapIQ,"IQ_LASTSALEPRICE",INDEX(MO_SNA_FPStartDate,0,COLUMN()),INDEX(MO_Common_QEndDate,0,COLUMN())),"N/A")</f>
        <v>N/A</v>
      </c>
      <c r="N741" s="127" t="str">
        <f ca="1">IFERROR(_xll.CIQHI(MO.Ticker.CapIQ,"IQ_LASTSALEPRICE",INDEX(MO_SNA_FPStartDate,0,COLUMN()),INDEX(MO_Common_QEndDate,0,COLUMN())),"N/A")</f>
        <v>N/A</v>
      </c>
      <c r="O741" s="127" t="str">
        <f ca="1">IFERROR(_xll.CIQHI(MO.Ticker.CapIQ,"IQ_LASTSALEPRICE",INDEX(MO_SNA_FPStartDate,0,COLUMN()),INDEX(MO_Common_QEndDate,0,COLUMN())),"N/A")</f>
        <v>N/A</v>
      </c>
      <c r="P741" s="127" t="str">
        <f ca="1">IFERROR(_xll.CIQHI(MO.Ticker.CapIQ,"IQ_LASTSALEPRICE",INDEX(MO_SNA_FPStartDate,0,COLUMN()),INDEX(MO_Common_QEndDate,0,COLUMN())),"N/A")</f>
        <v>N/A</v>
      </c>
      <c r="Q741" s="127" t="str">
        <f ca="1">IFERROR(_xll.CIQHI(MO.Ticker.CapIQ,"IQ_LASTSALEPRICE",INDEX(MO_SNA_FPStartDate,0,COLUMN()),INDEX(MO_Common_QEndDate,0,COLUMN())),"N/A")</f>
        <v>N/A</v>
      </c>
      <c r="R741" s="127" t="str">
        <f ca="1">IFERROR(_xll.CIQHI(MO.Ticker.CapIQ,"IQ_LASTSALEPRICE",INDEX(MO_SNA_FPStartDate,0,COLUMN()),INDEX(MO_Common_QEndDate,0,COLUMN())),"N/A")</f>
        <v>N/A</v>
      </c>
      <c r="S741" s="127" t="str">
        <f ca="1">IFERROR(_xll.CIQHI(MO.Ticker.CapIQ,"IQ_LASTSALEPRICE",INDEX(MO_SNA_FPStartDate,0,COLUMN()),INDEX(MO_Common_QEndDate,0,COLUMN())),"N/A")</f>
        <v>N/A</v>
      </c>
      <c r="T741" s="127" t="str">
        <f ca="1">IFERROR(_xll.CIQHI(MO.Ticker.CapIQ,"IQ_LASTSALEPRICE",INDEX(MO_SNA_FPStartDate,0,COLUMN()),INDEX(MO_Common_QEndDate,0,COLUMN())),"N/A")</f>
        <v>N/A</v>
      </c>
      <c r="U741" s="127" t="str">
        <f ca="1">IFERROR(_xll.CIQHI(MO.Ticker.CapIQ,"IQ_LASTSALEPRICE",INDEX(MO_SNA_FPStartDate,0,COLUMN()),INDEX(MO_Common_QEndDate,0,COLUMN())),"N/A")</f>
        <v>N/A</v>
      </c>
      <c r="V741" s="127" t="str">
        <f ca="1">IFERROR(_xll.CIQHI(MO.Ticker.CapIQ,"IQ_LASTSALEPRICE",INDEX(MO_SNA_FPStartDate,0,COLUMN()),INDEX(MO_Common_QEndDate,0,COLUMN())),"N/A")</f>
        <v>N/A</v>
      </c>
      <c r="W741" s="127" t="str">
        <f ca="1">IFERROR(_xll.CIQHI(MO.Ticker.CapIQ,"IQ_LASTSALEPRICE",INDEX(MO_SNA_FPStartDate,0,COLUMN()),INDEX(MO_Common_QEndDate,0,COLUMN())),"N/A")</f>
        <v>N/A</v>
      </c>
      <c r="X741" s="127" t="str">
        <f ca="1">IFERROR(_xll.CIQHI(MO.Ticker.CapIQ,"IQ_LASTSALEPRICE",INDEX(MO_SNA_FPStartDate,0,COLUMN()),INDEX(MO_Common_QEndDate,0,COLUMN())),"N/A")</f>
        <v>N/A</v>
      </c>
      <c r="Y741" s="127" t="str">
        <f ca="1">IFERROR(_xll.CIQHI(MO.Ticker.CapIQ,"IQ_LASTSALEPRICE",INDEX(MO_SNA_FPStartDate,0,COLUMN()),INDEX(MO_Common_QEndDate,0,COLUMN())),"N/A")</f>
        <v>N/A</v>
      </c>
      <c r="Z741" s="127" t="str">
        <f ca="1">IFERROR(_xll.CIQHI(MO.Ticker.CapIQ,"IQ_LASTSALEPRICE",INDEX(MO_SNA_FPStartDate,0,COLUMN()),INDEX(MO_Common_QEndDate,0,COLUMN())),"N/A")</f>
        <v>N/A</v>
      </c>
      <c r="AA741" s="127" t="str">
        <f ca="1">IFERROR(_xll.CIQHI(MO.Ticker.CapIQ,"IQ_LASTSALEPRICE",INDEX(MO_SNA_FPStartDate,0,COLUMN()),INDEX(MO_Common_QEndDate,0,COLUMN())),"N/A")</f>
        <v>N/A</v>
      </c>
      <c r="AB741" s="127" t="str">
        <f ca="1">IFERROR(_xll.CIQHI(MO.Ticker.CapIQ,"IQ_LASTSALEPRICE",INDEX(MO_SNA_FPStartDate,0,COLUMN()),INDEX(MO_Common_QEndDate,0,COLUMN())),"N/A")</f>
        <v>N/A</v>
      </c>
      <c r="AC741" s="127" t="str">
        <f ca="1">IFERROR(_xll.CIQHI(MO.Ticker.CapIQ,"IQ_LASTSALEPRICE",INDEX(MO_SNA_FPStartDate,0,COLUMN()),INDEX(MO_Common_QEndDate,0,COLUMN())),"N/A")</f>
        <v>N/A</v>
      </c>
      <c r="AD741" s="127" t="str">
        <f ca="1">IFERROR(_xll.CIQHI(MO.Ticker.CapIQ,"IQ_LASTSALEPRICE",INDEX(MO_SNA_FPStartDate,0,COLUMN()),INDEX(MO_Common_QEndDate,0,COLUMN())),"N/A")</f>
        <v>N/A</v>
      </c>
      <c r="AE741" s="127" t="str">
        <f ca="1">IFERROR(_xll.CIQHI(MO.Ticker.CapIQ,"IQ_LASTSALEPRICE",INDEX(MO_SNA_FPStartDate,0,COLUMN()),INDEX(MO_Common_QEndDate,0,COLUMN())),"N/A")</f>
        <v>N/A</v>
      </c>
      <c r="AF741" s="127" t="str">
        <f ca="1">IFERROR(_xll.CIQHI(MO.Ticker.CapIQ,"IQ_LASTSALEPRICE",INDEX(MO_SNA_FPStartDate,0,COLUMN()),INDEX(MO_Common_QEndDate,0,COLUMN())),"N/A")</f>
        <v>N/A</v>
      </c>
      <c r="AG741" s="127" t="str">
        <f ca="1">IFERROR(_xll.CIQHI(MO.Ticker.CapIQ,"IQ_LASTSALEPRICE",INDEX(MO_SNA_FPStartDate,0,COLUMN()),INDEX(MO_Common_QEndDate,0,COLUMN())),"N/A")</f>
        <v>N/A</v>
      </c>
      <c r="AH741" s="127" t="str">
        <f ca="1">IFERROR(_xll.CIQHI(MO.Ticker.CapIQ,"IQ_LASTSALEPRICE",INDEX(MO_SNA_FPStartDate,0,COLUMN()),INDEX(MO_Common_QEndDate,0,COLUMN())),"N/A")</f>
        <v>N/A</v>
      </c>
      <c r="AI741" s="127" t="str">
        <f ca="1">IFERROR(_xll.CIQHI(MO.Ticker.CapIQ,"IQ_LASTSALEPRICE",INDEX(MO_SNA_FPStartDate,0,COLUMN()),INDEX(MO_Common_QEndDate,0,COLUMN())),"N/A")</f>
        <v>N/A</v>
      </c>
      <c r="AJ741" s="127" t="str">
        <f ca="1">IFERROR(_xll.CIQHI(MO.Ticker.CapIQ,"IQ_LASTSALEPRICE",INDEX(MO_SNA_FPStartDate,0,COLUMN()),INDEX(MO_Common_QEndDate,0,COLUMN())),"N/A")</f>
        <v>N/A</v>
      </c>
      <c r="AK741" s="127" t="str">
        <f ca="1">IFERROR(_xll.CIQHI(MO.Ticker.CapIQ,"IQ_LASTSALEPRICE",INDEX(MO_SNA_FPStartDate,0,COLUMN()),INDEX(MO_Common_QEndDate,0,COLUMN())),"N/A")</f>
        <v>N/A</v>
      </c>
      <c r="AL741" s="127" t="str">
        <f ca="1">IFERROR(_xll.CIQHI(MO.Ticker.CapIQ,"IQ_LASTSALEPRICE",INDEX(MO_SNA_FPStartDate,0,COLUMN()),INDEX(MO_Common_QEndDate,0,COLUMN())),"N/A")</f>
        <v>N/A</v>
      </c>
      <c r="AM741" s="127" t="str">
        <f ca="1">IFERROR(_xll.CIQHI(MO.Ticker.CapIQ,"IQ_LASTSALEPRICE",INDEX(MO_SNA_FPStartDate,0,COLUMN()),INDEX(MO_Common_QEndDate,0,COLUMN())),"N/A")</f>
        <v>N/A</v>
      </c>
      <c r="AN741" s="127" t="str">
        <f ca="1">IFERROR(_xll.CIQHI(MO.Ticker.CapIQ,"IQ_LASTSALEPRICE",INDEX(MO_SNA_FPStartDate,0,COLUMN()),INDEX(MO_Common_QEndDate,0,COLUMN())),"N/A")</f>
        <v>N/A</v>
      </c>
      <c r="AO741" s="127" t="str">
        <f ca="1">IFERROR(_xll.CIQHI(MO.Ticker.CapIQ,"IQ_LASTSALEPRICE",INDEX(MO_SNA_FPStartDate,0,COLUMN()),INDEX(MO_Common_QEndDate,0,COLUMN())),"N/A")</f>
        <v>N/A</v>
      </c>
      <c r="AP741" s="127" t="str">
        <f ca="1">IFERROR(_xll.CIQHI(MO.Ticker.CapIQ,"IQ_LASTSALEPRICE",INDEX(MO_SNA_FPStartDate,0,COLUMN()),INDEX(MO_Common_QEndDate,0,COLUMN())),"N/A")</f>
        <v>N/A</v>
      </c>
      <c r="AQ741" s="127" t="str">
        <f ca="1">IFERROR(_xll.CIQHI(MO.Ticker.CapIQ,"IQ_LASTSALEPRICE",INDEX(MO_SNA_FPStartDate,0,COLUMN()),INDEX(MO_Common_QEndDate,0,COLUMN())),"N/A")</f>
        <v>N/A</v>
      </c>
      <c r="AR741" s="127" t="str">
        <f ca="1">IFERROR(_xll.CIQHI(MO.Ticker.CapIQ,"IQ_LASTSALEPRICE",INDEX(MO_SNA_FPStartDate,0,COLUMN()),INDEX(MO_Common_QEndDate,0,COLUMN())),"N/A")</f>
        <v>N/A</v>
      </c>
      <c r="AS741" s="127" t="str">
        <f ca="1">IFERROR(_xll.CIQHI(MO.Ticker.CapIQ,"IQ_LASTSALEPRICE",INDEX(MO_SNA_FPStartDate,0,COLUMN()),INDEX(MO_Common_QEndDate,0,COLUMN())),"N/A")</f>
        <v>N/A</v>
      </c>
      <c r="AT741" s="127" t="str">
        <f ca="1">IFERROR(_xll.CIQHI(MO.Ticker.CapIQ,"IQ_LASTSALEPRICE",INDEX(MO_SNA_FPStartDate,0,COLUMN()),INDEX(MO_Common_QEndDate,0,COLUMN())),"N/A")</f>
        <v>N/A</v>
      </c>
      <c r="AU741" s="127" t="str">
        <f ca="1">IFERROR(_xll.CIQHI(MO.Ticker.CapIQ,"IQ_LASTSALEPRICE",INDEX(MO_SNA_FPStartDate,0,COLUMN()),INDEX(MO_Common_QEndDate,0,COLUMN())),"N/A")</f>
        <v>N/A</v>
      </c>
      <c r="AV741" s="127" t="str">
        <f ca="1">IFERROR(_xll.CIQHI(MO.Ticker.CapIQ,"IQ_LASTSALEPRICE",INDEX(MO_SNA_FPStartDate,0,COLUMN()),INDEX(MO_Common_QEndDate,0,COLUMN())),"N/A")</f>
        <v>N/A</v>
      </c>
      <c r="AW741" s="127" t="str">
        <f ca="1">IFERROR(_xll.CIQHI(MO.Ticker.CapIQ,"IQ_LASTSALEPRICE",INDEX(MO_SNA_FPStartDate,0,COLUMN()),INDEX(MO_Common_QEndDate,0,COLUMN())),"N/A")</f>
        <v>N/A</v>
      </c>
      <c r="AX741" s="127" t="str">
        <f ca="1">IFERROR(_xll.CIQHI(MO.Ticker.CapIQ,"IQ_LASTSALEPRICE",INDEX(MO_SNA_FPStartDate,0,COLUMN()),INDEX(MO_Common_QEndDate,0,COLUMN())),"N/A")</f>
        <v>N/A</v>
      </c>
      <c r="AY741" s="127" t="str">
        <f ca="1">IFERROR(_xll.CIQHI(MO.Ticker.CapIQ,"IQ_LASTSALEPRICE",INDEX(MO_SNA_FPStartDate,0,COLUMN()),INDEX(MO_Common_QEndDate,0,COLUMN())),"N/A")</f>
        <v>N/A</v>
      </c>
      <c r="AZ741" s="127" t="str">
        <f ca="1">IFERROR(_xll.CIQHI(MO.Ticker.CapIQ,"IQ_LASTSALEPRICE",INDEX(MO_SNA_FPStartDate,0,COLUMN()),INDEX(MO_Common_QEndDate,0,COLUMN())),"N/A")</f>
        <v>N/A</v>
      </c>
      <c r="BA741" s="127" t="str">
        <f ca="1">IFERROR(_xll.CIQHI(MO.Ticker.CapIQ,"IQ_LASTSALEPRICE",INDEX(MO_SNA_FPStartDate,0,COLUMN()),INDEX(MO_Common_QEndDate,0,COLUMN())),"N/A")</f>
        <v>N/A</v>
      </c>
      <c r="BB741" s="127" t="str">
        <f ca="1">IFERROR(_xll.CIQHI(MO.Ticker.CapIQ,"IQ_LASTSALEPRICE",INDEX(MO_SNA_FPStartDate,0,COLUMN()),INDEX(MO_Common_QEndDate,0,COLUMN())),"N/A")</f>
        <v>N/A</v>
      </c>
      <c r="BC741" s="127" t="str">
        <f ca="1">IFERROR(_xll.CIQHI(MO.Ticker.CapIQ,"IQ_LASTSALEPRICE",INDEX(MO_SNA_FPStartDate,0,COLUMN()),INDEX(MO_Common_QEndDate,0,COLUMN())),"N/A")</f>
        <v>N/A</v>
      </c>
      <c r="BD741" s="127" t="str">
        <f ca="1">IFERROR(_xll.CIQHI(MO.Ticker.CapIQ,"IQ_LASTSALEPRICE",INDEX(MO_SNA_FPStartDate,0,COLUMN()),INDEX(MO_Common_QEndDate,0,COLUMN())),"N/A")</f>
        <v>N/A</v>
      </c>
      <c r="BE741" s="127" t="str">
        <f ca="1">IFERROR(_xll.CIQHI(MO.Ticker.CapIQ,"IQ_LASTSALEPRICE",INDEX(MO_SNA_FPStartDate,0,COLUMN()),INDEX(MO_Common_QEndDate,0,COLUMN())),"N/A")</f>
        <v>N/A</v>
      </c>
      <c r="BF741" s="127" t="str">
        <f ca="1">IFERROR(_xll.CIQHI(MO.Ticker.CapIQ,"IQ_LASTSALEPRICE",INDEX(MO_SNA_FPStartDate,0,COLUMN()),INDEX(MO_Common_QEndDate,0,COLUMN())),"N/A")</f>
        <v>N/A</v>
      </c>
      <c r="BG741" s="127" t="str">
        <f ca="1">IFERROR(_xll.CIQHI(MO.Ticker.CapIQ,"IQ_LASTSALEPRICE",INDEX(MO_SNA_FPStartDate,0,COLUMN()),INDEX(MO_Common_QEndDate,0,COLUMN())),"N/A")</f>
        <v>N/A</v>
      </c>
      <c r="BH741" s="127" t="str">
        <f ca="1">IFERROR(_xll.CIQHI(MO.Ticker.CapIQ,"IQ_LASTSALEPRICE",INDEX(MO_SNA_FPStartDate,0,COLUMN()),INDEX(MO_Common_QEndDate,0,COLUMN())),"N/A")</f>
        <v>N/A</v>
      </c>
      <c r="BI741" s="127" t="str">
        <f ca="1">IFERROR(_xll.CIQHI(MO.Ticker.CapIQ,"IQ_LASTSALEPRICE",INDEX(MO_SNA_FPStartDate,0,COLUMN()),INDEX(MO_Common_QEndDate,0,COLUMN())),"N/A")</f>
        <v>N/A</v>
      </c>
      <c r="BJ741" s="127" t="str">
        <f ca="1">IFERROR(_xll.CIQHI(MO.Ticker.CapIQ,"IQ_LASTSALEPRICE",INDEX(MO_SNA_FPStartDate,0,COLUMN()),INDEX(MO_Common_QEndDate,0,COLUMN())),"N/A")</f>
        <v>N/A</v>
      </c>
      <c r="BK741" s="127" t="str">
        <f ca="1">IFERROR(_xll.CIQHI(MO.Ticker.CapIQ,"IQ_LASTSALEPRICE",INDEX(MO_SNA_FPStartDate,0,COLUMN()),INDEX(MO_Common_QEndDate,0,COLUMN())),"N/A")</f>
        <v>N/A</v>
      </c>
      <c r="BL741" s="169" t="str">
        <f ca="1">IFERROR(_xll.CIQHI(MO.Ticker.CapIQ,"IQ_LASTSALEPRICE",INDEX(MO_SNA_FPStartDate,0,COLUMN()),INDEX(MO_Common_QEndDate,0,COLUMN())),"N/A")</f>
        <v>N/A</v>
      </c>
      <c r="BM741" s="127" t="str">
        <f ca="1">IFERROR(_xll.CIQHI(MO.Ticker.CapIQ,"IQ_LASTSALEPRICE",INDEX(MO_SNA_FPStartDate,0,COLUMN()),INDEX(MO_Common_QEndDate,0,COLUMN())),"N/A")</f>
        <v>N/A</v>
      </c>
      <c r="BN741" s="127" t="str">
        <f ca="1">IFERROR(_xll.CIQHI(MO.Ticker.CapIQ,"IQ_LASTSALEPRICE",INDEX(MO_SNA_FPStartDate,0,COLUMN()),INDEX(MO_Common_QEndDate,0,COLUMN())),"N/A")</f>
        <v>N/A</v>
      </c>
      <c r="BO741" s="127" t="str">
        <f ca="1">IFERROR(_xll.CIQHI(MO.Ticker.CapIQ,"IQ_LASTSALEPRICE",INDEX(MO_SNA_FPStartDate,0,COLUMN()),INDEX(MO_Common_QEndDate,0,COLUMN())),"N/A")</f>
        <v>N/A</v>
      </c>
      <c r="BP741" s="127" t="str">
        <f ca="1">IFERROR(_xll.CIQHI(MO.Ticker.CapIQ,"IQ_LASTSALEPRICE",INDEX(MO_SNA_FPStartDate,0,COLUMN()),INDEX(MO_Common_QEndDate,0,COLUMN())),"N/A")</f>
        <v>N/A</v>
      </c>
      <c r="BQ741" s="127" t="str">
        <f ca="1">IFERROR(_xll.CIQHI(MO.Ticker.CapIQ,"IQ_LASTSALEPRICE",INDEX(MO_SNA_FPStartDate,0,COLUMN()),INDEX(MO_Common_QEndDate,0,COLUMN())),"N/A")</f>
        <v>N/A</v>
      </c>
      <c r="BR741" s="127" t="str">
        <f ca="1">IFERROR(_xll.CIQHI(MO.Ticker.CapIQ,"IQ_LASTSALEPRICE",INDEX(MO_SNA_FPStartDate,0,COLUMN()),INDEX(MO_Common_QEndDate,0,COLUMN())),"N/A")</f>
        <v>N/A</v>
      </c>
      <c r="BS741" s="127" t="str">
        <f ca="1">IFERROR(_xll.CIQHI(MO.Ticker.CapIQ,"IQ_LASTSALEPRICE",INDEX(MO_SNA_FPStartDate,0,COLUMN()),INDEX(MO_Common_QEndDate,0,COLUMN())),"N/A")</f>
        <v>N/A</v>
      </c>
      <c r="BT741" s="127" t="str">
        <f ca="1">IFERROR(_xll.CIQHI(MO.Ticker.CapIQ,"IQ_LASTSALEPRICE",INDEX(MO_SNA_FPStartDate,0,COLUMN()),INDEX(MO_Common_QEndDate,0,COLUMN())),"N/A")</f>
        <v>N/A</v>
      </c>
      <c r="BU741" s="127" t="str">
        <f ca="1">IFERROR(_xll.CIQHI(MO.Ticker.CapIQ,"IQ_LASTSALEPRICE",INDEX(MO_SNA_FPStartDate,0,COLUMN()),INDEX(MO_Common_QEndDate,0,COLUMN())),"N/A")</f>
        <v>N/A</v>
      </c>
      <c r="BV741" s="159" t="str">
        <f ca="1">IFERROR(_xll.CIQHI(MO.Ticker.CapIQ,"IQ_LASTSALEPRICE",INDEX(MO_SNA_FPStartDate,0,COLUMN()),INDEX(MO_Common_QEndDate,0,COLUMN())),"N/A")</f>
        <v>N/A</v>
      </c>
      <c r="BW741" s="128"/>
    </row>
    <row r="742" spans="1:75" s="476" customFormat="1" hidden="1" outlineLevel="1">
      <c r="A742" s="160" t="s">
        <v>611</v>
      </c>
      <c r="B742" s="127"/>
      <c r="C742" s="549" t="str">
        <f ca="1">IFERROR(_xll.FDS(MO.Ticker.FactSet,"P_PRICE_HIGH"&amp;"("&amp;INDEX(MO_SNA_FPStartDate,0,COLUMN())&amp;","&amp;INDEX(MO_Common_QEndDate,0,COLUMN())&amp;",,,,""PRICE"",""CLOSE"")"),"N/A")</f>
        <v>N/A</v>
      </c>
      <c r="D742" s="549" t="str">
        <f ca="1">IFERROR(_xll.FDS(MO.Ticker.FactSet,"P_PRICE_HIGH"&amp;"("&amp;INDEX(MO_SNA_FPStartDate,0,COLUMN())&amp;","&amp;INDEX(MO_Common_QEndDate,0,COLUMN())&amp;",,,,""PRICE"",""CLOSE"")"),"N/A")</f>
        <v>N/A</v>
      </c>
      <c r="E742" s="549" t="str">
        <f ca="1">IFERROR(_xll.FDS(MO.Ticker.FactSet,"P_PRICE_HIGH"&amp;"("&amp;INDEX(MO_SNA_FPStartDate,0,COLUMN())&amp;","&amp;INDEX(MO_Common_QEndDate,0,COLUMN())&amp;",,,,""PRICE"",""CLOSE"")"),"N/A")</f>
        <v>N/A</v>
      </c>
      <c r="F742" s="549" t="str">
        <f ca="1">IFERROR(_xll.FDS(MO.Ticker.FactSet,"P_PRICE_HIGH"&amp;"("&amp;INDEX(MO_SNA_FPStartDate,0,COLUMN())&amp;","&amp;INDEX(MO_Common_QEndDate,0,COLUMN())&amp;",,,,""PRICE"",""CLOSE"")"),"N/A")</f>
        <v>N/A</v>
      </c>
      <c r="G742" s="549" t="str">
        <f ca="1">IFERROR(_xll.FDS(MO.Ticker.FactSet,"P_PRICE_HIGH"&amp;"("&amp;INDEX(MO_SNA_FPStartDate,0,COLUMN())&amp;","&amp;INDEX(MO_Common_QEndDate,0,COLUMN())&amp;",,,,""PRICE"",""CLOSE"")"),"N/A")</f>
        <v>N/A</v>
      </c>
      <c r="H742" s="127" t="str">
        <f ca="1">IFERROR(_xll.FDS(MO.Ticker.FactSet,"P_PRICE_HIGH"&amp;"("&amp;INDEX(MO_SNA_FPStartDate,0,COLUMN())&amp;","&amp;INDEX(MO_Common_QEndDate,0,COLUMN())&amp;",,,,""PRICE"",""CLOSE"")"),"N/A")</f>
        <v>N/A</v>
      </c>
      <c r="I742" s="127" t="str">
        <f ca="1">IFERROR(_xll.FDS(MO.Ticker.FactSet,"P_PRICE_HIGH"&amp;"("&amp;INDEX(MO_SNA_FPStartDate,0,COLUMN())&amp;","&amp;INDEX(MO_Common_QEndDate,0,COLUMN())&amp;",,,,""PRICE"",""CLOSE"")"),"N/A")</f>
        <v>N/A</v>
      </c>
      <c r="J742" s="127" t="str">
        <f ca="1">IFERROR(_xll.FDS(MO.Ticker.FactSet,"P_PRICE_HIGH"&amp;"("&amp;INDEX(MO_SNA_FPStartDate,0,COLUMN())&amp;","&amp;INDEX(MO_Common_QEndDate,0,COLUMN())&amp;",,,,""PRICE"",""CLOSE"")"),"N/A")</f>
        <v>N/A</v>
      </c>
      <c r="K742" s="127" t="str">
        <f ca="1">IFERROR(_xll.FDS(MO.Ticker.FactSet,"P_PRICE_HIGH"&amp;"("&amp;INDEX(MO_SNA_FPStartDate,0,COLUMN())&amp;","&amp;INDEX(MO_Common_QEndDate,0,COLUMN())&amp;",,,,""PRICE"",""CLOSE"")"),"N/A")</f>
        <v>N/A</v>
      </c>
      <c r="L742" s="127" t="str">
        <f ca="1">IFERROR(_xll.FDS(MO.Ticker.FactSet,"P_PRICE_HIGH"&amp;"("&amp;INDEX(MO_SNA_FPStartDate,0,COLUMN())&amp;","&amp;INDEX(MO_Common_QEndDate,0,COLUMN())&amp;",,,,""PRICE"",""CLOSE"")"),"N/A")</f>
        <v>N/A</v>
      </c>
      <c r="M742" s="127" t="str">
        <f ca="1">IFERROR(_xll.FDS(MO.Ticker.FactSet,"P_PRICE_HIGH"&amp;"("&amp;INDEX(MO_SNA_FPStartDate,0,COLUMN())&amp;","&amp;INDEX(MO_Common_QEndDate,0,COLUMN())&amp;",,,,""PRICE"",""CLOSE"")"),"N/A")</f>
        <v>N/A</v>
      </c>
      <c r="N742" s="127" t="str">
        <f ca="1">IFERROR(_xll.FDS(MO.Ticker.FactSet,"P_PRICE_HIGH"&amp;"("&amp;INDEX(MO_SNA_FPStartDate,0,COLUMN())&amp;","&amp;INDEX(MO_Common_QEndDate,0,COLUMN())&amp;",,,,""PRICE"",""CLOSE"")"),"N/A")</f>
        <v>N/A</v>
      </c>
      <c r="O742" s="127" t="str">
        <f ca="1">IFERROR(_xll.FDS(MO.Ticker.FactSet,"P_PRICE_HIGH"&amp;"("&amp;INDEX(MO_SNA_FPStartDate,0,COLUMN())&amp;","&amp;INDEX(MO_Common_QEndDate,0,COLUMN())&amp;",,,,""PRICE"",""CLOSE"")"),"N/A")</f>
        <v>N/A</v>
      </c>
      <c r="P742" s="127" t="str">
        <f ca="1">IFERROR(_xll.FDS(MO.Ticker.FactSet,"P_PRICE_HIGH"&amp;"("&amp;INDEX(MO_SNA_FPStartDate,0,COLUMN())&amp;","&amp;INDEX(MO_Common_QEndDate,0,COLUMN())&amp;",,,,""PRICE"",""CLOSE"")"),"N/A")</f>
        <v>N/A</v>
      </c>
      <c r="Q742" s="127" t="str">
        <f ca="1">IFERROR(_xll.FDS(MO.Ticker.FactSet,"P_PRICE_HIGH"&amp;"("&amp;INDEX(MO_SNA_FPStartDate,0,COLUMN())&amp;","&amp;INDEX(MO_Common_QEndDate,0,COLUMN())&amp;",,,,""PRICE"",""CLOSE"")"),"N/A")</f>
        <v>N/A</v>
      </c>
      <c r="R742" s="127" t="str">
        <f ca="1">IFERROR(_xll.FDS(MO.Ticker.FactSet,"P_PRICE_HIGH"&amp;"("&amp;INDEX(MO_SNA_FPStartDate,0,COLUMN())&amp;","&amp;INDEX(MO_Common_QEndDate,0,COLUMN())&amp;",,,,""PRICE"",""CLOSE"")"),"N/A")</f>
        <v>N/A</v>
      </c>
      <c r="S742" s="127" t="str">
        <f ca="1">IFERROR(_xll.FDS(MO.Ticker.FactSet,"P_PRICE_HIGH"&amp;"("&amp;INDEX(MO_SNA_FPStartDate,0,COLUMN())&amp;","&amp;INDEX(MO_Common_QEndDate,0,COLUMN())&amp;",,,,""PRICE"",""CLOSE"")"),"N/A")</f>
        <v>N/A</v>
      </c>
      <c r="T742" s="127" t="str">
        <f ca="1">IFERROR(_xll.FDS(MO.Ticker.FactSet,"P_PRICE_HIGH"&amp;"("&amp;INDEX(MO_SNA_FPStartDate,0,COLUMN())&amp;","&amp;INDEX(MO_Common_QEndDate,0,COLUMN())&amp;",,,,""PRICE"",""CLOSE"")"),"N/A")</f>
        <v>N/A</v>
      </c>
      <c r="U742" s="127" t="str">
        <f ca="1">IFERROR(_xll.FDS(MO.Ticker.FactSet,"P_PRICE_HIGH"&amp;"("&amp;INDEX(MO_SNA_FPStartDate,0,COLUMN())&amp;","&amp;INDEX(MO_Common_QEndDate,0,COLUMN())&amp;",,,,""PRICE"",""CLOSE"")"),"N/A")</f>
        <v>N/A</v>
      </c>
      <c r="V742" s="127" t="str">
        <f ca="1">IFERROR(_xll.FDS(MO.Ticker.FactSet,"P_PRICE_HIGH"&amp;"("&amp;INDEX(MO_SNA_FPStartDate,0,COLUMN())&amp;","&amp;INDEX(MO_Common_QEndDate,0,COLUMN())&amp;",,,,""PRICE"",""CLOSE"")"),"N/A")</f>
        <v>N/A</v>
      </c>
      <c r="W742" s="127" t="str">
        <f ca="1">IFERROR(_xll.FDS(MO.Ticker.FactSet,"P_PRICE_HIGH"&amp;"("&amp;INDEX(MO_SNA_FPStartDate,0,COLUMN())&amp;","&amp;INDEX(MO_Common_QEndDate,0,COLUMN())&amp;",,,,""PRICE"",""CLOSE"")"),"N/A")</f>
        <v>N/A</v>
      </c>
      <c r="X742" s="127" t="str">
        <f ca="1">IFERROR(_xll.FDS(MO.Ticker.FactSet,"P_PRICE_HIGH"&amp;"("&amp;INDEX(MO_SNA_FPStartDate,0,COLUMN())&amp;","&amp;INDEX(MO_Common_QEndDate,0,COLUMN())&amp;",,,,""PRICE"",""CLOSE"")"),"N/A")</f>
        <v>N/A</v>
      </c>
      <c r="Y742" s="127" t="str">
        <f ca="1">IFERROR(_xll.FDS(MO.Ticker.FactSet,"P_PRICE_HIGH"&amp;"("&amp;INDEX(MO_SNA_FPStartDate,0,COLUMN())&amp;","&amp;INDEX(MO_Common_QEndDate,0,COLUMN())&amp;",,,,""PRICE"",""CLOSE"")"),"N/A")</f>
        <v>N/A</v>
      </c>
      <c r="Z742" s="127" t="str">
        <f ca="1">IFERROR(_xll.FDS(MO.Ticker.FactSet,"P_PRICE_HIGH"&amp;"("&amp;INDEX(MO_SNA_FPStartDate,0,COLUMN())&amp;","&amp;INDEX(MO_Common_QEndDate,0,COLUMN())&amp;",,,,""PRICE"",""CLOSE"")"),"N/A")</f>
        <v>N/A</v>
      </c>
      <c r="AA742" s="127" t="str">
        <f ca="1">IFERROR(_xll.FDS(MO.Ticker.FactSet,"P_PRICE_HIGH"&amp;"("&amp;INDEX(MO_SNA_FPStartDate,0,COLUMN())&amp;","&amp;INDEX(MO_Common_QEndDate,0,COLUMN())&amp;",,,,""PRICE"",""CLOSE"")"),"N/A")</f>
        <v>N/A</v>
      </c>
      <c r="AB742" s="127" t="str">
        <f ca="1">IFERROR(_xll.FDS(MO.Ticker.FactSet,"P_PRICE_HIGH"&amp;"("&amp;INDEX(MO_SNA_FPStartDate,0,COLUMN())&amp;","&amp;INDEX(MO_Common_QEndDate,0,COLUMN())&amp;",,,,""PRICE"",""CLOSE"")"),"N/A")</f>
        <v>N/A</v>
      </c>
      <c r="AC742" s="127" t="str">
        <f ca="1">IFERROR(_xll.FDS(MO.Ticker.FactSet,"P_PRICE_HIGH"&amp;"("&amp;INDEX(MO_SNA_FPStartDate,0,COLUMN())&amp;","&amp;INDEX(MO_Common_QEndDate,0,COLUMN())&amp;",,,,""PRICE"",""CLOSE"")"),"N/A")</f>
        <v>N/A</v>
      </c>
      <c r="AD742" s="127" t="str">
        <f ca="1">IFERROR(_xll.FDS(MO.Ticker.FactSet,"P_PRICE_HIGH"&amp;"("&amp;INDEX(MO_SNA_FPStartDate,0,COLUMN())&amp;","&amp;INDEX(MO_Common_QEndDate,0,COLUMN())&amp;",,,,""PRICE"",""CLOSE"")"),"N/A")</f>
        <v>N/A</v>
      </c>
      <c r="AE742" s="127" t="str">
        <f ca="1">IFERROR(_xll.FDS(MO.Ticker.FactSet,"P_PRICE_HIGH"&amp;"("&amp;INDEX(MO_SNA_FPStartDate,0,COLUMN())&amp;","&amp;INDEX(MO_Common_QEndDate,0,COLUMN())&amp;",,,,""PRICE"",""CLOSE"")"),"N/A")</f>
        <v>N/A</v>
      </c>
      <c r="AF742" s="127" t="str">
        <f ca="1">IFERROR(_xll.FDS(MO.Ticker.FactSet,"P_PRICE_HIGH"&amp;"("&amp;INDEX(MO_SNA_FPStartDate,0,COLUMN())&amp;","&amp;INDEX(MO_Common_QEndDate,0,COLUMN())&amp;",,,,""PRICE"",""CLOSE"")"),"N/A")</f>
        <v>N/A</v>
      </c>
      <c r="AG742" s="127" t="str">
        <f ca="1">IFERROR(_xll.FDS(MO.Ticker.FactSet,"P_PRICE_HIGH"&amp;"("&amp;INDEX(MO_SNA_FPStartDate,0,COLUMN())&amp;","&amp;INDEX(MO_Common_QEndDate,0,COLUMN())&amp;",,,,""PRICE"",""CLOSE"")"),"N/A")</f>
        <v>N/A</v>
      </c>
      <c r="AH742" s="127" t="str">
        <f ca="1">IFERROR(_xll.FDS(MO.Ticker.FactSet,"P_PRICE_HIGH"&amp;"("&amp;INDEX(MO_SNA_FPStartDate,0,COLUMN())&amp;","&amp;INDEX(MO_Common_QEndDate,0,COLUMN())&amp;",,,,""PRICE"",""CLOSE"")"),"N/A")</f>
        <v>N/A</v>
      </c>
      <c r="AI742" s="127" t="str">
        <f ca="1">IFERROR(_xll.FDS(MO.Ticker.FactSet,"P_PRICE_HIGH"&amp;"("&amp;INDEX(MO_SNA_FPStartDate,0,COLUMN())&amp;","&amp;INDEX(MO_Common_QEndDate,0,COLUMN())&amp;",,,,""PRICE"",""CLOSE"")"),"N/A")</f>
        <v>N/A</v>
      </c>
      <c r="AJ742" s="127" t="str">
        <f ca="1">IFERROR(_xll.FDS(MO.Ticker.FactSet,"P_PRICE_HIGH"&amp;"("&amp;INDEX(MO_SNA_FPStartDate,0,COLUMN())&amp;","&amp;INDEX(MO_Common_QEndDate,0,COLUMN())&amp;",,,,""PRICE"",""CLOSE"")"),"N/A")</f>
        <v>N/A</v>
      </c>
      <c r="AK742" s="127" t="str">
        <f ca="1">IFERROR(_xll.FDS(MO.Ticker.FactSet,"P_PRICE_HIGH"&amp;"("&amp;INDEX(MO_SNA_FPStartDate,0,COLUMN())&amp;","&amp;INDEX(MO_Common_QEndDate,0,COLUMN())&amp;",,,,""PRICE"",""CLOSE"")"),"N/A")</f>
        <v>N/A</v>
      </c>
      <c r="AL742" s="127" t="str">
        <f ca="1">IFERROR(_xll.FDS(MO.Ticker.FactSet,"P_PRICE_HIGH"&amp;"("&amp;INDEX(MO_SNA_FPStartDate,0,COLUMN())&amp;","&amp;INDEX(MO_Common_QEndDate,0,COLUMN())&amp;",,,,""PRICE"",""CLOSE"")"),"N/A")</f>
        <v>N/A</v>
      </c>
      <c r="AM742" s="127" t="str">
        <f ca="1">IFERROR(_xll.FDS(MO.Ticker.FactSet,"P_PRICE_HIGH"&amp;"("&amp;INDEX(MO_SNA_FPStartDate,0,COLUMN())&amp;","&amp;INDEX(MO_Common_QEndDate,0,COLUMN())&amp;",,,,""PRICE"",""CLOSE"")"),"N/A")</f>
        <v>N/A</v>
      </c>
      <c r="AN742" s="127" t="str">
        <f ca="1">IFERROR(_xll.FDS(MO.Ticker.FactSet,"P_PRICE_HIGH"&amp;"("&amp;INDEX(MO_SNA_FPStartDate,0,COLUMN())&amp;","&amp;INDEX(MO_Common_QEndDate,0,COLUMN())&amp;",,,,""PRICE"",""CLOSE"")"),"N/A")</f>
        <v>N/A</v>
      </c>
      <c r="AO742" s="127" t="str">
        <f ca="1">IFERROR(_xll.FDS(MO.Ticker.FactSet,"P_PRICE_HIGH"&amp;"("&amp;INDEX(MO_SNA_FPStartDate,0,COLUMN())&amp;","&amp;INDEX(MO_Common_QEndDate,0,COLUMN())&amp;",,,,""PRICE"",""CLOSE"")"),"N/A")</f>
        <v>N/A</v>
      </c>
      <c r="AP742" s="127" t="str">
        <f ca="1">IFERROR(_xll.FDS(MO.Ticker.FactSet,"P_PRICE_HIGH"&amp;"("&amp;INDEX(MO_SNA_FPStartDate,0,COLUMN())&amp;","&amp;INDEX(MO_Common_QEndDate,0,COLUMN())&amp;",,,,""PRICE"",""CLOSE"")"),"N/A")</f>
        <v>N/A</v>
      </c>
      <c r="AQ742" s="127" t="str">
        <f ca="1">IFERROR(_xll.FDS(MO.Ticker.FactSet,"P_PRICE_HIGH"&amp;"("&amp;INDEX(MO_SNA_FPStartDate,0,COLUMN())&amp;","&amp;INDEX(MO_Common_QEndDate,0,COLUMN())&amp;",,,,""PRICE"",""CLOSE"")"),"N/A")</f>
        <v>N/A</v>
      </c>
      <c r="AR742" s="127" t="str">
        <f ca="1">IFERROR(_xll.FDS(MO.Ticker.FactSet,"P_PRICE_HIGH"&amp;"("&amp;INDEX(MO_SNA_FPStartDate,0,COLUMN())&amp;","&amp;INDEX(MO_Common_QEndDate,0,COLUMN())&amp;",,,,""PRICE"",""CLOSE"")"),"N/A")</f>
        <v>N/A</v>
      </c>
      <c r="AS742" s="127" t="str">
        <f ca="1">IFERROR(_xll.FDS(MO.Ticker.FactSet,"P_PRICE_HIGH"&amp;"("&amp;INDEX(MO_SNA_FPStartDate,0,COLUMN())&amp;","&amp;INDEX(MO_Common_QEndDate,0,COLUMN())&amp;",,,,""PRICE"",""CLOSE"")"),"N/A")</f>
        <v>N/A</v>
      </c>
      <c r="AT742" s="127" t="str">
        <f ca="1">IFERROR(_xll.FDS(MO.Ticker.FactSet,"P_PRICE_HIGH"&amp;"("&amp;INDEX(MO_SNA_FPStartDate,0,COLUMN())&amp;","&amp;INDEX(MO_Common_QEndDate,0,COLUMN())&amp;",,,,""PRICE"",""CLOSE"")"),"N/A")</f>
        <v>N/A</v>
      </c>
      <c r="AU742" s="127" t="str">
        <f ca="1">IFERROR(_xll.FDS(MO.Ticker.FactSet,"P_PRICE_HIGH"&amp;"("&amp;INDEX(MO_SNA_FPStartDate,0,COLUMN())&amp;","&amp;INDEX(MO_Common_QEndDate,0,COLUMN())&amp;",,,,""PRICE"",""CLOSE"")"),"N/A")</f>
        <v>N/A</v>
      </c>
      <c r="AV742" s="127" t="str">
        <f ca="1">IFERROR(_xll.FDS(MO.Ticker.FactSet,"P_PRICE_HIGH"&amp;"("&amp;INDEX(MO_SNA_FPStartDate,0,COLUMN())&amp;","&amp;INDEX(MO_Common_QEndDate,0,COLUMN())&amp;",,,,""PRICE"",""CLOSE"")"),"N/A")</f>
        <v>N/A</v>
      </c>
      <c r="AW742" s="127" t="str">
        <f ca="1">IFERROR(_xll.FDS(MO.Ticker.FactSet,"P_PRICE_HIGH"&amp;"("&amp;INDEX(MO_SNA_FPStartDate,0,COLUMN())&amp;","&amp;INDEX(MO_Common_QEndDate,0,COLUMN())&amp;",,,,""PRICE"",""CLOSE"")"),"N/A")</f>
        <v>N/A</v>
      </c>
      <c r="AX742" s="127" t="str">
        <f ca="1">IFERROR(_xll.FDS(MO.Ticker.FactSet,"P_PRICE_HIGH"&amp;"("&amp;INDEX(MO_SNA_FPStartDate,0,COLUMN())&amp;","&amp;INDEX(MO_Common_QEndDate,0,COLUMN())&amp;",,,,""PRICE"",""CLOSE"")"),"N/A")</f>
        <v>N/A</v>
      </c>
      <c r="AY742" s="127" t="str">
        <f ca="1">IFERROR(_xll.FDS(MO.Ticker.FactSet,"P_PRICE_HIGH"&amp;"("&amp;INDEX(MO_SNA_FPStartDate,0,COLUMN())&amp;","&amp;INDEX(MO_Common_QEndDate,0,COLUMN())&amp;",,,,""PRICE"",""CLOSE"")"),"N/A")</f>
        <v>N/A</v>
      </c>
      <c r="AZ742" s="127" t="str">
        <f ca="1">IFERROR(_xll.FDS(MO.Ticker.FactSet,"P_PRICE_HIGH"&amp;"("&amp;INDEX(MO_SNA_FPStartDate,0,COLUMN())&amp;","&amp;INDEX(MO_Common_QEndDate,0,COLUMN())&amp;",,,,""PRICE"",""CLOSE"")"),"N/A")</f>
        <v>N/A</v>
      </c>
      <c r="BA742" s="127" t="str">
        <f ca="1">IFERROR(_xll.FDS(MO.Ticker.FactSet,"P_PRICE_HIGH"&amp;"("&amp;INDEX(MO_SNA_FPStartDate,0,COLUMN())&amp;","&amp;INDEX(MO_Common_QEndDate,0,COLUMN())&amp;",,,,""PRICE"",""CLOSE"")"),"N/A")</f>
        <v>N/A</v>
      </c>
      <c r="BB742" s="127" t="str">
        <f ca="1">IFERROR(_xll.FDS(MO.Ticker.FactSet,"P_PRICE_HIGH"&amp;"("&amp;INDEX(MO_SNA_FPStartDate,0,COLUMN())&amp;","&amp;INDEX(MO_Common_QEndDate,0,COLUMN())&amp;",,,,""PRICE"",""CLOSE"")"),"N/A")</f>
        <v>N/A</v>
      </c>
      <c r="BC742" s="127" t="str">
        <f ca="1">IFERROR(_xll.FDS(MO.Ticker.FactSet,"P_PRICE_HIGH"&amp;"("&amp;INDEX(MO_SNA_FPStartDate,0,COLUMN())&amp;","&amp;INDEX(MO_Common_QEndDate,0,COLUMN())&amp;",,,,""PRICE"",""CLOSE"")"),"N/A")</f>
        <v>N/A</v>
      </c>
      <c r="BD742" s="127" t="str">
        <f ca="1">IFERROR(_xll.FDS(MO.Ticker.FactSet,"P_PRICE_HIGH"&amp;"("&amp;INDEX(MO_SNA_FPStartDate,0,COLUMN())&amp;","&amp;INDEX(MO_Common_QEndDate,0,COLUMN())&amp;",,,,""PRICE"",""CLOSE"")"),"N/A")</f>
        <v>N/A</v>
      </c>
      <c r="BE742" s="127" t="str">
        <f ca="1">IFERROR(_xll.FDS(MO.Ticker.FactSet,"P_PRICE_HIGH"&amp;"("&amp;INDEX(MO_SNA_FPStartDate,0,COLUMN())&amp;","&amp;INDEX(MO_Common_QEndDate,0,COLUMN())&amp;",,,,""PRICE"",""CLOSE"")"),"N/A")</f>
        <v>N/A</v>
      </c>
      <c r="BF742" s="127" t="str">
        <f ca="1">IFERROR(_xll.FDS(MO.Ticker.FactSet,"P_PRICE_HIGH"&amp;"("&amp;INDEX(MO_SNA_FPStartDate,0,COLUMN())&amp;","&amp;INDEX(MO_Common_QEndDate,0,COLUMN())&amp;",,,,""PRICE"",""CLOSE"")"),"N/A")</f>
        <v>N/A</v>
      </c>
      <c r="BG742" s="127" t="str">
        <f ca="1">IFERROR(_xll.FDS(MO.Ticker.FactSet,"P_PRICE_HIGH"&amp;"("&amp;INDEX(MO_SNA_FPStartDate,0,COLUMN())&amp;","&amp;INDEX(MO_Common_QEndDate,0,COLUMN())&amp;",,,,""PRICE"",""CLOSE"")"),"N/A")</f>
        <v>N/A</v>
      </c>
      <c r="BH742" s="127" t="str">
        <f ca="1">IFERROR(_xll.FDS(MO.Ticker.FactSet,"P_PRICE_HIGH"&amp;"("&amp;INDEX(MO_SNA_FPStartDate,0,COLUMN())&amp;","&amp;INDEX(MO_Common_QEndDate,0,COLUMN())&amp;",,,,""PRICE"",""CLOSE"")"),"N/A")</f>
        <v>N/A</v>
      </c>
      <c r="BI742" s="127" t="str">
        <f ca="1">IFERROR(_xll.FDS(MO.Ticker.FactSet,"P_PRICE_HIGH"&amp;"("&amp;INDEX(MO_SNA_FPStartDate,0,COLUMN())&amp;","&amp;INDEX(MO_Common_QEndDate,0,COLUMN())&amp;",,,,""PRICE"",""CLOSE"")"),"N/A")</f>
        <v>N/A</v>
      </c>
      <c r="BJ742" s="127" t="str">
        <f ca="1">IFERROR(_xll.FDS(MO.Ticker.FactSet,"P_PRICE_HIGH"&amp;"("&amp;INDEX(MO_SNA_FPStartDate,0,COLUMN())&amp;","&amp;INDEX(MO_Common_QEndDate,0,COLUMN())&amp;",,,,""PRICE"",""CLOSE"")"),"N/A")</f>
        <v>N/A</v>
      </c>
      <c r="BK742" s="127" t="str">
        <f ca="1">IFERROR(_xll.FDS(MO.Ticker.FactSet,"P_PRICE_HIGH"&amp;"("&amp;INDEX(MO_SNA_FPStartDate,0,COLUMN())&amp;","&amp;INDEX(MO_Common_QEndDate,0,COLUMN())&amp;",,,,""PRICE"",""CLOSE"")"),"N/A")</f>
        <v>N/A</v>
      </c>
      <c r="BL742" s="169" t="str">
        <f ca="1">IFERROR(_xll.FDS(MO.Ticker.FactSet,"P_PRICE_HIGH"&amp;"("&amp;INDEX(MO_SNA_FPStartDate,0,COLUMN())&amp;","&amp;INDEX(MO_Common_QEndDate,0,COLUMN())&amp;",,,,""PRICE"",""CLOSE"")"),"N/A")</f>
        <v>N/A</v>
      </c>
      <c r="BM742" s="127" t="str">
        <f ca="1">IFERROR(_xll.FDS(MO.Ticker.FactSet,"P_PRICE_HIGH"&amp;"("&amp;INDEX(MO_SNA_FPStartDate,0,COLUMN())&amp;","&amp;INDEX(MO_Common_QEndDate,0,COLUMN())&amp;",,,,""PRICE"",""CLOSE"")"),"N/A")</f>
        <v>N/A</v>
      </c>
      <c r="BN742" s="127" t="str">
        <f ca="1">IFERROR(_xll.FDS(MO.Ticker.FactSet,"P_PRICE_HIGH"&amp;"("&amp;INDEX(MO_SNA_FPStartDate,0,COLUMN())&amp;","&amp;INDEX(MO_Common_QEndDate,0,COLUMN())&amp;",,,,""PRICE"",""CLOSE"")"),"N/A")</f>
        <v>N/A</v>
      </c>
      <c r="BO742" s="127" t="str">
        <f ca="1">IFERROR(_xll.FDS(MO.Ticker.FactSet,"P_PRICE_HIGH"&amp;"("&amp;INDEX(MO_SNA_FPStartDate,0,COLUMN())&amp;","&amp;INDEX(MO_Common_QEndDate,0,COLUMN())&amp;",,,,""PRICE"",""CLOSE"")"),"N/A")</f>
        <v>N/A</v>
      </c>
      <c r="BP742" s="127" t="str">
        <f ca="1">IFERROR(_xll.FDS(MO.Ticker.FactSet,"P_PRICE_HIGH"&amp;"("&amp;INDEX(MO_SNA_FPStartDate,0,COLUMN())&amp;","&amp;INDEX(MO_Common_QEndDate,0,COLUMN())&amp;",,,,""PRICE"",""CLOSE"")"),"N/A")</f>
        <v>N/A</v>
      </c>
      <c r="BQ742" s="127" t="str">
        <f ca="1">IFERROR(_xll.FDS(MO.Ticker.FactSet,"P_PRICE_HIGH"&amp;"("&amp;INDEX(MO_SNA_FPStartDate,0,COLUMN())&amp;","&amp;INDEX(MO_Common_QEndDate,0,COLUMN())&amp;",,,,""PRICE"",""CLOSE"")"),"N/A")</f>
        <v>N/A</v>
      </c>
      <c r="BR742" s="127" t="str">
        <f ca="1">IFERROR(_xll.FDS(MO.Ticker.FactSet,"P_PRICE_HIGH"&amp;"("&amp;INDEX(MO_SNA_FPStartDate,0,COLUMN())&amp;","&amp;INDEX(MO_Common_QEndDate,0,COLUMN())&amp;",,,,""PRICE"",""CLOSE"")"),"N/A")</f>
        <v>N/A</v>
      </c>
      <c r="BS742" s="127" t="str">
        <f ca="1">IFERROR(_xll.FDS(MO.Ticker.FactSet,"P_PRICE_HIGH"&amp;"("&amp;INDEX(MO_SNA_FPStartDate,0,COLUMN())&amp;","&amp;INDEX(MO_Common_QEndDate,0,COLUMN())&amp;",,,,""PRICE"",""CLOSE"")"),"N/A")</f>
        <v>N/A</v>
      </c>
      <c r="BT742" s="127" t="str">
        <f ca="1">IFERROR(_xll.FDS(MO.Ticker.FactSet,"P_PRICE_HIGH"&amp;"("&amp;INDEX(MO_SNA_FPStartDate,0,COLUMN())&amp;","&amp;INDEX(MO_Common_QEndDate,0,COLUMN())&amp;",,,,""PRICE"",""CLOSE"")"),"N/A")</f>
        <v>N/A</v>
      </c>
      <c r="BU742" s="127" t="str">
        <f ca="1">IFERROR(_xll.FDS(MO.Ticker.FactSet,"P_PRICE_HIGH"&amp;"("&amp;INDEX(MO_SNA_FPStartDate,0,COLUMN())&amp;","&amp;INDEX(MO_Common_QEndDate,0,COLUMN())&amp;",,,,""PRICE"",""CLOSE"")"),"N/A")</f>
        <v>N/A</v>
      </c>
      <c r="BV742" s="159" t="str">
        <f ca="1">IFERROR(_xll.FDS(MO.Ticker.FactSet,"P_PRICE_HIGH"&amp;"("&amp;INDEX(MO_SNA_FPStartDate,0,COLUMN())&amp;","&amp;INDEX(MO_Common_QEndDate,0,COLUMN())&amp;",,,,""PRICE"",""CLOSE"")"),"N/A")</f>
        <v>N/A</v>
      </c>
      <c r="BW742" s="128"/>
    </row>
    <row r="743" spans="1:75" s="476" customFormat="1" hidden="1" outlineLevel="1">
      <c r="A743" s="160" t="s">
        <v>612</v>
      </c>
      <c r="B743" s="127"/>
      <c r="C743" s="549" t="str">
        <f>IFERROR(_xll.TR(MO.Ticker.Thomson,"MAX(TR.Pricehigh)","sdate:#1 edate:#2",,INDEX(MO_SNA_FPStartDate,0,COLUMN()),INDEX(MO_Common_QEndDate,0,COLUMN())),"N/A")</f>
        <v>Not Signed In</v>
      </c>
      <c r="D743" s="549" t="str">
        <f>IFERROR(_xll.TR(MO.Ticker.Thomson,"MAX(TR.Pricehigh)","sdate:#1 edate:#2",,INDEX(MO_SNA_FPStartDate,0,COLUMN()),INDEX(MO_Common_QEndDate,0,COLUMN())),"N/A")</f>
        <v>Not Signed In</v>
      </c>
      <c r="E743" s="549" t="str">
        <f>IFERROR(_xll.TR(MO.Ticker.Thomson,"MAX(TR.Pricehigh)","sdate:#1 edate:#2",,INDEX(MO_SNA_FPStartDate,0,COLUMN()),INDEX(MO_Common_QEndDate,0,COLUMN())),"N/A")</f>
        <v>Not Signed In</v>
      </c>
      <c r="F743" s="549" t="str">
        <f>IFERROR(_xll.TR(MO.Ticker.Thomson,"MAX(TR.Pricehigh)","sdate:#1 edate:#2",,INDEX(MO_SNA_FPStartDate,0,COLUMN()),INDEX(MO_Common_QEndDate,0,COLUMN())),"N/A")</f>
        <v>Not Signed In</v>
      </c>
      <c r="G743" s="549" t="str">
        <f>IFERROR(_xll.TR(MO.Ticker.Thomson,"MAX(TR.Pricehigh)","sdate:#1 edate:#2",,INDEX(MO_SNA_FPStartDate,0,COLUMN()),INDEX(MO_Common_QEndDate,0,COLUMN())),"N/A")</f>
        <v>Not Signed In</v>
      </c>
      <c r="H743" s="127" t="str">
        <f>IFERROR(_xll.TR(MO.Ticker.Thomson,"MAX(TR.Pricehigh)","sdate:#1 edate:#2",,INDEX(MO_SNA_FPStartDate,0,COLUMN()),INDEX(MO_Common_QEndDate,0,COLUMN())),"N/A")</f>
        <v>Not Signed In</v>
      </c>
      <c r="I743" s="127" t="str">
        <f>IFERROR(_xll.TR(MO.Ticker.Thomson,"MAX(TR.Pricehigh)","sdate:#1 edate:#2",,INDEX(MO_SNA_FPStartDate,0,COLUMN()),INDEX(MO_Common_QEndDate,0,COLUMN())),"N/A")</f>
        <v>Not Signed In</v>
      </c>
      <c r="J743" s="127" t="str">
        <f>IFERROR(_xll.TR(MO.Ticker.Thomson,"MAX(TR.Pricehigh)","sdate:#1 edate:#2",,INDEX(MO_SNA_FPStartDate,0,COLUMN()),INDEX(MO_Common_QEndDate,0,COLUMN())),"N/A")</f>
        <v>Not Signed In</v>
      </c>
      <c r="K743" s="127" t="str">
        <f>IFERROR(_xll.TR(MO.Ticker.Thomson,"MAX(TR.Pricehigh)","sdate:#1 edate:#2",,INDEX(MO_SNA_FPStartDate,0,COLUMN()),INDEX(MO_Common_QEndDate,0,COLUMN())),"N/A")</f>
        <v>Not Signed In</v>
      </c>
      <c r="L743" s="127" t="str">
        <f>IFERROR(_xll.TR(MO.Ticker.Thomson,"MAX(TR.Pricehigh)","sdate:#1 edate:#2",,INDEX(MO_SNA_FPStartDate,0,COLUMN()),INDEX(MO_Common_QEndDate,0,COLUMN())),"N/A")</f>
        <v>Not Signed In</v>
      </c>
      <c r="M743" s="127" t="str">
        <f>IFERROR(_xll.TR(MO.Ticker.Thomson,"MAX(TR.Pricehigh)","sdate:#1 edate:#2",,INDEX(MO_SNA_FPStartDate,0,COLUMN()),INDEX(MO_Common_QEndDate,0,COLUMN())),"N/A")</f>
        <v>Not Signed In</v>
      </c>
      <c r="N743" s="127" t="str">
        <f>IFERROR(_xll.TR(MO.Ticker.Thomson,"MAX(TR.Pricehigh)","sdate:#1 edate:#2",,INDEX(MO_SNA_FPStartDate,0,COLUMN()),INDEX(MO_Common_QEndDate,0,COLUMN())),"N/A")</f>
        <v>Not Signed In</v>
      </c>
      <c r="O743" s="127" t="str">
        <f>IFERROR(_xll.TR(MO.Ticker.Thomson,"MAX(TR.Pricehigh)","sdate:#1 edate:#2",,INDEX(MO_SNA_FPStartDate,0,COLUMN()),INDEX(MO_Common_QEndDate,0,COLUMN())),"N/A")</f>
        <v>Not Signed In</v>
      </c>
      <c r="P743" s="127" t="str">
        <f>IFERROR(_xll.TR(MO.Ticker.Thomson,"MAX(TR.Pricehigh)","sdate:#1 edate:#2",,INDEX(MO_SNA_FPStartDate,0,COLUMN()),INDEX(MO_Common_QEndDate,0,COLUMN())),"N/A")</f>
        <v>Not Signed In</v>
      </c>
      <c r="Q743" s="127" t="str">
        <f>IFERROR(_xll.TR(MO.Ticker.Thomson,"MAX(TR.Pricehigh)","sdate:#1 edate:#2",,INDEX(MO_SNA_FPStartDate,0,COLUMN()),INDEX(MO_Common_QEndDate,0,COLUMN())),"N/A")</f>
        <v>Not Signed In</v>
      </c>
      <c r="R743" s="127" t="str">
        <f>IFERROR(_xll.TR(MO.Ticker.Thomson,"MAX(TR.Pricehigh)","sdate:#1 edate:#2",,INDEX(MO_SNA_FPStartDate,0,COLUMN()),INDEX(MO_Common_QEndDate,0,COLUMN())),"N/A")</f>
        <v>Not Signed In</v>
      </c>
      <c r="S743" s="127" t="str">
        <f>IFERROR(_xll.TR(MO.Ticker.Thomson,"MAX(TR.Pricehigh)","sdate:#1 edate:#2",,INDEX(MO_SNA_FPStartDate,0,COLUMN()),INDEX(MO_Common_QEndDate,0,COLUMN())),"N/A")</f>
        <v>Not Signed In</v>
      </c>
      <c r="T743" s="127" t="str">
        <f>IFERROR(_xll.TR(MO.Ticker.Thomson,"MAX(TR.Pricehigh)","sdate:#1 edate:#2",,INDEX(MO_SNA_FPStartDate,0,COLUMN()),INDEX(MO_Common_QEndDate,0,COLUMN())),"N/A")</f>
        <v>Not Signed In</v>
      </c>
      <c r="U743" s="127" t="str">
        <f>IFERROR(_xll.TR(MO.Ticker.Thomson,"MAX(TR.Pricehigh)","sdate:#1 edate:#2",,INDEX(MO_SNA_FPStartDate,0,COLUMN()),INDEX(MO_Common_QEndDate,0,COLUMN())),"N/A")</f>
        <v>Not Signed In</v>
      </c>
      <c r="V743" s="127" t="str">
        <f>IFERROR(_xll.TR(MO.Ticker.Thomson,"MAX(TR.Pricehigh)","sdate:#1 edate:#2",,INDEX(MO_SNA_FPStartDate,0,COLUMN()),INDEX(MO_Common_QEndDate,0,COLUMN())),"N/A")</f>
        <v>Not Signed In</v>
      </c>
      <c r="W743" s="127" t="str">
        <f>IFERROR(_xll.TR(MO.Ticker.Thomson,"MAX(TR.Pricehigh)","sdate:#1 edate:#2",,INDEX(MO_SNA_FPStartDate,0,COLUMN()),INDEX(MO_Common_QEndDate,0,COLUMN())),"N/A")</f>
        <v>Not Signed In</v>
      </c>
      <c r="X743" s="127" t="str">
        <f>IFERROR(_xll.TR(MO.Ticker.Thomson,"MAX(TR.Pricehigh)","sdate:#1 edate:#2",,INDEX(MO_SNA_FPStartDate,0,COLUMN()),INDEX(MO_Common_QEndDate,0,COLUMN())),"N/A")</f>
        <v>Not Signed In</v>
      </c>
      <c r="Y743" s="127" t="str">
        <f>IFERROR(_xll.TR(MO.Ticker.Thomson,"MAX(TR.Pricehigh)","sdate:#1 edate:#2",,INDEX(MO_SNA_FPStartDate,0,COLUMN()),INDEX(MO_Common_QEndDate,0,COLUMN())),"N/A")</f>
        <v>Not Signed In</v>
      </c>
      <c r="Z743" s="127" t="str">
        <f>IFERROR(_xll.TR(MO.Ticker.Thomson,"MAX(TR.Pricehigh)","sdate:#1 edate:#2",,INDEX(MO_SNA_FPStartDate,0,COLUMN()),INDEX(MO_Common_QEndDate,0,COLUMN())),"N/A")</f>
        <v>Not Signed In</v>
      </c>
      <c r="AA743" s="127" t="str">
        <f>IFERROR(_xll.TR(MO.Ticker.Thomson,"MAX(TR.Pricehigh)","sdate:#1 edate:#2",,INDEX(MO_SNA_FPStartDate,0,COLUMN()),INDEX(MO_Common_QEndDate,0,COLUMN())),"N/A")</f>
        <v>Not Signed In</v>
      </c>
      <c r="AB743" s="127" t="str">
        <f>IFERROR(_xll.TR(MO.Ticker.Thomson,"MAX(TR.Pricehigh)","sdate:#1 edate:#2",,INDEX(MO_SNA_FPStartDate,0,COLUMN()),INDEX(MO_Common_QEndDate,0,COLUMN())),"N/A")</f>
        <v>Not Signed In</v>
      </c>
      <c r="AC743" s="127" t="str">
        <f>IFERROR(_xll.TR(MO.Ticker.Thomson,"MAX(TR.Pricehigh)","sdate:#1 edate:#2",,INDEX(MO_SNA_FPStartDate,0,COLUMN()),INDEX(MO_Common_QEndDate,0,COLUMN())),"N/A")</f>
        <v>Not Signed In</v>
      </c>
      <c r="AD743" s="127" t="str">
        <f>IFERROR(_xll.TR(MO.Ticker.Thomson,"MAX(TR.Pricehigh)","sdate:#1 edate:#2",,INDEX(MO_SNA_FPStartDate,0,COLUMN()),INDEX(MO_Common_QEndDate,0,COLUMN())),"N/A")</f>
        <v>Not Signed In</v>
      </c>
      <c r="AE743" s="127" t="str">
        <f>IFERROR(_xll.TR(MO.Ticker.Thomson,"MAX(TR.Pricehigh)","sdate:#1 edate:#2",,INDEX(MO_SNA_FPStartDate,0,COLUMN()),INDEX(MO_Common_QEndDate,0,COLUMN())),"N/A")</f>
        <v>Not Signed In</v>
      </c>
      <c r="AF743" s="127" t="str">
        <f>IFERROR(_xll.TR(MO.Ticker.Thomson,"MAX(TR.Pricehigh)","sdate:#1 edate:#2",,INDEX(MO_SNA_FPStartDate,0,COLUMN()),INDEX(MO_Common_QEndDate,0,COLUMN())),"N/A")</f>
        <v>Not Signed In</v>
      </c>
      <c r="AG743" s="127" t="str">
        <f>IFERROR(_xll.TR(MO.Ticker.Thomson,"MAX(TR.Pricehigh)","sdate:#1 edate:#2",,INDEX(MO_SNA_FPStartDate,0,COLUMN()),INDEX(MO_Common_QEndDate,0,COLUMN())),"N/A")</f>
        <v>Not Signed In</v>
      </c>
      <c r="AH743" s="127" t="str">
        <f>IFERROR(_xll.TR(MO.Ticker.Thomson,"MAX(TR.Pricehigh)","sdate:#1 edate:#2",,INDEX(MO_SNA_FPStartDate,0,COLUMN()),INDEX(MO_Common_QEndDate,0,COLUMN())),"N/A")</f>
        <v>Not Signed In</v>
      </c>
      <c r="AI743" s="127" t="str">
        <f>IFERROR(_xll.TR(MO.Ticker.Thomson,"MAX(TR.Pricehigh)","sdate:#1 edate:#2",,INDEX(MO_SNA_FPStartDate,0,COLUMN()),INDEX(MO_Common_QEndDate,0,COLUMN())),"N/A")</f>
        <v>Not Signed In</v>
      </c>
      <c r="AJ743" s="127" t="str">
        <f>IFERROR(_xll.TR(MO.Ticker.Thomson,"MAX(TR.Pricehigh)","sdate:#1 edate:#2",,INDEX(MO_SNA_FPStartDate,0,COLUMN()),INDEX(MO_Common_QEndDate,0,COLUMN())),"N/A")</f>
        <v>Not Signed In</v>
      </c>
      <c r="AK743" s="127" t="str">
        <f>IFERROR(_xll.TR(MO.Ticker.Thomson,"MAX(TR.Pricehigh)","sdate:#1 edate:#2",,INDEX(MO_SNA_FPStartDate,0,COLUMN()),INDEX(MO_Common_QEndDate,0,COLUMN())),"N/A")</f>
        <v>Not Signed In</v>
      </c>
      <c r="AL743" s="127" t="str">
        <f>IFERROR(_xll.TR(MO.Ticker.Thomson,"MAX(TR.Pricehigh)","sdate:#1 edate:#2",,INDEX(MO_SNA_FPStartDate,0,COLUMN()),INDEX(MO_Common_QEndDate,0,COLUMN())),"N/A")</f>
        <v>Not Signed In</v>
      </c>
      <c r="AM743" s="127" t="str">
        <f>IFERROR(_xll.TR(MO.Ticker.Thomson,"MAX(TR.Pricehigh)","sdate:#1 edate:#2",,INDEX(MO_SNA_FPStartDate,0,COLUMN()),INDEX(MO_Common_QEndDate,0,COLUMN())),"N/A")</f>
        <v>Not Signed In</v>
      </c>
      <c r="AN743" s="127" t="str">
        <f>IFERROR(_xll.TR(MO.Ticker.Thomson,"MAX(TR.Pricehigh)","sdate:#1 edate:#2",,INDEX(MO_SNA_FPStartDate,0,COLUMN()),INDEX(MO_Common_QEndDate,0,COLUMN())),"N/A")</f>
        <v>Not Signed In</v>
      </c>
      <c r="AO743" s="127" t="str">
        <f>IFERROR(_xll.TR(MO.Ticker.Thomson,"MAX(TR.Pricehigh)","sdate:#1 edate:#2",,INDEX(MO_SNA_FPStartDate,0,COLUMN()),INDEX(MO_Common_QEndDate,0,COLUMN())),"N/A")</f>
        <v>Not Signed In</v>
      </c>
      <c r="AP743" s="127" t="str">
        <f>IFERROR(_xll.TR(MO.Ticker.Thomson,"MAX(TR.Pricehigh)","sdate:#1 edate:#2",,INDEX(MO_SNA_FPStartDate,0,COLUMN()),INDEX(MO_Common_QEndDate,0,COLUMN())),"N/A")</f>
        <v>Not Signed In</v>
      </c>
      <c r="AQ743" s="127" t="str">
        <f>IFERROR(_xll.TR(MO.Ticker.Thomson,"MAX(TR.Pricehigh)","sdate:#1 edate:#2",,INDEX(MO_SNA_FPStartDate,0,COLUMN()),INDEX(MO_Common_QEndDate,0,COLUMN())),"N/A")</f>
        <v>Not Signed In</v>
      </c>
      <c r="AR743" s="127" t="str">
        <f>IFERROR(_xll.TR(MO.Ticker.Thomson,"MAX(TR.Pricehigh)","sdate:#1 edate:#2",,INDEX(MO_SNA_FPStartDate,0,COLUMN()),INDEX(MO_Common_QEndDate,0,COLUMN())),"N/A")</f>
        <v>Not Signed In</v>
      </c>
      <c r="AS743" s="127" t="str">
        <f>IFERROR(_xll.TR(MO.Ticker.Thomson,"MAX(TR.Pricehigh)","sdate:#1 edate:#2",,INDEX(MO_SNA_FPStartDate,0,COLUMN()),INDEX(MO_Common_QEndDate,0,COLUMN())),"N/A")</f>
        <v>Not Signed In</v>
      </c>
      <c r="AT743" s="127" t="str">
        <f>IFERROR(_xll.TR(MO.Ticker.Thomson,"MAX(TR.Pricehigh)","sdate:#1 edate:#2",,INDEX(MO_SNA_FPStartDate,0,COLUMN()),INDEX(MO_Common_QEndDate,0,COLUMN())),"N/A")</f>
        <v>Not Signed In</v>
      </c>
      <c r="AU743" s="127" t="str">
        <f>IFERROR(_xll.TR(MO.Ticker.Thomson,"MAX(TR.Pricehigh)","sdate:#1 edate:#2",,INDEX(MO_SNA_FPStartDate,0,COLUMN()),INDEX(MO_Common_QEndDate,0,COLUMN())),"N/A")</f>
        <v>Not Signed In</v>
      </c>
      <c r="AV743" s="127" t="str">
        <f>IFERROR(_xll.TR(MO.Ticker.Thomson,"MAX(TR.Pricehigh)","sdate:#1 edate:#2",,INDEX(MO_SNA_FPStartDate,0,COLUMN()),INDEX(MO_Common_QEndDate,0,COLUMN())),"N/A")</f>
        <v>Not Signed In</v>
      </c>
      <c r="AW743" s="127" t="str">
        <f>IFERROR(_xll.TR(MO.Ticker.Thomson,"MAX(TR.Pricehigh)","sdate:#1 edate:#2",,INDEX(MO_SNA_FPStartDate,0,COLUMN()),INDEX(MO_Common_QEndDate,0,COLUMN())),"N/A")</f>
        <v>Not Signed In</v>
      </c>
      <c r="AX743" s="127" t="str">
        <f>IFERROR(_xll.TR(MO.Ticker.Thomson,"MAX(TR.Pricehigh)","sdate:#1 edate:#2",,INDEX(MO_SNA_FPStartDate,0,COLUMN()),INDEX(MO_Common_QEndDate,0,COLUMN())),"N/A")</f>
        <v>Not Signed In</v>
      </c>
      <c r="AY743" s="127" t="str">
        <f>IFERROR(_xll.TR(MO.Ticker.Thomson,"MAX(TR.Pricehigh)","sdate:#1 edate:#2",,INDEX(MO_SNA_FPStartDate,0,COLUMN()),INDEX(MO_Common_QEndDate,0,COLUMN())),"N/A")</f>
        <v>Not Signed In</v>
      </c>
      <c r="AZ743" s="127" t="str">
        <f>IFERROR(_xll.TR(MO.Ticker.Thomson,"MAX(TR.Pricehigh)","sdate:#1 edate:#2",,INDEX(MO_SNA_FPStartDate,0,COLUMN()),INDEX(MO_Common_QEndDate,0,COLUMN())),"N/A")</f>
        <v>Not Signed In</v>
      </c>
      <c r="BA743" s="127" t="str">
        <f>IFERROR(_xll.TR(MO.Ticker.Thomson,"MAX(TR.Pricehigh)","sdate:#1 edate:#2",,INDEX(MO_SNA_FPStartDate,0,COLUMN()),INDEX(MO_Common_QEndDate,0,COLUMN())),"N/A")</f>
        <v>Not Signed In</v>
      </c>
      <c r="BB743" s="127" t="str">
        <f>IFERROR(_xll.TR(MO.Ticker.Thomson,"MAX(TR.Pricehigh)","sdate:#1 edate:#2",,INDEX(MO_SNA_FPStartDate,0,COLUMN()),INDEX(MO_Common_QEndDate,0,COLUMN())),"N/A")</f>
        <v>Not Signed In</v>
      </c>
      <c r="BC743" s="127" t="str">
        <f>IFERROR(_xll.TR(MO.Ticker.Thomson,"MAX(TR.Pricehigh)","sdate:#1 edate:#2",,INDEX(MO_SNA_FPStartDate,0,COLUMN()),INDEX(MO_Common_QEndDate,0,COLUMN())),"N/A")</f>
        <v>Not Signed In</v>
      </c>
      <c r="BD743" s="127" t="str">
        <f>IFERROR(_xll.TR(MO.Ticker.Thomson,"MAX(TR.Pricehigh)","sdate:#1 edate:#2",,INDEX(MO_SNA_FPStartDate,0,COLUMN()),INDEX(MO_Common_QEndDate,0,COLUMN())),"N/A")</f>
        <v>Not Signed In</v>
      </c>
      <c r="BE743" s="127" t="str">
        <f>IFERROR(_xll.TR(MO.Ticker.Thomson,"MAX(TR.Pricehigh)","sdate:#1 edate:#2",,INDEX(MO_SNA_FPStartDate,0,COLUMN()),INDEX(MO_Common_QEndDate,0,COLUMN())),"N/A")</f>
        <v>Not Signed In</v>
      </c>
      <c r="BF743" s="127" t="str">
        <f>IFERROR(_xll.TR(MO.Ticker.Thomson,"MAX(TR.Pricehigh)","sdate:#1 edate:#2",,INDEX(MO_SNA_FPStartDate,0,COLUMN()),INDEX(MO_Common_QEndDate,0,COLUMN())),"N/A")</f>
        <v>Not Signed In</v>
      </c>
      <c r="BG743" s="127" t="str">
        <f>IFERROR(_xll.TR(MO.Ticker.Thomson,"MAX(TR.Pricehigh)","sdate:#1 edate:#2",,INDEX(MO_SNA_FPStartDate,0,COLUMN()),INDEX(MO_Common_QEndDate,0,COLUMN())),"N/A")</f>
        <v>Not Signed In</v>
      </c>
      <c r="BH743" s="127" t="str">
        <f>IFERROR(_xll.TR(MO.Ticker.Thomson,"MAX(TR.Pricehigh)","sdate:#1 edate:#2",,INDEX(MO_SNA_FPStartDate,0,COLUMN()),INDEX(MO_Common_QEndDate,0,COLUMN())),"N/A")</f>
        <v>Not Signed In</v>
      </c>
      <c r="BI743" s="127" t="str">
        <f>IFERROR(_xll.TR(MO.Ticker.Thomson,"MAX(TR.Pricehigh)","sdate:#1 edate:#2",,INDEX(MO_SNA_FPStartDate,0,COLUMN()),INDEX(MO_Common_QEndDate,0,COLUMN())),"N/A")</f>
        <v>Not Signed In</v>
      </c>
      <c r="BJ743" s="127" t="str">
        <f>IFERROR(_xll.TR(MO.Ticker.Thomson,"MAX(TR.Pricehigh)","sdate:#1 edate:#2",,INDEX(MO_SNA_FPStartDate,0,COLUMN()),INDEX(MO_Common_QEndDate,0,COLUMN())),"N/A")</f>
        <v>Not Signed In</v>
      </c>
      <c r="BK743" s="127" t="str">
        <f>IFERROR(_xll.TR(MO.Ticker.Thomson,"MAX(TR.Pricehigh)","sdate:#1 edate:#2",,INDEX(MO_SNA_FPStartDate,0,COLUMN()),INDEX(MO_Common_QEndDate,0,COLUMN())),"N/A")</f>
        <v>Not Signed In</v>
      </c>
      <c r="BL743" s="169" t="str">
        <f>IFERROR(_xll.TR(MO.Ticker.Thomson,"MAX(TR.Pricehigh)","sdate:#1 edate:#2",,INDEX(MO_SNA_FPStartDate,0,COLUMN()),INDEX(MO_Common_QEndDate,0,COLUMN())),"N/A")</f>
        <v>Not Signed In</v>
      </c>
      <c r="BM743" s="127" t="str">
        <f>IFERROR(_xll.TR(MO.Ticker.Thomson,"MAX(TR.Pricehigh)","sdate:#1 edate:#2",,INDEX(MO_SNA_FPStartDate,0,COLUMN()),INDEX(MO_Common_QEndDate,0,COLUMN())),"N/A")</f>
        <v>Not Signed In</v>
      </c>
      <c r="BN743" s="127" t="str">
        <f>IFERROR(_xll.TR(MO.Ticker.Thomson,"MAX(TR.Pricehigh)","sdate:#1 edate:#2",,INDEX(MO_SNA_FPStartDate,0,COLUMN()),INDEX(MO_Common_QEndDate,0,COLUMN())),"N/A")</f>
        <v>Not Signed In</v>
      </c>
      <c r="BO743" s="127" t="str">
        <f>IFERROR(_xll.TR(MO.Ticker.Thomson,"MAX(TR.Pricehigh)","sdate:#1 edate:#2",,INDEX(MO_SNA_FPStartDate,0,COLUMN()),INDEX(MO_Common_QEndDate,0,COLUMN())),"N/A")</f>
        <v>Not Signed In</v>
      </c>
      <c r="BP743" s="127" t="str">
        <f>IFERROR(_xll.TR(MO.Ticker.Thomson,"MAX(TR.Pricehigh)","sdate:#1 edate:#2",,INDEX(MO_SNA_FPStartDate,0,COLUMN()),INDEX(MO_Common_QEndDate,0,COLUMN())),"N/A")</f>
        <v>Not Signed In</v>
      </c>
      <c r="BQ743" s="127" t="str">
        <f>IFERROR(_xll.TR(MO.Ticker.Thomson,"MAX(TR.Pricehigh)","sdate:#1 edate:#2",,INDEX(MO_SNA_FPStartDate,0,COLUMN()),INDEX(MO_Common_QEndDate,0,COLUMN())),"N/A")</f>
        <v>Not Signed In</v>
      </c>
      <c r="BR743" s="127" t="str">
        <f>IFERROR(_xll.TR(MO.Ticker.Thomson,"MAX(TR.Pricehigh)","sdate:#1 edate:#2",,INDEX(MO_SNA_FPStartDate,0,COLUMN()),INDEX(MO_Common_QEndDate,0,COLUMN())),"N/A")</f>
        <v>Not Signed In</v>
      </c>
      <c r="BS743" s="127" t="str">
        <f>IFERROR(_xll.TR(MO.Ticker.Thomson,"MAX(TR.Pricehigh)","sdate:#1 edate:#2",,INDEX(MO_SNA_FPStartDate,0,COLUMN()),INDEX(MO_Common_QEndDate,0,COLUMN())),"N/A")</f>
        <v>Not Signed In</v>
      </c>
      <c r="BT743" s="127" t="str">
        <f>IFERROR(_xll.TR(MO.Ticker.Thomson,"MAX(TR.Pricehigh)","sdate:#1 edate:#2",,INDEX(MO_SNA_FPStartDate,0,COLUMN()),INDEX(MO_Common_QEndDate,0,COLUMN())),"N/A")</f>
        <v>Not Signed In</v>
      </c>
      <c r="BU743" s="127" t="str">
        <f>IFERROR(_xll.TR(MO.Ticker.Thomson,"MAX(TR.Pricehigh)","sdate:#1 edate:#2",,INDEX(MO_SNA_FPStartDate,0,COLUMN()),INDEX(MO_Common_QEndDate,0,COLUMN())),"N/A")</f>
        <v>Not Signed In</v>
      </c>
      <c r="BV743" s="159" t="str">
        <f>IFERROR(_xll.TR(MO.Ticker.Thomson,"MAX(TR.Pricehigh)","sdate:#1 edate:#2",,INDEX(MO_SNA_FPStartDate,0,COLUMN()),INDEX(MO_Common_QEndDate,0,COLUMN())),"N/A")</f>
        <v>Not Signed In</v>
      </c>
      <c r="BW743" s="128"/>
    </row>
    <row r="744" spans="1:75" s="439" customFormat="1" hidden="1" outlineLevel="1">
      <c r="A744" s="122"/>
      <c r="B744" s="518"/>
      <c r="C744" s="533"/>
      <c r="D744" s="533"/>
      <c r="E744" s="533"/>
      <c r="F744" s="533"/>
      <c r="G744" s="533"/>
      <c r="H744" s="518"/>
      <c r="I744" s="518"/>
      <c r="J744" s="518"/>
      <c r="K744" s="518"/>
      <c r="L744" s="518"/>
      <c r="M744" s="518"/>
      <c r="N744" s="518"/>
      <c r="O744" s="518"/>
      <c r="P744" s="518"/>
      <c r="Q744" s="518"/>
      <c r="R744" s="518"/>
      <c r="S744" s="518"/>
      <c r="T744" s="518"/>
      <c r="U744" s="518"/>
      <c r="V744" s="518"/>
      <c r="W744" s="518"/>
      <c r="X744" s="518"/>
      <c r="Y744" s="518"/>
      <c r="Z744" s="518"/>
      <c r="AA744" s="518"/>
      <c r="AB744" s="518"/>
      <c r="AC744" s="518"/>
      <c r="AD744" s="518"/>
      <c r="AE744" s="518"/>
      <c r="AF744" s="518"/>
      <c r="AG744" s="518"/>
      <c r="AH744" s="518"/>
      <c r="AI744" s="518"/>
      <c r="AJ744" s="518"/>
      <c r="AK744" s="518"/>
      <c r="AL744" s="518"/>
      <c r="AM744" s="518"/>
      <c r="AN744" s="518"/>
      <c r="AO744" s="518"/>
      <c r="AP744" s="518"/>
      <c r="AQ744" s="518"/>
      <c r="AR744" s="518"/>
      <c r="AS744" s="518"/>
      <c r="AT744" s="518"/>
      <c r="AU744" s="518"/>
      <c r="AV744" s="518"/>
      <c r="AW744" s="518"/>
      <c r="AX744" s="518"/>
      <c r="AY744" s="518"/>
      <c r="AZ744" s="518"/>
      <c r="BA744" s="518"/>
      <c r="BB744" s="518"/>
      <c r="BC744" s="518"/>
      <c r="BD744" s="518"/>
      <c r="BE744" s="518"/>
      <c r="BF744" s="518"/>
      <c r="BG744" s="518"/>
      <c r="BH744" s="518"/>
      <c r="BI744" s="518"/>
      <c r="BJ744" s="518"/>
      <c r="BK744" s="518"/>
      <c r="BL744" s="520"/>
      <c r="BM744" s="518"/>
      <c r="BN744" s="518"/>
      <c r="BO744" s="518"/>
      <c r="BP744" s="518"/>
      <c r="BQ744" s="518"/>
      <c r="BR744" s="518"/>
      <c r="BS744" s="518"/>
      <c r="BT744" s="518"/>
      <c r="BU744" s="518"/>
      <c r="BV744" s="121"/>
      <c r="BW744" s="519"/>
    </row>
    <row r="745" spans="1:75" s="476" customFormat="1" collapsed="1">
      <c r="A745" s="158" t="e">
        <f>"Stock Low: "&amp;IF(OR(MO.RealTimeStockPriceToggle=FALSE,VLOOKUP(MO.DataSourceName,MO_SPT_StockLow_Sources,COLUMN()+2,FALSE)="N/A"),"Real-Time Off Source",MO.DataSourceName)</f>
        <v>#REF!</v>
      </c>
      <c r="B745" s="127"/>
      <c r="C745" s="549" t="e">
        <f t="shared" ref="C745:AH745" si="1439">IF(OR(MO.RealTimeStockPriceToggle=FALSE,VLOOKUP(MO.DataSourceName,MO_SPT_StockLow_Sources,COLUMN(),FALSE)="N/A"),VLOOKUP("Real-Time Off Source",MO_SPT_StockLow_Sources,COLUMN(),FALSE),VLOOKUP(MO.DataSourceName,MO_SPT_StockLow_Sources,COLUMN(),FALSE))</f>
        <v>#REF!</v>
      </c>
      <c r="D745" s="549" t="e">
        <f t="shared" si="1439"/>
        <v>#REF!</v>
      </c>
      <c r="E745" s="549" t="e">
        <f t="shared" si="1439"/>
        <v>#REF!</v>
      </c>
      <c r="F745" s="549" t="e">
        <f t="shared" si="1439"/>
        <v>#REF!</v>
      </c>
      <c r="G745" s="549" t="e">
        <f t="shared" si="1439"/>
        <v>#REF!</v>
      </c>
      <c r="H745" s="127" t="e">
        <f t="shared" si="1439"/>
        <v>#REF!</v>
      </c>
      <c r="I745" s="127" t="e">
        <f t="shared" si="1439"/>
        <v>#REF!</v>
      </c>
      <c r="J745" s="127" t="e">
        <f t="shared" si="1439"/>
        <v>#REF!</v>
      </c>
      <c r="K745" s="127" t="e">
        <f t="shared" si="1439"/>
        <v>#REF!</v>
      </c>
      <c r="L745" s="127" t="e">
        <f t="shared" si="1439"/>
        <v>#REF!</v>
      </c>
      <c r="M745" s="127" t="e">
        <f t="shared" si="1439"/>
        <v>#REF!</v>
      </c>
      <c r="N745" s="127" t="e">
        <f t="shared" si="1439"/>
        <v>#REF!</v>
      </c>
      <c r="O745" s="127" t="e">
        <f t="shared" si="1439"/>
        <v>#REF!</v>
      </c>
      <c r="P745" s="127" t="e">
        <f t="shared" si="1439"/>
        <v>#REF!</v>
      </c>
      <c r="Q745" s="127" t="e">
        <f t="shared" si="1439"/>
        <v>#REF!</v>
      </c>
      <c r="R745" s="127" t="e">
        <f t="shared" si="1439"/>
        <v>#REF!</v>
      </c>
      <c r="S745" s="127" t="e">
        <f t="shared" si="1439"/>
        <v>#REF!</v>
      </c>
      <c r="T745" s="127" t="e">
        <f t="shared" si="1439"/>
        <v>#REF!</v>
      </c>
      <c r="U745" s="127" t="e">
        <f t="shared" si="1439"/>
        <v>#REF!</v>
      </c>
      <c r="V745" s="127" t="e">
        <f t="shared" si="1439"/>
        <v>#REF!</v>
      </c>
      <c r="W745" s="127" t="e">
        <f t="shared" si="1439"/>
        <v>#REF!</v>
      </c>
      <c r="X745" s="127" t="e">
        <f t="shared" si="1439"/>
        <v>#REF!</v>
      </c>
      <c r="Y745" s="127" t="e">
        <f t="shared" si="1439"/>
        <v>#REF!</v>
      </c>
      <c r="Z745" s="127" t="e">
        <f t="shared" si="1439"/>
        <v>#REF!</v>
      </c>
      <c r="AA745" s="127" t="e">
        <f t="shared" si="1439"/>
        <v>#REF!</v>
      </c>
      <c r="AB745" s="127" t="e">
        <f t="shared" si="1439"/>
        <v>#REF!</v>
      </c>
      <c r="AC745" s="127" t="e">
        <f t="shared" si="1439"/>
        <v>#REF!</v>
      </c>
      <c r="AD745" s="127" t="e">
        <f t="shared" si="1439"/>
        <v>#REF!</v>
      </c>
      <c r="AE745" s="127" t="e">
        <f t="shared" si="1439"/>
        <v>#REF!</v>
      </c>
      <c r="AF745" s="127" t="e">
        <f t="shared" si="1439"/>
        <v>#REF!</v>
      </c>
      <c r="AG745" s="127" t="e">
        <f t="shared" si="1439"/>
        <v>#REF!</v>
      </c>
      <c r="AH745" s="127" t="e">
        <f t="shared" si="1439"/>
        <v>#REF!</v>
      </c>
      <c r="AI745" s="127" t="e">
        <f t="shared" ref="AI745:AQ745" si="1440">IF(OR(MO.RealTimeStockPriceToggle=FALSE,VLOOKUP(MO.DataSourceName,MO_SPT_StockLow_Sources,COLUMN(),FALSE)="N/A"),VLOOKUP("Real-Time Off Source",MO_SPT_StockLow_Sources,COLUMN(),FALSE),VLOOKUP(MO.DataSourceName,MO_SPT_StockLow_Sources,COLUMN(),FALSE))</f>
        <v>#REF!</v>
      </c>
      <c r="AJ745" s="127" t="e">
        <f t="shared" si="1440"/>
        <v>#REF!</v>
      </c>
      <c r="AK745" s="127" t="e">
        <f t="shared" si="1440"/>
        <v>#REF!</v>
      </c>
      <c r="AL745" s="127" t="e">
        <f t="shared" si="1440"/>
        <v>#REF!</v>
      </c>
      <c r="AM745" s="127" t="e">
        <f t="shared" si="1440"/>
        <v>#REF!</v>
      </c>
      <c r="AN745" s="127" t="e">
        <f t="shared" si="1440"/>
        <v>#REF!</v>
      </c>
      <c r="AO745" s="127" t="e">
        <f t="shared" si="1440"/>
        <v>#REF!</v>
      </c>
      <c r="AP745" s="127" t="e">
        <f t="shared" si="1440"/>
        <v>#REF!</v>
      </c>
      <c r="AQ745" s="127" t="e">
        <f t="shared" si="1440"/>
        <v>#REF!</v>
      </c>
      <c r="AR745" s="127" t="e">
        <f t="shared" ref="AR745:AW745" si="1441">IF(OR(MO.RealTimeStockPriceToggle=FALSE,VLOOKUP(MO.DataSourceName,MO_SPT_StockLow_Sources,COLUMN(),FALSE)="N/A"),VLOOKUP("Real-Time Off Source",MO_SPT_StockLow_Sources,COLUMN(),FALSE),VLOOKUP(MO.DataSourceName,MO_SPT_StockLow_Sources,COLUMN(),FALSE))</f>
        <v>#REF!</v>
      </c>
      <c r="AS745" s="127" t="e">
        <f t="shared" si="1441"/>
        <v>#REF!</v>
      </c>
      <c r="AT745" s="127" t="e">
        <f t="shared" si="1441"/>
        <v>#REF!</v>
      </c>
      <c r="AU745" s="127" t="e">
        <f t="shared" si="1441"/>
        <v>#REF!</v>
      </c>
      <c r="AV745" s="127" t="e">
        <f t="shared" si="1441"/>
        <v>#REF!</v>
      </c>
      <c r="AW745" s="127" t="e">
        <f t="shared" si="1441"/>
        <v>#REF!</v>
      </c>
      <c r="AX745" s="127" t="e">
        <f t="shared" ref="AX745:BA745" si="1442">IF(OR(MO.RealTimeStockPriceToggle=FALSE,VLOOKUP(MO.DataSourceName,MO_SPT_StockLow_Sources,COLUMN(),FALSE)="N/A"),VLOOKUP("Real-Time Off Source",MO_SPT_StockLow_Sources,COLUMN(),FALSE),VLOOKUP(MO.DataSourceName,MO_SPT_StockLow_Sources,COLUMN(),FALSE))</f>
        <v>#REF!</v>
      </c>
      <c r="AY745" s="127" t="e">
        <f t="shared" si="1442"/>
        <v>#REF!</v>
      </c>
      <c r="AZ745" s="127" t="e">
        <f t="shared" si="1442"/>
        <v>#REF!</v>
      </c>
      <c r="BA745" s="127" t="e">
        <f t="shared" si="1442"/>
        <v>#REF!</v>
      </c>
      <c r="BB745" s="127" t="e">
        <f t="shared" ref="BB745:BN745" si="1443">IF(OR(MO.RealTimeStockPriceToggle=FALSE,VLOOKUP(MO.DataSourceName,MO_SPT_StockLow_Sources,COLUMN(),FALSE)="N/A"),VLOOKUP("Real-Time Off Source",MO_SPT_StockLow_Sources,COLUMN(),FALSE),VLOOKUP(MO.DataSourceName,MO_SPT_StockLow_Sources,COLUMN(),FALSE))</f>
        <v>#REF!</v>
      </c>
      <c r="BC745" s="127" t="e">
        <f t="shared" si="1443"/>
        <v>#REF!</v>
      </c>
      <c r="BD745" s="127" t="e">
        <f t="shared" si="1443"/>
        <v>#REF!</v>
      </c>
      <c r="BE745" s="127" t="e">
        <f t="shared" ref="BE745:BM745" si="1444">IF(OR(MO.RealTimeStockPriceToggle=FALSE,VLOOKUP(MO.DataSourceName,MO_SPT_StockLow_Sources,COLUMN(),FALSE)="N/A"),VLOOKUP("Real-Time Off Source",MO_SPT_StockLow_Sources,COLUMN(),FALSE),VLOOKUP(MO.DataSourceName,MO_SPT_StockLow_Sources,COLUMN(),FALSE))</f>
        <v>#REF!</v>
      </c>
      <c r="BF745" s="127" t="e">
        <f t="shared" si="1444"/>
        <v>#REF!</v>
      </c>
      <c r="BG745" s="127" t="e">
        <f t="shared" si="1444"/>
        <v>#REF!</v>
      </c>
      <c r="BH745" s="127" t="e">
        <f t="shared" si="1444"/>
        <v>#REF!</v>
      </c>
      <c r="BI745" s="127" t="e">
        <f t="shared" si="1444"/>
        <v>#REF!</v>
      </c>
      <c r="BJ745" s="127" t="e">
        <f>IF(OR(MO.RealTimeStockPriceToggle=FALSE,VLOOKUP(MO.DataSourceName,MO_SPT_StockLow_Sources,COLUMN(),FALSE)="N/A"),VLOOKUP("Real-Time Off Source",MO_SPT_StockLow_Sources,COLUMN(),FALSE),VLOOKUP(MO.DataSourceName,MO_SPT_StockLow_Sources,COLUMN(),FALSE))</f>
        <v>#REF!</v>
      </c>
      <c r="BK745" s="127" t="e">
        <f>IF(OR(MO.RealTimeStockPriceToggle=FALSE,VLOOKUP(MO.DataSourceName,MO_SPT_StockLow_Sources,COLUMN(),FALSE)="N/A"),VLOOKUP("Real-Time Off Source",MO_SPT_StockLow_Sources,COLUMN(),FALSE),VLOOKUP(MO.DataSourceName,MO_SPT_StockLow_Sources,COLUMN(),FALSE))</f>
        <v>#REF!</v>
      </c>
      <c r="BL745" s="169" t="e">
        <f>IF(OR(MO.RealTimeStockPriceToggle=FALSE,VLOOKUP(MO.DataSourceName,MO_SPT_StockLow_Sources,COLUMN(),FALSE)="N/A"),VLOOKUP("Real-Time Off Source",MO_SPT_StockLow_Sources,COLUMN(),FALSE),VLOOKUP(MO.DataSourceName,MO_SPT_StockLow_Sources,COLUMN(),FALSE))</f>
        <v>#REF!</v>
      </c>
      <c r="BM745" s="127" t="e">
        <f t="shared" si="1444"/>
        <v>#REF!</v>
      </c>
      <c r="BN745" s="127" t="e">
        <f t="shared" si="1443"/>
        <v>#REF!</v>
      </c>
      <c r="BO745" s="127" t="e">
        <f t="shared" ref="BO745:BV745" si="1445">IF(OR(MO.RealTimeStockPriceToggle=FALSE,VLOOKUP(MO.DataSourceName,MO_SPT_StockLow_Sources,COLUMN(),FALSE)="N/A"),VLOOKUP("Real-Time Off Source",MO_SPT_StockLow_Sources,COLUMN(),FALSE),VLOOKUP(MO.DataSourceName,MO_SPT_StockLow_Sources,COLUMN(),FALSE))</f>
        <v>#REF!</v>
      </c>
      <c r="BP745" s="127" t="e">
        <f t="shared" si="1445"/>
        <v>#REF!</v>
      </c>
      <c r="BQ745" s="127" t="e">
        <f t="shared" si="1445"/>
        <v>#REF!</v>
      </c>
      <c r="BR745" s="127" t="e">
        <f t="shared" si="1445"/>
        <v>#REF!</v>
      </c>
      <c r="BS745" s="127" t="e">
        <f t="shared" si="1445"/>
        <v>#REF!</v>
      </c>
      <c r="BT745" s="127" t="e">
        <f t="shared" si="1445"/>
        <v>#REF!</v>
      </c>
      <c r="BU745" s="127" t="e">
        <f t="shared" si="1445"/>
        <v>#REF!</v>
      </c>
      <c r="BV745" s="159" t="e">
        <f t="shared" si="1445"/>
        <v>#REF!</v>
      </c>
      <c r="BW745" s="128"/>
    </row>
    <row r="746" spans="1:75" s="476" customFormat="1" hidden="1" outlineLevel="1">
      <c r="A746" s="160" t="s">
        <v>608</v>
      </c>
      <c r="B746" s="127"/>
      <c r="C746" s="654">
        <v>0</v>
      </c>
      <c r="D746" s="654">
        <v>0</v>
      </c>
      <c r="E746" s="654">
        <v>0</v>
      </c>
      <c r="F746" s="654">
        <v>14.1</v>
      </c>
      <c r="G746" s="654">
        <v>19.13</v>
      </c>
      <c r="H746" s="655">
        <v>22.48</v>
      </c>
      <c r="I746" s="655">
        <v>33.93</v>
      </c>
      <c r="J746" s="655">
        <v>56.65</v>
      </c>
      <c r="K746" s="655">
        <v>19.13</v>
      </c>
      <c r="L746" s="655">
        <v>66.47</v>
      </c>
      <c r="M746" s="655">
        <v>49.11</v>
      </c>
      <c r="N746" s="655">
        <v>64.7</v>
      </c>
      <c r="O746" s="655">
        <v>49.17</v>
      </c>
      <c r="P746" s="655">
        <v>49.11</v>
      </c>
      <c r="Q746" s="655">
        <v>42.1</v>
      </c>
      <c r="R746" s="655">
        <v>37.909999999999997</v>
      </c>
      <c r="S746" s="655">
        <v>20.5</v>
      </c>
      <c r="T746" s="655">
        <v>20.6</v>
      </c>
      <c r="U746" s="655">
        <v>20.5</v>
      </c>
      <c r="V746" s="655">
        <v>14.53</v>
      </c>
      <c r="W746" s="655">
        <v>19.21</v>
      </c>
      <c r="X746" s="655">
        <v>28.68</v>
      </c>
      <c r="Y746" s="655">
        <v>32</v>
      </c>
      <c r="Z746" s="655">
        <v>14.53</v>
      </c>
      <c r="AA746" s="655">
        <v>31.6</v>
      </c>
      <c r="AB746" s="655">
        <v>26.93</v>
      </c>
      <c r="AC746" s="655">
        <v>29.3</v>
      </c>
      <c r="AD746" s="655">
        <v>40.049999999999997</v>
      </c>
      <c r="AE746" s="655">
        <v>26.93</v>
      </c>
      <c r="AF746" s="655">
        <v>38.29</v>
      </c>
      <c r="AG746" s="655">
        <v>38.700000000000003</v>
      </c>
      <c r="AH746" s="655">
        <v>36.880000000000003</v>
      </c>
      <c r="AI746" s="655">
        <v>30.67</v>
      </c>
      <c r="AJ746" s="655">
        <v>30.67</v>
      </c>
      <c r="AK746" s="655">
        <v>33.64</v>
      </c>
      <c r="AL746" s="655">
        <v>30.36</v>
      </c>
      <c r="AM746" s="655">
        <v>31.77</v>
      </c>
      <c r="AN746" s="655">
        <v>30.12</v>
      </c>
      <c r="AO746" s="655">
        <v>30.12</v>
      </c>
      <c r="AP746" s="655">
        <v>14.46</v>
      </c>
      <c r="AQ746" s="655">
        <v>16.940000000000001</v>
      </c>
      <c r="AR746" s="655">
        <v>19.22</v>
      </c>
      <c r="AS746" s="655">
        <v>19.399999999999999</v>
      </c>
      <c r="AT746" s="655">
        <v>14.46</v>
      </c>
      <c r="AU746" s="655">
        <v>29.29</v>
      </c>
      <c r="AV746" s="655">
        <v>37.130000000000003</v>
      </c>
      <c r="AW746" s="655">
        <v>35.67</v>
      </c>
      <c r="AX746" s="655">
        <v>33.840000000000003</v>
      </c>
      <c r="AY746" s="655">
        <v>29.29</v>
      </c>
      <c r="AZ746" s="655">
        <v>30.7</v>
      </c>
      <c r="BA746" s="655">
        <v>26.74</v>
      </c>
      <c r="BB746" s="655">
        <v>26.82</v>
      </c>
      <c r="BC746" s="655">
        <v>25.62</v>
      </c>
      <c r="BD746" s="655">
        <v>25.62</v>
      </c>
      <c r="BE746" s="655">
        <v>27.73</v>
      </c>
      <c r="BF746" s="655">
        <v>27.29</v>
      </c>
      <c r="BG746" s="655">
        <v>36.03</v>
      </c>
      <c r="BH746" s="655">
        <v>39.869999999999997</v>
      </c>
      <c r="BI746" s="655">
        <v>27.29</v>
      </c>
      <c r="BJ746" s="655">
        <v>35.96</v>
      </c>
      <c r="BK746" s="655">
        <v>35.65</v>
      </c>
      <c r="BL746" s="656">
        <v>33.020000000000003</v>
      </c>
      <c r="BM746" s="127"/>
      <c r="BN746" s="127"/>
      <c r="BO746" s="127"/>
      <c r="BP746" s="127"/>
      <c r="BQ746" s="127"/>
      <c r="BR746" s="127"/>
      <c r="BS746" s="127"/>
      <c r="BT746" s="127"/>
      <c r="BU746" s="127"/>
      <c r="BV746" s="159"/>
      <c r="BW746" s="128"/>
    </row>
    <row r="747" spans="1:75" s="476" customFormat="1" hidden="1" outlineLevel="1">
      <c r="A747" s="160" t="s">
        <v>609</v>
      </c>
      <c r="B747" s="127"/>
      <c r="C747" s="549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D747" s="549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E747" s="549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F747" s="549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G747" s="549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H747" s="127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I747" s="127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J747" s="127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K747" s="127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L747" s="127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M747" s="127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N747" s="127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O747" s="127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P747" s="127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Q747" s="127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R747" s="127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S747" s="127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T747" s="127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U747" s="127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V747" s="127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W747" s="127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X747" s="127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Y747" s="127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Z747" s="127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AA747" s="127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AB747" s="127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AC747" s="127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AD747" s="127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AE747" s="127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AF747" s="127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AG747" s="127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AH747" s="127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AI747" s="127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AJ747" s="127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AK747" s="127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AL747" s="127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AM747" s="127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AN747" s="127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AO747" s="127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AP747" s="127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AQ747" s="127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AR747" s="127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AS747" s="127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AT747" s="127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AU747" s="127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AV747" s="127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AW747" s="127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AX747" s="127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AY747" s="127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AZ747" s="127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BA747" s="127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BB747" s="127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BC747" s="127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BD747" s="127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BE747" s="127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BF747" s="127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BG747" s="127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BH747" s="127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BI747" s="127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BJ747" s="127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BK747" s="127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BL747" s="169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BM747" s="127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BN747" s="127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BO747" s="127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BP747" s="127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BQ747" s="127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BR747" s="127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BS747" s="127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BT747" s="127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BU747" s="127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BV747" s="159" t="str">
        <f>IFERROR(_xll.BDP(MO.Ticker.Bloomberg&amp;" Equity","INTERVAL_LOW","MARKET_DATA_OVERRIDE=PX_LAST","START_DATE_OVERRIDE",TEXT(INDEX(MO_SNA_FPStartDate,0,COLUMN()),"YYYYMMDD"),"END_DATE_OVERRIDE",TEXT(INDEX(MO_Common_QEndDate,0,COLUMN()),"YYYYMMDD")),"N/A")</f>
        <v>#N/A Connection</v>
      </c>
      <c r="BW747" s="128"/>
    </row>
    <row r="748" spans="1:75" s="476" customFormat="1" hidden="1" outlineLevel="1">
      <c r="A748" s="160" t="s">
        <v>610</v>
      </c>
      <c r="B748" s="127"/>
      <c r="C748" s="549" t="str">
        <f ca="1">IFERROR(CIQLO(MO.Ticker.CapIQ,"IQ_LASTSALEPRICE",INDEX(MO_SNA_FPStartDate,0,COLUMN()),INDEX(MO_Common_QEndDate,0,COLUMN())),"N/A")</f>
        <v>N/A</v>
      </c>
      <c r="D748" s="549" t="str">
        <f ca="1">IFERROR(CIQLO(MO.Ticker.CapIQ,"IQ_LASTSALEPRICE",INDEX(MO_SNA_FPStartDate,0,COLUMN()),INDEX(MO_Common_QEndDate,0,COLUMN())),"N/A")</f>
        <v>N/A</v>
      </c>
      <c r="E748" s="549" t="str">
        <f ca="1">IFERROR(CIQLO(MO.Ticker.CapIQ,"IQ_LASTSALEPRICE",INDEX(MO_SNA_FPStartDate,0,COLUMN()),INDEX(MO_Common_QEndDate,0,COLUMN())),"N/A")</f>
        <v>N/A</v>
      </c>
      <c r="F748" s="549" t="str">
        <f ca="1">IFERROR(CIQLO(MO.Ticker.CapIQ,"IQ_LASTSALEPRICE",INDEX(MO_SNA_FPStartDate,0,COLUMN()),INDEX(MO_Common_QEndDate,0,COLUMN())),"N/A")</f>
        <v>N/A</v>
      </c>
      <c r="G748" s="549" t="str">
        <f ca="1">IFERROR(CIQLO(MO.Ticker.CapIQ,"IQ_LASTSALEPRICE",INDEX(MO_SNA_FPStartDate,0,COLUMN()),INDEX(MO_Common_QEndDate,0,COLUMN())),"N/A")</f>
        <v>N/A</v>
      </c>
      <c r="H748" s="127" t="str">
        <f ca="1">IFERROR(CIQLO(MO.Ticker.CapIQ,"IQ_LASTSALEPRICE",INDEX(MO_SNA_FPStartDate,0,COLUMN()),INDEX(MO_Common_QEndDate,0,COLUMN())),"N/A")</f>
        <v>N/A</v>
      </c>
      <c r="I748" s="127" t="str">
        <f ca="1">IFERROR(CIQLO(MO.Ticker.CapIQ,"IQ_LASTSALEPRICE",INDEX(MO_SNA_FPStartDate,0,COLUMN()),INDEX(MO_Common_QEndDate,0,COLUMN())),"N/A")</f>
        <v>N/A</v>
      </c>
      <c r="J748" s="127" t="str">
        <f ca="1">IFERROR(CIQLO(MO.Ticker.CapIQ,"IQ_LASTSALEPRICE",INDEX(MO_SNA_FPStartDate,0,COLUMN()),INDEX(MO_Common_QEndDate,0,COLUMN())),"N/A")</f>
        <v>N/A</v>
      </c>
      <c r="K748" s="127" t="str">
        <f ca="1">IFERROR(CIQLO(MO.Ticker.CapIQ,"IQ_LASTSALEPRICE",INDEX(MO_SNA_FPStartDate,0,COLUMN()),INDEX(MO_Common_QEndDate,0,COLUMN())),"N/A")</f>
        <v>N/A</v>
      </c>
      <c r="L748" s="127" t="str">
        <f ca="1">IFERROR(CIQLO(MO.Ticker.CapIQ,"IQ_LASTSALEPRICE",INDEX(MO_SNA_FPStartDate,0,COLUMN()),INDEX(MO_Common_QEndDate,0,COLUMN())),"N/A")</f>
        <v>N/A</v>
      </c>
      <c r="M748" s="127" t="str">
        <f ca="1">IFERROR(CIQLO(MO.Ticker.CapIQ,"IQ_LASTSALEPRICE",INDEX(MO_SNA_FPStartDate,0,COLUMN()),INDEX(MO_Common_QEndDate,0,COLUMN())),"N/A")</f>
        <v>N/A</v>
      </c>
      <c r="N748" s="127" t="str">
        <f ca="1">IFERROR(CIQLO(MO.Ticker.CapIQ,"IQ_LASTSALEPRICE",INDEX(MO_SNA_FPStartDate,0,COLUMN()),INDEX(MO_Common_QEndDate,0,COLUMN())),"N/A")</f>
        <v>N/A</v>
      </c>
      <c r="O748" s="127" t="str">
        <f ca="1">IFERROR(CIQLO(MO.Ticker.CapIQ,"IQ_LASTSALEPRICE",INDEX(MO_SNA_FPStartDate,0,COLUMN()),INDEX(MO_Common_QEndDate,0,COLUMN())),"N/A")</f>
        <v>N/A</v>
      </c>
      <c r="P748" s="127" t="str">
        <f ca="1">IFERROR(CIQLO(MO.Ticker.CapIQ,"IQ_LASTSALEPRICE",INDEX(MO_SNA_FPStartDate,0,COLUMN()),INDEX(MO_Common_QEndDate,0,COLUMN())),"N/A")</f>
        <v>N/A</v>
      </c>
      <c r="Q748" s="127" t="str">
        <f ca="1">IFERROR(CIQLO(MO.Ticker.CapIQ,"IQ_LASTSALEPRICE",INDEX(MO_SNA_FPStartDate,0,COLUMN()),INDEX(MO_Common_QEndDate,0,COLUMN())),"N/A")</f>
        <v>N/A</v>
      </c>
      <c r="R748" s="127" t="str">
        <f ca="1">IFERROR(CIQLO(MO.Ticker.CapIQ,"IQ_LASTSALEPRICE",INDEX(MO_SNA_FPStartDate,0,COLUMN()),INDEX(MO_Common_QEndDate,0,COLUMN())),"N/A")</f>
        <v>N/A</v>
      </c>
      <c r="S748" s="127" t="str">
        <f ca="1">IFERROR(CIQLO(MO.Ticker.CapIQ,"IQ_LASTSALEPRICE",INDEX(MO_SNA_FPStartDate,0,COLUMN()),INDEX(MO_Common_QEndDate,0,COLUMN())),"N/A")</f>
        <v>N/A</v>
      </c>
      <c r="T748" s="127" t="str">
        <f ca="1">IFERROR(CIQLO(MO.Ticker.CapIQ,"IQ_LASTSALEPRICE",INDEX(MO_SNA_FPStartDate,0,COLUMN()),INDEX(MO_Common_QEndDate,0,COLUMN())),"N/A")</f>
        <v>N/A</v>
      </c>
      <c r="U748" s="127" t="str">
        <f ca="1">IFERROR(CIQLO(MO.Ticker.CapIQ,"IQ_LASTSALEPRICE",INDEX(MO_SNA_FPStartDate,0,COLUMN()),INDEX(MO_Common_QEndDate,0,COLUMN())),"N/A")</f>
        <v>N/A</v>
      </c>
      <c r="V748" s="127" t="str">
        <f ca="1">IFERROR(CIQLO(MO.Ticker.CapIQ,"IQ_LASTSALEPRICE",INDEX(MO_SNA_FPStartDate,0,COLUMN()),INDEX(MO_Common_QEndDate,0,COLUMN())),"N/A")</f>
        <v>N/A</v>
      </c>
      <c r="W748" s="127" t="str">
        <f ca="1">IFERROR(CIQLO(MO.Ticker.CapIQ,"IQ_LASTSALEPRICE",INDEX(MO_SNA_FPStartDate,0,COLUMN()),INDEX(MO_Common_QEndDate,0,COLUMN())),"N/A")</f>
        <v>N/A</v>
      </c>
      <c r="X748" s="127" t="str">
        <f ca="1">IFERROR(CIQLO(MO.Ticker.CapIQ,"IQ_LASTSALEPRICE",INDEX(MO_SNA_FPStartDate,0,COLUMN()),INDEX(MO_Common_QEndDate,0,COLUMN())),"N/A")</f>
        <v>N/A</v>
      </c>
      <c r="Y748" s="127" t="str">
        <f ca="1">IFERROR(CIQLO(MO.Ticker.CapIQ,"IQ_LASTSALEPRICE",INDEX(MO_SNA_FPStartDate,0,COLUMN()),INDEX(MO_Common_QEndDate,0,COLUMN())),"N/A")</f>
        <v>N/A</v>
      </c>
      <c r="Z748" s="127" t="str">
        <f ca="1">IFERROR(CIQLO(MO.Ticker.CapIQ,"IQ_LASTSALEPRICE",INDEX(MO_SNA_FPStartDate,0,COLUMN()),INDEX(MO_Common_QEndDate,0,COLUMN())),"N/A")</f>
        <v>N/A</v>
      </c>
      <c r="AA748" s="127" t="str">
        <f ca="1">IFERROR(CIQLO(MO.Ticker.CapIQ,"IQ_LASTSALEPRICE",INDEX(MO_SNA_FPStartDate,0,COLUMN()),INDEX(MO_Common_QEndDate,0,COLUMN())),"N/A")</f>
        <v>N/A</v>
      </c>
      <c r="AB748" s="127" t="str">
        <f ca="1">IFERROR(CIQLO(MO.Ticker.CapIQ,"IQ_LASTSALEPRICE",INDEX(MO_SNA_FPStartDate,0,COLUMN()),INDEX(MO_Common_QEndDate,0,COLUMN())),"N/A")</f>
        <v>N/A</v>
      </c>
      <c r="AC748" s="127" t="str">
        <f ca="1">IFERROR(CIQLO(MO.Ticker.CapIQ,"IQ_LASTSALEPRICE",INDEX(MO_SNA_FPStartDate,0,COLUMN()),INDEX(MO_Common_QEndDate,0,COLUMN())),"N/A")</f>
        <v>N/A</v>
      </c>
      <c r="AD748" s="127" t="str">
        <f ca="1">IFERROR(CIQLO(MO.Ticker.CapIQ,"IQ_LASTSALEPRICE",INDEX(MO_SNA_FPStartDate,0,COLUMN()),INDEX(MO_Common_QEndDate,0,COLUMN())),"N/A")</f>
        <v>N/A</v>
      </c>
      <c r="AE748" s="127" t="str">
        <f ca="1">IFERROR(CIQLO(MO.Ticker.CapIQ,"IQ_LASTSALEPRICE",INDEX(MO_SNA_FPStartDate,0,COLUMN()),INDEX(MO_Common_QEndDate,0,COLUMN())),"N/A")</f>
        <v>N/A</v>
      </c>
      <c r="AF748" s="127" t="str">
        <f ca="1">IFERROR(CIQLO(MO.Ticker.CapIQ,"IQ_LASTSALEPRICE",INDEX(MO_SNA_FPStartDate,0,COLUMN()),INDEX(MO_Common_QEndDate,0,COLUMN())),"N/A")</f>
        <v>N/A</v>
      </c>
      <c r="AG748" s="127" t="str">
        <f ca="1">IFERROR(CIQLO(MO.Ticker.CapIQ,"IQ_LASTSALEPRICE",INDEX(MO_SNA_FPStartDate,0,COLUMN()),INDEX(MO_Common_QEndDate,0,COLUMN())),"N/A")</f>
        <v>N/A</v>
      </c>
      <c r="AH748" s="127" t="str">
        <f ca="1">IFERROR(CIQLO(MO.Ticker.CapIQ,"IQ_LASTSALEPRICE",INDEX(MO_SNA_FPStartDate,0,COLUMN()),INDEX(MO_Common_QEndDate,0,COLUMN())),"N/A")</f>
        <v>N/A</v>
      </c>
      <c r="AI748" s="127" t="str">
        <f ca="1">IFERROR(CIQLO(MO.Ticker.CapIQ,"IQ_LASTSALEPRICE",INDEX(MO_SNA_FPStartDate,0,COLUMN()),INDEX(MO_Common_QEndDate,0,COLUMN())),"N/A")</f>
        <v>N/A</v>
      </c>
      <c r="AJ748" s="127" t="str">
        <f ca="1">IFERROR(CIQLO(MO.Ticker.CapIQ,"IQ_LASTSALEPRICE",INDEX(MO_SNA_FPStartDate,0,COLUMN()),INDEX(MO_Common_QEndDate,0,COLUMN())),"N/A")</f>
        <v>N/A</v>
      </c>
      <c r="AK748" s="127" t="str">
        <f ca="1">IFERROR(CIQLO(MO.Ticker.CapIQ,"IQ_LASTSALEPRICE",INDEX(MO_SNA_FPStartDate,0,COLUMN()),INDEX(MO_Common_QEndDate,0,COLUMN())),"N/A")</f>
        <v>N/A</v>
      </c>
      <c r="AL748" s="127" t="str">
        <f ca="1">IFERROR(CIQLO(MO.Ticker.CapIQ,"IQ_LASTSALEPRICE",INDEX(MO_SNA_FPStartDate,0,COLUMN()),INDEX(MO_Common_QEndDate,0,COLUMN())),"N/A")</f>
        <v>N/A</v>
      </c>
      <c r="AM748" s="127" t="str">
        <f ca="1">IFERROR(CIQLO(MO.Ticker.CapIQ,"IQ_LASTSALEPRICE",INDEX(MO_SNA_FPStartDate,0,COLUMN()),INDEX(MO_Common_QEndDate,0,COLUMN())),"N/A")</f>
        <v>N/A</v>
      </c>
      <c r="AN748" s="127" t="str">
        <f ca="1">IFERROR(CIQLO(MO.Ticker.CapIQ,"IQ_LASTSALEPRICE",INDEX(MO_SNA_FPStartDate,0,COLUMN()),INDEX(MO_Common_QEndDate,0,COLUMN())),"N/A")</f>
        <v>N/A</v>
      </c>
      <c r="AO748" s="127" t="str">
        <f ca="1">IFERROR(CIQLO(MO.Ticker.CapIQ,"IQ_LASTSALEPRICE",INDEX(MO_SNA_FPStartDate,0,COLUMN()),INDEX(MO_Common_QEndDate,0,COLUMN())),"N/A")</f>
        <v>N/A</v>
      </c>
      <c r="AP748" s="127" t="str">
        <f ca="1">IFERROR(CIQLO(MO.Ticker.CapIQ,"IQ_LASTSALEPRICE",INDEX(MO_SNA_FPStartDate,0,COLUMN()),INDEX(MO_Common_QEndDate,0,COLUMN())),"N/A")</f>
        <v>N/A</v>
      </c>
      <c r="AQ748" s="127" t="str">
        <f ca="1">IFERROR(CIQLO(MO.Ticker.CapIQ,"IQ_LASTSALEPRICE",INDEX(MO_SNA_FPStartDate,0,COLUMN()),INDEX(MO_Common_QEndDate,0,COLUMN())),"N/A")</f>
        <v>N/A</v>
      </c>
      <c r="AR748" s="127" t="str">
        <f ca="1">IFERROR(CIQLO(MO.Ticker.CapIQ,"IQ_LASTSALEPRICE",INDEX(MO_SNA_FPStartDate,0,COLUMN()),INDEX(MO_Common_QEndDate,0,COLUMN())),"N/A")</f>
        <v>N/A</v>
      </c>
      <c r="AS748" s="127" t="str">
        <f ca="1">IFERROR(CIQLO(MO.Ticker.CapIQ,"IQ_LASTSALEPRICE",INDEX(MO_SNA_FPStartDate,0,COLUMN()),INDEX(MO_Common_QEndDate,0,COLUMN())),"N/A")</f>
        <v>N/A</v>
      </c>
      <c r="AT748" s="127" t="str">
        <f ca="1">IFERROR(CIQLO(MO.Ticker.CapIQ,"IQ_LASTSALEPRICE",INDEX(MO_SNA_FPStartDate,0,COLUMN()),INDEX(MO_Common_QEndDate,0,COLUMN())),"N/A")</f>
        <v>N/A</v>
      </c>
      <c r="AU748" s="127" t="str">
        <f ca="1">IFERROR(CIQLO(MO.Ticker.CapIQ,"IQ_LASTSALEPRICE",INDEX(MO_SNA_FPStartDate,0,COLUMN()),INDEX(MO_Common_QEndDate,0,COLUMN())),"N/A")</f>
        <v>N/A</v>
      </c>
      <c r="AV748" s="127" t="str">
        <f ca="1">IFERROR(CIQLO(MO.Ticker.CapIQ,"IQ_LASTSALEPRICE",INDEX(MO_SNA_FPStartDate,0,COLUMN()),INDEX(MO_Common_QEndDate,0,COLUMN())),"N/A")</f>
        <v>N/A</v>
      </c>
      <c r="AW748" s="127" t="str">
        <f ca="1">IFERROR(CIQLO(MO.Ticker.CapIQ,"IQ_LASTSALEPRICE",INDEX(MO_SNA_FPStartDate,0,COLUMN()),INDEX(MO_Common_QEndDate,0,COLUMN())),"N/A")</f>
        <v>N/A</v>
      </c>
      <c r="AX748" s="127" t="str">
        <f ca="1">IFERROR(CIQLO(MO.Ticker.CapIQ,"IQ_LASTSALEPRICE",INDEX(MO_SNA_FPStartDate,0,COLUMN()),INDEX(MO_Common_QEndDate,0,COLUMN())),"N/A")</f>
        <v>N/A</v>
      </c>
      <c r="AY748" s="127" t="str">
        <f ca="1">IFERROR(CIQLO(MO.Ticker.CapIQ,"IQ_LASTSALEPRICE",INDEX(MO_SNA_FPStartDate,0,COLUMN()),INDEX(MO_Common_QEndDate,0,COLUMN())),"N/A")</f>
        <v>N/A</v>
      </c>
      <c r="AZ748" s="127" t="str">
        <f ca="1">IFERROR(CIQLO(MO.Ticker.CapIQ,"IQ_LASTSALEPRICE",INDEX(MO_SNA_FPStartDate,0,COLUMN()),INDEX(MO_Common_QEndDate,0,COLUMN())),"N/A")</f>
        <v>N/A</v>
      </c>
      <c r="BA748" s="127" t="str">
        <f ca="1">IFERROR(CIQLO(MO.Ticker.CapIQ,"IQ_LASTSALEPRICE",INDEX(MO_SNA_FPStartDate,0,COLUMN()),INDEX(MO_Common_QEndDate,0,COLUMN())),"N/A")</f>
        <v>N/A</v>
      </c>
      <c r="BB748" s="127" t="str">
        <f ca="1">IFERROR(CIQLO(MO.Ticker.CapIQ,"IQ_LASTSALEPRICE",INDEX(MO_SNA_FPStartDate,0,COLUMN()),INDEX(MO_Common_QEndDate,0,COLUMN())),"N/A")</f>
        <v>N/A</v>
      </c>
      <c r="BC748" s="127" t="str">
        <f ca="1">IFERROR(CIQLO(MO.Ticker.CapIQ,"IQ_LASTSALEPRICE",INDEX(MO_SNA_FPStartDate,0,COLUMN()),INDEX(MO_Common_QEndDate,0,COLUMN())),"N/A")</f>
        <v>N/A</v>
      </c>
      <c r="BD748" s="127" t="str">
        <f ca="1">IFERROR(CIQLO(MO.Ticker.CapIQ,"IQ_LASTSALEPRICE",INDEX(MO_SNA_FPStartDate,0,COLUMN()),INDEX(MO_Common_QEndDate,0,COLUMN())),"N/A")</f>
        <v>N/A</v>
      </c>
      <c r="BE748" s="127" t="str">
        <f ca="1">IFERROR(CIQLO(MO.Ticker.CapIQ,"IQ_LASTSALEPRICE",INDEX(MO_SNA_FPStartDate,0,COLUMN()),INDEX(MO_Common_QEndDate,0,COLUMN())),"N/A")</f>
        <v>N/A</v>
      </c>
      <c r="BF748" s="127" t="str">
        <f ca="1">IFERROR(CIQLO(MO.Ticker.CapIQ,"IQ_LASTSALEPRICE",INDEX(MO_SNA_FPStartDate,0,COLUMN()),INDEX(MO_Common_QEndDate,0,COLUMN())),"N/A")</f>
        <v>N/A</v>
      </c>
      <c r="BG748" s="127" t="str">
        <f ca="1">IFERROR(CIQLO(MO.Ticker.CapIQ,"IQ_LASTSALEPRICE",INDEX(MO_SNA_FPStartDate,0,COLUMN()),INDEX(MO_Common_QEndDate,0,COLUMN())),"N/A")</f>
        <v>N/A</v>
      </c>
      <c r="BH748" s="127" t="str">
        <f ca="1">IFERROR(CIQLO(MO.Ticker.CapIQ,"IQ_LASTSALEPRICE",INDEX(MO_SNA_FPStartDate,0,COLUMN()),INDEX(MO_Common_QEndDate,0,COLUMN())),"N/A")</f>
        <v>N/A</v>
      </c>
      <c r="BI748" s="127" t="str">
        <f ca="1">IFERROR(CIQLO(MO.Ticker.CapIQ,"IQ_LASTSALEPRICE",INDEX(MO_SNA_FPStartDate,0,COLUMN()),INDEX(MO_Common_QEndDate,0,COLUMN())),"N/A")</f>
        <v>N/A</v>
      </c>
      <c r="BJ748" s="127" t="str">
        <f ca="1">IFERROR(CIQLO(MO.Ticker.CapIQ,"IQ_LASTSALEPRICE",INDEX(MO_SNA_FPStartDate,0,COLUMN()),INDEX(MO_Common_QEndDate,0,COLUMN())),"N/A")</f>
        <v>N/A</v>
      </c>
      <c r="BK748" s="127" t="str">
        <f ca="1">IFERROR(CIQLO(MO.Ticker.CapIQ,"IQ_LASTSALEPRICE",INDEX(MO_SNA_FPStartDate,0,COLUMN()),INDEX(MO_Common_QEndDate,0,COLUMN())),"N/A")</f>
        <v>N/A</v>
      </c>
      <c r="BL748" s="169" t="str">
        <f ca="1">IFERROR(CIQLO(MO.Ticker.CapIQ,"IQ_LASTSALEPRICE",INDEX(MO_SNA_FPStartDate,0,COLUMN()),INDEX(MO_Common_QEndDate,0,COLUMN())),"N/A")</f>
        <v>N/A</v>
      </c>
      <c r="BM748" s="127" t="str">
        <f ca="1">IFERROR(CIQLO(MO.Ticker.CapIQ,"IQ_LASTSALEPRICE",INDEX(MO_SNA_FPStartDate,0,COLUMN()),INDEX(MO_Common_QEndDate,0,COLUMN())),"N/A")</f>
        <v>N/A</v>
      </c>
      <c r="BN748" s="127" t="str">
        <f ca="1">IFERROR(CIQLO(MO.Ticker.CapIQ,"IQ_LASTSALEPRICE",INDEX(MO_SNA_FPStartDate,0,COLUMN()),INDEX(MO_Common_QEndDate,0,COLUMN())),"N/A")</f>
        <v>N/A</v>
      </c>
      <c r="BO748" s="127" t="str">
        <f ca="1">IFERROR(CIQLO(MO.Ticker.CapIQ,"IQ_LASTSALEPRICE",INDEX(MO_SNA_FPStartDate,0,COLUMN()),INDEX(MO_Common_QEndDate,0,COLUMN())),"N/A")</f>
        <v>N/A</v>
      </c>
      <c r="BP748" s="127" t="str">
        <f ca="1">IFERROR(CIQLO(MO.Ticker.CapIQ,"IQ_LASTSALEPRICE",INDEX(MO_SNA_FPStartDate,0,COLUMN()),INDEX(MO_Common_QEndDate,0,COLUMN())),"N/A")</f>
        <v>N/A</v>
      </c>
      <c r="BQ748" s="127" t="str">
        <f ca="1">IFERROR(CIQLO(MO.Ticker.CapIQ,"IQ_LASTSALEPRICE",INDEX(MO_SNA_FPStartDate,0,COLUMN()),INDEX(MO_Common_QEndDate,0,COLUMN())),"N/A")</f>
        <v>N/A</v>
      </c>
      <c r="BR748" s="127" t="str">
        <f ca="1">IFERROR(CIQLO(MO.Ticker.CapIQ,"IQ_LASTSALEPRICE",INDEX(MO_SNA_FPStartDate,0,COLUMN()),INDEX(MO_Common_QEndDate,0,COLUMN())),"N/A")</f>
        <v>N/A</v>
      </c>
      <c r="BS748" s="127" t="str">
        <f ca="1">IFERROR(CIQLO(MO.Ticker.CapIQ,"IQ_LASTSALEPRICE",INDEX(MO_SNA_FPStartDate,0,COLUMN()),INDEX(MO_Common_QEndDate,0,COLUMN())),"N/A")</f>
        <v>N/A</v>
      </c>
      <c r="BT748" s="127" t="str">
        <f ca="1">IFERROR(CIQLO(MO.Ticker.CapIQ,"IQ_LASTSALEPRICE",INDEX(MO_SNA_FPStartDate,0,COLUMN()),INDEX(MO_Common_QEndDate,0,COLUMN())),"N/A")</f>
        <v>N/A</v>
      </c>
      <c r="BU748" s="127" t="str">
        <f ca="1">IFERROR(CIQLO(MO.Ticker.CapIQ,"IQ_LASTSALEPRICE",INDEX(MO_SNA_FPStartDate,0,COLUMN()),INDEX(MO_Common_QEndDate,0,COLUMN())),"N/A")</f>
        <v>N/A</v>
      </c>
      <c r="BV748" s="159" t="str">
        <f ca="1">IFERROR(CIQLO(MO.Ticker.CapIQ,"IQ_LASTSALEPRICE",INDEX(MO_SNA_FPStartDate,0,COLUMN()),INDEX(MO_Common_QEndDate,0,COLUMN())),"N/A")</f>
        <v>N/A</v>
      </c>
      <c r="BW748" s="128"/>
    </row>
    <row r="749" spans="1:75" s="476" customFormat="1" hidden="1" outlineLevel="1">
      <c r="A749" s="160" t="s">
        <v>611</v>
      </c>
      <c r="B749" s="127"/>
      <c r="C749" s="549" t="str">
        <f ca="1">IFERROR(_xll.FDS(MO.Ticker.FactSet,"P_PRICE_LOW"&amp;"("&amp;INDEX(MO_SNA_FPStartDate,0,COLUMN())&amp;","&amp;INDEX(MO_Common_QEndDate,0,COLUMN())&amp;",,,,""PRICE"",""CLOSE"")"),"N/A")</f>
        <v>N/A</v>
      </c>
      <c r="D749" s="549" t="str">
        <f ca="1">IFERROR(_xll.FDS(MO.Ticker.FactSet,"P_PRICE_LOW"&amp;"("&amp;INDEX(MO_SNA_FPStartDate,0,COLUMN())&amp;","&amp;INDEX(MO_Common_QEndDate,0,COLUMN())&amp;",,,,""PRICE"",""CLOSE"")"),"N/A")</f>
        <v>N/A</v>
      </c>
      <c r="E749" s="549" t="str">
        <f ca="1">IFERROR(_xll.FDS(MO.Ticker.FactSet,"P_PRICE_LOW"&amp;"("&amp;INDEX(MO_SNA_FPStartDate,0,COLUMN())&amp;","&amp;INDEX(MO_Common_QEndDate,0,COLUMN())&amp;",,,,""PRICE"",""CLOSE"")"),"N/A")</f>
        <v>N/A</v>
      </c>
      <c r="F749" s="549" t="str">
        <f ca="1">IFERROR(_xll.FDS(MO.Ticker.FactSet,"P_PRICE_LOW"&amp;"("&amp;INDEX(MO_SNA_FPStartDate,0,COLUMN())&amp;","&amp;INDEX(MO_Common_QEndDate,0,COLUMN())&amp;",,,,""PRICE"",""CLOSE"")"),"N/A")</f>
        <v>N/A</v>
      </c>
      <c r="G749" s="549" t="str">
        <f ca="1">IFERROR(_xll.FDS(MO.Ticker.FactSet,"P_PRICE_LOW"&amp;"("&amp;INDEX(MO_SNA_FPStartDate,0,COLUMN())&amp;","&amp;INDEX(MO_Common_QEndDate,0,COLUMN())&amp;",,,,""PRICE"",""CLOSE"")"),"N/A")</f>
        <v>N/A</v>
      </c>
      <c r="H749" s="127" t="str">
        <f ca="1">IFERROR(_xll.FDS(MO.Ticker.FactSet,"P_PRICE_LOW"&amp;"("&amp;INDEX(MO_SNA_FPStartDate,0,COLUMN())&amp;","&amp;INDEX(MO_Common_QEndDate,0,COLUMN())&amp;",,,,""PRICE"",""CLOSE"")"),"N/A")</f>
        <v>N/A</v>
      </c>
      <c r="I749" s="127" t="str">
        <f ca="1">IFERROR(_xll.FDS(MO.Ticker.FactSet,"P_PRICE_LOW"&amp;"("&amp;INDEX(MO_SNA_FPStartDate,0,COLUMN())&amp;","&amp;INDEX(MO_Common_QEndDate,0,COLUMN())&amp;",,,,""PRICE"",""CLOSE"")"),"N/A")</f>
        <v>N/A</v>
      </c>
      <c r="J749" s="127" t="str">
        <f ca="1">IFERROR(_xll.FDS(MO.Ticker.FactSet,"P_PRICE_LOW"&amp;"("&amp;INDEX(MO_SNA_FPStartDate,0,COLUMN())&amp;","&amp;INDEX(MO_Common_QEndDate,0,COLUMN())&amp;",,,,""PRICE"",""CLOSE"")"),"N/A")</f>
        <v>N/A</v>
      </c>
      <c r="K749" s="127" t="str">
        <f ca="1">IFERROR(_xll.FDS(MO.Ticker.FactSet,"P_PRICE_LOW"&amp;"("&amp;INDEX(MO_SNA_FPStartDate,0,COLUMN())&amp;","&amp;INDEX(MO_Common_QEndDate,0,COLUMN())&amp;",,,,""PRICE"",""CLOSE"")"),"N/A")</f>
        <v>N/A</v>
      </c>
      <c r="L749" s="127" t="str">
        <f ca="1">IFERROR(_xll.FDS(MO.Ticker.FactSet,"P_PRICE_LOW"&amp;"("&amp;INDEX(MO_SNA_FPStartDate,0,COLUMN())&amp;","&amp;INDEX(MO_Common_QEndDate,0,COLUMN())&amp;",,,,""PRICE"",""CLOSE"")"),"N/A")</f>
        <v>N/A</v>
      </c>
      <c r="M749" s="127" t="str">
        <f ca="1">IFERROR(_xll.FDS(MO.Ticker.FactSet,"P_PRICE_LOW"&amp;"("&amp;INDEX(MO_SNA_FPStartDate,0,COLUMN())&amp;","&amp;INDEX(MO_Common_QEndDate,0,COLUMN())&amp;",,,,""PRICE"",""CLOSE"")"),"N/A")</f>
        <v>N/A</v>
      </c>
      <c r="N749" s="127" t="str">
        <f ca="1">IFERROR(_xll.FDS(MO.Ticker.FactSet,"P_PRICE_LOW"&amp;"("&amp;INDEX(MO_SNA_FPStartDate,0,COLUMN())&amp;","&amp;INDEX(MO_Common_QEndDate,0,COLUMN())&amp;",,,,""PRICE"",""CLOSE"")"),"N/A")</f>
        <v>N/A</v>
      </c>
      <c r="O749" s="127" t="str">
        <f ca="1">IFERROR(_xll.FDS(MO.Ticker.FactSet,"P_PRICE_LOW"&amp;"("&amp;INDEX(MO_SNA_FPStartDate,0,COLUMN())&amp;","&amp;INDEX(MO_Common_QEndDate,0,COLUMN())&amp;",,,,""PRICE"",""CLOSE"")"),"N/A")</f>
        <v>N/A</v>
      </c>
      <c r="P749" s="127" t="str">
        <f ca="1">IFERROR(_xll.FDS(MO.Ticker.FactSet,"P_PRICE_LOW"&amp;"("&amp;INDEX(MO_SNA_FPStartDate,0,COLUMN())&amp;","&amp;INDEX(MO_Common_QEndDate,0,COLUMN())&amp;",,,,""PRICE"",""CLOSE"")"),"N/A")</f>
        <v>N/A</v>
      </c>
      <c r="Q749" s="127" t="str">
        <f ca="1">IFERROR(_xll.FDS(MO.Ticker.FactSet,"P_PRICE_LOW"&amp;"("&amp;INDEX(MO_SNA_FPStartDate,0,COLUMN())&amp;","&amp;INDEX(MO_Common_QEndDate,0,COLUMN())&amp;",,,,""PRICE"",""CLOSE"")"),"N/A")</f>
        <v>N/A</v>
      </c>
      <c r="R749" s="127" t="str">
        <f ca="1">IFERROR(_xll.FDS(MO.Ticker.FactSet,"P_PRICE_LOW"&amp;"("&amp;INDEX(MO_SNA_FPStartDate,0,COLUMN())&amp;","&amp;INDEX(MO_Common_QEndDate,0,COLUMN())&amp;",,,,""PRICE"",""CLOSE"")"),"N/A")</f>
        <v>N/A</v>
      </c>
      <c r="S749" s="127" t="str">
        <f ca="1">IFERROR(_xll.FDS(MO.Ticker.FactSet,"P_PRICE_LOW"&amp;"("&amp;INDEX(MO_SNA_FPStartDate,0,COLUMN())&amp;","&amp;INDEX(MO_Common_QEndDate,0,COLUMN())&amp;",,,,""PRICE"",""CLOSE"")"),"N/A")</f>
        <v>N/A</v>
      </c>
      <c r="T749" s="127" t="str">
        <f ca="1">IFERROR(_xll.FDS(MO.Ticker.FactSet,"P_PRICE_LOW"&amp;"("&amp;INDEX(MO_SNA_FPStartDate,0,COLUMN())&amp;","&amp;INDEX(MO_Common_QEndDate,0,COLUMN())&amp;",,,,""PRICE"",""CLOSE"")"),"N/A")</f>
        <v>N/A</v>
      </c>
      <c r="U749" s="127" t="str">
        <f ca="1">IFERROR(_xll.FDS(MO.Ticker.FactSet,"P_PRICE_LOW"&amp;"("&amp;INDEX(MO_SNA_FPStartDate,0,COLUMN())&amp;","&amp;INDEX(MO_Common_QEndDate,0,COLUMN())&amp;",,,,""PRICE"",""CLOSE"")"),"N/A")</f>
        <v>N/A</v>
      </c>
      <c r="V749" s="127" t="str">
        <f ca="1">IFERROR(_xll.FDS(MO.Ticker.FactSet,"P_PRICE_LOW"&amp;"("&amp;INDEX(MO_SNA_FPStartDate,0,COLUMN())&amp;","&amp;INDEX(MO_Common_QEndDate,0,COLUMN())&amp;",,,,""PRICE"",""CLOSE"")"),"N/A")</f>
        <v>N/A</v>
      </c>
      <c r="W749" s="127" t="str">
        <f ca="1">IFERROR(_xll.FDS(MO.Ticker.FactSet,"P_PRICE_LOW"&amp;"("&amp;INDEX(MO_SNA_FPStartDate,0,COLUMN())&amp;","&amp;INDEX(MO_Common_QEndDate,0,COLUMN())&amp;",,,,""PRICE"",""CLOSE"")"),"N/A")</f>
        <v>N/A</v>
      </c>
      <c r="X749" s="127" t="str">
        <f ca="1">IFERROR(_xll.FDS(MO.Ticker.FactSet,"P_PRICE_LOW"&amp;"("&amp;INDEX(MO_SNA_FPStartDate,0,COLUMN())&amp;","&amp;INDEX(MO_Common_QEndDate,0,COLUMN())&amp;",,,,""PRICE"",""CLOSE"")"),"N/A")</f>
        <v>N/A</v>
      </c>
      <c r="Y749" s="127" t="str">
        <f ca="1">IFERROR(_xll.FDS(MO.Ticker.FactSet,"P_PRICE_LOW"&amp;"("&amp;INDEX(MO_SNA_FPStartDate,0,COLUMN())&amp;","&amp;INDEX(MO_Common_QEndDate,0,COLUMN())&amp;",,,,""PRICE"",""CLOSE"")"),"N/A")</f>
        <v>N/A</v>
      </c>
      <c r="Z749" s="127" t="str">
        <f ca="1">IFERROR(_xll.FDS(MO.Ticker.FactSet,"P_PRICE_LOW"&amp;"("&amp;INDEX(MO_SNA_FPStartDate,0,COLUMN())&amp;","&amp;INDEX(MO_Common_QEndDate,0,COLUMN())&amp;",,,,""PRICE"",""CLOSE"")"),"N/A")</f>
        <v>N/A</v>
      </c>
      <c r="AA749" s="127" t="str">
        <f ca="1">IFERROR(_xll.FDS(MO.Ticker.FactSet,"P_PRICE_LOW"&amp;"("&amp;INDEX(MO_SNA_FPStartDate,0,COLUMN())&amp;","&amp;INDEX(MO_Common_QEndDate,0,COLUMN())&amp;",,,,""PRICE"",""CLOSE"")"),"N/A")</f>
        <v>N/A</v>
      </c>
      <c r="AB749" s="127" t="str">
        <f ca="1">IFERROR(_xll.FDS(MO.Ticker.FactSet,"P_PRICE_LOW"&amp;"("&amp;INDEX(MO_SNA_FPStartDate,0,COLUMN())&amp;","&amp;INDEX(MO_Common_QEndDate,0,COLUMN())&amp;",,,,""PRICE"",""CLOSE"")"),"N/A")</f>
        <v>N/A</v>
      </c>
      <c r="AC749" s="127" t="str">
        <f ca="1">IFERROR(_xll.FDS(MO.Ticker.FactSet,"P_PRICE_LOW"&amp;"("&amp;INDEX(MO_SNA_FPStartDate,0,COLUMN())&amp;","&amp;INDEX(MO_Common_QEndDate,0,COLUMN())&amp;",,,,""PRICE"",""CLOSE"")"),"N/A")</f>
        <v>N/A</v>
      </c>
      <c r="AD749" s="127" t="str">
        <f ca="1">IFERROR(_xll.FDS(MO.Ticker.FactSet,"P_PRICE_LOW"&amp;"("&amp;INDEX(MO_SNA_FPStartDate,0,COLUMN())&amp;","&amp;INDEX(MO_Common_QEndDate,0,COLUMN())&amp;",,,,""PRICE"",""CLOSE"")"),"N/A")</f>
        <v>N/A</v>
      </c>
      <c r="AE749" s="127" t="str">
        <f ca="1">IFERROR(_xll.FDS(MO.Ticker.FactSet,"P_PRICE_LOW"&amp;"("&amp;INDEX(MO_SNA_FPStartDate,0,COLUMN())&amp;","&amp;INDEX(MO_Common_QEndDate,0,COLUMN())&amp;",,,,""PRICE"",""CLOSE"")"),"N/A")</f>
        <v>N/A</v>
      </c>
      <c r="AF749" s="127" t="str">
        <f ca="1">IFERROR(_xll.FDS(MO.Ticker.FactSet,"P_PRICE_LOW"&amp;"("&amp;INDEX(MO_SNA_FPStartDate,0,COLUMN())&amp;","&amp;INDEX(MO_Common_QEndDate,0,COLUMN())&amp;",,,,""PRICE"",""CLOSE"")"),"N/A")</f>
        <v>N/A</v>
      </c>
      <c r="AG749" s="127" t="str">
        <f ca="1">IFERROR(_xll.FDS(MO.Ticker.FactSet,"P_PRICE_LOW"&amp;"("&amp;INDEX(MO_SNA_FPStartDate,0,COLUMN())&amp;","&amp;INDEX(MO_Common_QEndDate,0,COLUMN())&amp;",,,,""PRICE"",""CLOSE"")"),"N/A")</f>
        <v>N/A</v>
      </c>
      <c r="AH749" s="127" t="str">
        <f ca="1">IFERROR(_xll.FDS(MO.Ticker.FactSet,"P_PRICE_LOW"&amp;"("&amp;INDEX(MO_SNA_FPStartDate,0,COLUMN())&amp;","&amp;INDEX(MO_Common_QEndDate,0,COLUMN())&amp;",,,,""PRICE"",""CLOSE"")"),"N/A")</f>
        <v>N/A</v>
      </c>
      <c r="AI749" s="127" t="str">
        <f ca="1">IFERROR(_xll.FDS(MO.Ticker.FactSet,"P_PRICE_LOW"&amp;"("&amp;INDEX(MO_SNA_FPStartDate,0,COLUMN())&amp;","&amp;INDEX(MO_Common_QEndDate,0,COLUMN())&amp;",,,,""PRICE"",""CLOSE"")"),"N/A")</f>
        <v>N/A</v>
      </c>
      <c r="AJ749" s="127" t="str">
        <f ca="1">IFERROR(_xll.FDS(MO.Ticker.FactSet,"P_PRICE_LOW"&amp;"("&amp;INDEX(MO_SNA_FPStartDate,0,COLUMN())&amp;","&amp;INDEX(MO_Common_QEndDate,0,COLUMN())&amp;",,,,""PRICE"",""CLOSE"")"),"N/A")</f>
        <v>N/A</v>
      </c>
      <c r="AK749" s="127" t="str">
        <f ca="1">IFERROR(_xll.FDS(MO.Ticker.FactSet,"P_PRICE_LOW"&amp;"("&amp;INDEX(MO_SNA_FPStartDate,0,COLUMN())&amp;","&amp;INDEX(MO_Common_QEndDate,0,COLUMN())&amp;",,,,""PRICE"",""CLOSE"")"),"N/A")</f>
        <v>N/A</v>
      </c>
      <c r="AL749" s="127" t="str">
        <f ca="1">IFERROR(_xll.FDS(MO.Ticker.FactSet,"P_PRICE_LOW"&amp;"("&amp;INDEX(MO_SNA_FPStartDate,0,COLUMN())&amp;","&amp;INDEX(MO_Common_QEndDate,0,COLUMN())&amp;",,,,""PRICE"",""CLOSE"")"),"N/A")</f>
        <v>N/A</v>
      </c>
      <c r="AM749" s="127" t="str">
        <f ca="1">IFERROR(_xll.FDS(MO.Ticker.FactSet,"P_PRICE_LOW"&amp;"("&amp;INDEX(MO_SNA_FPStartDate,0,COLUMN())&amp;","&amp;INDEX(MO_Common_QEndDate,0,COLUMN())&amp;",,,,""PRICE"",""CLOSE"")"),"N/A")</f>
        <v>N/A</v>
      </c>
      <c r="AN749" s="127" t="str">
        <f ca="1">IFERROR(_xll.FDS(MO.Ticker.FactSet,"P_PRICE_LOW"&amp;"("&amp;INDEX(MO_SNA_FPStartDate,0,COLUMN())&amp;","&amp;INDEX(MO_Common_QEndDate,0,COLUMN())&amp;",,,,""PRICE"",""CLOSE"")"),"N/A")</f>
        <v>N/A</v>
      </c>
      <c r="AO749" s="127" t="str">
        <f ca="1">IFERROR(_xll.FDS(MO.Ticker.FactSet,"P_PRICE_LOW"&amp;"("&amp;INDEX(MO_SNA_FPStartDate,0,COLUMN())&amp;","&amp;INDEX(MO_Common_QEndDate,0,COLUMN())&amp;",,,,""PRICE"",""CLOSE"")"),"N/A")</f>
        <v>N/A</v>
      </c>
      <c r="AP749" s="127" t="str">
        <f ca="1">IFERROR(_xll.FDS(MO.Ticker.FactSet,"P_PRICE_LOW"&amp;"("&amp;INDEX(MO_SNA_FPStartDate,0,COLUMN())&amp;","&amp;INDEX(MO_Common_QEndDate,0,COLUMN())&amp;",,,,""PRICE"",""CLOSE"")"),"N/A")</f>
        <v>N/A</v>
      </c>
      <c r="AQ749" s="127" t="str">
        <f ca="1">IFERROR(_xll.FDS(MO.Ticker.FactSet,"P_PRICE_LOW"&amp;"("&amp;INDEX(MO_SNA_FPStartDate,0,COLUMN())&amp;","&amp;INDEX(MO_Common_QEndDate,0,COLUMN())&amp;",,,,""PRICE"",""CLOSE"")"),"N/A")</f>
        <v>N/A</v>
      </c>
      <c r="AR749" s="127" t="str">
        <f ca="1">IFERROR(_xll.FDS(MO.Ticker.FactSet,"P_PRICE_LOW"&amp;"("&amp;INDEX(MO_SNA_FPStartDate,0,COLUMN())&amp;","&amp;INDEX(MO_Common_QEndDate,0,COLUMN())&amp;",,,,""PRICE"",""CLOSE"")"),"N/A")</f>
        <v>N/A</v>
      </c>
      <c r="AS749" s="127" t="str">
        <f ca="1">IFERROR(_xll.FDS(MO.Ticker.FactSet,"P_PRICE_LOW"&amp;"("&amp;INDEX(MO_SNA_FPStartDate,0,COLUMN())&amp;","&amp;INDEX(MO_Common_QEndDate,0,COLUMN())&amp;",,,,""PRICE"",""CLOSE"")"),"N/A")</f>
        <v>N/A</v>
      </c>
      <c r="AT749" s="127" t="str">
        <f ca="1">IFERROR(_xll.FDS(MO.Ticker.FactSet,"P_PRICE_LOW"&amp;"("&amp;INDEX(MO_SNA_FPStartDate,0,COLUMN())&amp;","&amp;INDEX(MO_Common_QEndDate,0,COLUMN())&amp;",,,,""PRICE"",""CLOSE"")"),"N/A")</f>
        <v>N/A</v>
      </c>
      <c r="AU749" s="127" t="str">
        <f ca="1">IFERROR(_xll.FDS(MO.Ticker.FactSet,"P_PRICE_LOW"&amp;"("&amp;INDEX(MO_SNA_FPStartDate,0,COLUMN())&amp;","&amp;INDEX(MO_Common_QEndDate,0,COLUMN())&amp;",,,,""PRICE"",""CLOSE"")"),"N/A")</f>
        <v>N/A</v>
      </c>
      <c r="AV749" s="127" t="str">
        <f ca="1">IFERROR(_xll.FDS(MO.Ticker.FactSet,"P_PRICE_LOW"&amp;"("&amp;INDEX(MO_SNA_FPStartDate,0,COLUMN())&amp;","&amp;INDEX(MO_Common_QEndDate,0,COLUMN())&amp;",,,,""PRICE"",""CLOSE"")"),"N/A")</f>
        <v>N/A</v>
      </c>
      <c r="AW749" s="127" t="str">
        <f ca="1">IFERROR(_xll.FDS(MO.Ticker.FactSet,"P_PRICE_LOW"&amp;"("&amp;INDEX(MO_SNA_FPStartDate,0,COLUMN())&amp;","&amp;INDEX(MO_Common_QEndDate,0,COLUMN())&amp;",,,,""PRICE"",""CLOSE"")"),"N/A")</f>
        <v>N/A</v>
      </c>
      <c r="AX749" s="127" t="str">
        <f ca="1">IFERROR(_xll.FDS(MO.Ticker.FactSet,"P_PRICE_LOW"&amp;"("&amp;INDEX(MO_SNA_FPStartDate,0,COLUMN())&amp;","&amp;INDEX(MO_Common_QEndDate,0,COLUMN())&amp;",,,,""PRICE"",""CLOSE"")"),"N/A")</f>
        <v>N/A</v>
      </c>
      <c r="AY749" s="127" t="str">
        <f ca="1">IFERROR(_xll.FDS(MO.Ticker.FactSet,"P_PRICE_LOW"&amp;"("&amp;INDEX(MO_SNA_FPStartDate,0,COLUMN())&amp;","&amp;INDEX(MO_Common_QEndDate,0,COLUMN())&amp;",,,,""PRICE"",""CLOSE"")"),"N/A")</f>
        <v>N/A</v>
      </c>
      <c r="AZ749" s="127" t="str">
        <f ca="1">IFERROR(_xll.FDS(MO.Ticker.FactSet,"P_PRICE_LOW"&amp;"("&amp;INDEX(MO_SNA_FPStartDate,0,COLUMN())&amp;","&amp;INDEX(MO_Common_QEndDate,0,COLUMN())&amp;",,,,""PRICE"",""CLOSE"")"),"N/A")</f>
        <v>N/A</v>
      </c>
      <c r="BA749" s="127" t="str">
        <f ca="1">IFERROR(_xll.FDS(MO.Ticker.FactSet,"P_PRICE_LOW"&amp;"("&amp;INDEX(MO_SNA_FPStartDate,0,COLUMN())&amp;","&amp;INDEX(MO_Common_QEndDate,0,COLUMN())&amp;",,,,""PRICE"",""CLOSE"")"),"N/A")</f>
        <v>N/A</v>
      </c>
      <c r="BB749" s="127" t="str">
        <f ca="1">IFERROR(_xll.FDS(MO.Ticker.FactSet,"P_PRICE_LOW"&amp;"("&amp;INDEX(MO_SNA_FPStartDate,0,COLUMN())&amp;","&amp;INDEX(MO_Common_QEndDate,0,COLUMN())&amp;",,,,""PRICE"",""CLOSE"")"),"N/A")</f>
        <v>N/A</v>
      </c>
      <c r="BC749" s="127" t="str">
        <f ca="1">IFERROR(_xll.FDS(MO.Ticker.FactSet,"P_PRICE_LOW"&amp;"("&amp;INDEX(MO_SNA_FPStartDate,0,COLUMN())&amp;","&amp;INDEX(MO_Common_QEndDate,0,COLUMN())&amp;",,,,""PRICE"",""CLOSE"")"),"N/A")</f>
        <v>N/A</v>
      </c>
      <c r="BD749" s="127" t="str">
        <f ca="1">IFERROR(_xll.FDS(MO.Ticker.FactSet,"P_PRICE_LOW"&amp;"("&amp;INDEX(MO_SNA_FPStartDate,0,COLUMN())&amp;","&amp;INDEX(MO_Common_QEndDate,0,COLUMN())&amp;",,,,""PRICE"",""CLOSE"")"),"N/A")</f>
        <v>N/A</v>
      </c>
      <c r="BE749" s="127" t="str">
        <f ca="1">IFERROR(_xll.FDS(MO.Ticker.FactSet,"P_PRICE_LOW"&amp;"("&amp;INDEX(MO_SNA_FPStartDate,0,COLUMN())&amp;","&amp;INDEX(MO_Common_QEndDate,0,COLUMN())&amp;",,,,""PRICE"",""CLOSE"")"),"N/A")</f>
        <v>N/A</v>
      </c>
      <c r="BF749" s="127" t="str">
        <f ca="1">IFERROR(_xll.FDS(MO.Ticker.FactSet,"P_PRICE_LOW"&amp;"("&amp;INDEX(MO_SNA_FPStartDate,0,COLUMN())&amp;","&amp;INDEX(MO_Common_QEndDate,0,COLUMN())&amp;",,,,""PRICE"",""CLOSE"")"),"N/A")</f>
        <v>N/A</v>
      </c>
      <c r="BG749" s="127" t="str">
        <f ca="1">IFERROR(_xll.FDS(MO.Ticker.FactSet,"P_PRICE_LOW"&amp;"("&amp;INDEX(MO_SNA_FPStartDate,0,COLUMN())&amp;","&amp;INDEX(MO_Common_QEndDate,0,COLUMN())&amp;",,,,""PRICE"",""CLOSE"")"),"N/A")</f>
        <v>N/A</v>
      </c>
      <c r="BH749" s="127" t="str">
        <f ca="1">IFERROR(_xll.FDS(MO.Ticker.FactSet,"P_PRICE_LOW"&amp;"("&amp;INDEX(MO_SNA_FPStartDate,0,COLUMN())&amp;","&amp;INDEX(MO_Common_QEndDate,0,COLUMN())&amp;",,,,""PRICE"",""CLOSE"")"),"N/A")</f>
        <v>N/A</v>
      </c>
      <c r="BI749" s="127" t="str">
        <f ca="1">IFERROR(_xll.FDS(MO.Ticker.FactSet,"P_PRICE_LOW"&amp;"("&amp;INDEX(MO_SNA_FPStartDate,0,COLUMN())&amp;","&amp;INDEX(MO_Common_QEndDate,0,COLUMN())&amp;",,,,""PRICE"",""CLOSE"")"),"N/A")</f>
        <v>N/A</v>
      </c>
      <c r="BJ749" s="127" t="str">
        <f ca="1">IFERROR(_xll.FDS(MO.Ticker.FactSet,"P_PRICE_LOW"&amp;"("&amp;INDEX(MO_SNA_FPStartDate,0,COLUMN())&amp;","&amp;INDEX(MO_Common_QEndDate,0,COLUMN())&amp;",,,,""PRICE"",""CLOSE"")"),"N/A")</f>
        <v>N/A</v>
      </c>
      <c r="BK749" s="127" t="str">
        <f ca="1">IFERROR(_xll.FDS(MO.Ticker.FactSet,"P_PRICE_LOW"&amp;"("&amp;INDEX(MO_SNA_FPStartDate,0,COLUMN())&amp;","&amp;INDEX(MO_Common_QEndDate,0,COLUMN())&amp;",,,,""PRICE"",""CLOSE"")"),"N/A")</f>
        <v>N/A</v>
      </c>
      <c r="BL749" s="169" t="str">
        <f ca="1">IFERROR(_xll.FDS(MO.Ticker.FactSet,"P_PRICE_LOW"&amp;"("&amp;INDEX(MO_SNA_FPStartDate,0,COLUMN())&amp;","&amp;INDEX(MO_Common_QEndDate,0,COLUMN())&amp;",,,,""PRICE"",""CLOSE"")"),"N/A")</f>
        <v>N/A</v>
      </c>
      <c r="BM749" s="127" t="str">
        <f ca="1">IFERROR(_xll.FDS(MO.Ticker.FactSet,"P_PRICE_LOW"&amp;"("&amp;INDEX(MO_SNA_FPStartDate,0,COLUMN())&amp;","&amp;INDEX(MO_Common_QEndDate,0,COLUMN())&amp;",,,,""PRICE"",""CLOSE"")"),"N/A")</f>
        <v>N/A</v>
      </c>
      <c r="BN749" s="127" t="str">
        <f ca="1">IFERROR(_xll.FDS(MO.Ticker.FactSet,"P_PRICE_LOW"&amp;"("&amp;INDEX(MO_SNA_FPStartDate,0,COLUMN())&amp;","&amp;INDEX(MO_Common_QEndDate,0,COLUMN())&amp;",,,,""PRICE"",""CLOSE"")"),"N/A")</f>
        <v>N/A</v>
      </c>
      <c r="BO749" s="127" t="str">
        <f ca="1">IFERROR(_xll.FDS(MO.Ticker.FactSet,"P_PRICE_LOW"&amp;"("&amp;INDEX(MO_SNA_FPStartDate,0,COLUMN())&amp;","&amp;INDEX(MO_Common_QEndDate,0,COLUMN())&amp;",,,,""PRICE"",""CLOSE"")"),"N/A")</f>
        <v>N/A</v>
      </c>
      <c r="BP749" s="127" t="str">
        <f ca="1">IFERROR(_xll.FDS(MO.Ticker.FactSet,"P_PRICE_LOW"&amp;"("&amp;INDEX(MO_SNA_FPStartDate,0,COLUMN())&amp;","&amp;INDEX(MO_Common_QEndDate,0,COLUMN())&amp;",,,,""PRICE"",""CLOSE"")"),"N/A")</f>
        <v>N/A</v>
      </c>
      <c r="BQ749" s="127" t="str">
        <f ca="1">IFERROR(_xll.FDS(MO.Ticker.FactSet,"P_PRICE_LOW"&amp;"("&amp;INDEX(MO_SNA_FPStartDate,0,COLUMN())&amp;","&amp;INDEX(MO_Common_QEndDate,0,COLUMN())&amp;",,,,""PRICE"",""CLOSE"")"),"N/A")</f>
        <v>N/A</v>
      </c>
      <c r="BR749" s="127" t="str">
        <f ca="1">IFERROR(_xll.FDS(MO.Ticker.FactSet,"P_PRICE_LOW"&amp;"("&amp;INDEX(MO_SNA_FPStartDate,0,COLUMN())&amp;","&amp;INDEX(MO_Common_QEndDate,0,COLUMN())&amp;",,,,""PRICE"",""CLOSE"")"),"N/A")</f>
        <v>N/A</v>
      </c>
      <c r="BS749" s="127" t="str">
        <f ca="1">IFERROR(_xll.FDS(MO.Ticker.FactSet,"P_PRICE_LOW"&amp;"("&amp;INDEX(MO_SNA_FPStartDate,0,COLUMN())&amp;","&amp;INDEX(MO_Common_QEndDate,0,COLUMN())&amp;",,,,""PRICE"",""CLOSE"")"),"N/A")</f>
        <v>N/A</v>
      </c>
      <c r="BT749" s="127" t="str">
        <f ca="1">IFERROR(_xll.FDS(MO.Ticker.FactSet,"P_PRICE_LOW"&amp;"("&amp;INDEX(MO_SNA_FPStartDate,0,COLUMN())&amp;","&amp;INDEX(MO_Common_QEndDate,0,COLUMN())&amp;",,,,""PRICE"",""CLOSE"")"),"N/A")</f>
        <v>N/A</v>
      </c>
      <c r="BU749" s="127" t="str">
        <f ca="1">IFERROR(_xll.FDS(MO.Ticker.FactSet,"P_PRICE_LOW"&amp;"("&amp;INDEX(MO_SNA_FPStartDate,0,COLUMN())&amp;","&amp;INDEX(MO_Common_QEndDate,0,COLUMN())&amp;",,,,""PRICE"",""CLOSE"")"),"N/A")</f>
        <v>N/A</v>
      </c>
      <c r="BV749" s="159" t="str">
        <f ca="1">IFERROR(_xll.FDS(MO.Ticker.FactSet,"P_PRICE_LOW"&amp;"("&amp;INDEX(MO_SNA_FPStartDate,0,COLUMN())&amp;","&amp;INDEX(MO_Common_QEndDate,0,COLUMN())&amp;",,,,""PRICE"",""CLOSE"")"),"N/A")</f>
        <v>N/A</v>
      </c>
      <c r="BW749" s="128"/>
    </row>
    <row r="750" spans="1:75" s="476" customFormat="1" hidden="1" outlineLevel="1">
      <c r="A750" s="160" t="s">
        <v>612</v>
      </c>
      <c r="B750" s="127"/>
      <c r="C750" s="549" t="str">
        <f>IFERROR(_xll.TR(MO.Ticker.Thomson,"Min(TR.PriceLow)","sdate:#1 edate:#2",,INDEX(MO_SNA_FPStartDate,0,COLUMN()),INDEX(MO_Common_QEndDate,0,COLUMN())),"N/A")</f>
        <v>Not Signed In</v>
      </c>
      <c r="D750" s="549" t="str">
        <f>IFERROR(_xll.TR(MO.Ticker.Thomson,"Min(TR.PriceLow)","sdate:#1 edate:#2",,INDEX(MO_SNA_FPStartDate,0,COLUMN()),INDEX(MO_Common_QEndDate,0,COLUMN())),"N/A")</f>
        <v>Not Signed In</v>
      </c>
      <c r="E750" s="549" t="str">
        <f>IFERROR(_xll.TR(MO.Ticker.Thomson,"Min(TR.PriceLow)","sdate:#1 edate:#2",,INDEX(MO_SNA_FPStartDate,0,COLUMN()),INDEX(MO_Common_QEndDate,0,COLUMN())),"N/A")</f>
        <v>Not Signed In</v>
      </c>
      <c r="F750" s="549" t="str">
        <f>IFERROR(_xll.TR(MO.Ticker.Thomson,"Min(TR.PriceLow)","sdate:#1 edate:#2",,INDEX(MO_SNA_FPStartDate,0,COLUMN()),INDEX(MO_Common_QEndDate,0,COLUMN())),"N/A")</f>
        <v>Not Signed In</v>
      </c>
      <c r="G750" s="549" t="str">
        <f>IFERROR(_xll.TR(MO.Ticker.Thomson,"Min(TR.PriceLow)","sdate:#1 edate:#2",,INDEX(MO_SNA_FPStartDate,0,COLUMN()),INDEX(MO_Common_QEndDate,0,COLUMN())),"N/A")</f>
        <v>Not Signed In</v>
      </c>
      <c r="H750" s="127" t="str">
        <f>IFERROR(_xll.TR(MO.Ticker.Thomson,"Min(TR.PriceLow)","sdate:#1 edate:#2",,INDEX(MO_SNA_FPStartDate,0,COLUMN()),INDEX(MO_Common_QEndDate,0,COLUMN())),"N/A")</f>
        <v>Not Signed In</v>
      </c>
      <c r="I750" s="127" t="str">
        <f>IFERROR(_xll.TR(MO.Ticker.Thomson,"Min(TR.PriceLow)","sdate:#1 edate:#2",,INDEX(MO_SNA_FPStartDate,0,COLUMN()),INDEX(MO_Common_QEndDate,0,COLUMN())),"N/A")</f>
        <v>Not Signed In</v>
      </c>
      <c r="J750" s="127" t="str">
        <f>IFERROR(_xll.TR(MO.Ticker.Thomson,"Min(TR.PriceLow)","sdate:#1 edate:#2",,INDEX(MO_SNA_FPStartDate,0,COLUMN()),INDEX(MO_Common_QEndDate,0,COLUMN())),"N/A")</f>
        <v>Not Signed In</v>
      </c>
      <c r="K750" s="127" t="str">
        <f>IFERROR(_xll.TR(MO.Ticker.Thomson,"Min(TR.PriceLow)","sdate:#1 edate:#2",,INDEX(MO_SNA_FPStartDate,0,COLUMN()),INDEX(MO_Common_QEndDate,0,COLUMN())),"N/A")</f>
        <v>Not Signed In</v>
      </c>
      <c r="L750" s="127" t="str">
        <f>IFERROR(_xll.TR(MO.Ticker.Thomson,"Min(TR.PriceLow)","sdate:#1 edate:#2",,INDEX(MO_SNA_FPStartDate,0,COLUMN()),INDEX(MO_Common_QEndDate,0,COLUMN())),"N/A")</f>
        <v>Not Signed In</v>
      </c>
      <c r="M750" s="127" t="str">
        <f>IFERROR(_xll.TR(MO.Ticker.Thomson,"Min(TR.PriceLow)","sdate:#1 edate:#2",,INDEX(MO_SNA_FPStartDate,0,COLUMN()),INDEX(MO_Common_QEndDate,0,COLUMN())),"N/A")</f>
        <v>Not Signed In</v>
      </c>
      <c r="N750" s="127" t="str">
        <f>IFERROR(_xll.TR(MO.Ticker.Thomson,"Min(TR.PriceLow)","sdate:#1 edate:#2",,INDEX(MO_SNA_FPStartDate,0,COLUMN()),INDEX(MO_Common_QEndDate,0,COLUMN())),"N/A")</f>
        <v>Not Signed In</v>
      </c>
      <c r="O750" s="127" t="str">
        <f>IFERROR(_xll.TR(MO.Ticker.Thomson,"Min(TR.PriceLow)","sdate:#1 edate:#2",,INDEX(MO_SNA_FPStartDate,0,COLUMN()),INDEX(MO_Common_QEndDate,0,COLUMN())),"N/A")</f>
        <v>Not Signed In</v>
      </c>
      <c r="P750" s="127" t="str">
        <f>IFERROR(_xll.TR(MO.Ticker.Thomson,"Min(TR.PriceLow)","sdate:#1 edate:#2",,INDEX(MO_SNA_FPStartDate,0,COLUMN()),INDEX(MO_Common_QEndDate,0,COLUMN())),"N/A")</f>
        <v>Not Signed In</v>
      </c>
      <c r="Q750" s="127" t="str">
        <f>IFERROR(_xll.TR(MO.Ticker.Thomson,"Min(TR.PriceLow)","sdate:#1 edate:#2",,INDEX(MO_SNA_FPStartDate,0,COLUMN()),INDEX(MO_Common_QEndDate,0,COLUMN())),"N/A")</f>
        <v>Not Signed In</v>
      </c>
      <c r="R750" s="127" t="str">
        <f>IFERROR(_xll.TR(MO.Ticker.Thomson,"Min(TR.PriceLow)","sdate:#1 edate:#2",,INDEX(MO_SNA_FPStartDate,0,COLUMN()),INDEX(MO_Common_QEndDate,0,COLUMN())),"N/A")</f>
        <v>Not Signed In</v>
      </c>
      <c r="S750" s="127" t="str">
        <f>IFERROR(_xll.TR(MO.Ticker.Thomson,"Min(TR.PriceLow)","sdate:#1 edate:#2",,INDEX(MO_SNA_FPStartDate,0,COLUMN()),INDEX(MO_Common_QEndDate,0,COLUMN())),"N/A")</f>
        <v>Not Signed In</v>
      </c>
      <c r="T750" s="127" t="str">
        <f>IFERROR(_xll.TR(MO.Ticker.Thomson,"Min(TR.PriceLow)","sdate:#1 edate:#2",,INDEX(MO_SNA_FPStartDate,0,COLUMN()),INDEX(MO_Common_QEndDate,0,COLUMN())),"N/A")</f>
        <v>Not Signed In</v>
      </c>
      <c r="U750" s="127" t="str">
        <f>IFERROR(_xll.TR(MO.Ticker.Thomson,"Min(TR.PriceLow)","sdate:#1 edate:#2",,INDEX(MO_SNA_FPStartDate,0,COLUMN()),INDEX(MO_Common_QEndDate,0,COLUMN())),"N/A")</f>
        <v>Not Signed In</v>
      </c>
      <c r="V750" s="127" t="str">
        <f>IFERROR(_xll.TR(MO.Ticker.Thomson,"Min(TR.PriceLow)","sdate:#1 edate:#2",,INDEX(MO_SNA_FPStartDate,0,COLUMN()),INDEX(MO_Common_QEndDate,0,COLUMN())),"N/A")</f>
        <v>Not Signed In</v>
      </c>
      <c r="W750" s="127" t="str">
        <f>IFERROR(_xll.TR(MO.Ticker.Thomson,"Min(TR.PriceLow)","sdate:#1 edate:#2",,INDEX(MO_SNA_FPStartDate,0,COLUMN()),INDEX(MO_Common_QEndDate,0,COLUMN())),"N/A")</f>
        <v>Not Signed In</v>
      </c>
      <c r="X750" s="127" t="str">
        <f>IFERROR(_xll.TR(MO.Ticker.Thomson,"Min(TR.PriceLow)","sdate:#1 edate:#2",,INDEX(MO_SNA_FPStartDate,0,COLUMN()),INDEX(MO_Common_QEndDate,0,COLUMN())),"N/A")</f>
        <v>Not Signed In</v>
      </c>
      <c r="Y750" s="127" t="str">
        <f>IFERROR(_xll.TR(MO.Ticker.Thomson,"Min(TR.PriceLow)","sdate:#1 edate:#2",,INDEX(MO_SNA_FPStartDate,0,COLUMN()),INDEX(MO_Common_QEndDate,0,COLUMN())),"N/A")</f>
        <v>Not Signed In</v>
      </c>
      <c r="Z750" s="127" t="str">
        <f>IFERROR(_xll.TR(MO.Ticker.Thomson,"Min(TR.PriceLow)","sdate:#1 edate:#2",,INDEX(MO_SNA_FPStartDate,0,COLUMN()),INDEX(MO_Common_QEndDate,0,COLUMN())),"N/A")</f>
        <v>Not Signed In</v>
      </c>
      <c r="AA750" s="127" t="str">
        <f>IFERROR(_xll.TR(MO.Ticker.Thomson,"Min(TR.PriceLow)","sdate:#1 edate:#2",,INDEX(MO_SNA_FPStartDate,0,COLUMN()),INDEX(MO_Common_QEndDate,0,COLUMN())),"N/A")</f>
        <v>Not Signed In</v>
      </c>
      <c r="AB750" s="127" t="str">
        <f>IFERROR(_xll.TR(MO.Ticker.Thomson,"Min(TR.PriceLow)","sdate:#1 edate:#2",,INDEX(MO_SNA_FPStartDate,0,COLUMN()),INDEX(MO_Common_QEndDate,0,COLUMN())),"N/A")</f>
        <v>Not Signed In</v>
      </c>
      <c r="AC750" s="127" t="str">
        <f>IFERROR(_xll.TR(MO.Ticker.Thomson,"Min(TR.PriceLow)","sdate:#1 edate:#2",,INDEX(MO_SNA_FPStartDate,0,COLUMN()),INDEX(MO_Common_QEndDate,0,COLUMN())),"N/A")</f>
        <v>Not Signed In</v>
      </c>
      <c r="AD750" s="127" t="str">
        <f>IFERROR(_xll.TR(MO.Ticker.Thomson,"Min(TR.PriceLow)","sdate:#1 edate:#2",,INDEX(MO_SNA_FPStartDate,0,COLUMN()),INDEX(MO_Common_QEndDate,0,COLUMN())),"N/A")</f>
        <v>Not Signed In</v>
      </c>
      <c r="AE750" s="127" t="str">
        <f>IFERROR(_xll.TR(MO.Ticker.Thomson,"Min(TR.PriceLow)","sdate:#1 edate:#2",,INDEX(MO_SNA_FPStartDate,0,COLUMN()),INDEX(MO_Common_QEndDate,0,COLUMN())),"N/A")</f>
        <v>Not Signed In</v>
      </c>
      <c r="AF750" s="127" t="str">
        <f>IFERROR(_xll.TR(MO.Ticker.Thomson,"Min(TR.PriceLow)","sdate:#1 edate:#2",,INDEX(MO_SNA_FPStartDate,0,COLUMN()),INDEX(MO_Common_QEndDate,0,COLUMN())),"N/A")</f>
        <v>Not Signed In</v>
      </c>
      <c r="AG750" s="127" t="str">
        <f>IFERROR(_xll.TR(MO.Ticker.Thomson,"Min(TR.PriceLow)","sdate:#1 edate:#2",,INDEX(MO_SNA_FPStartDate,0,COLUMN()),INDEX(MO_Common_QEndDate,0,COLUMN())),"N/A")</f>
        <v>Not Signed In</v>
      </c>
      <c r="AH750" s="127" t="str">
        <f>IFERROR(_xll.TR(MO.Ticker.Thomson,"Min(TR.PriceLow)","sdate:#1 edate:#2",,INDEX(MO_SNA_FPStartDate,0,COLUMN()),INDEX(MO_Common_QEndDate,0,COLUMN())),"N/A")</f>
        <v>Not Signed In</v>
      </c>
      <c r="AI750" s="127" t="str">
        <f>IFERROR(_xll.TR(MO.Ticker.Thomson,"Min(TR.PriceLow)","sdate:#1 edate:#2",,INDEX(MO_SNA_FPStartDate,0,COLUMN()),INDEX(MO_Common_QEndDate,0,COLUMN())),"N/A")</f>
        <v>Not Signed In</v>
      </c>
      <c r="AJ750" s="127" t="str">
        <f>IFERROR(_xll.TR(MO.Ticker.Thomson,"Min(TR.PriceLow)","sdate:#1 edate:#2",,INDEX(MO_SNA_FPStartDate,0,COLUMN()),INDEX(MO_Common_QEndDate,0,COLUMN())),"N/A")</f>
        <v>Not Signed In</v>
      </c>
      <c r="AK750" s="127" t="str">
        <f>IFERROR(_xll.TR(MO.Ticker.Thomson,"Min(TR.PriceLow)","sdate:#1 edate:#2",,INDEX(MO_SNA_FPStartDate,0,COLUMN()),INDEX(MO_Common_QEndDate,0,COLUMN())),"N/A")</f>
        <v>Not Signed In</v>
      </c>
      <c r="AL750" s="127" t="str">
        <f>IFERROR(_xll.TR(MO.Ticker.Thomson,"Min(TR.PriceLow)","sdate:#1 edate:#2",,INDEX(MO_SNA_FPStartDate,0,COLUMN()),INDEX(MO_Common_QEndDate,0,COLUMN())),"N/A")</f>
        <v>Not Signed In</v>
      </c>
      <c r="AM750" s="127" t="str">
        <f>IFERROR(_xll.TR(MO.Ticker.Thomson,"Min(TR.PriceLow)","sdate:#1 edate:#2",,INDEX(MO_SNA_FPStartDate,0,COLUMN()),INDEX(MO_Common_QEndDate,0,COLUMN())),"N/A")</f>
        <v>Not Signed In</v>
      </c>
      <c r="AN750" s="127" t="str">
        <f>IFERROR(_xll.TR(MO.Ticker.Thomson,"Min(TR.PriceLow)","sdate:#1 edate:#2",,INDEX(MO_SNA_FPStartDate,0,COLUMN()),INDEX(MO_Common_QEndDate,0,COLUMN())),"N/A")</f>
        <v>Not Signed In</v>
      </c>
      <c r="AO750" s="127" t="str">
        <f>IFERROR(_xll.TR(MO.Ticker.Thomson,"Min(TR.PriceLow)","sdate:#1 edate:#2",,INDEX(MO_SNA_FPStartDate,0,COLUMN()),INDEX(MO_Common_QEndDate,0,COLUMN())),"N/A")</f>
        <v>Not Signed In</v>
      </c>
      <c r="AP750" s="127" t="str">
        <f>IFERROR(_xll.TR(MO.Ticker.Thomson,"Min(TR.PriceLow)","sdate:#1 edate:#2",,INDEX(MO_SNA_FPStartDate,0,COLUMN()),INDEX(MO_Common_QEndDate,0,COLUMN())),"N/A")</f>
        <v>Not Signed In</v>
      </c>
      <c r="AQ750" s="127" t="str">
        <f>IFERROR(_xll.TR(MO.Ticker.Thomson,"Min(TR.PriceLow)","sdate:#1 edate:#2",,INDEX(MO_SNA_FPStartDate,0,COLUMN()),INDEX(MO_Common_QEndDate,0,COLUMN())),"N/A")</f>
        <v>Not Signed In</v>
      </c>
      <c r="AR750" s="127" t="str">
        <f>IFERROR(_xll.TR(MO.Ticker.Thomson,"Min(TR.PriceLow)","sdate:#1 edate:#2",,INDEX(MO_SNA_FPStartDate,0,COLUMN()),INDEX(MO_Common_QEndDate,0,COLUMN())),"N/A")</f>
        <v>Not Signed In</v>
      </c>
      <c r="AS750" s="127" t="str">
        <f>IFERROR(_xll.TR(MO.Ticker.Thomson,"Min(TR.PriceLow)","sdate:#1 edate:#2",,INDEX(MO_SNA_FPStartDate,0,COLUMN()),INDEX(MO_Common_QEndDate,0,COLUMN())),"N/A")</f>
        <v>Not Signed In</v>
      </c>
      <c r="AT750" s="127" t="str">
        <f>IFERROR(_xll.TR(MO.Ticker.Thomson,"Min(TR.PriceLow)","sdate:#1 edate:#2",,INDEX(MO_SNA_FPStartDate,0,COLUMN()),INDEX(MO_Common_QEndDate,0,COLUMN())),"N/A")</f>
        <v>Not Signed In</v>
      </c>
      <c r="AU750" s="127" t="str">
        <f>IFERROR(_xll.TR(MO.Ticker.Thomson,"Min(TR.PriceLow)","sdate:#1 edate:#2",,INDEX(MO_SNA_FPStartDate,0,COLUMN()),INDEX(MO_Common_QEndDate,0,COLUMN())),"N/A")</f>
        <v>Not Signed In</v>
      </c>
      <c r="AV750" s="127" t="str">
        <f>IFERROR(_xll.TR(MO.Ticker.Thomson,"Min(TR.PriceLow)","sdate:#1 edate:#2",,INDEX(MO_SNA_FPStartDate,0,COLUMN()),INDEX(MO_Common_QEndDate,0,COLUMN())),"N/A")</f>
        <v>Not Signed In</v>
      </c>
      <c r="AW750" s="127" t="str">
        <f>IFERROR(_xll.TR(MO.Ticker.Thomson,"Min(TR.PriceLow)","sdate:#1 edate:#2",,INDEX(MO_SNA_FPStartDate,0,COLUMN()),INDEX(MO_Common_QEndDate,0,COLUMN())),"N/A")</f>
        <v>Not Signed In</v>
      </c>
      <c r="AX750" s="127" t="str">
        <f>IFERROR(_xll.TR(MO.Ticker.Thomson,"Min(TR.PriceLow)","sdate:#1 edate:#2",,INDEX(MO_SNA_FPStartDate,0,COLUMN()),INDEX(MO_Common_QEndDate,0,COLUMN())),"N/A")</f>
        <v>Not Signed In</v>
      </c>
      <c r="AY750" s="127" t="str">
        <f>IFERROR(_xll.TR(MO.Ticker.Thomson,"Min(TR.PriceLow)","sdate:#1 edate:#2",,INDEX(MO_SNA_FPStartDate,0,COLUMN()),INDEX(MO_Common_QEndDate,0,COLUMN())),"N/A")</f>
        <v>Not Signed In</v>
      </c>
      <c r="AZ750" s="127" t="str">
        <f>IFERROR(_xll.TR(MO.Ticker.Thomson,"Min(TR.PriceLow)","sdate:#1 edate:#2",,INDEX(MO_SNA_FPStartDate,0,COLUMN()),INDEX(MO_Common_QEndDate,0,COLUMN())),"N/A")</f>
        <v>Not Signed In</v>
      </c>
      <c r="BA750" s="127" t="str">
        <f>IFERROR(_xll.TR(MO.Ticker.Thomson,"Min(TR.PriceLow)","sdate:#1 edate:#2",,INDEX(MO_SNA_FPStartDate,0,COLUMN()),INDEX(MO_Common_QEndDate,0,COLUMN())),"N/A")</f>
        <v>Not Signed In</v>
      </c>
      <c r="BB750" s="127" t="str">
        <f>IFERROR(_xll.TR(MO.Ticker.Thomson,"Min(TR.PriceLow)","sdate:#1 edate:#2",,INDEX(MO_SNA_FPStartDate,0,COLUMN()),INDEX(MO_Common_QEndDate,0,COLUMN())),"N/A")</f>
        <v>Not Signed In</v>
      </c>
      <c r="BC750" s="127" t="str">
        <f>IFERROR(_xll.TR(MO.Ticker.Thomson,"Min(TR.PriceLow)","sdate:#1 edate:#2",,INDEX(MO_SNA_FPStartDate,0,COLUMN()),INDEX(MO_Common_QEndDate,0,COLUMN())),"N/A")</f>
        <v>Not Signed In</v>
      </c>
      <c r="BD750" s="127" t="str">
        <f>IFERROR(_xll.TR(MO.Ticker.Thomson,"Min(TR.PriceLow)","sdate:#1 edate:#2",,INDEX(MO_SNA_FPStartDate,0,COLUMN()),INDEX(MO_Common_QEndDate,0,COLUMN())),"N/A")</f>
        <v>Not Signed In</v>
      </c>
      <c r="BE750" s="127" t="str">
        <f>IFERROR(_xll.TR(MO.Ticker.Thomson,"Min(TR.PriceLow)","sdate:#1 edate:#2",,INDEX(MO_SNA_FPStartDate,0,COLUMN()),INDEX(MO_Common_QEndDate,0,COLUMN())),"N/A")</f>
        <v>Not Signed In</v>
      </c>
      <c r="BF750" s="127" t="str">
        <f>IFERROR(_xll.TR(MO.Ticker.Thomson,"Min(TR.PriceLow)","sdate:#1 edate:#2",,INDEX(MO_SNA_FPStartDate,0,COLUMN()),INDEX(MO_Common_QEndDate,0,COLUMN())),"N/A")</f>
        <v>Not Signed In</v>
      </c>
      <c r="BG750" s="127" t="str">
        <f>IFERROR(_xll.TR(MO.Ticker.Thomson,"Min(TR.PriceLow)","sdate:#1 edate:#2",,INDEX(MO_SNA_FPStartDate,0,COLUMN()),INDEX(MO_Common_QEndDate,0,COLUMN())),"N/A")</f>
        <v>Not Signed In</v>
      </c>
      <c r="BH750" s="127" t="str">
        <f>IFERROR(_xll.TR(MO.Ticker.Thomson,"Min(TR.PriceLow)","sdate:#1 edate:#2",,INDEX(MO_SNA_FPStartDate,0,COLUMN()),INDEX(MO_Common_QEndDate,0,COLUMN())),"N/A")</f>
        <v>Not Signed In</v>
      </c>
      <c r="BI750" s="127" t="str">
        <f>IFERROR(_xll.TR(MO.Ticker.Thomson,"Min(TR.PriceLow)","sdate:#1 edate:#2",,INDEX(MO_SNA_FPStartDate,0,COLUMN()),INDEX(MO_Common_QEndDate,0,COLUMN())),"N/A")</f>
        <v>Not Signed In</v>
      </c>
      <c r="BJ750" s="127" t="str">
        <f>IFERROR(_xll.TR(MO.Ticker.Thomson,"Min(TR.PriceLow)","sdate:#1 edate:#2",,INDEX(MO_SNA_FPStartDate,0,COLUMN()),INDEX(MO_Common_QEndDate,0,COLUMN())),"N/A")</f>
        <v>Not Signed In</v>
      </c>
      <c r="BK750" s="127" t="str">
        <f>IFERROR(_xll.TR(MO.Ticker.Thomson,"Min(TR.PriceLow)","sdate:#1 edate:#2",,INDEX(MO_SNA_FPStartDate,0,COLUMN()),INDEX(MO_Common_QEndDate,0,COLUMN())),"N/A")</f>
        <v>Not Signed In</v>
      </c>
      <c r="BL750" s="169" t="str">
        <f>IFERROR(_xll.TR(MO.Ticker.Thomson,"Min(TR.PriceLow)","sdate:#1 edate:#2",,INDEX(MO_SNA_FPStartDate,0,COLUMN()),INDEX(MO_Common_QEndDate,0,COLUMN())),"N/A")</f>
        <v>Not Signed In</v>
      </c>
      <c r="BM750" s="127" t="str">
        <f>IFERROR(_xll.TR(MO.Ticker.Thomson,"Min(TR.PriceLow)","sdate:#1 edate:#2",,INDEX(MO_SNA_FPStartDate,0,COLUMN()),INDEX(MO_Common_QEndDate,0,COLUMN())),"N/A")</f>
        <v>Not Signed In</v>
      </c>
      <c r="BN750" s="127" t="str">
        <f>IFERROR(_xll.TR(MO.Ticker.Thomson,"Min(TR.PriceLow)","sdate:#1 edate:#2",,INDEX(MO_SNA_FPStartDate,0,COLUMN()),INDEX(MO_Common_QEndDate,0,COLUMN())),"N/A")</f>
        <v>Not Signed In</v>
      </c>
      <c r="BO750" s="127" t="str">
        <f>IFERROR(_xll.TR(MO.Ticker.Thomson,"Min(TR.PriceLow)","sdate:#1 edate:#2",,INDEX(MO_SNA_FPStartDate,0,COLUMN()),INDEX(MO_Common_QEndDate,0,COLUMN())),"N/A")</f>
        <v>Not Signed In</v>
      </c>
      <c r="BP750" s="127" t="str">
        <f>IFERROR(_xll.TR(MO.Ticker.Thomson,"Min(TR.PriceLow)","sdate:#1 edate:#2",,INDEX(MO_SNA_FPStartDate,0,COLUMN()),INDEX(MO_Common_QEndDate,0,COLUMN())),"N/A")</f>
        <v>Not Signed In</v>
      </c>
      <c r="BQ750" s="127" t="str">
        <f>IFERROR(_xll.TR(MO.Ticker.Thomson,"Min(TR.PriceLow)","sdate:#1 edate:#2",,INDEX(MO_SNA_FPStartDate,0,COLUMN()),INDEX(MO_Common_QEndDate,0,COLUMN())),"N/A")</f>
        <v>Not Signed In</v>
      </c>
      <c r="BR750" s="127" t="str">
        <f>IFERROR(_xll.TR(MO.Ticker.Thomson,"Min(TR.PriceLow)","sdate:#1 edate:#2",,INDEX(MO_SNA_FPStartDate,0,COLUMN()),INDEX(MO_Common_QEndDate,0,COLUMN())),"N/A")</f>
        <v>Not Signed In</v>
      </c>
      <c r="BS750" s="127" t="str">
        <f>IFERROR(_xll.TR(MO.Ticker.Thomson,"Min(TR.PriceLow)","sdate:#1 edate:#2",,INDEX(MO_SNA_FPStartDate,0,COLUMN()),INDEX(MO_Common_QEndDate,0,COLUMN())),"N/A")</f>
        <v>Not Signed In</v>
      </c>
      <c r="BT750" s="127" t="str">
        <f>IFERROR(_xll.TR(MO.Ticker.Thomson,"Min(TR.PriceLow)","sdate:#1 edate:#2",,INDEX(MO_SNA_FPStartDate,0,COLUMN()),INDEX(MO_Common_QEndDate,0,COLUMN())),"N/A")</f>
        <v>Not Signed In</v>
      </c>
      <c r="BU750" s="127" t="str">
        <f>IFERROR(_xll.TR(MO.Ticker.Thomson,"Min(TR.PriceLow)","sdate:#1 edate:#2",,INDEX(MO_SNA_FPStartDate,0,COLUMN()),INDEX(MO_Common_QEndDate,0,COLUMN())),"N/A")</f>
        <v>Not Signed In</v>
      </c>
      <c r="BV750" s="159" t="str">
        <f>IFERROR(_xll.TR(MO.Ticker.Thomson,"Min(TR.PriceLow)","sdate:#1 edate:#2",,INDEX(MO_SNA_FPStartDate,0,COLUMN()),INDEX(MO_Common_QEndDate,0,COLUMN())),"N/A")</f>
        <v>Not Signed In</v>
      </c>
      <c r="BW750" s="128"/>
    </row>
    <row r="751" spans="1:75" s="439" customFormat="1" hidden="1" outlineLevel="1">
      <c r="A751" s="122"/>
      <c r="B751" s="518"/>
      <c r="C751" s="533"/>
      <c r="D751" s="533"/>
      <c r="E751" s="533"/>
      <c r="F751" s="533"/>
      <c r="G751" s="533"/>
      <c r="H751" s="518"/>
      <c r="I751" s="518"/>
      <c r="J751" s="518"/>
      <c r="K751" s="518"/>
      <c r="L751" s="518"/>
      <c r="M751" s="518"/>
      <c r="N751" s="518"/>
      <c r="O751" s="518"/>
      <c r="P751" s="518"/>
      <c r="Q751" s="518"/>
      <c r="R751" s="518"/>
      <c r="S751" s="518"/>
      <c r="T751" s="518"/>
      <c r="U751" s="518"/>
      <c r="V751" s="518"/>
      <c r="W751" s="518"/>
      <c r="X751" s="518"/>
      <c r="Y751" s="518"/>
      <c r="Z751" s="518"/>
      <c r="AA751" s="518"/>
      <c r="AB751" s="518"/>
      <c r="AC751" s="518"/>
      <c r="AD751" s="518"/>
      <c r="AE751" s="518"/>
      <c r="AF751" s="518"/>
      <c r="AG751" s="518"/>
      <c r="AH751" s="518"/>
      <c r="AI751" s="518"/>
      <c r="AJ751" s="518"/>
      <c r="AK751" s="518"/>
      <c r="AL751" s="518"/>
      <c r="AM751" s="518"/>
      <c r="AN751" s="518"/>
      <c r="AO751" s="518"/>
      <c r="AP751" s="518"/>
      <c r="AQ751" s="518"/>
      <c r="AR751" s="518"/>
      <c r="AS751" s="518"/>
      <c r="AT751" s="518"/>
      <c r="AU751" s="518"/>
      <c r="AV751" s="518"/>
      <c r="AW751" s="518"/>
      <c r="AX751" s="518"/>
      <c r="AY751" s="518"/>
      <c r="AZ751" s="518"/>
      <c r="BA751" s="518"/>
      <c r="BB751" s="518"/>
      <c r="BC751" s="518"/>
      <c r="BD751" s="518"/>
      <c r="BE751" s="518"/>
      <c r="BF751" s="518"/>
      <c r="BG751" s="518"/>
      <c r="BH751" s="518"/>
      <c r="BI751" s="518"/>
      <c r="BJ751" s="518"/>
      <c r="BK751" s="518"/>
      <c r="BL751" s="520"/>
      <c r="BM751" s="518"/>
      <c r="BN751" s="518"/>
      <c r="BO751" s="518"/>
      <c r="BP751" s="518"/>
      <c r="BQ751" s="518"/>
      <c r="BR751" s="518"/>
      <c r="BS751" s="518"/>
      <c r="BT751" s="518"/>
      <c r="BU751" s="518"/>
      <c r="BV751" s="121"/>
      <c r="BW751" s="519"/>
    </row>
    <row r="752" spans="1:75" s="476" customFormat="1" collapsed="1">
      <c r="A752" s="158" t="e">
        <f>"Stock Average: "&amp;IF(OR(MO.RealTimeStockPriceToggle=FALSE,VLOOKUP(MO.DataSourceName,MO_SPT_StockAverage_Sources,COLUMN()+2,FALSE)="N/A"),"Real-Time Off Source",MO.DataSourceName)</f>
        <v>#REF!</v>
      </c>
      <c r="B752" s="127"/>
      <c r="C752" s="549" t="e">
        <f t="shared" ref="C752:AH752" si="1446">IF(OR(MO.RealTimeStockPriceToggle=FALSE,VLOOKUP(MO.DataSourceName,MO_SPT_StockAverage_Sources,COLUMN(),FALSE)="N/A"),VLOOKUP("Real-Time Off Source",MO_SPT_StockAverage_Sources,COLUMN(),FALSE),VLOOKUP(MO.DataSourceName,MO_SPT_StockAverage_Sources,COLUMN(),FALSE))</f>
        <v>#REF!</v>
      </c>
      <c r="D752" s="549" t="e">
        <f t="shared" si="1446"/>
        <v>#REF!</v>
      </c>
      <c r="E752" s="549" t="e">
        <f t="shared" si="1446"/>
        <v>#REF!</v>
      </c>
      <c r="F752" s="549" t="e">
        <f t="shared" si="1446"/>
        <v>#REF!</v>
      </c>
      <c r="G752" s="549" t="e">
        <f t="shared" si="1446"/>
        <v>#REF!</v>
      </c>
      <c r="H752" s="127" t="e">
        <f t="shared" si="1446"/>
        <v>#REF!</v>
      </c>
      <c r="I752" s="127" t="e">
        <f t="shared" si="1446"/>
        <v>#REF!</v>
      </c>
      <c r="J752" s="127" t="e">
        <f t="shared" si="1446"/>
        <v>#REF!</v>
      </c>
      <c r="K752" s="127" t="e">
        <f t="shared" si="1446"/>
        <v>#REF!</v>
      </c>
      <c r="L752" s="127" t="e">
        <f t="shared" si="1446"/>
        <v>#REF!</v>
      </c>
      <c r="M752" s="127" t="e">
        <f t="shared" si="1446"/>
        <v>#REF!</v>
      </c>
      <c r="N752" s="127" t="e">
        <f t="shared" si="1446"/>
        <v>#REF!</v>
      </c>
      <c r="O752" s="127" t="e">
        <f t="shared" si="1446"/>
        <v>#REF!</v>
      </c>
      <c r="P752" s="127" t="e">
        <f t="shared" si="1446"/>
        <v>#REF!</v>
      </c>
      <c r="Q752" s="127" t="e">
        <f t="shared" si="1446"/>
        <v>#REF!</v>
      </c>
      <c r="R752" s="127" t="e">
        <f t="shared" si="1446"/>
        <v>#REF!</v>
      </c>
      <c r="S752" s="127" t="e">
        <f t="shared" si="1446"/>
        <v>#REF!</v>
      </c>
      <c r="T752" s="127" t="e">
        <f t="shared" si="1446"/>
        <v>#REF!</v>
      </c>
      <c r="U752" s="127" t="e">
        <f t="shared" si="1446"/>
        <v>#REF!</v>
      </c>
      <c r="V752" s="127" t="e">
        <f t="shared" si="1446"/>
        <v>#REF!</v>
      </c>
      <c r="W752" s="127" t="e">
        <f t="shared" si="1446"/>
        <v>#REF!</v>
      </c>
      <c r="X752" s="127" t="e">
        <f t="shared" si="1446"/>
        <v>#REF!</v>
      </c>
      <c r="Y752" s="127" t="e">
        <f t="shared" si="1446"/>
        <v>#REF!</v>
      </c>
      <c r="Z752" s="127" t="e">
        <f t="shared" si="1446"/>
        <v>#REF!</v>
      </c>
      <c r="AA752" s="127" t="e">
        <f t="shared" si="1446"/>
        <v>#REF!</v>
      </c>
      <c r="AB752" s="127" t="e">
        <f t="shared" si="1446"/>
        <v>#REF!</v>
      </c>
      <c r="AC752" s="127" t="e">
        <f t="shared" si="1446"/>
        <v>#REF!</v>
      </c>
      <c r="AD752" s="127" t="e">
        <f t="shared" si="1446"/>
        <v>#REF!</v>
      </c>
      <c r="AE752" s="127" t="e">
        <f t="shared" si="1446"/>
        <v>#REF!</v>
      </c>
      <c r="AF752" s="127" t="e">
        <f t="shared" si="1446"/>
        <v>#REF!</v>
      </c>
      <c r="AG752" s="127" t="e">
        <f t="shared" si="1446"/>
        <v>#REF!</v>
      </c>
      <c r="AH752" s="127" t="e">
        <f t="shared" si="1446"/>
        <v>#REF!</v>
      </c>
      <c r="AI752" s="127" t="e">
        <f t="shared" ref="AI752:AQ752" si="1447">IF(OR(MO.RealTimeStockPriceToggle=FALSE,VLOOKUP(MO.DataSourceName,MO_SPT_StockAverage_Sources,COLUMN(),FALSE)="N/A"),VLOOKUP("Real-Time Off Source",MO_SPT_StockAverage_Sources,COLUMN(),FALSE),VLOOKUP(MO.DataSourceName,MO_SPT_StockAverage_Sources,COLUMN(),FALSE))</f>
        <v>#REF!</v>
      </c>
      <c r="AJ752" s="127" t="e">
        <f t="shared" si="1447"/>
        <v>#REF!</v>
      </c>
      <c r="AK752" s="127" t="e">
        <f t="shared" si="1447"/>
        <v>#REF!</v>
      </c>
      <c r="AL752" s="127" t="e">
        <f t="shared" si="1447"/>
        <v>#REF!</v>
      </c>
      <c r="AM752" s="127" t="e">
        <f t="shared" si="1447"/>
        <v>#REF!</v>
      </c>
      <c r="AN752" s="127" t="e">
        <f t="shared" si="1447"/>
        <v>#REF!</v>
      </c>
      <c r="AO752" s="127" t="e">
        <f t="shared" si="1447"/>
        <v>#REF!</v>
      </c>
      <c r="AP752" s="127" t="e">
        <f t="shared" si="1447"/>
        <v>#REF!</v>
      </c>
      <c r="AQ752" s="127" t="e">
        <f t="shared" si="1447"/>
        <v>#REF!</v>
      </c>
      <c r="AR752" s="127" t="e">
        <f t="shared" ref="AR752:AW752" si="1448">IF(OR(MO.RealTimeStockPriceToggle=FALSE,VLOOKUP(MO.DataSourceName,MO_SPT_StockAverage_Sources,COLUMN(),FALSE)="N/A"),VLOOKUP("Real-Time Off Source",MO_SPT_StockAverage_Sources,COLUMN(),FALSE),VLOOKUP(MO.DataSourceName,MO_SPT_StockAverage_Sources,COLUMN(),FALSE))</f>
        <v>#REF!</v>
      </c>
      <c r="AS752" s="127" t="e">
        <f t="shared" si="1448"/>
        <v>#REF!</v>
      </c>
      <c r="AT752" s="127" t="e">
        <f t="shared" si="1448"/>
        <v>#REF!</v>
      </c>
      <c r="AU752" s="127" t="e">
        <f t="shared" si="1448"/>
        <v>#REF!</v>
      </c>
      <c r="AV752" s="127" t="e">
        <f t="shared" si="1448"/>
        <v>#REF!</v>
      </c>
      <c r="AW752" s="127" t="e">
        <f t="shared" si="1448"/>
        <v>#REF!</v>
      </c>
      <c r="AX752" s="127" t="e">
        <f t="shared" ref="AX752:BA752" si="1449">IF(OR(MO.RealTimeStockPriceToggle=FALSE,VLOOKUP(MO.DataSourceName,MO_SPT_StockAverage_Sources,COLUMN(),FALSE)="N/A"),VLOOKUP("Real-Time Off Source",MO_SPT_StockAverage_Sources,COLUMN(),FALSE),VLOOKUP(MO.DataSourceName,MO_SPT_StockAverage_Sources,COLUMN(),FALSE))</f>
        <v>#REF!</v>
      </c>
      <c r="AY752" s="127" t="e">
        <f t="shared" si="1449"/>
        <v>#REF!</v>
      </c>
      <c r="AZ752" s="127" t="e">
        <f t="shared" si="1449"/>
        <v>#REF!</v>
      </c>
      <c r="BA752" s="127" t="e">
        <f t="shared" si="1449"/>
        <v>#REF!</v>
      </c>
      <c r="BB752" s="127" t="e">
        <f t="shared" ref="BB752:BN752" si="1450">IF(OR(MO.RealTimeStockPriceToggle=FALSE,VLOOKUP(MO.DataSourceName,MO_SPT_StockAverage_Sources,COLUMN(),FALSE)="N/A"),VLOOKUP("Real-Time Off Source",MO_SPT_StockAverage_Sources,COLUMN(),FALSE),VLOOKUP(MO.DataSourceName,MO_SPT_StockAverage_Sources,COLUMN(),FALSE))</f>
        <v>#REF!</v>
      </c>
      <c r="BC752" s="127" t="e">
        <f t="shared" si="1450"/>
        <v>#REF!</v>
      </c>
      <c r="BD752" s="127" t="e">
        <f t="shared" si="1450"/>
        <v>#REF!</v>
      </c>
      <c r="BE752" s="127" t="e">
        <f t="shared" ref="BE752:BM752" si="1451">IF(OR(MO.RealTimeStockPriceToggle=FALSE,VLOOKUP(MO.DataSourceName,MO_SPT_StockAverage_Sources,COLUMN(),FALSE)="N/A"),VLOOKUP("Real-Time Off Source",MO_SPT_StockAverage_Sources,COLUMN(),FALSE),VLOOKUP(MO.DataSourceName,MO_SPT_StockAverage_Sources,COLUMN(),FALSE))</f>
        <v>#REF!</v>
      </c>
      <c r="BF752" s="127" t="e">
        <f t="shared" si="1451"/>
        <v>#REF!</v>
      </c>
      <c r="BG752" s="127" t="e">
        <f t="shared" si="1451"/>
        <v>#REF!</v>
      </c>
      <c r="BH752" s="127" t="e">
        <f t="shared" si="1451"/>
        <v>#REF!</v>
      </c>
      <c r="BI752" s="127" t="e">
        <f t="shared" si="1451"/>
        <v>#REF!</v>
      </c>
      <c r="BJ752" s="127" t="e">
        <f>IF(OR(MO.RealTimeStockPriceToggle=FALSE,VLOOKUP(MO.DataSourceName,MO_SPT_StockAverage_Sources,COLUMN(),FALSE)="N/A"),VLOOKUP("Real-Time Off Source",MO_SPT_StockAverage_Sources,COLUMN(),FALSE),VLOOKUP(MO.DataSourceName,MO_SPT_StockAverage_Sources,COLUMN(),FALSE))</f>
        <v>#REF!</v>
      </c>
      <c r="BK752" s="127" t="e">
        <f>IF(OR(MO.RealTimeStockPriceToggle=FALSE,VLOOKUP(MO.DataSourceName,MO_SPT_StockAverage_Sources,COLUMN(),FALSE)="N/A"),VLOOKUP("Real-Time Off Source",MO_SPT_StockAverage_Sources,COLUMN(),FALSE),VLOOKUP(MO.DataSourceName,MO_SPT_StockAverage_Sources,COLUMN(),FALSE))</f>
        <v>#REF!</v>
      </c>
      <c r="BL752" s="169" t="e">
        <f>IF(OR(MO.RealTimeStockPriceToggle=FALSE,VLOOKUP(MO.DataSourceName,MO_SPT_StockAverage_Sources,COLUMN(),FALSE)="N/A"),VLOOKUP("Real-Time Off Source",MO_SPT_StockAverage_Sources,COLUMN(),FALSE),VLOOKUP(MO.DataSourceName,MO_SPT_StockAverage_Sources,COLUMN(),FALSE))</f>
        <v>#REF!</v>
      </c>
      <c r="BM752" s="127" t="e">
        <f t="shared" si="1451"/>
        <v>#REF!</v>
      </c>
      <c r="BN752" s="127" t="e">
        <f t="shared" si="1450"/>
        <v>#REF!</v>
      </c>
      <c r="BO752" s="127" t="e">
        <f t="shared" ref="BO752:BV752" si="1452">IF(OR(MO.RealTimeStockPriceToggle=FALSE,VLOOKUP(MO.DataSourceName,MO_SPT_StockAverage_Sources,COLUMN(),FALSE)="N/A"),VLOOKUP("Real-Time Off Source",MO_SPT_StockAverage_Sources,COLUMN(),FALSE),VLOOKUP(MO.DataSourceName,MO_SPT_StockAverage_Sources,COLUMN(),FALSE))</f>
        <v>#REF!</v>
      </c>
      <c r="BP752" s="127" t="e">
        <f t="shared" si="1452"/>
        <v>#REF!</v>
      </c>
      <c r="BQ752" s="127" t="e">
        <f t="shared" si="1452"/>
        <v>#REF!</v>
      </c>
      <c r="BR752" s="127" t="e">
        <f t="shared" si="1452"/>
        <v>#REF!</v>
      </c>
      <c r="BS752" s="127" t="e">
        <f t="shared" si="1452"/>
        <v>#REF!</v>
      </c>
      <c r="BT752" s="127" t="e">
        <f t="shared" si="1452"/>
        <v>#REF!</v>
      </c>
      <c r="BU752" s="127" t="e">
        <f t="shared" si="1452"/>
        <v>#REF!</v>
      </c>
      <c r="BV752" s="159" t="e">
        <f t="shared" si="1452"/>
        <v>#REF!</v>
      </c>
      <c r="BW752" s="128"/>
    </row>
    <row r="753" spans="1:75" s="476" customFormat="1" hidden="1" outlineLevel="1">
      <c r="A753" s="160" t="s">
        <v>608</v>
      </c>
      <c r="B753" s="127"/>
      <c r="C753" s="654">
        <v>0</v>
      </c>
      <c r="D753" s="654">
        <v>0</v>
      </c>
      <c r="E753" s="654">
        <v>0</v>
      </c>
      <c r="F753" s="654">
        <v>23.256250000000001</v>
      </c>
      <c r="G753" s="654">
        <v>22.295000000000002</v>
      </c>
      <c r="H753" s="655">
        <v>29.31</v>
      </c>
      <c r="I753" s="655">
        <v>52.715000000000003</v>
      </c>
      <c r="J753" s="655">
        <v>66.010000000000005</v>
      </c>
      <c r="K753" s="655">
        <v>42.582500000000003</v>
      </c>
      <c r="L753" s="655">
        <v>84.11</v>
      </c>
      <c r="M753" s="655">
        <v>65.254999999999995</v>
      </c>
      <c r="N753" s="655">
        <v>75.790000000000006</v>
      </c>
      <c r="O753" s="655">
        <v>61.29</v>
      </c>
      <c r="P753" s="655">
        <v>71.611249999999998</v>
      </c>
      <c r="Q753" s="655">
        <v>49.9</v>
      </c>
      <c r="R753" s="655">
        <v>45.21</v>
      </c>
      <c r="S753" s="655">
        <v>31.995000000000001</v>
      </c>
      <c r="T753" s="655">
        <v>26.535</v>
      </c>
      <c r="U753" s="655">
        <v>38.409999999999997</v>
      </c>
      <c r="V753" s="655">
        <v>21.54</v>
      </c>
      <c r="W753" s="655">
        <v>24.875</v>
      </c>
      <c r="X753" s="655">
        <v>35.31</v>
      </c>
      <c r="Y753" s="655">
        <v>37.68</v>
      </c>
      <c r="Z753" s="655">
        <v>29.85125</v>
      </c>
      <c r="AA753" s="655">
        <v>37.505000000000003</v>
      </c>
      <c r="AB753" s="655">
        <v>31.59</v>
      </c>
      <c r="AC753" s="655">
        <v>36.774999999999999</v>
      </c>
      <c r="AD753" s="655">
        <v>44.225000000000001</v>
      </c>
      <c r="AE753" s="655">
        <v>37.52375</v>
      </c>
      <c r="AF753" s="655">
        <v>43.507049180327897</v>
      </c>
      <c r="AG753" s="655">
        <v>43.250781250000003</v>
      </c>
      <c r="AH753" s="655">
        <v>43.678571428571402</v>
      </c>
      <c r="AI753" s="655">
        <v>38.208412698412701</v>
      </c>
      <c r="AJ753" s="655">
        <v>42.1548207171315</v>
      </c>
      <c r="AK753" s="655">
        <v>36.161803278688502</v>
      </c>
      <c r="AL753" s="655">
        <v>34.589682539682499</v>
      </c>
      <c r="AM753" s="655">
        <v>34.571406250000003</v>
      </c>
      <c r="AN753" s="655">
        <v>33.933750000000003</v>
      </c>
      <c r="AO753" s="655">
        <v>34.799007936507898</v>
      </c>
      <c r="AP753" s="655">
        <v>30.397580645161302</v>
      </c>
      <c r="AQ753" s="655">
        <v>21.794920634920601</v>
      </c>
      <c r="AR753" s="655">
        <v>22.7734375</v>
      </c>
      <c r="AS753" s="655">
        <v>26.25765625</v>
      </c>
      <c r="AT753" s="655">
        <v>25.2795256916996</v>
      </c>
      <c r="AU753" s="655">
        <v>36.356065573770501</v>
      </c>
      <c r="AV753" s="655">
        <v>39.693650793650797</v>
      </c>
      <c r="AW753" s="655">
        <v>37.879687500000003</v>
      </c>
      <c r="AX753" s="655">
        <v>37.559375000000003</v>
      </c>
      <c r="AY753" s="655">
        <v>37.8830158730159</v>
      </c>
      <c r="AZ753" s="655">
        <v>34.340000000000003</v>
      </c>
      <c r="BA753" s="655">
        <v>31.055161290322602</v>
      </c>
      <c r="BB753" s="655">
        <v>33.090468749999999</v>
      </c>
      <c r="BC753" s="655">
        <v>31.7107936507937</v>
      </c>
      <c r="BD753" s="655">
        <v>32.550079681274902</v>
      </c>
      <c r="BE753" s="655">
        <v>30.080806451612901</v>
      </c>
      <c r="BF753" s="655">
        <v>32.258870967741899</v>
      </c>
      <c r="BG753" s="655">
        <v>42.071904761904797</v>
      </c>
      <c r="BH753" s="655">
        <v>44.135079365079299</v>
      </c>
      <c r="BI753" s="655">
        <v>37.184399999999997</v>
      </c>
      <c r="BJ753" s="655">
        <v>41.4480327868852</v>
      </c>
      <c r="BK753" s="655">
        <v>38.306031746031699</v>
      </c>
      <c r="BL753" s="656">
        <v>34.935625000000002</v>
      </c>
      <c r="BM753" s="127"/>
      <c r="BN753" s="127"/>
      <c r="BO753" s="127"/>
      <c r="BP753" s="127"/>
      <c r="BQ753" s="127"/>
      <c r="BR753" s="127"/>
      <c r="BS753" s="127"/>
      <c r="BT753" s="127"/>
      <c r="BU753" s="127"/>
      <c r="BV753" s="159"/>
      <c r="BW753" s="128"/>
    </row>
    <row r="754" spans="1:75" s="476" customFormat="1" hidden="1" outlineLevel="1">
      <c r="A754" s="160" t="s">
        <v>609</v>
      </c>
      <c r="B754" s="127"/>
      <c r="C754" s="549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D754" s="549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E754" s="549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F754" s="549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G754" s="549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H754" s="127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I754" s="127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J754" s="127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K754" s="127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L754" s="127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M754" s="127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N754" s="127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O754" s="127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P754" s="127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Q754" s="127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R754" s="127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S754" s="127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T754" s="127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U754" s="127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V754" s="127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W754" s="127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X754" s="127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Y754" s="127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Z754" s="127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AA754" s="127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AB754" s="127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AC754" s="127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AD754" s="127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AE754" s="127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AF754" s="127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AG754" s="127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AH754" s="127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AI754" s="127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AJ754" s="127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AK754" s="127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AL754" s="127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AM754" s="127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AN754" s="127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AO754" s="127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AP754" s="127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AQ754" s="127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AR754" s="127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AS754" s="127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AT754" s="127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AU754" s="127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AV754" s="127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AW754" s="127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AX754" s="127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AY754" s="127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AZ754" s="127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BA754" s="127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BB754" s="127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BC754" s="127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BD754" s="127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BE754" s="127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BF754" s="127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BG754" s="127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BH754" s="127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BI754" s="127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BJ754" s="127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BK754" s="127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BL754" s="169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BM754" s="127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BN754" s="127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BO754" s="127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BP754" s="127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BQ754" s="127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BR754" s="127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BS754" s="127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BT754" s="127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BU754" s="127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BV754" s="159" t="str">
        <f>IFERROR(_xll.BDP(MO.Ticker.Bloomberg&amp;" Equity","INTERVAL_AVG","MARKET_DATA_OVERRIDE=PX_LAST","START_DATE_OVERRIDE",TEXT(INDEX(MO_SNA_FPStartDate,0,COLUMN()),"YYYYMMDD"),"END_DATE_OVERRIDE",TEXT(INDEX(MO_Common_QEndDate,0,COLUMN()),"YYYYMMDD")),"N/A")</f>
        <v>#N/A Connection</v>
      </c>
      <c r="BW754" s="128"/>
    </row>
    <row r="755" spans="1:75" s="476" customFormat="1" hidden="1" outlineLevel="1">
      <c r="A755" s="160" t="s">
        <v>610</v>
      </c>
      <c r="B755" s="127"/>
      <c r="C755" s="549" t="str">
        <f ca="1">IFERROR(_xll.CIQAVG(MO.Ticker.CapIQ,"IQ_LASTSALEPRICE",INDEX(MO_SNA_FPStartDate,0,COLUMN()),INDEX(MO_Common_QEndDate,0,COLUMN())),"N/A")</f>
        <v>N/A</v>
      </c>
      <c r="D755" s="549" t="str">
        <f ca="1">IFERROR(_xll.CIQAVG(MO.Ticker.CapIQ,"IQ_LASTSALEPRICE",INDEX(MO_SNA_FPStartDate,0,COLUMN()),INDEX(MO_Common_QEndDate,0,COLUMN())),"N/A")</f>
        <v>N/A</v>
      </c>
      <c r="E755" s="549" t="str">
        <f ca="1">IFERROR(_xll.CIQAVG(MO.Ticker.CapIQ,"IQ_LASTSALEPRICE",INDEX(MO_SNA_FPStartDate,0,COLUMN()),INDEX(MO_Common_QEndDate,0,COLUMN())),"N/A")</f>
        <v>N/A</v>
      </c>
      <c r="F755" s="549" t="str">
        <f ca="1">IFERROR(_xll.CIQAVG(MO.Ticker.CapIQ,"IQ_LASTSALEPRICE",INDEX(MO_SNA_FPStartDate,0,COLUMN()),INDEX(MO_Common_QEndDate,0,COLUMN())),"N/A")</f>
        <v>N/A</v>
      </c>
      <c r="G755" s="549" t="str">
        <f ca="1">IFERROR(_xll.CIQAVG(MO.Ticker.CapIQ,"IQ_LASTSALEPRICE",INDEX(MO_SNA_FPStartDate,0,COLUMN()),INDEX(MO_Common_QEndDate,0,COLUMN())),"N/A")</f>
        <v>N/A</v>
      </c>
      <c r="H755" s="127" t="str">
        <f ca="1">IFERROR(_xll.CIQAVG(MO.Ticker.CapIQ,"IQ_LASTSALEPRICE",INDEX(MO_SNA_FPStartDate,0,COLUMN()),INDEX(MO_Common_QEndDate,0,COLUMN())),"N/A")</f>
        <v>N/A</v>
      </c>
      <c r="I755" s="127" t="str">
        <f ca="1">IFERROR(_xll.CIQAVG(MO.Ticker.CapIQ,"IQ_LASTSALEPRICE",INDEX(MO_SNA_FPStartDate,0,COLUMN()),INDEX(MO_Common_QEndDate,0,COLUMN())),"N/A")</f>
        <v>N/A</v>
      </c>
      <c r="J755" s="127" t="str">
        <f ca="1">IFERROR(_xll.CIQAVG(MO.Ticker.CapIQ,"IQ_LASTSALEPRICE",INDEX(MO_SNA_FPStartDate,0,COLUMN()),INDEX(MO_Common_QEndDate,0,COLUMN())),"N/A")</f>
        <v>N/A</v>
      </c>
      <c r="K755" s="127" t="str">
        <f ca="1">IFERROR(_xll.CIQAVG(MO.Ticker.CapIQ,"IQ_LASTSALEPRICE",INDEX(MO_SNA_FPStartDate,0,COLUMN()),INDEX(MO_Common_QEndDate,0,COLUMN())),"N/A")</f>
        <v>N/A</v>
      </c>
      <c r="L755" s="127" t="str">
        <f ca="1">IFERROR(_xll.CIQAVG(MO.Ticker.CapIQ,"IQ_LASTSALEPRICE",INDEX(MO_SNA_FPStartDate,0,COLUMN()),INDEX(MO_Common_QEndDate,0,COLUMN())),"N/A")</f>
        <v>N/A</v>
      </c>
      <c r="M755" s="127" t="str">
        <f ca="1">IFERROR(_xll.CIQAVG(MO.Ticker.CapIQ,"IQ_LASTSALEPRICE",INDEX(MO_SNA_FPStartDate,0,COLUMN()),INDEX(MO_Common_QEndDate,0,COLUMN())),"N/A")</f>
        <v>N/A</v>
      </c>
      <c r="N755" s="127" t="str">
        <f ca="1">IFERROR(_xll.CIQAVG(MO.Ticker.CapIQ,"IQ_LASTSALEPRICE",INDEX(MO_SNA_FPStartDate,0,COLUMN()),INDEX(MO_Common_QEndDate,0,COLUMN())),"N/A")</f>
        <v>N/A</v>
      </c>
      <c r="O755" s="127" t="str">
        <f ca="1">IFERROR(_xll.CIQAVG(MO.Ticker.CapIQ,"IQ_LASTSALEPRICE",INDEX(MO_SNA_FPStartDate,0,COLUMN()),INDEX(MO_Common_QEndDate,0,COLUMN())),"N/A")</f>
        <v>N/A</v>
      </c>
      <c r="P755" s="127" t="str">
        <f ca="1">IFERROR(_xll.CIQAVG(MO.Ticker.CapIQ,"IQ_LASTSALEPRICE",INDEX(MO_SNA_FPStartDate,0,COLUMN()),INDEX(MO_Common_QEndDate,0,COLUMN())),"N/A")</f>
        <v>N/A</v>
      </c>
      <c r="Q755" s="127" t="str">
        <f ca="1">IFERROR(_xll.CIQAVG(MO.Ticker.CapIQ,"IQ_LASTSALEPRICE",INDEX(MO_SNA_FPStartDate,0,COLUMN()),INDEX(MO_Common_QEndDate,0,COLUMN())),"N/A")</f>
        <v>N/A</v>
      </c>
      <c r="R755" s="127" t="str">
        <f ca="1">IFERROR(_xll.CIQAVG(MO.Ticker.CapIQ,"IQ_LASTSALEPRICE",INDEX(MO_SNA_FPStartDate,0,COLUMN()),INDEX(MO_Common_QEndDate,0,COLUMN())),"N/A")</f>
        <v>N/A</v>
      </c>
      <c r="S755" s="127" t="str">
        <f ca="1">IFERROR(_xll.CIQAVG(MO.Ticker.CapIQ,"IQ_LASTSALEPRICE",INDEX(MO_SNA_FPStartDate,0,COLUMN()),INDEX(MO_Common_QEndDate,0,COLUMN())),"N/A")</f>
        <v>N/A</v>
      </c>
      <c r="T755" s="127" t="str">
        <f ca="1">IFERROR(_xll.CIQAVG(MO.Ticker.CapIQ,"IQ_LASTSALEPRICE",INDEX(MO_SNA_FPStartDate,0,COLUMN()),INDEX(MO_Common_QEndDate,0,COLUMN())),"N/A")</f>
        <v>N/A</v>
      </c>
      <c r="U755" s="127" t="str">
        <f ca="1">IFERROR(_xll.CIQAVG(MO.Ticker.CapIQ,"IQ_LASTSALEPRICE",INDEX(MO_SNA_FPStartDate,0,COLUMN()),INDEX(MO_Common_QEndDate,0,COLUMN())),"N/A")</f>
        <v>N/A</v>
      </c>
      <c r="V755" s="127" t="str">
        <f ca="1">IFERROR(_xll.CIQAVG(MO.Ticker.CapIQ,"IQ_LASTSALEPRICE",INDEX(MO_SNA_FPStartDate,0,COLUMN()),INDEX(MO_Common_QEndDate,0,COLUMN())),"N/A")</f>
        <v>N/A</v>
      </c>
      <c r="W755" s="127" t="str">
        <f ca="1">IFERROR(_xll.CIQAVG(MO.Ticker.CapIQ,"IQ_LASTSALEPRICE",INDEX(MO_SNA_FPStartDate,0,COLUMN()),INDEX(MO_Common_QEndDate,0,COLUMN())),"N/A")</f>
        <v>N/A</v>
      </c>
      <c r="X755" s="127" t="str">
        <f ca="1">IFERROR(_xll.CIQAVG(MO.Ticker.CapIQ,"IQ_LASTSALEPRICE",INDEX(MO_SNA_FPStartDate,0,COLUMN()),INDEX(MO_Common_QEndDate,0,COLUMN())),"N/A")</f>
        <v>N/A</v>
      </c>
      <c r="Y755" s="127" t="str">
        <f ca="1">IFERROR(_xll.CIQAVG(MO.Ticker.CapIQ,"IQ_LASTSALEPRICE",INDEX(MO_SNA_FPStartDate,0,COLUMN()),INDEX(MO_Common_QEndDate,0,COLUMN())),"N/A")</f>
        <v>N/A</v>
      </c>
      <c r="Z755" s="127" t="str">
        <f ca="1">IFERROR(_xll.CIQAVG(MO.Ticker.CapIQ,"IQ_LASTSALEPRICE",INDEX(MO_SNA_FPStartDate,0,COLUMN()),INDEX(MO_Common_QEndDate,0,COLUMN())),"N/A")</f>
        <v>N/A</v>
      </c>
      <c r="AA755" s="127" t="str">
        <f ca="1">IFERROR(_xll.CIQAVG(MO.Ticker.CapIQ,"IQ_LASTSALEPRICE",INDEX(MO_SNA_FPStartDate,0,COLUMN()),INDEX(MO_Common_QEndDate,0,COLUMN())),"N/A")</f>
        <v>N/A</v>
      </c>
      <c r="AB755" s="127" t="str">
        <f ca="1">IFERROR(_xll.CIQAVG(MO.Ticker.CapIQ,"IQ_LASTSALEPRICE",INDEX(MO_SNA_FPStartDate,0,COLUMN()),INDEX(MO_Common_QEndDate,0,COLUMN())),"N/A")</f>
        <v>N/A</v>
      </c>
      <c r="AC755" s="127" t="str">
        <f ca="1">IFERROR(_xll.CIQAVG(MO.Ticker.CapIQ,"IQ_LASTSALEPRICE",INDEX(MO_SNA_FPStartDate,0,COLUMN()),INDEX(MO_Common_QEndDate,0,COLUMN())),"N/A")</f>
        <v>N/A</v>
      </c>
      <c r="AD755" s="127" t="str">
        <f ca="1">IFERROR(_xll.CIQAVG(MO.Ticker.CapIQ,"IQ_LASTSALEPRICE",INDEX(MO_SNA_FPStartDate,0,COLUMN()),INDEX(MO_Common_QEndDate,0,COLUMN())),"N/A")</f>
        <v>N/A</v>
      </c>
      <c r="AE755" s="127" t="str">
        <f ca="1">IFERROR(_xll.CIQAVG(MO.Ticker.CapIQ,"IQ_LASTSALEPRICE",INDEX(MO_SNA_FPStartDate,0,COLUMN()),INDEX(MO_Common_QEndDate,0,COLUMN())),"N/A")</f>
        <v>N/A</v>
      </c>
      <c r="AF755" s="127" t="str">
        <f ca="1">IFERROR(_xll.CIQAVG(MO.Ticker.CapIQ,"IQ_LASTSALEPRICE",INDEX(MO_SNA_FPStartDate,0,COLUMN()),INDEX(MO_Common_QEndDate,0,COLUMN())),"N/A")</f>
        <v>N/A</v>
      </c>
      <c r="AG755" s="127" t="str">
        <f ca="1">IFERROR(_xll.CIQAVG(MO.Ticker.CapIQ,"IQ_LASTSALEPRICE",INDEX(MO_SNA_FPStartDate,0,COLUMN()),INDEX(MO_Common_QEndDate,0,COLUMN())),"N/A")</f>
        <v>N/A</v>
      </c>
      <c r="AH755" s="127" t="str">
        <f ca="1">IFERROR(_xll.CIQAVG(MO.Ticker.CapIQ,"IQ_LASTSALEPRICE",INDEX(MO_SNA_FPStartDate,0,COLUMN()),INDEX(MO_Common_QEndDate,0,COLUMN())),"N/A")</f>
        <v>N/A</v>
      </c>
      <c r="AI755" s="127" t="str">
        <f ca="1">IFERROR(_xll.CIQAVG(MO.Ticker.CapIQ,"IQ_LASTSALEPRICE",INDEX(MO_SNA_FPStartDate,0,COLUMN()),INDEX(MO_Common_QEndDate,0,COLUMN())),"N/A")</f>
        <v>N/A</v>
      </c>
      <c r="AJ755" s="127" t="str">
        <f ca="1">IFERROR(_xll.CIQAVG(MO.Ticker.CapIQ,"IQ_LASTSALEPRICE",INDEX(MO_SNA_FPStartDate,0,COLUMN()),INDEX(MO_Common_QEndDate,0,COLUMN())),"N/A")</f>
        <v>N/A</v>
      </c>
      <c r="AK755" s="127" t="str">
        <f ca="1">IFERROR(_xll.CIQAVG(MO.Ticker.CapIQ,"IQ_LASTSALEPRICE",INDEX(MO_SNA_FPStartDate,0,COLUMN()),INDEX(MO_Common_QEndDate,0,COLUMN())),"N/A")</f>
        <v>N/A</v>
      </c>
      <c r="AL755" s="127" t="str">
        <f ca="1">IFERROR(_xll.CIQAVG(MO.Ticker.CapIQ,"IQ_LASTSALEPRICE",INDEX(MO_SNA_FPStartDate,0,COLUMN()),INDEX(MO_Common_QEndDate,0,COLUMN())),"N/A")</f>
        <v>N/A</v>
      </c>
      <c r="AM755" s="127" t="str">
        <f ca="1">IFERROR(_xll.CIQAVG(MO.Ticker.CapIQ,"IQ_LASTSALEPRICE",INDEX(MO_SNA_FPStartDate,0,COLUMN()),INDEX(MO_Common_QEndDate,0,COLUMN())),"N/A")</f>
        <v>N/A</v>
      </c>
      <c r="AN755" s="127" t="str">
        <f ca="1">IFERROR(_xll.CIQAVG(MO.Ticker.CapIQ,"IQ_LASTSALEPRICE",INDEX(MO_SNA_FPStartDate,0,COLUMN()),INDEX(MO_Common_QEndDate,0,COLUMN())),"N/A")</f>
        <v>N/A</v>
      </c>
      <c r="AO755" s="127" t="str">
        <f ca="1">IFERROR(_xll.CIQAVG(MO.Ticker.CapIQ,"IQ_LASTSALEPRICE",INDEX(MO_SNA_FPStartDate,0,COLUMN()),INDEX(MO_Common_QEndDate,0,COLUMN())),"N/A")</f>
        <v>N/A</v>
      </c>
      <c r="AP755" s="127" t="str">
        <f ca="1">IFERROR(_xll.CIQAVG(MO.Ticker.CapIQ,"IQ_LASTSALEPRICE",INDEX(MO_SNA_FPStartDate,0,COLUMN()),INDEX(MO_Common_QEndDate,0,COLUMN())),"N/A")</f>
        <v>N/A</v>
      </c>
      <c r="AQ755" s="127" t="str">
        <f ca="1">IFERROR(_xll.CIQAVG(MO.Ticker.CapIQ,"IQ_LASTSALEPRICE",INDEX(MO_SNA_FPStartDate,0,COLUMN()),INDEX(MO_Common_QEndDate,0,COLUMN())),"N/A")</f>
        <v>N/A</v>
      </c>
      <c r="AR755" s="127" t="str">
        <f ca="1">IFERROR(_xll.CIQAVG(MO.Ticker.CapIQ,"IQ_LASTSALEPRICE",INDEX(MO_SNA_FPStartDate,0,COLUMN()),INDEX(MO_Common_QEndDate,0,COLUMN())),"N/A")</f>
        <v>N/A</v>
      </c>
      <c r="AS755" s="127" t="str">
        <f ca="1">IFERROR(_xll.CIQAVG(MO.Ticker.CapIQ,"IQ_LASTSALEPRICE",INDEX(MO_SNA_FPStartDate,0,COLUMN()),INDEX(MO_Common_QEndDate,0,COLUMN())),"N/A")</f>
        <v>N/A</v>
      </c>
      <c r="AT755" s="127" t="str">
        <f ca="1">IFERROR(_xll.CIQAVG(MO.Ticker.CapIQ,"IQ_LASTSALEPRICE",INDEX(MO_SNA_FPStartDate,0,COLUMN()),INDEX(MO_Common_QEndDate,0,COLUMN())),"N/A")</f>
        <v>N/A</v>
      </c>
      <c r="AU755" s="127" t="str">
        <f ca="1">IFERROR(_xll.CIQAVG(MO.Ticker.CapIQ,"IQ_LASTSALEPRICE",INDEX(MO_SNA_FPStartDate,0,COLUMN()),INDEX(MO_Common_QEndDate,0,COLUMN())),"N/A")</f>
        <v>N/A</v>
      </c>
      <c r="AV755" s="127" t="str">
        <f ca="1">IFERROR(_xll.CIQAVG(MO.Ticker.CapIQ,"IQ_LASTSALEPRICE",INDEX(MO_SNA_FPStartDate,0,COLUMN()),INDEX(MO_Common_QEndDate,0,COLUMN())),"N/A")</f>
        <v>N/A</v>
      </c>
      <c r="AW755" s="127" t="str">
        <f ca="1">IFERROR(_xll.CIQAVG(MO.Ticker.CapIQ,"IQ_LASTSALEPRICE",INDEX(MO_SNA_FPStartDate,0,COLUMN()),INDEX(MO_Common_QEndDate,0,COLUMN())),"N/A")</f>
        <v>N/A</v>
      </c>
      <c r="AX755" s="127" t="str">
        <f ca="1">IFERROR(_xll.CIQAVG(MO.Ticker.CapIQ,"IQ_LASTSALEPRICE",INDEX(MO_SNA_FPStartDate,0,COLUMN()),INDEX(MO_Common_QEndDate,0,COLUMN())),"N/A")</f>
        <v>N/A</v>
      </c>
      <c r="AY755" s="127" t="str">
        <f ca="1">IFERROR(_xll.CIQAVG(MO.Ticker.CapIQ,"IQ_LASTSALEPRICE",INDEX(MO_SNA_FPStartDate,0,COLUMN()),INDEX(MO_Common_QEndDate,0,COLUMN())),"N/A")</f>
        <v>N/A</v>
      </c>
      <c r="AZ755" s="127" t="str">
        <f ca="1">IFERROR(_xll.CIQAVG(MO.Ticker.CapIQ,"IQ_LASTSALEPRICE",INDEX(MO_SNA_FPStartDate,0,COLUMN()),INDEX(MO_Common_QEndDate,0,COLUMN())),"N/A")</f>
        <v>N/A</v>
      </c>
      <c r="BA755" s="127" t="str">
        <f ca="1">IFERROR(_xll.CIQAVG(MO.Ticker.CapIQ,"IQ_LASTSALEPRICE",INDEX(MO_SNA_FPStartDate,0,COLUMN()),INDEX(MO_Common_QEndDate,0,COLUMN())),"N/A")</f>
        <v>N/A</v>
      </c>
      <c r="BB755" s="127" t="str">
        <f ca="1">IFERROR(_xll.CIQAVG(MO.Ticker.CapIQ,"IQ_LASTSALEPRICE",INDEX(MO_SNA_FPStartDate,0,COLUMN()),INDEX(MO_Common_QEndDate,0,COLUMN())),"N/A")</f>
        <v>N/A</v>
      </c>
      <c r="BC755" s="127" t="str">
        <f ca="1">IFERROR(_xll.CIQAVG(MO.Ticker.CapIQ,"IQ_LASTSALEPRICE",INDEX(MO_SNA_FPStartDate,0,COLUMN()),INDEX(MO_Common_QEndDate,0,COLUMN())),"N/A")</f>
        <v>N/A</v>
      </c>
      <c r="BD755" s="127" t="str">
        <f ca="1">IFERROR(_xll.CIQAVG(MO.Ticker.CapIQ,"IQ_LASTSALEPRICE",INDEX(MO_SNA_FPStartDate,0,COLUMN()),INDEX(MO_Common_QEndDate,0,COLUMN())),"N/A")</f>
        <v>N/A</v>
      </c>
      <c r="BE755" s="127" t="str">
        <f ca="1">IFERROR(_xll.CIQAVG(MO.Ticker.CapIQ,"IQ_LASTSALEPRICE",INDEX(MO_SNA_FPStartDate,0,COLUMN()),INDEX(MO_Common_QEndDate,0,COLUMN())),"N/A")</f>
        <v>N/A</v>
      </c>
      <c r="BF755" s="127" t="str">
        <f ca="1">IFERROR(_xll.CIQAVG(MO.Ticker.CapIQ,"IQ_LASTSALEPRICE",INDEX(MO_SNA_FPStartDate,0,COLUMN()),INDEX(MO_Common_QEndDate,0,COLUMN())),"N/A")</f>
        <v>N/A</v>
      </c>
      <c r="BG755" s="127" t="str">
        <f ca="1">IFERROR(_xll.CIQAVG(MO.Ticker.CapIQ,"IQ_LASTSALEPRICE",INDEX(MO_SNA_FPStartDate,0,COLUMN()),INDEX(MO_Common_QEndDate,0,COLUMN())),"N/A")</f>
        <v>N/A</v>
      </c>
      <c r="BH755" s="127" t="str">
        <f ca="1">IFERROR(_xll.CIQAVG(MO.Ticker.CapIQ,"IQ_LASTSALEPRICE",INDEX(MO_SNA_FPStartDate,0,COLUMN()),INDEX(MO_Common_QEndDate,0,COLUMN())),"N/A")</f>
        <v>N/A</v>
      </c>
      <c r="BI755" s="127" t="str">
        <f ca="1">IFERROR(_xll.CIQAVG(MO.Ticker.CapIQ,"IQ_LASTSALEPRICE",INDEX(MO_SNA_FPStartDate,0,COLUMN()),INDEX(MO_Common_QEndDate,0,COLUMN())),"N/A")</f>
        <v>N/A</v>
      </c>
      <c r="BJ755" s="127" t="str">
        <f ca="1">IFERROR(_xll.CIQAVG(MO.Ticker.CapIQ,"IQ_LASTSALEPRICE",INDEX(MO_SNA_FPStartDate,0,COLUMN()),INDEX(MO_Common_QEndDate,0,COLUMN())),"N/A")</f>
        <v>N/A</v>
      </c>
      <c r="BK755" s="127" t="str">
        <f ca="1">IFERROR(_xll.CIQAVG(MO.Ticker.CapIQ,"IQ_LASTSALEPRICE",INDEX(MO_SNA_FPStartDate,0,COLUMN()),INDEX(MO_Common_QEndDate,0,COLUMN())),"N/A")</f>
        <v>N/A</v>
      </c>
      <c r="BL755" s="169" t="str">
        <f ca="1">IFERROR(_xll.CIQAVG(MO.Ticker.CapIQ,"IQ_LASTSALEPRICE",INDEX(MO_SNA_FPStartDate,0,COLUMN()),INDEX(MO_Common_QEndDate,0,COLUMN())),"N/A")</f>
        <v>N/A</v>
      </c>
      <c r="BM755" s="127" t="str">
        <f ca="1">IFERROR(_xll.CIQAVG(MO.Ticker.CapIQ,"IQ_LASTSALEPRICE",INDEX(MO_SNA_FPStartDate,0,COLUMN()),INDEX(MO_Common_QEndDate,0,COLUMN())),"N/A")</f>
        <v>N/A</v>
      </c>
      <c r="BN755" s="127" t="str">
        <f ca="1">IFERROR(_xll.CIQAVG(MO.Ticker.CapIQ,"IQ_LASTSALEPRICE",INDEX(MO_SNA_FPStartDate,0,COLUMN()),INDEX(MO_Common_QEndDate,0,COLUMN())),"N/A")</f>
        <v>N/A</v>
      </c>
      <c r="BO755" s="127" t="str">
        <f ca="1">IFERROR(_xll.CIQAVG(MO.Ticker.CapIQ,"IQ_LASTSALEPRICE",INDEX(MO_SNA_FPStartDate,0,COLUMN()),INDEX(MO_Common_QEndDate,0,COLUMN())),"N/A")</f>
        <v>N/A</v>
      </c>
      <c r="BP755" s="127" t="str">
        <f ca="1">IFERROR(_xll.CIQAVG(MO.Ticker.CapIQ,"IQ_LASTSALEPRICE",INDEX(MO_SNA_FPStartDate,0,COLUMN()),INDEX(MO_Common_QEndDate,0,COLUMN())),"N/A")</f>
        <v>N/A</v>
      </c>
      <c r="BQ755" s="127" t="str">
        <f ca="1">IFERROR(_xll.CIQAVG(MO.Ticker.CapIQ,"IQ_LASTSALEPRICE",INDEX(MO_SNA_FPStartDate,0,COLUMN()),INDEX(MO_Common_QEndDate,0,COLUMN())),"N/A")</f>
        <v>N/A</v>
      </c>
      <c r="BR755" s="127" t="str">
        <f ca="1">IFERROR(_xll.CIQAVG(MO.Ticker.CapIQ,"IQ_LASTSALEPRICE",INDEX(MO_SNA_FPStartDate,0,COLUMN()),INDEX(MO_Common_QEndDate,0,COLUMN())),"N/A")</f>
        <v>N/A</v>
      </c>
      <c r="BS755" s="127" t="str">
        <f ca="1">IFERROR(_xll.CIQAVG(MO.Ticker.CapIQ,"IQ_LASTSALEPRICE",INDEX(MO_SNA_FPStartDate,0,COLUMN()),INDEX(MO_Common_QEndDate,0,COLUMN())),"N/A")</f>
        <v>N/A</v>
      </c>
      <c r="BT755" s="127" t="str">
        <f ca="1">IFERROR(_xll.CIQAVG(MO.Ticker.CapIQ,"IQ_LASTSALEPRICE",INDEX(MO_SNA_FPStartDate,0,COLUMN()),INDEX(MO_Common_QEndDate,0,COLUMN())),"N/A")</f>
        <v>N/A</v>
      </c>
      <c r="BU755" s="127" t="str">
        <f ca="1">IFERROR(_xll.CIQAVG(MO.Ticker.CapIQ,"IQ_LASTSALEPRICE",INDEX(MO_SNA_FPStartDate,0,COLUMN()),INDEX(MO_Common_QEndDate,0,COLUMN())),"N/A")</f>
        <v>N/A</v>
      </c>
      <c r="BV755" s="159" t="str">
        <f ca="1">IFERROR(_xll.CIQAVG(MO.Ticker.CapIQ,"IQ_LASTSALEPRICE",INDEX(MO_SNA_FPStartDate,0,COLUMN()),INDEX(MO_Common_QEndDate,0,COLUMN())),"N/A")</f>
        <v>N/A</v>
      </c>
      <c r="BW755" s="128"/>
    </row>
    <row r="756" spans="1:75" s="476" customFormat="1" hidden="1" outlineLevel="1">
      <c r="A756" s="160" t="s">
        <v>611</v>
      </c>
      <c r="B756" s="127"/>
      <c r="C756" s="549" t="str">
        <f ca="1">IFERROR(_xll.FDS(MO.Ticker.FactSet,"P_PRICE_AVG"&amp;"("&amp;INDEX(MO_SNA_FPStartDate,0,COLUMN())&amp;","&amp;INDEX(MO_Common_QEndDate,0,COLUMN())&amp;",,,,""PRICE"",""CLOSE"")"),"N/A")</f>
        <v>N/A</v>
      </c>
      <c r="D756" s="549" t="str">
        <f ca="1">IFERROR(_xll.FDS(MO.Ticker.FactSet,"P_PRICE_AVG"&amp;"("&amp;INDEX(MO_SNA_FPStartDate,0,COLUMN())&amp;","&amp;INDEX(MO_Common_QEndDate,0,COLUMN())&amp;",,,,""PRICE"",""CLOSE"")"),"N/A")</f>
        <v>N/A</v>
      </c>
      <c r="E756" s="549" t="str">
        <f ca="1">IFERROR(_xll.FDS(MO.Ticker.FactSet,"P_PRICE_AVG"&amp;"("&amp;INDEX(MO_SNA_FPStartDate,0,COLUMN())&amp;","&amp;INDEX(MO_Common_QEndDate,0,COLUMN())&amp;",,,,""PRICE"",""CLOSE"")"),"N/A")</f>
        <v>N/A</v>
      </c>
      <c r="F756" s="549" t="str">
        <f ca="1">IFERROR(_xll.FDS(MO.Ticker.FactSet,"P_PRICE_AVG"&amp;"("&amp;INDEX(MO_SNA_FPStartDate,0,COLUMN())&amp;","&amp;INDEX(MO_Common_QEndDate,0,COLUMN())&amp;",,,,""PRICE"",""CLOSE"")"),"N/A")</f>
        <v>N/A</v>
      </c>
      <c r="G756" s="549" t="str">
        <f ca="1">IFERROR(_xll.FDS(MO.Ticker.FactSet,"P_PRICE_AVG"&amp;"("&amp;INDEX(MO_SNA_FPStartDate,0,COLUMN())&amp;","&amp;INDEX(MO_Common_QEndDate,0,COLUMN())&amp;",,,,""PRICE"",""CLOSE"")"),"N/A")</f>
        <v>N/A</v>
      </c>
      <c r="H756" s="127" t="str">
        <f ca="1">IFERROR(_xll.FDS(MO.Ticker.FactSet,"P_PRICE_AVG"&amp;"("&amp;INDEX(MO_SNA_FPStartDate,0,COLUMN())&amp;","&amp;INDEX(MO_Common_QEndDate,0,COLUMN())&amp;",,,,""PRICE"",""CLOSE"")"),"N/A")</f>
        <v>N/A</v>
      </c>
      <c r="I756" s="127" t="str">
        <f ca="1">IFERROR(_xll.FDS(MO.Ticker.FactSet,"P_PRICE_AVG"&amp;"("&amp;INDEX(MO_SNA_FPStartDate,0,COLUMN())&amp;","&amp;INDEX(MO_Common_QEndDate,0,COLUMN())&amp;",,,,""PRICE"",""CLOSE"")"),"N/A")</f>
        <v>N/A</v>
      </c>
      <c r="J756" s="127" t="str">
        <f ca="1">IFERROR(_xll.FDS(MO.Ticker.FactSet,"P_PRICE_AVG"&amp;"("&amp;INDEX(MO_SNA_FPStartDate,0,COLUMN())&amp;","&amp;INDEX(MO_Common_QEndDate,0,COLUMN())&amp;",,,,""PRICE"",""CLOSE"")"),"N/A")</f>
        <v>N/A</v>
      </c>
      <c r="K756" s="127" t="str">
        <f ca="1">IFERROR(_xll.FDS(MO.Ticker.FactSet,"P_PRICE_AVG"&amp;"("&amp;INDEX(MO_SNA_FPStartDate,0,COLUMN())&amp;","&amp;INDEX(MO_Common_QEndDate,0,COLUMN())&amp;",,,,""PRICE"",""CLOSE"")"),"N/A")</f>
        <v>N/A</v>
      </c>
      <c r="L756" s="127" t="str">
        <f ca="1">IFERROR(_xll.FDS(MO.Ticker.FactSet,"P_PRICE_AVG"&amp;"("&amp;INDEX(MO_SNA_FPStartDate,0,COLUMN())&amp;","&amp;INDEX(MO_Common_QEndDate,0,COLUMN())&amp;",,,,""PRICE"",""CLOSE"")"),"N/A")</f>
        <v>N/A</v>
      </c>
      <c r="M756" s="127" t="str">
        <f ca="1">IFERROR(_xll.FDS(MO.Ticker.FactSet,"P_PRICE_AVG"&amp;"("&amp;INDEX(MO_SNA_FPStartDate,0,COLUMN())&amp;","&amp;INDEX(MO_Common_QEndDate,0,COLUMN())&amp;",,,,""PRICE"",""CLOSE"")"),"N/A")</f>
        <v>N/A</v>
      </c>
      <c r="N756" s="127" t="str">
        <f ca="1">IFERROR(_xll.FDS(MO.Ticker.FactSet,"P_PRICE_AVG"&amp;"("&amp;INDEX(MO_SNA_FPStartDate,0,COLUMN())&amp;","&amp;INDEX(MO_Common_QEndDate,0,COLUMN())&amp;",,,,""PRICE"",""CLOSE"")"),"N/A")</f>
        <v>N/A</v>
      </c>
      <c r="O756" s="127" t="str">
        <f ca="1">IFERROR(_xll.FDS(MO.Ticker.FactSet,"P_PRICE_AVG"&amp;"("&amp;INDEX(MO_SNA_FPStartDate,0,COLUMN())&amp;","&amp;INDEX(MO_Common_QEndDate,0,COLUMN())&amp;",,,,""PRICE"",""CLOSE"")"),"N/A")</f>
        <v>N/A</v>
      </c>
      <c r="P756" s="127" t="str">
        <f ca="1">IFERROR(_xll.FDS(MO.Ticker.FactSet,"P_PRICE_AVG"&amp;"("&amp;INDEX(MO_SNA_FPStartDate,0,COLUMN())&amp;","&amp;INDEX(MO_Common_QEndDate,0,COLUMN())&amp;",,,,""PRICE"",""CLOSE"")"),"N/A")</f>
        <v>N/A</v>
      </c>
      <c r="Q756" s="127" t="str">
        <f ca="1">IFERROR(_xll.FDS(MO.Ticker.FactSet,"P_PRICE_AVG"&amp;"("&amp;INDEX(MO_SNA_FPStartDate,0,COLUMN())&amp;","&amp;INDEX(MO_Common_QEndDate,0,COLUMN())&amp;",,,,""PRICE"",""CLOSE"")"),"N/A")</f>
        <v>N/A</v>
      </c>
      <c r="R756" s="127" t="str">
        <f ca="1">IFERROR(_xll.FDS(MO.Ticker.FactSet,"P_PRICE_AVG"&amp;"("&amp;INDEX(MO_SNA_FPStartDate,0,COLUMN())&amp;","&amp;INDEX(MO_Common_QEndDate,0,COLUMN())&amp;",,,,""PRICE"",""CLOSE"")"),"N/A")</f>
        <v>N/A</v>
      </c>
      <c r="S756" s="127" t="str">
        <f ca="1">IFERROR(_xll.FDS(MO.Ticker.FactSet,"P_PRICE_AVG"&amp;"("&amp;INDEX(MO_SNA_FPStartDate,0,COLUMN())&amp;","&amp;INDEX(MO_Common_QEndDate,0,COLUMN())&amp;",,,,""PRICE"",""CLOSE"")"),"N/A")</f>
        <v>N/A</v>
      </c>
      <c r="T756" s="127" t="str">
        <f ca="1">IFERROR(_xll.FDS(MO.Ticker.FactSet,"P_PRICE_AVG"&amp;"("&amp;INDEX(MO_SNA_FPStartDate,0,COLUMN())&amp;","&amp;INDEX(MO_Common_QEndDate,0,COLUMN())&amp;",,,,""PRICE"",""CLOSE"")"),"N/A")</f>
        <v>N/A</v>
      </c>
      <c r="U756" s="127" t="str">
        <f ca="1">IFERROR(_xll.FDS(MO.Ticker.FactSet,"P_PRICE_AVG"&amp;"("&amp;INDEX(MO_SNA_FPStartDate,0,COLUMN())&amp;","&amp;INDEX(MO_Common_QEndDate,0,COLUMN())&amp;",,,,""PRICE"",""CLOSE"")"),"N/A")</f>
        <v>N/A</v>
      </c>
      <c r="V756" s="127" t="str">
        <f ca="1">IFERROR(_xll.FDS(MO.Ticker.FactSet,"P_PRICE_AVG"&amp;"("&amp;INDEX(MO_SNA_FPStartDate,0,COLUMN())&amp;","&amp;INDEX(MO_Common_QEndDate,0,COLUMN())&amp;",,,,""PRICE"",""CLOSE"")"),"N/A")</f>
        <v>N/A</v>
      </c>
      <c r="W756" s="127" t="str">
        <f ca="1">IFERROR(_xll.FDS(MO.Ticker.FactSet,"P_PRICE_AVG"&amp;"("&amp;INDEX(MO_SNA_FPStartDate,0,COLUMN())&amp;","&amp;INDEX(MO_Common_QEndDate,0,COLUMN())&amp;",,,,""PRICE"",""CLOSE"")"),"N/A")</f>
        <v>N/A</v>
      </c>
      <c r="X756" s="127" t="str">
        <f ca="1">IFERROR(_xll.FDS(MO.Ticker.FactSet,"P_PRICE_AVG"&amp;"("&amp;INDEX(MO_SNA_FPStartDate,0,COLUMN())&amp;","&amp;INDEX(MO_Common_QEndDate,0,COLUMN())&amp;",,,,""PRICE"",""CLOSE"")"),"N/A")</f>
        <v>N/A</v>
      </c>
      <c r="Y756" s="127" t="str">
        <f ca="1">IFERROR(_xll.FDS(MO.Ticker.FactSet,"P_PRICE_AVG"&amp;"("&amp;INDEX(MO_SNA_FPStartDate,0,COLUMN())&amp;","&amp;INDEX(MO_Common_QEndDate,0,COLUMN())&amp;",,,,""PRICE"",""CLOSE"")"),"N/A")</f>
        <v>N/A</v>
      </c>
      <c r="Z756" s="127" t="str">
        <f ca="1">IFERROR(_xll.FDS(MO.Ticker.FactSet,"P_PRICE_AVG"&amp;"("&amp;INDEX(MO_SNA_FPStartDate,0,COLUMN())&amp;","&amp;INDEX(MO_Common_QEndDate,0,COLUMN())&amp;",,,,""PRICE"",""CLOSE"")"),"N/A")</f>
        <v>N/A</v>
      </c>
      <c r="AA756" s="127" t="str">
        <f ca="1">IFERROR(_xll.FDS(MO.Ticker.FactSet,"P_PRICE_AVG"&amp;"("&amp;INDEX(MO_SNA_FPStartDate,0,COLUMN())&amp;","&amp;INDEX(MO_Common_QEndDate,0,COLUMN())&amp;",,,,""PRICE"",""CLOSE"")"),"N/A")</f>
        <v>N/A</v>
      </c>
      <c r="AB756" s="127" t="str">
        <f ca="1">IFERROR(_xll.FDS(MO.Ticker.FactSet,"P_PRICE_AVG"&amp;"("&amp;INDEX(MO_SNA_FPStartDate,0,COLUMN())&amp;","&amp;INDEX(MO_Common_QEndDate,0,COLUMN())&amp;",,,,""PRICE"",""CLOSE"")"),"N/A")</f>
        <v>N/A</v>
      </c>
      <c r="AC756" s="127" t="str">
        <f ca="1">IFERROR(_xll.FDS(MO.Ticker.FactSet,"P_PRICE_AVG"&amp;"("&amp;INDEX(MO_SNA_FPStartDate,0,COLUMN())&amp;","&amp;INDEX(MO_Common_QEndDate,0,COLUMN())&amp;",,,,""PRICE"",""CLOSE"")"),"N/A")</f>
        <v>N/A</v>
      </c>
      <c r="AD756" s="127" t="str">
        <f ca="1">IFERROR(_xll.FDS(MO.Ticker.FactSet,"P_PRICE_AVG"&amp;"("&amp;INDEX(MO_SNA_FPStartDate,0,COLUMN())&amp;","&amp;INDEX(MO_Common_QEndDate,0,COLUMN())&amp;",,,,""PRICE"",""CLOSE"")"),"N/A")</f>
        <v>N/A</v>
      </c>
      <c r="AE756" s="127" t="str">
        <f ca="1">IFERROR(_xll.FDS(MO.Ticker.FactSet,"P_PRICE_AVG"&amp;"("&amp;INDEX(MO_SNA_FPStartDate,0,COLUMN())&amp;","&amp;INDEX(MO_Common_QEndDate,0,COLUMN())&amp;",,,,""PRICE"",""CLOSE"")"),"N/A")</f>
        <v>N/A</v>
      </c>
      <c r="AF756" s="127" t="str">
        <f ca="1">IFERROR(_xll.FDS(MO.Ticker.FactSet,"P_PRICE_AVG"&amp;"("&amp;INDEX(MO_SNA_FPStartDate,0,COLUMN())&amp;","&amp;INDEX(MO_Common_QEndDate,0,COLUMN())&amp;",,,,""PRICE"",""CLOSE"")"),"N/A")</f>
        <v>N/A</v>
      </c>
      <c r="AG756" s="127" t="str">
        <f ca="1">IFERROR(_xll.FDS(MO.Ticker.FactSet,"P_PRICE_AVG"&amp;"("&amp;INDEX(MO_SNA_FPStartDate,0,COLUMN())&amp;","&amp;INDEX(MO_Common_QEndDate,0,COLUMN())&amp;",,,,""PRICE"",""CLOSE"")"),"N/A")</f>
        <v>N/A</v>
      </c>
      <c r="AH756" s="127" t="str">
        <f ca="1">IFERROR(_xll.FDS(MO.Ticker.FactSet,"P_PRICE_AVG"&amp;"("&amp;INDEX(MO_SNA_FPStartDate,0,COLUMN())&amp;","&amp;INDEX(MO_Common_QEndDate,0,COLUMN())&amp;",,,,""PRICE"",""CLOSE"")"),"N/A")</f>
        <v>N/A</v>
      </c>
      <c r="AI756" s="127" t="str">
        <f ca="1">IFERROR(_xll.FDS(MO.Ticker.FactSet,"P_PRICE_AVG"&amp;"("&amp;INDEX(MO_SNA_FPStartDate,0,COLUMN())&amp;","&amp;INDEX(MO_Common_QEndDate,0,COLUMN())&amp;",,,,""PRICE"",""CLOSE"")"),"N/A")</f>
        <v>N/A</v>
      </c>
      <c r="AJ756" s="127" t="str">
        <f ca="1">IFERROR(_xll.FDS(MO.Ticker.FactSet,"P_PRICE_AVG"&amp;"("&amp;INDEX(MO_SNA_FPStartDate,0,COLUMN())&amp;","&amp;INDEX(MO_Common_QEndDate,0,COLUMN())&amp;",,,,""PRICE"",""CLOSE"")"),"N/A")</f>
        <v>N/A</v>
      </c>
      <c r="AK756" s="127" t="str">
        <f ca="1">IFERROR(_xll.FDS(MO.Ticker.FactSet,"P_PRICE_AVG"&amp;"("&amp;INDEX(MO_SNA_FPStartDate,0,COLUMN())&amp;","&amp;INDEX(MO_Common_QEndDate,0,COLUMN())&amp;",,,,""PRICE"",""CLOSE"")"),"N/A")</f>
        <v>N/A</v>
      </c>
      <c r="AL756" s="127" t="str">
        <f ca="1">IFERROR(_xll.FDS(MO.Ticker.FactSet,"P_PRICE_AVG"&amp;"("&amp;INDEX(MO_SNA_FPStartDate,0,COLUMN())&amp;","&amp;INDEX(MO_Common_QEndDate,0,COLUMN())&amp;",,,,""PRICE"",""CLOSE"")"),"N/A")</f>
        <v>N/A</v>
      </c>
      <c r="AM756" s="127" t="str">
        <f ca="1">IFERROR(_xll.FDS(MO.Ticker.FactSet,"P_PRICE_AVG"&amp;"("&amp;INDEX(MO_SNA_FPStartDate,0,COLUMN())&amp;","&amp;INDEX(MO_Common_QEndDate,0,COLUMN())&amp;",,,,""PRICE"",""CLOSE"")"),"N/A")</f>
        <v>N/A</v>
      </c>
      <c r="AN756" s="127" t="str">
        <f ca="1">IFERROR(_xll.FDS(MO.Ticker.FactSet,"P_PRICE_AVG"&amp;"("&amp;INDEX(MO_SNA_FPStartDate,0,COLUMN())&amp;","&amp;INDEX(MO_Common_QEndDate,0,COLUMN())&amp;",,,,""PRICE"",""CLOSE"")"),"N/A")</f>
        <v>N/A</v>
      </c>
      <c r="AO756" s="127" t="str">
        <f ca="1">IFERROR(_xll.FDS(MO.Ticker.FactSet,"P_PRICE_AVG"&amp;"("&amp;INDEX(MO_SNA_FPStartDate,0,COLUMN())&amp;","&amp;INDEX(MO_Common_QEndDate,0,COLUMN())&amp;",,,,""PRICE"",""CLOSE"")"),"N/A")</f>
        <v>N/A</v>
      </c>
      <c r="AP756" s="127" t="str">
        <f ca="1">IFERROR(_xll.FDS(MO.Ticker.FactSet,"P_PRICE_AVG"&amp;"("&amp;INDEX(MO_SNA_FPStartDate,0,COLUMN())&amp;","&amp;INDEX(MO_Common_QEndDate,0,COLUMN())&amp;",,,,""PRICE"",""CLOSE"")"),"N/A")</f>
        <v>N/A</v>
      </c>
      <c r="AQ756" s="127" t="str">
        <f ca="1">IFERROR(_xll.FDS(MO.Ticker.FactSet,"P_PRICE_AVG"&amp;"("&amp;INDEX(MO_SNA_FPStartDate,0,COLUMN())&amp;","&amp;INDEX(MO_Common_QEndDate,0,COLUMN())&amp;",,,,""PRICE"",""CLOSE"")"),"N/A")</f>
        <v>N/A</v>
      </c>
      <c r="AR756" s="127" t="str">
        <f ca="1">IFERROR(_xll.FDS(MO.Ticker.FactSet,"P_PRICE_AVG"&amp;"("&amp;INDEX(MO_SNA_FPStartDate,0,COLUMN())&amp;","&amp;INDEX(MO_Common_QEndDate,0,COLUMN())&amp;",,,,""PRICE"",""CLOSE"")"),"N/A")</f>
        <v>N/A</v>
      </c>
      <c r="AS756" s="127" t="str">
        <f ca="1">IFERROR(_xll.FDS(MO.Ticker.FactSet,"P_PRICE_AVG"&amp;"("&amp;INDEX(MO_SNA_FPStartDate,0,COLUMN())&amp;","&amp;INDEX(MO_Common_QEndDate,0,COLUMN())&amp;",,,,""PRICE"",""CLOSE"")"),"N/A")</f>
        <v>N/A</v>
      </c>
      <c r="AT756" s="127" t="str">
        <f ca="1">IFERROR(_xll.FDS(MO.Ticker.FactSet,"P_PRICE_AVG"&amp;"("&amp;INDEX(MO_SNA_FPStartDate,0,COLUMN())&amp;","&amp;INDEX(MO_Common_QEndDate,0,COLUMN())&amp;",,,,""PRICE"",""CLOSE"")"),"N/A")</f>
        <v>N/A</v>
      </c>
      <c r="AU756" s="127" t="str">
        <f ca="1">IFERROR(_xll.FDS(MO.Ticker.FactSet,"P_PRICE_AVG"&amp;"("&amp;INDEX(MO_SNA_FPStartDate,0,COLUMN())&amp;","&amp;INDEX(MO_Common_QEndDate,0,COLUMN())&amp;",,,,""PRICE"",""CLOSE"")"),"N/A")</f>
        <v>N/A</v>
      </c>
      <c r="AV756" s="127" t="str">
        <f ca="1">IFERROR(_xll.FDS(MO.Ticker.FactSet,"P_PRICE_AVG"&amp;"("&amp;INDEX(MO_SNA_FPStartDate,0,COLUMN())&amp;","&amp;INDEX(MO_Common_QEndDate,0,COLUMN())&amp;",,,,""PRICE"",""CLOSE"")"),"N/A")</f>
        <v>N/A</v>
      </c>
      <c r="AW756" s="127" t="str">
        <f ca="1">IFERROR(_xll.FDS(MO.Ticker.FactSet,"P_PRICE_AVG"&amp;"("&amp;INDEX(MO_SNA_FPStartDate,0,COLUMN())&amp;","&amp;INDEX(MO_Common_QEndDate,0,COLUMN())&amp;",,,,""PRICE"",""CLOSE"")"),"N/A")</f>
        <v>N/A</v>
      </c>
      <c r="AX756" s="127" t="str">
        <f ca="1">IFERROR(_xll.FDS(MO.Ticker.FactSet,"P_PRICE_AVG"&amp;"("&amp;INDEX(MO_SNA_FPStartDate,0,COLUMN())&amp;","&amp;INDEX(MO_Common_QEndDate,0,COLUMN())&amp;",,,,""PRICE"",""CLOSE"")"),"N/A")</f>
        <v>N/A</v>
      </c>
      <c r="AY756" s="127" t="str">
        <f ca="1">IFERROR(_xll.FDS(MO.Ticker.FactSet,"P_PRICE_AVG"&amp;"("&amp;INDEX(MO_SNA_FPStartDate,0,COLUMN())&amp;","&amp;INDEX(MO_Common_QEndDate,0,COLUMN())&amp;",,,,""PRICE"",""CLOSE"")"),"N/A")</f>
        <v>N/A</v>
      </c>
      <c r="AZ756" s="127" t="str">
        <f ca="1">IFERROR(_xll.FDS(MO.Ticker.FactSet,"P_PRICE_AVG"&amp;"("&amp;INDEX(MO_SNA_FPStartDate,0,COLUMN())&amp;","&amp;INDEX(MO_Common_QEndDate,0,COLUMN())&amp;",,,,""PRICE"",""CLOSE"")"),"N/A")</f>
        <v>N/A</v>
      </c>
      <c r="BA756" s="127" t="str">
        <f ca="1">IFERROR(_xll.FDS(MO.Ticker.FactSet,"P_PRICE_AVG"&amp;"("&amp;INDEX(MO_SNA_FPStartDate,0,COLUMN())&amp;","&amp;INDEX(MO_Common_QEndDate,0,COLUMN())&amp;",,,,""PRICE"",""CLOSE"")"),"N/A")</f>
        <v>N/A</v>
      </c>
      <c r="BB756" s="127" t="str">
        <f ca="1">IFERROR(_xll.FDS(MO.Ticker.FactSet,"P_PRICE_AVG"&amp;"("&amp;INDEX(MO_SNA_FPStartDate,0,COLUMN())&amp;","&amp;INDEX(MO_Common_QEndDate,0,COLUMN())&amp;",,,,""PRICE"",""CLOSE"")"),"N/A")</f>
        <v>N/A</v>
      </c>
      <c r="BC756" s="127" t="str">
        <f ca="1">IFERROR(_xll.FDS(MO.Ticker.FactSet,"P_PRICE_AVG"&amp;"("&amp;INDEX(MO_SNA_FPStartDate,0,COLUMN())&amp;","&amp;INDEX(MO_Common_QEndDate,0,COLUMN())&amp;",,,,""PRICE"",""CLOSE"")"),"N/A")</f>
        <v>N/A</v>
      </c>
      <c r="BD756" s="127" t="str">
        <f ca="1">IFERROR(_xll.FDS(MO.Ticker.FactSet,"P_PRICE_AVG"&amp;"("&amp;INDEX(MO_SNA_FPStartDate,0,COLUMN())&amp;","&amp;INDEX(MO_Common_QEndDate,0,COLUMN())&amp;",,,,""PRICE"",""CLOSE"")"),"N/A")</f>
        <v>N/A</v>
      </c>
      <c r="BE756" s="127" t="str">
        <f ca="1">IFERROR(_xll.FDS(MO.Ticker.FactSet,"P_PRICE_AVG"&amp;"("&amp;INDEX(MO_SNA_FPStartDate,0,COLUMN())&amp;","&amp;INDEX(MO_Common_QEndDate,0,COLUMN())&amp;",,,,""PRICE"",""CLOSE"")"),"N/A")</f>
        <v>N/A</v>
      </c>
      <c r="BF756" s="127" t="str">
        <f ca="1">IFERROR(_xll.FDS(MO.Ticker.FactSet,"P_PRICE_AVG"&amp;"("&amp;INDEX(MO_SNA_FPStartDate,0,COLUMN())&amp;","&amp;INDEX(MO_Common_QEndDate,0,COLUMN())&amp;",,,,""PRICE"",""CLOSE"")"),"N/A")</f>
        <v>N/A</v>
      </c>
      <c r="BG756" s="127" t="str">
        <f ca="1">IFERROR(_xll.FDS(MO.Ticker.FactSet,"P_PRICE_AVG"&amp;"("&amp;INDEX(MO_SNA_FPStartDate,0,COLUMN())&amp;","&amp;INDEX(MO_Common_QEndDate,0,COLUMN())&amp;",,,,""PRICE"",""CLOSE"")"),"N/A")</f>
        <v>N/A</v>
      </c>
      <c r="BH756" s="127" t="str">
        <f ca="1">IFERROR(_xll.FDS(MO.Ticker.FactSet,"P_PRICE_AVG"&amp;"("&amp;INDEX(MO_SNA_FPStartDate,0,COLUMN())&amp;","&amp;INDEX(MO_Common_QEndDate,0,COLUMN())&amp;",,,,""PRICE"",""CLOSE"")"),"N/A")</f>
        <v>N/A</v>
      </c>
      <c r="BI756" s="127" t="str">
        <f ca="1">IFERROR(_xll.FDS(MO.Ticker.FactSet,"P_PRICE_AVG"&amp;"("&amp;INDEX(MO_SNA_FPStartDate,0,COLUMN())&amp;","&amp;INDEX(MO_Common_QEndDate,0,COLUMN())&amp;",,,,""PRICE"",""CLOSE"")"),"N/A")</f>
        <v>N/A</v>
      </c>
      <c r="BJ756" s="127" t="str">
        <f ca="1">IFERROR(_xll.FDS(MO.Ticker.FactSet,"P_PRICE_AVG"&amp;"("&amp;INDEX(MO_SNA_FPStartDate,0,COLUMN())&amp;","&amp;INDEX(MO_Common_QEndDate,0,COLUMN())&amp;",,,,""PRICE"",""CLOSE"")"),"N/A")</f>
        <v>N/A</v>
      </c>
      <c r="BK756" s="127" t="str">
        <f ca="1">IFERROR(_xll.FDS(MO.Ticker.FactSet,"P_PRICE_AVG"&amp;"("&amp;INDEX(MO_SNA_FPStartDate,0,COLUMN())&amp;","&amp;INDEX(MO_Common_QEndDate,0,COLUMN())&amp;",,,,""PRICE"",""CLOSE"")"),"N/A")</f>
        <v>N/A</v>
      </c>
      <c r="BL756" s="169" t="str">
        <f ca="1">IFERROR(_xll.FDS(MO.Ticker.FactSet,"P_PRICE_AVG"&amp;"("&amp;INDEX(MO_SNA_FPStartDate,0,COLUMN())&amp;","&amp;INDEX(MO_Common_QEndDate,0,COLUMN())&amp;",,,,""PRICE"",""CLOSE"")"),"N/A")</f>
        <v>N/A</v>
      </c>
      <c r="BM756" s="127" t="str">
        <f ca="1">IFERROR(_xll.FDS(MO.Ticker.FactSet,"P_PRICE_AVG"&amp;"("&amp;INDEX(MO_SNA_FPStartDate,0,COLUMN())&amp;","&amp;INDEX(MO_Common_QEndDate,0,COLUMN())&amp;",,,,""PRICE"",""CLOSE"")"),"N/A")</f>
        <v>N/A</v>
      </c>
      <c r="BN756" s="127" t="str">
        <f ca="1">IFERROR(_xll.FDS(MO.Ticker.FactSet,"P_PRICE_AVG"&amp;"("&amp;INDEX(MO_SNA_FPStartDate,0,COLUMN())&amp;","&amp;INDEX(MO_Common_QEndDate,0,COLUMN())&amp;",,,,""PRICE"",""CLOSE"")"),"N/A")</f>
        <v>N/A</v>
      </c>
      <c r="BO756" s="127" t="str">
        <f ca="1">IFERROR(_xll.FDS(MO.Ticker.FactSet,"P_PRICE_AVG"&amp;"("&amp;INDEX(MO_SNA_FPStartDate,0,COLUMN())&amp;","&amp;INDEX(MO_Common_QEndDate,0,COLUMN())&amp;",,,,""PRICE"",""CLOSE"")"),"N/A")</f>
        <v>N/A</v>
      </c>
      <c r="BP756" s="127" t="str">
        <f ca="1">IFERROR(_xll.FDS(MO.Ticker.FactSet,"P_PRICE_AVG"&amp;"("&amp;INDEX(MO_SNA_FPStartDate,0,COLUMN())&amp;","&amp;INDEX(MO_Common_QEndDate,0,COLUMN())&amp;",,,,""PRICE"",""CLOSE"")"),"N/A")</f>
        <v>N/A</v>
      </c>
      <c r="BQ756" s="127" t="str">
        <f ca="1">IFERROR(_xll.FDS(MO.Ticker.FactSet,"P_PRICE_AVG"&amp;"("&amp;INDEX(MO_SNA_FPStartDate,0,COLUMN())&amp;","&amp;INDEX(MO_Common_QEndDate,0,COLUMN())&amp;",,,,""PRICE"",""CLOSE"")"),"N/A")</f>
        <v>N/A</v>
      </c>
      <c r="BR756" s="127" t="str">
        <f ca="1">IFERROR(_xll.FDS(MO.Ticker.FactSet,"P_PRICE_AVG"&amp;"("&amp;INDEX(MO_SNA_FPStartDate,0,COLUMN())&amp;","&amp;INDEX(MO_Common_QEndDate,0,COLUMN())&amp;",,,,""PRICE"",""CLOSE"")"),"N/A")</f>
        <v>N/A</v>
      </c>
      <c r="BS756" s="127" t="str">
        <f ca="1">IFERROR(_xll.FDS(MO.Ticker.FactSet,"P_PRICE_AVG"&amp;"("&amp;INDEX(MO_SNA_FPStartDate,0,COLUMN())&amp;","&amp;INDEX(MO_Common_QEndDate,0,COLUMN())&amp;",,,,""PRICE"",""CLOSE"")"),"N/A")</f>
        <v>N/A</v>
      </c>
      <c r="BT756" s="127" t="str">
        <f ca="1">IFERROR(_xll.FDS(MO.Ticker.FactSet,"P_PRICE_AVG"&amp;"("&amp;INDEX(MO_SNA_FPStartDate,0,COLUMN())&amp;","&amp;INDEX(MO_Common_QEndDate,0,COLUMN())&amp;",,,,""PRICE"",""CLOSE"")"),"N/A")</f>
        <v>N/A</v>
      </c>
      <c r="BU756" s="127" t="str">
        <f ca="1">IFERROR(_xll.FDS(MO.Ticker.FactSet,"P_PRICE_AVG"&amp;"("&amp;INDEX(MO_SNA_FPStartDate,0,COLUMN())&amp;","&amp;INDEX(MO_Common_QEndDate,0,COLUMN())&amp;",,,,""PRICE"",""CLOSE"")"),"N/A")</f>
        <v>N/A</v>
      </c>
      <c r="BV756" s="159" t="str">
        <f ca="1">IFERROR(_xll.FDS(MO.Ticker.FactSet,"P_PRICE_AVG"&amp;"("&amp;INDEX(MO_SNA_FPStartDate,0,COLUMN())&amp;","&amp;INDEX(MO_Common_QEndDate,0,COLUMN())&amp;",,,,""PRICE"",""CLOSE"")"),"N/A")</f>
        <v>N/A</v>
      </c>
      <c r="BW756" s="128"/>
    </row>
    <row r="757" spans="1:75" s="476" customFormat="1" hidden="1" outlineLevel="1">
      <c r="A757" s="160" t="s">
        <v>612</v>
      </c>
      <c r="B757" s="127"/>
      <c r="C757" s="549" t="str">
        <f>IFERROR(_xll.TR(MO.Ticker.Thomson,"AVG(TR.Priceclose)","sdate:#1 edate:#2",,INDEX(MO_SNA_FPStartDate,0,COLUMN()),INDEX(MO_Common_QEndDate,0,COLUMN())),"N/A")</f>
        <v>Not Signed In</v>
      </c>
      <c r="D757" s="549" t="str">
        <f>IFERROR(_xll.TR(MO.Ticker.Thomson,"AVG(TR.Priceclose)","sdate:#1 edate:#2",,INDEX(MO_SNA_FPStartDate,0,COLUMN()),INDEX(MO_Common_QEndDate,0,COLUMN())),"N/A")</f>
        <v>Not Signed In</v>
      </c>
      <c r="E757" s="549" t="str">
        <f>IFERROR(_xll.TR(MO.Ticker.Thomson,"AVG(TR.Priceclose)","sdate:#1 edate:#2",,INDEX(MO_SNA_FPStartDate,0,COLUMN()),INDEX(MO_Common_QEndDate,0,COLUMN())),"N/A")</f>
        <v>Not Signed In</v>
      </c>
      <c r="F757" s="549" t="str">
        <f>IFERROR(_xll.TR(MO.Ticker.Thomson,"AVG(TR.Priceclose)","sdate:#1 edate:#2",,INDEX(MO_SNA_FPStartDate,0,COLUMN()),INDEX(MO_Common_QEndDate,0,COLUMN())),"N/A")</f>
        <v>Not Signed In</v>
      </c>
      <c r="G757" s="549" t="str">
        <f>IFERROR(_xll.TR(MO.Ticker.Thomson,"AVG(TR.Priceclose)","sdate:#1 edate:#2",,INDEX(MO_SNA_FPStartDate,0,COLUMN()),INDEX(MO_Common_QEndDate,0,COLUMN())),"N/A")</f>
        <v>Not Signed In</v>
      </c>
      <c r="H757" s="127" t="str">
        <f>IFERROR(_xll.TR(MO.Ticker.Thomson,"AVG(TR.Priceclose)","sdate:#1 edate:#2",,INDEX(MO_SNA_FPStartDate,0,COLUMN()),INDEX(MO_Common_QEndDate,0,COLUMN())),"N/A")</f>
        <v>Not Signed In</v>
      </c>
      <c r="I757" s="127" t="str">
        <f>IFERROR(_xll.TR(MO.Ticker.Thomson,"AVG(TR.Priceclose)","sdate:#1 edate:#2",,INDEX(MO_SNA_FPStartDate,0,COLUMN()),INDEX(MO_Common_QEndDate,0,COLUMN())),"N/A")</f>
        <v>Not Signed In</v>
      </c>
      <c r="J757" s="127" t="str">
        <f>IFERROR(_xll.TR(MO.Ticker.Thomson,"AVG(TR.Priceclose)","sdate:#1 edate:#2",,INDEX(MO_SNA_FPStartDate,0,COLUMN()),INDEX(MO_Common_QEndDate,0,COLUMN())),"N/A")</f>
        <v>Not Signed In</v>
      </c>
      <c r="K757" s="127" t="str">
        <f>IFERROR(_xll.TR(MO.Ticker.Thomson,"AVG(TR.Priceclose)","sdate:#1 edate:#2",,INDEX(MO_SNA_FPStartDate,0,COLUMN()),INDEX(MO_Common_QEndDate,0,COLUMN())),"N/A")</f>
        <v>Not Signed In</v>
      </c>
      <c r="L757" s="127" t="str">
        <f>IFERROR(_xll.TR(MO.Ticker.Thomson,"AVG(TR.Priceclose)","sdate:#1 edate:#2",,INDEX(MO_SNA_FPStartDate,0,COLUMN()),INDEX(MO_Common_QEndDate,0,COLUMN())),"N/A")</f>
        <v>Not Signed In</v>
      </c>
      <c r="M757" s="127" t="str">
        <f>IFERROR(_xll.TR(MO.Ticker.Thomson,"AVG(TR.Priceclose)","sdate:#1 edate:#2",,INDEX(MO_SNA_FPStartDate,0,COLUMN()),INDEX(MO_Common_QEndDate,0,COLUMN())),"N/A")</f>
        <v>Not Signed In</v>
      </c>
      <c r="N757" s="127" t="str">
        <f>IFERROR(_xll.TR(MO.Ticker.Thomson,"AVG(TR.Priceclose)","sdate:#1 edate:#2",,INDEX(MO_SNA_FPStartDate,0,COLUMN()),INDEX(MO_Common_QEndDate,0,COLUMN())),"N/A")</f>
        <v>Not Signed In</v>
      </c>
      <c r="O757" s="127" t="str">
        <f>IFERROR(_xll.TR(MO.Ticker.Thomson,"AVG(TR.Priceclose)","sdate:#1 edate:#2",,INDEX(MO_SNA_FPStartDate,0,COLUMN()),INDEX(MO_Common_QEndDate,0,COLUMN())),"N/A")</f>
        <v>Not Signed In</v>
      </c>
      <c r="P757" s="127" t="str">
        <f>IFERROR(_xll.TR(MO.Ticker.Thomson,"AVG(TR.Priceclose)","sdate:#1 edate:#2",,INDEX(MO_SNA_FPStartDate,0,COLUMN()),INDEX(MO_Common_QEndDate,0,COLUMN())),"N/A")</f>
        <v>Not Signed In</v>
      </c>
      <c r="Q757" s="127" t="str">
        <f>IFERROR(_xll.TR(MO.Ticker.Thomson,"AVG(TR.Priceclose)","sdate:#1 edate:#2",,INDEX(MO_SNA_FPStartDate,0,COLUMN()),INDEX(MO_Common_QEndDate,0,COLUMN())),"N/A")</f>
        <v>Not Signed In</v>
      </c>
      <c r="R757" s="127" t="str">
        <f>IFERROR(_xll.TR(MO.Ticker.Thomson,"AVG(TR.Priceclose)","sdate:#1 edate:#2",,INDEX(MO_SNA_FPStartDate,0,COLUMN()),INDEX(MO_Common_QEndDate,0,COLUMN())),"N/A")</f>
        <v>Not Signed In</v>
      </c>
      <c r="S757" s="127" t="str">
        <f>IFERROR(_xll.TR(MO.Ticker.Thomson,"AVG(TR.Priceclose)","sdate:#1 edate:#2",,INDEX(MO_SNA_FPStartDate,0,COLUMN()),INDEX(MO_Common_QEndDate,0,COLUMN())),"N/A")</f>
        <v>Not Signed In</v>
      </c>
      <c r="T757" s="127" t="str">
        <f>IFERROR(_xll.TR(MO.Ticker.Thomson,"AVG(TR.Priceclose)","sdate:#1 edate:#2",,INDEX(MO_SNA_FPStartDate,0,COLUMN()),INDEX(MO_Common_QEndDate,0,COLUMN())),"N/A")</f>
        <v>Not Signed In</v>
      </c>
      <c r="U757" s="127" t="str">
        <f>IFERROR(_xll.TR(MO.Ticker.Thomson,"AVG(TR.Priceclose)","sdate:#1 edate:#2",,INDEX(MO_SNA_FPStartDate,0,COLUMN()),INDEX(MO_Common_QEndDate,0,COLUMN())),"N/A")</f>
        <v>Not Signed In</v>
      </c>
      <c r="V757" s="127" t="str">
        <f>IFERROR(_xll.TR(MO.Ticker.Thomson,"AVG(TR.Priceclose)","sdate:#1 edate:#2",,INDEX(MO_SNA_FPStartDate,0,COLUMN()),INDEX(MO_Common_QEndDate,0,COLUMN())),"N/A")</f>
        <v>Not Signed In</v>
      </c>
      <c r="W757" s="127" t="str">
        <f>IFERROR(_xll.TR(MO.Ticker.Thomson,"AVG(TR.Priceclose)","sdate:#1 edate:#2",,INDEX(MO_SNA_FPStartDate,0,COLUMN()),INDEX(MO_Common_QEndDate,0,COLUMN())),"N/A")</f>
        <v>Not Signed In</v>
      </c>
      <c r="X757" s="127" t="str">
        <f>IFERROR(_xll.TR(MO.Ticker.Thomson,"AVG(TR.Priceclose)","sdate:#1 edate:#2",,INDEX(MO_SNA_FPStartDate,0,COLUMN()),INDEX(MO_Common_QEndDate,0,COLUMN())),"N/A")</f>
        <v>Not Signed In</v>
      </c>
      <c r="Y757" s="127" t="str">
        <f>IFERROR(_xll.TR(MO.Ticker.Thomson,"AVG(TR.Priceclose)","sdate:#1 edate:#2",,INDEX(MO_SNA_FPStartDate,0,COLUMN()),INDEX(MO_Common_QEndDate,0,COLUMN())),"N/A")</f>
        <v>Not Signed In</v>
      </c>
      <c r="Z757" s="127" t="str">
        <f>IFERROR(_xll.TR(MO.Ticker.Thomson,"AVG(TR.Priceclose)","sdate:#1 edate:#2",,INDEX(MO_SNA_FPStartDate,0,COLUMN()),INDEX(MO_Common_QEndDate,0,COLUMN())),"N/A")</f>
        <v>Not Signed In</v>
      </c>
      <c r="AA757" s="127" t="str">
        <f>IFERROR(_xll.TR(MO.Ticker.Thomson,"AVG(TR.Priceclose)","sdate:#1 edate:#2",,INDEX(MO_SNA_FPStartDate,0,COLUMN()),INDEX(MO_Common_QEndDate,0,COLUMN())),"N/A")</f>
        <v>Not Signed In</v>
      </c>
      <c r="AB757" s="127" t="str">
        <f>IFERROR(_xll.TR(MO.Ticker.Thomson,"AVG(TR.Priceclose)","sdate:#1 edate:#2",,INDEX(MO_SNA_FPStartDate,0,COLUMN()),INDEX(MO_Common_QEndDate,0,COLUMN())),"N/A")</f>
        <v>Not Signed In</v>
      </c>
      <c r="AC757" s="127" t="str">
        <f>IFERROR(_xll.TR(MO.Ticker.Thomson,"AVG(TR.Priceclose)","sdate:#1 edate:#2",,INDEX(MO_SNA_FPStartDate,0,COLUMN()),INDEX(MO_Common_QEndDate,0,COLUMN())),"N/A")</f>
        <v>Not Signed In</v>
      </c>
      <c r="AD757" s="127" t="str">
        <f>IFERROR(_xll.TR(MO.Ticker.Thomson,"AVG(TR.Priceclose)","sdate:#1 edate:#2",,INDEX(MO_SNA_FPStartDate,0,COLUMN()),INDEX(MO_Common_QEndDate,0,COLUMN())),"N/A")</f>
        <v>Not Signed In</v>
      </c>
      <c r="AE757" s="127" t="str">
        <f>IFERROR(_xll.TR(MO.Ticker.Thomson,"AVG(TR.Priceclose)","sdate:#1 edate:#2",,INDEX(MO_SNA_FPStartDate,0,COLUMN()),INDEX(MO_Common_QEndDate,0,COLUMN())),"N/A")</f>
        <v>Not Signed In</v>
      </c>
      <c r="AF757" s="127" t="str">
        <f>IFERROR(_xll.TR(MO.Ticker.Thomson,"AVG(TR.Priceclose)","sdate:#1 edate:#2",,INDEX(MO_SNA_FPStartDate,0,COLUMN()),INDEX(MO_Common_QEndDate,0,COLUMN())),"N/A")</f>
        <v>Not Signed In</v>
      </c>
      <c r="AG757" s="127" t="str">
        <f>IFERROR(_xll.TR(MO.Ticker.Thomson,"AVG(TR.Priceclose)","sdate:#1 edate:#2",,INDEX(MO_SNA_FPStartDate,0,COLUMN()),INDEX(MO_Common_QEndDate,0,COLUMN())),"N/A")</f>
        <v>Not Signed In</v>
      </c>
      <c r="AH757" s="127" t="str">
        <f>IFERROR(_xll.TR(MO.Ticker.Thomson,"AVG(TR.Priceclose)","sdate:#1 edate:#2",,INDEX(MO_SNA_FPStartDate,0,COLUMN()),INDEX(MO_Common_QEndDate,0,COLUMN())),"N/A")</f>
        <v>Not Signed In</v>
      </c>
      <c r="AI757" s="127" t="str">
        <f>IFERROR(_xll.TR(MO.Ticker.Thomson,"AVG(TR.Priceclose)","sdate:#1 edate:#2",,INDEX(MO_SNA_FPStartDate,0,COLUMN()),INDEX(MO_Common_QEndDate,0,COLUMN())),"N/A")</f>
        <v>Not Signed In</v>
      </c>
      <c r="AJ757" s="127" t="str">
        <f>IFERROR(_xll.TR(MO.Ticker.Thomson,"AVG(TR.Priceclose)","sdate:#1 edate:#2",,INDEX(MO_SNA_FPStartDate,0,COLUMN()),INDEX(MO_Common_QEndDate,0,COLUMN())),"N/A")</f>
        <v>Not Signed In</v>
      </c>
      <c r="AK757" s="127" t="str">
        <f>IFERROR(_xll.TR(MO.Ticker.Thomson,"AVG(TR.Priceclose)","sdate:#1 edate:#2",,INDEX(MO_SNA_FPStartDate,0,COLUMN()),INDEX(MO_Common_QEndDate,0,COLUMN())),"N/A")</f>
        <v>Not Signed In</v>
      </c>
      <c r="AL757" s="127" t="str">
        <f>IFERROR(_xll.TR(MO.Ticker.Thomson,"AVG(TR.Priceclose)","sdate:#1 edate:#2",,INDEX(MO_SNA_FPStartDate,0,COLUMN()),INDEX(MO_Common_QEndDate,0,COLUMN())),"N/A")</f>
        <v>Not Signed In</v>
      </c>
      <c r="AM757" s="127" t="str">
        <f>IFERROR(_xll.TR(MO.Ticker.Thomson,"AVG(TR.Priceclose)","sdate:#1 edate:#2",,INDEX(MO_SNA_FPStartDate,0,COLUMN()),INDEX(MO_Common_QEndDate,0,COLUMN())),"N/A")</f>
        <v>Not Signed In</v>
      </c>
      <c r="AN757" s="127" t="str">
        <f>IFERROR(_xll.TR(MO.Ticker.Thomson,"AVG(TR.Priceclose)","sdate:#1 edate:#2",,INDEX(MO_SNA_FPStartDate,0,COLUMN()),INDEX(MO_Common_QEndDate,0,COLUMN())),"N/A")</f>
        <v>Not Signed In</v>
      </c>
      <c r="AO757" s="127" t="str">
        <f>IFERROR(_xll.TR(MO.Ticker.Thomson,"AVG(TR.Priceclose)","sdate:#1 edate:#2",,INDEX(MO_SNA_FPStartDate,0,COLUMN()),INDEX(MO_Common_QEndDate,0,COLUMN())),"N/A")</f>
        <v>Not Signed In</v>
      </c>
      <c r="AP757" s="127" t="str">
        <f>IFERROR(_xll.TR(MO.Ticker.Thomson,"AVG(TR.Priceclose)","sdate:#1 edate:#2",,INDEX(MO_SNA_FPStartDate,0,COLUMN()),INDEX(MO_Common_QEndDate,0,COLUMN())),"N/A")</f>
        <v>Not Signed In</v>
      </c>
      <c r="AQ757" s="127" t="str">
        <f>IFERROR(_xll.TR(MO.Ticker.Thomson,"AVG(TR.Priceclose)","sdate:#1 edate:#2",,INDEX(MO_SNA_FPStartDate,0,COLUMN()),INDEX(MO_Common_QEndDate,0,COLUMN())),"N/A")</f>
        <v>Not Signed In</v>
      </c>
      <c r="AR757" s="127" t="str">
        <f>IFERROR(_xll.TR(MO.Ticker.Thomson,"AVG(TR.Priceclose)","sdate:#1 edate:#2",,INDEX(MO_SNA_FPStartDate,0,COLUMN()),INDEX(MO_Common_QEndDate,0,COLUMN())),"N/A")</f>
        <v>Not Signed In</v>
      </c>
      <c r="AS757" s="127" t="str">
        <f>IFERROR(_xll.TR(MO.Ticker.Thomson,"AVG(TR.Priceclose)","sdate:#1 edate:#2",,INDEX(MO_SNA_FPStartDate,0,COLUMN()),INDEX(MO_Common_QEndDate,0,COLUMN())),"N/A")</f>
        <v>Not Signed In</v>
      </c>
      <c r="AT757" s="127" t="str">
        <f>IFERROR(_xll.TR(MO.Ticker.Thomson,"AVG(TR.Priceclose)","sdate:#1 edate:#2",,INDEX(MO_SNA_FPStartDate,0,COLUMN()),INDEX(MO_Common_QEndDate,0,COLUMN())),"N/A")</f>
        <v>Not Signed In</v>
      </c>
      <c r="AU757" s="127" t="str">
        <f>IFERROR(_xll.TR(MO.Ticker.Thomson,"AVG(TR.Priceclose)","sdate:#1 edate:#2",,INDEX(MO_SNA_FPStartDate,0,COLUMN()),INDEX(MO_Common_QEndDate,0,COLUMN())),"N/A")</f>
        <v>Not Signed In</v>
      </c>
      <c r="AV757" s="127" t="str">
        <f>IFERROR(_xll.TR(MO.Ticker.Thomson,"AVG(TR.Priceclose)","sdate:#1 edate:#2",,INDEX(MO_SNA_FPStartDate,0,COLUMN()),INDEX(MO_Common_QEndDate,0,COLUMN())),"N/A")</f>
        <v>Not Signed In</v>
      </c>
      <c r="AW757" s="127" t="str">
        <f>IFERROR(_xll.TR(MO.Ticker.Thomson,"AVG(TR.Priceclose)","sdate:#1 edate:#2",,INDEX(MO_SNA_FPStartDate,0,COLUMN()),INDEX(MO_Common_QEndDate,0,COLUMN())),"N/A")</f>
        <v>Not Signed In</v>
      </c>
      <c r="AX757" s="127" t="str">
        <f>IFERROR(_xll.TR(MO.Ticker.Thomson,"AVG(TR.Priceclose)","sdate:#1 edate:#2",,INDEX(MO_SNA_FPStartDate,0,COLUMN()),INDEX(MO_Common_QEndDate,0,COLUMN())),"N/A")</f>
        <v>Not Signed In</v>
      </c>
      <c r="AY757" s="127" t="str">
        <f>IFERROR(_xll.TR(MO.Ticker.Thomson,"AVG(TR.Priceclose)","sdate:#1 edate:#2",,INDEX(MO_SNA_FPStartDate,0,COLUMN()),INDEX(MO_Common_QEndDate,0,COLUMN())),"N/A")</f>
        <v>Not Signed In</v>
      </c>
      <c r="AZ757" s="127" t="str">
        <f>IFERROR(_xll.TR(MO.Ticker.Thomson,"AVG(TR.Priceclose)","sdate:#1 edate:#2",,INDEX(MO_SNA_FPStartDate,0,COLUMN()),INDEX(MO_Common_QEndDate,0,COLUMN())),"N/A")</f>
        <v>Not Signed In</v>
      </c>
      <c r="BA757" s="127" t="str">
        <f>IFERROR(_xll.TR(MO.Ticker.Thomson,"AVG(TR.Priceclose)","sdate:#1 edate:#2",,INDEX(MO_SNA_FPStartDate,0,COLUMN()),INDEX(MO_Common_QEndDate,0,COLUMN())),"N/A")</f>
        <v>Not Signed In</v>
      </c>
      <c r="BB757" s="127" t="str">
        <f>IFERROR(_xll.TR(MO.Ticker.Thomson,"AVG(TR.Priceclose)","sdate:#1 edate:#2",,INDEX(MO_SNA_FPStartDate,0,COLUMN()),INDEX(MO_Common_QEndDate,0,COLUMN())),"N/A")</f>
        <v>Not Signed In</v>
      </c>
      <c r="BC757" s="127" t="str">
        <f>IFERROR(_xll.TR(MO.Ticker.Thomson,"AVG(TR.Priceclose)","sdate:#1 edate:#2",,INDEX(MO_SNA_FPStartDate,0,COLUMN()),INDEX(MO_Common_QEndDate,0,COLUMN())),"N/A")</f>
        <v>Not Signed In</v>
      </c>
      <c r="BD757" s="127" t="str">
        <f>IFERROR(_xll.TR(MO.Ticker.Thomson,"AVG(TR.Priceclose)","sdate:#1 edate:#2",,INDEX(MO_SNA_FPStartDate,0,COLUMN()),INDEX(MO_Common_QEndDate,0,COLUMN())),"N/A")</f>
        <v>Not Signed In</v>
      </c>
      <c r="BE757" s="127" t="str">
        <f>IFERROR(_xll.TR(MO.Ticker.Thomson,"AVG(TR.Priceclose)","sdate:#1 edate:#2",,INDEX(MO_SNA_FPStartDate,0,COLUMN()),INDEX(MO_Common_QEndDate,0,COLUMN())),"N/A")</f>
        <v>Not Signed In</v>
      </c>
      <c r="BF757" s="127" t="str">
        <f>IFERROR(_xll.TR(MO.Ticker.Thomson,"AVG(TR.Priceclose)","sdate:#1 edate:#2",,INDEX(MO_SNA_FPStartDate,0,COLUMN()),INDEX(MO_Common_QEndDate,0,COLUMN())),"N/A")</f>
        <v>Not Signed In</v>
      </c>
      <c r="BG757" s="127" t="str">
        <f>IFERROR(_xll.TR(MO.Ticker.Thomson,"AVG(TR.Priceclose)","sdate:#1 edate:#2",,INDEX(MO_SNA_FPStartDate,0,COLUMN()),INDEX(MO_Common_QEndDate,0,COLUMN())),"N/A")</f>
        <v>Not Signed In</v>
      </c>
      <c r="BH757" s="127" t="str">
        <f>IFERROR(_xll.TR(MO.Ticker.Thomson,"AVG(TR.Priceclose)","sdate:#1 edate:#2",,INDEX(MO_SNA_FPStartDate,0,COLUMN()),INDEX(MO_Common_QEndDate,0,COLUMN())),"N/A")</f>
        <v>Not Signed In</v>
      </c>
      <c r="BI757" s="127" t="str">
        <f>IFERROR(_xll.TR(MO.Ticker.Thomson,"AVG(TR.Priceclose)","sdate:#1 edate:#2",,INDEX(MO_SNA_FPStartDate,0,COLUMN()),INDEX(MO_Common_QEndDate,0,COLUMN())),"N/A")</f>
        <v>Not Signed In</v>
      </c>
      <c r="BJ757" s="127" t="str">
        <f>IFERROR(_xll.TR(MO.Ticker.Thomson,"AVG(TR.Priceclose)","sdate:#1 edate:#2",,INDEX(MO_SNA_FPStartDate,0,COLUMN()),INDEX(MO_Common_QEndDate,0,COLUMN())),"N/A")</f>
        <v>Not Signed In</v>
      </c>
      <c r="BK757" s="127" t="str">
        <f>IFERROR(_xll.TR(MO.Ticker.Thomson,"AVG(TR.Priceclose)","sdate:#1 edate:#2",,INDEX(MO_SNA_FPStartDate,0,COLUMN()),INDEX(MO_Common_QEndDate,0,COLUMN())),"N/A")</f>
        <v>Not Signed In</v>
      </c>
      <c r="BL757" s="169" t="str">
        <f>IFERROR(_xll.TR(MO.Ticker.Thomson,"AVG(TR.Priceclose)","sdate:#1 edate:#2",,INDEX(MO_SNA_FPStartDate,0,COLUMN()),INDEX(MO_Common_QEndDate,0,COLUMN())),"N/A")</f>
        <v>Not Signed In</v>
      </c>
      <c r="BM757" s="127" t="str">
        <f>IFERROR(_xll.TR(MO.Ticker.Thomson,"AVG(TR.Priceclose)","sdate:#1 edate:#2",,INDEX(MO_SNA_FPStartDate,0,COLUMN()),INDEX(MO_Common_QEndDate,0,COLUMN())),"N/A")</f>
        <v>Not Signed In</v>
      </c>
      <c r="BN757" s="127" t="str">
        <f>IFERROR(_xll.TR(MO.Ticker.Thomson,"AVG(TR.Priceclose)","sdate:#1 edate:#2",,INDEX(MO_SNA_FPStartDate,0,COLUMN()),INDEX(MO_Common_QEndDate,0,COLUMN())),"N/A")</f>
        <v>Not Signed In</v>
      </c>
      <c r="BO757" s="127" t="str">
        <f>IFERROR(_xll.TR(MO.Ticker.Thomson,"AVG(TR.Priceclose)","sdate:#1 edate:#2",,INDEX(MO_SNA_FPStartDate,0,COLUMN()),INDEX(MO_Common_QEndDate,0,COLUMN())),"N/A")</f>
        <v>Not Signed In</v>
      </c>
      <c r="BP757" s="127" t="str">
        <f>IFERROR(_xll.TR(MO.Ticker.Thomson,"AVG(TR.Priceclose)","sdate:#1 edate:#2",,INDEX(MO_SNA_FPStartDate,0,COLUMN()),INDEX(MO_Common_QEndDate,0,COLUMN())),"N/A")</f>
        <v>Not Signed In</v>
      </c>
      <c r="BQ757" s="127" t="str">
        <f>IFERROR(_xll.TR(MO.Ticker.Thomson,"AVG(TR.Priceclose)","sdate:#1 edate:#2",,INDEX(MO_SNA_FPStartDate,0,COLUMN()),INDEX(MO_Common_QEndDate,0,COLUMN())),"N/A")</f>
        <v>Not Signed In</v>
      </c>
      <c r="BR757" s="127" t="str">
        <f>IFERROR(_xll.TR(MO.Ticker.Thomson,"AVG(TR.Priceclose)","sdate:#1 edate:#2",,INDEX(MO_SNA_FPStartDate,0,COLUMN()),INDEX(MO_Common_QEndDate,0,COLUMN())),"N/A")</f>
        <v>Not Signed In</v>
      </c>
      <c r="BS757" s="127" t="str">
        <f>IFERROR(_xll.TR(MO.Ticker.Thomson,"AVG(TR.Priceclose)","sdate:#1 edate:#2",,INDEX(MO_SNA_FPStartDate,0,COLUMN()),INDEX(MO_Common_QEndDate,0,COLUMN())),"N/A")</f>
        <v>Not Signed In</v>
      </c>
      <c r="BT757" s="127" t="str">
        <f>IFERROR(_xll.TR(MO.Ticker.Thomson,"AVG(TR.Priceclose)","sdate:#1 edate:#2",,INDEX(MO_SNA_FPStartDate,0,COLUMN()),INDEX(MO_Common_QEndDate,0,COLUMN())),"N/A")</f>
        <v>Not Signed In</v>
      </c>
      <c r="BU757" s="127" t="str">
        <f>IFERROR(_xll.TR(MO.Ticker.Thomson,"AVG(TR.Priceclose)","sdate:#1 edate:#2",,INDEX(MO_SNA_FPStartDate,0,COLUMN()),INDEX(MO_Common_QEndDate,0,COLUMN())),"N/A")</f>
        <v>Not Signed In</v>
      </c>
      <c r="BV757" s="159" t="str">
        <f>IFERROR(_xll.TR(MO.Ticker.Thomson,"AVG(TR.Priceclose)","sdate:#1 edate:#2",,INDEX(MO_SNA_FPStartDate,0,COLUMN()),INDEX(MO_Common_QEndDate,0,COLUMN())),"N/A")</f>
        <v>Not Signed In</v>
      </c>
      <c r="BW757" s="128"/>
    </row>
    <row r="758" spans="1:75" s="439" customFormat="1" hidden="1" outlineLevel="1">
      <c r="A758" s="122"/>
      <c r="B758" s="518"/>
      <c r="C758" s="533"/>
      <c r="D758" s="533"/>
      <c r="E758" s="533"/>
      <c r="F758" s="533"/>
      <c r="G758" s="533"/>
      <c r="H758" s="518"/>
      <c r="I758" s="518"/>
      <c r="J758" s="518"/>
      <c r="K758" s="518"/>
      <c r="L758" s="518"/>
      <c r="M758" s="518"/>
      <c r="N758" s="518"/>
      <c r="O758" s="518"/>
      <c r="P758" s="518"/>
      <c r="Q758" s="518"/>
      <c r="R758" s="518"/>
      <c r="S758" s="518"/>
      <c r="T758" s="518"/>
      <c r="U758" s="518"/>
      <c r="V758" s="518"/>
      <c r="W758" s="518"/>
      <c r="X758" s="518"/>
      <c r="Y758" s="518"/>
      <c r="Z758" s="518"/>
      <c r="AA758" s="518"/>
      <c r="AB758" s="518"/>
      <c r="AC758" s="518"/>
      <c r="AD758" s="518"/>
      <c r="AE758" s="518"/>
      <c r="AF758" s="518"/>
      <c r="AG758" s="518"/>
      <c r="AH758" s="518"/>
      <c r="AI758" s="518"/>
      <c r="AJ758" s="518"/>
      <c r="AK758" s="518"/>
      <c r="AL758" s="518"/>
      <c r="AM758" s="518"/>
      <c r="AN758" s="518"/>
      <c r="AO758" s="518"/>
      <c r="AP758" s="518"/>
      <c r="AQ758" s="518"/>
      <c r="AR758" s="518"/>
      <c r="AS758" s="518"/>
      <c r="AT758" s="518"/>
      <c r="AU758" s="518"/>
      <c r="AV758" s="518"/>
      <c r="AW758" s="518"/>
      <c r="AX758" s="518"/>
      <c r="AY758" s="518"/>
      <c r="AZ758" s="518"/>
      <c r="BA758" s="518"/>
      <c r="BB758" s="518"/>
      <c r="BC758" s="518"/>
      <c r="BD758" s="518"/>
      <c r="BE758" s="518"/>
      <c r="BF758" s="518"/>
      <c r="BG758" s="518"/>
      <c r="BH758" s="518"/>
      <c r="BI758" s="518"/>
      <c r="BJ758" s="518"/>
      <c r="BK758" s="518"/>
      <c r="BL758" s="520"/>
      <c r="BM758" s="518"/>
      <c r="BN758" s="518"/>
      <c r="BO758" s="518"/>
      <c r="BP758" s="518"/>
      <c r="BQ758" s="518"/>
      <c r="BR758" s="518"/>
      <c r="BS758" s="518"/>
      <c r="BT758" s="518"/>
      <c r="BU758" s="518"/>
      <c r="BV758" s="121"/>
      <c r="BW758" s="519"/>
    </row>
    <row r="759" spans="1:75" s="460" customFormat="1" collapsed="1">
      <c r="A759" s="161" t="e">
        <f>"FX Average: "&amp;IF(OR(MO.RealTimeStockPriceToggle=FALSE,VLOOKUP(MO.DataSourceName,MO_SPT_FXAverage_Sources,COLUMN()+2,FALSE)="N/A"),"Real-Time Off Source",MO.DataSourceName)</f>
        <v>#REF!</v>
      </c>
      <c r="B759" s="231"/>
      <c r="C759" s="550" t="e">
        <f t="shared" ref="C759:AH759" si="1453">IF(OR(MO.RealTimeStockPriceToggle=FALSE,EXACT(HP.TradeCurrency,MO.ReportCurrency),VLOOKUP(MO.DataSourceName,MO_SPT_FXAverage_Sources,COLUMN(),FALSE)="N/A",MO.ApplyTradeCurrencyScaling),VLOOKUP("Real-Time Off Source",MO_SPT_FXAverage_Sources,COLUMN(),FALSE),VLOOKUP(MO.DataSourceName,MO_SPT_FXAverage_Sources,COLUMN(),FALSE))</f>
        <v>#REF!</v>
      </c>
      <c r="D759" s="550" t="e">
        <f t="shared" si="1453"/>
        <v>#REF!</v>
      </c>
      <c r="E759" s="550" t="e">
        <f t="shared" si="1453"/>
        <v>#REF!</v>
      </c>
      <c r="F759" s="550" t="e">
        <f t="shared" si="1453"/>
        <v>#REF!</v>
      </c>
      <c r="G759" s="550" t="e">
        <f t="shared" si="1453"/>
        <v>#REF!</v>
      </c>
      <c r="H759" s="231" t="e">
        <f t="shared" si="1453"/>
        <v>#REF!</v>
      </c>
      <c r="I759" s="231" t="e">
        <f t="shared" si="1453"/>
        <v>#REF!</v>
      </c>
      <c r="J759" s="231" t="e">
        <f t="shared" si="1453"/>
        <v>#REF!</v>
      </c>
      <c r="K759" s="231" t="e">
        <f t="shared" si="1453"/>
        <v>#REF!</v>
      </c>
      <c r="L759" s="231" t="e">
        <f t="shared" si="1453"/>
        <v>#REF!</v>
      </c>
      <c r="M759" s="231" t="e">
        <f t="shared" si="1453"/>
        <v>#REF!</v>
      </c>
      <c r="N759" s="231" t="e">
        <f t="shared" si="1453"/>
        <v>#REF!</v>
      </c>
      <c r="O759" s="231" t="e">
        <f t="shared" si="1453"/>
        <v>#REF!</v>
      </c>
      <c r="P759" s="231" t="e">
        <f t="shared" si="1453"/>
        <v>#REF!</v>
      </c>
      <c r="Q759" s="231" t="e">
        <f t="shared" si="1453"/>
        <v>#REF!</v>
      </c>
      <c r="R759" s="231" t="e">
        <f t="shared" si="1453"/>
        <v>#REF!</v>
      </c>
      <c r="S759" s="231" t="e">
        <f t="shared" si="1453"/>
        <v>#REF!</v>
      </c>
      <c r="T759" s="231" t="e">
        <f t="shared" si="1453"/>
        <v>#REF!</v>
      </c>
      <c r="U759" s="231" t="e">
        <f t="shared" si="1453"/>
        <v>#REF!</v>
      </c>
      <c r="V759" s="231" t="e">
        <f t="shared" si="1453"/>
        <v>#REF!</v>
      </c>
      <c r="W759" s="231" t="e">
        <f t="shared" si="1453"/>
        <v>#REF!</v>
      </c>
      <c r="X759" s="231" t="e">
        <f t="shared" si="1453"/>
        <v>#REF!</v>
      </c>
      <c r="Y759" s="231" t="e">
        <f t="shared" si="1453"/>
        <v>#REF!</v>
      </c>
      <c r="Z759" s="231" t="e">
        <f t="shared" si="1453"/>
        <v>#REF!</v>
      </c>
      <c r="AA759" s="231" t="e">
        <f t="shared" si="1453"/>
        <v>#REF!</v>
      </c>
      <c r="AB759" s="231" t="e">
        <f t="shared" si="1453"/>
        <v>#REF!</v>
      </c>
      <c r="AC759" s="231" t="e">
        <f t="shared" si="1453"/>
        <v>#REF!</v>
      </c>
      <c r="AD759" s="231" t="e">
        <f t="shared" si="1453"/>
        <v>#REF!</v>
      </c>
      <c r="AE759" s="231" t="e">
        <f t="shared" si="1453"/>
        <v>#REF!</v>
      </c>
      <c r="AF759" s="231" t="e">
        <f t="shared" si="1453"/>
        <v>#REF!</v>
      </c>
      <c r="AG759" s="231" t="e">
        <f t="shared" si="1453"/>
        <v>#REF!</v>
      </c>
      <c r="AH759" s="231" t="e">
        <f t="shared" si="1453"/>
        <v>#REF!</v>
      </c>
      <c r="AI759" s="231" t="e">
        <f t="shared" ref="AI759:BN759" si="1454">IF(OR(MO.RealTimeStockPriceToggle=FALSE,EXACT(HP.TradeCurrency,MO.ReportCurrency),VLOOKUP(MO.DataSourceName,MO_SPT_FXAverage_Sources,COLUMN(),FALSE)="N/A",MO.ApplyTradeCurrencyScaling),VLOOKUP("Real-Time Off Source",MO_SPT_FXAverage_Sources,COLUMN(),FALSE),VLOOKUP(MO.DataSourceName,MO_SPT_FXAverage_Sources,COLUMN(),FALSE))</f>
        <v>#REF!</v>
      </c>
      <c r="AJ759" s="231" t="e">
        <f t="shared" si="1454"/>
        <v>#REF!</v>
      </c>
      <c r="AK759" s="231" t="e">
        <f t="shared" si="1454"/>
        <v>#REF!</v>
      </c>
      <c r="AL759" s="231" t="e">
        <f t="shared" si="1454"/>
        <v>#REF!</v>
      </c>
      <c r="AM759" s="231" t="e">
        <f t="shared" si="1454"/>
        <v>#REF!</v>
      </c>
      <c r="AN759" s="231" t="e">
        <f t="shared" si="1454"/>
        <v>#REF!</v>
      </c>
      <c r="AO759" s="231" t="e">
        <f t="shared" si="1454"/>
        <v>#REF!</v>
      </c>
      <c r="AP759" s="231" t="e">
        <f t="shared" si="1454"/>
        <v>#REF!</v>
      </c>
      <c r="AQ759" s="231" t="e">
        <f t="shared" si="1454"/>
        <v>#REF!</v>
      </c>
      <c r="AR759" s="231" t="e">
        <f t="shared" si="1454"/>
        <v>#REF!</v>
      </c>
      <c r="AS759" s="231" t="e">
        <f t="shared" si="1454"/>
        <v>#REF!</v>
      </c>
      <c r="AT759" s="231" t="e">
        <f t="shared" si="1454"/>
        <v>#REF!</v>
      </c>
      <c r="AU759" s="231" t="e">
        <f t="shared" si="1454"/>
        <v>#REF!</v>
      </c>
      <c r="AV759" s="231" t="e">
        <f t="shared" si="1454"/>
        <v>#REF!</v>
      </c>
      <c r="AW759" s="231" t="e">
        <f t="shared" si="1454"/>
        <v>#REF!</v>
      </c>
      <c r="AX759" s="231" t="e">
        <f t="shared" si="1454"/>
        <v>#REF!</v>
      </c>
      <c r="AY759" s="231" t="e">
        <f t="shared" si="1454"/>
        <v>#REF!</v>
      </c>
      <c r="AZ759" s="231" t="e">
        <f t="shared" si="1454"/>
        <v>#REF!</v>
      </c>
      <c r="BA759" s="231" t="e">
        <f t="shared" si="1454"/>
        <v>#REF!</v>
      </c>
      <c r="BB759" s="231" t="e">
        <f t="shared" si="1454"/>
        <v>#REF!</v>
      </c>
      <c r="BC759" s="231" t="e">
        <f t="shared" si="1454"/>
        <v>#REF!</v>
      </c>
      <c r="BD759" s="231" t="e">
        <f t="shared" si="1454"/>
        <v>#REF!</v>
      </c>
      <c r="BE759" s="231" t="e">
        <f t="shared" ref="BE759:BM759" si="1455">IF(OR(MO.RealTimeStockPriceToggle=FALSE,EXACT(HP.TradeCurrency,MO.ReportCurrency),VLOOKUP(MO.DataSourceName,MO_SPT_FXAverage_Sources,COLUMN(),FALSE)="N/A",MO.ApplyTradeCurrencyScaling),VLOOKUP("Real-Time Off Source",MO_SPT_FXAverage_Sources,COLUMN(),FALSE),VLOOKUP(MO.DataSourceName,MO_SPT_FXAverage_Sources,COLUMN(),FALSE))</f>
        <v>#REF!</v>
      </c>
      <c r="BF759" s="231" t="e">
        <f t="shared" si="1455"/>
        <v>#REF!</v>
      </c>
      <c r="BG759" s="231" t="e">
        <f t="shared" si="1455"/>
        <v>#REF!</v>
      </c>
      <c r="BH759" s="231" t="e">
        <f t="shared" si="1455"/>
        <v>#REF!</v>
      </c>
      <c r="BI759" s="231" t="e">
        <f t="shared" si="1455"/>
        <v>#REF!</v>
      </c>
      <c r="BJ759" s="231" t="e">
        <f>IF(OR(MO.RealTimeStockPriceToggle=FALSE,EXACT(HP.TradeCurrency,MO.ReportCurrency),VLOOKUP(MO.DataSourceName,MO_SPT_FXAverage_Sources,COLUMN(),FALSE)="N/A",MO.ApplyTradeCurrencyScaling),VLOOKUP("Real-Time Off Source",MO_SPT_FXAverage_Sources,COLUMN(),FALSE),VLOOKUP(MO.DataSourceName,MO_SPT_FXAverage_Sources,COLUMN(),FALSE))</f>
        <v>#REF!</v>
      </c>
      <c r="BK759" s="231" t="e">
        <f>IF(OR(MO.RealTimeStockPriceToggle=FALSE,EXACT(HP.TradeCurrency,MO.ReportCurrency),VLOOKUP(MO.DataSourceName,MO_SPT_FXAverage_Sources,COLUMN(),FALSE)="N/A",MO.ApplyTradeCurrencyScaling),VLOOKUP("Real-Time Off Source",MO_SPT_FXAverage_Sources,COLUMN(),FALSE),VLOOKUP(MO.DataSourceName,MO_SPT_FXAverage_Sources,COLUMN(),FALSE))</f>
        <v>#REF!</v>
      </c>
      <c r="BL759" s="302" t="e">
        <f>IF(OR(MO.RealTimeStockPriceToggle=FALSE,EXACT(HP.TradeCurrency,MO.ReportCurrency),VLOOKUP(MO.DataSourceName,MO_SPT_FXAverage_Sources,COLUMN(),FALSE)="N/A",MO.ApplyTradeCurrencyScaling),VLOOKUP("Real-Time Off Source",MO_SPT_FXAverage_Sources,COLUMN(),FALSE),VLOOKUP(MO.DataSourceName,MO_SPT_FXAverage_Sources,COLUMN(),FALSE))</f>
        <v>#REF!</v>
      </c>
      <c r="BM759" s="231" t="e">
        <f t="shared" si="1455"/>
        <v>#REF!</v>
      </c>
      <c r="BN759" s="231" t="e">
        <f t="shared" si="1454"/>
        <v>#REF!</v>
      </c>
      <c r="BO759" s="231" t="e">
        <f t="shared" ref="BO759:BV759" si="1456">IF(OR(MO.RealTimeStockPriceToggle=FALSE,EXACT(HP.TradeCurrency,MO.ReportCurrency),VLOOKUP(MO.DataSourceName,MO_SPT_FXAverage_Sources,COLUMN(),FALSE)="N/A",MO.ApplyTradeCurrencyScaling),VLOOKUP("Real-Time Off Source",MO_SPT_FXAverage_Sources,COLUMN(),FALSE),VLOOKUP(MO.DataSourceName,MO_SPT_FXAverage_Sources,COLUMN(),FALSE))</f>
        <v>#REF!</v>
      </c>
      <c r="BP759" s="231" t="e">
        <f t="shared" si="1456"/>
        <v>#REF!</v>
      </c>
      <c r="BQ759" s="231" t="e">
        <f t="shared" si="1456"/>
        <v>#REF!</v>
      </c>
      <c r="BR759" s="231" t="e">
        <f t="shared" si="1456"/>
        <v>#REF!</v>
      </c>
      <c r="BS759" s="231" t="e">
        <f t="shared" si="1456"/>
        <v>#REF!</v>
      </c>
      <c r="BT759" s="231" t="e">
        <f t="shared" si="1456"/>
        <v>#REF!</v>
      </c>
      <c r="BU759" s="231" t="e">
        <f t="shared" si="1456"/>
        <v>#REF!</v>
      </c>
      <c r="BV759" s="303" t="e">
        <f t="shared" si="1456"/>
        <v>#REF!</v>
      </c>
      <c r="BW759" s="162"/>
    </row>
    <row r="760" spans="1:75" s="460" customFormat="1" hidden="1" outlineLevel="1">
      <c r="A760" s="163" t="s">
        <v>608</v>
      </c>
      <c r="B760" s="231"/>
      <c r="C760" s="657">
        <v>1</v>
      </c>
      <c r="D760" s="657">
        <v>1</v>
      </c>
      <c r="E760" s="657">
        <v>1</v>
      </c>
      <c r="F760" s="657">
        <v>1</v>
      </c>
      <c r="G760" s="657">
        <v>1</v>
      </c>
      <c r="H760" s="658">
        <v>1</v>
      </c>
      <c r="I760" s="658">
        <v>1</v>
      </c>
      <c r="J760" s="658">
        <v>1</v>
      </c>
      <c r="K760" s="658">
        <v>1</v>
      </c>
      <c r="L760" s="658">
        <v>1</v>
      </c>
      <c r="M760" s="658">
        <v>1</v>
      </c>
      <c r="N760" s="658">
        <v>1</v>
      </c>
      <c r="O760" s="658">
        <v>1</v>
      </c>
      <c r="P760" s="658">
        <v>1</v>
      </c>
      <c r="Q760" s="658">
        <v>1</v>
      </c>
      <c r="R760" s="658">
        <v>1</v>
      </c>
      <c r="S760" s="658">
        <v>1</v>
      </c>
      <c r="T760" s="658">
        <v>1</v>
      </c>
      <c r="U760" s="658">
        <v>1</v>
      </c>
      <c r="V760" s="658">
        <v>1</v>
      </c>
      <c r="W760" s="658">
        <v>1</v>
      </c>
      <c r="X760" s="658">
        <v>1</v>
      </c>
      <c r="Y760" s="658">
        <v>1</v>
      </c>
      <c r="Z760" s="658">
        <v>1</v>
      </c>
      <c r="AA760" s="658">
        <v>1</v>
      </c>
      <c r="AB760" s="658">
        <v>1</v>
      </c>
      <c r="AC760" s="658">
        <v>1</v>
      </c>
      <c r="AD760" s="658">
        <v>1</v>
      </c>
      <c r="AE760" s="658">
        <v>1</v>
      </c>
      <c r="AF760" s="658">
        <v>1</v>
      </c>
      <c r="AG760" s="658">
        <v>1</v>
      </c>
      <c r="AH760" s="658">
        <v>1</v>
      </c>
      <c r="AI760" s="658">
        <v>1</v>
      </c>
      <c r="AJ760" s="658">
        <v>1</v>
      </c>
      <c r="AK760" s="658">
        <v>1</v>
      </c>
      <c r="AL760" s="658">
        <v>1</v>
      </c>
      <c r="AM760" s="658">
        <v>1</v>
      </c>
      <c r="AN760" s="658">
        <v>1</v>
      </c>
      <c r="AO760" s="658">
        <v>1</v>
      </c>
      <c r="AP760" s="658">
        <v>1</v>
      </c>
      <c r="AQ760" s="658">
        <v>1</v>
      </c>
      <c r="AR760" s="658">
        <v>1</v>
      </c>
      <c r="AS760" s="658">
        <v>1</v>
      </c>
      <c r="AT760" s="658">
        <v>1</v>
      </c>
      <c r="AU760" s="658">
        <v>1</v>
      </c>
      <c r="AV760" s="658">
        <v>1</v>
      </c>
      <c r="AW760" s="658">
        <v>1</v>
      </c>
      <c r="AX760" s="658">
        <v>1</v>
      </c>
      <c r="AY760" s="658">
        <v>1</v>
      </c>
      <c r="AZ760" s="658">
        <v>1</v>
      </c>
      <c r="BA760" s="658">
        <v>1</v>
      </c>
      <c r="BB760" s="658">
        <v>1</v>
      </c>
      <c r="BC760" s="658">
        <v>1</v>
      </c>
      <c r="BD760" s="658">
        <v>1</v>
      </c>
      <c r="BE760" s="658">
        <v>1</v>
      </c>
      <c r="BF760" s="658">
        <v>1</v>
      </c>
      <c r="BG760" s="658">
        <v>1</v>
      </c>
      <c r="BH760" s="658">
        <v>1</v>
      </c>
      <c r="BI760" s="658">
        <v>1</v>
      </c>
      <c r="BJ760" s="658">
        <v>1</v>
      </c>
      <c r="BK760" s="658">
        <v>1</v>
      </c>
      <c r="BL760" s="659">
        <v>1</v>
      </c>
      <c r="BM760" s="231">
        <f>MO.MRFX.Hardcoded</f>
        <v>1</v>
      </c>
      <c r="BN760" s="231">
        <f t="shared" ref="BN760" si="1457">MO.MRFX.Hardcoded</f>
        <v>1</v>
      </c>
      <c r="BO760" s="231">
        <f t="shared" ref="BO760:BV760" si="1458">MO.MRFX.Hardcoded</f>
        <v>1</v>
      </c>
      <c r="BP760" s="231">
        <f t="shared" si="1458"/>
        <v>1</v>
      </c>
      <c r="BQ760" s="231">
        <f t="shared" si="1458"/>
        <v>1</v>
      </c>
      <c r="BR760" s="231">
        <f t="shared" si="1458"/>
        <v>1</v>
      </c>
      <c r="BS760" s="231">
        <f t="shared" si="1458"/>
        <v>1</v>
      </c>
      <c r="BT760" s="231">
        <f t="shared" si="1458"/>
        <v>1</v>
      </c>
      <c r="BU760" s="231">
        <f t="shared" si="1458"/>
        <v>1</v>
      </c>
      <c r="BV760" s="303">
        <f t="shared" si="1458"/>
        <v>1</v>
      </c>
      <c r="BW760" s="162"/>
    </row>
    <row r="761" spans="1:75" s="460" customFormat="1" hidden="1" outlineLevel="1">
      <c r="A761" s="163" t="s">
        <v>609</v>
      </c>
      <c r="B761" s="231"/>
      <c r="C761" s="550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D761" s="550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E761" s="550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F761" s="550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G761" s="550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H761" s="231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I761" s="231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J761" s="231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K761" s="231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L761" s="231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M761" s="231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N761" s="231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O761" s="231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P761" s="231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Q761" s="231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R761" s="231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S761" s="231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T761" s="231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U761" s="231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V761" s="231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W761" s="231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X761" s="231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Y761" s="231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Z761" s="231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AA761" s="231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AB761" s="231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AC761" s="231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AD761" s="231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AE761" s="231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AF761" s="231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AG761" s="231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AH761" s="231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AI761" s="231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AJ761" s="231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AK761" s="231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AL761" s="231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AM761" s="231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AN761" s="231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AO761" s="231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AP761" s="231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AQ761" s="231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AR761" s="231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AS761" s="231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AT761" s="231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AU761" s="231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AV761" s="231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AW761" s="231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AX761" s="231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AY761" s="231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AZ761" s="231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BA761" s="231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BB761" s="231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BC761" s="231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BD761" s="231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BE761" s="231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BF761" s="231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BG761" s="231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BH761" s="231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BI761" s="231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BJ761" s="231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BK761" s="231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BL761" s="302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BM761" s="231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BN761" s="231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BO761" s="231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BP761" s="231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BQ761" s="231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BR761" s="231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BS761" s="231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BT761" s="231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BU761" s="231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BV761" s="303" t="str">
        <f ca="1">IFERROR(IF(INDEX(MO_Common_QEndDate,0,COLUMN())&gt;TODAY(),_xll.BDP(MO.ReportCurrency&amp;HP.TradeCurrency&amp;" CURNCY","PX_LAST"),_xll.BDP(MO.ReportCurrency&amp;HP.TradeCurrency&amp;" CURNCY","INTERVAL_AVG","MARKET_DATA_OVERRIDE=PX_LAST","START_DATE_OVERRIDE",TEXT(INDEX(MO_SNA_FPStartDate,0,COLUMN()),"YYYYMMDD"),"END_DATE_OVERRIDE",TEXT(INDEX(MO_Common_QEndDate,0,COLUMN()),"YYYYMMDD"))),"N/A")</f>
        <v>N/A</v>
      </c>
      <c r="BW761" s="162"/>
    </row>
    <row r="762" spans="1:75" s="460" customFormat="1" hidden="1" outlineLevel="1">
      <c r="A762" s="163" t="s">
        <v>610</v>
      </c>
      <c r="B762" s="231"/>
      <c r="C762" s="550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D762" s="550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E762" s="550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F762" s="550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G762" s="550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H762" s="231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I762" s="231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J762" s="231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K762" s="231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L762" s="231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M762" s="231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N762" s="231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O762" s="231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P762" s="231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Q762" s="231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R762" s="231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S762" s="231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T762" s="231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U762" s="231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V762" s="231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W762" s="231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X762" s="231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Y762" s="231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Z762" s="231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AA762" s="231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AB762" s="231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AC762" s="231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AD762" s="231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AE762" s="231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AF762" s="231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AG762" s="231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AH762" s="231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AI762" s="231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AJ762" s="231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AK762" s="231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AL762" s="231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AM762" s="231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AN762" s="231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AO762" s="231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AP762" s="231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AQ762" s="231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AR762" s="231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AS762" s="231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AT762" s="231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AU762" s="231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AV762" s="231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AW762" s="231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AX762" s="231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AY762" s="231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AZ762" s="231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BA762" s="231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BB762" s="231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BC762" s="231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BD762" s="231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BE762" s="231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BF762" s="231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BG762" s="231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BH762" s="231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BI762" s="231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BJ762" s="231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BK762" s="231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BL762" s="302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BM762" s="231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BN762" s="231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BO762" s="231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BP762" s="231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BQ762" s="231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BR762" s="231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BS762" s="231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BT762" s="231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BU762" s="231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BV762" s="303" t="str">
        <f ca="1">IFERROR(IF(INDEX(MO_Common_QEndDate,0,COLUMN())&gt;TODAY(),_xll.CIQ("$"&amp;HP.TradeCurrency&amp;MO.ReportCurrency,"IQ_LASTSALEPRICE"),_xll.CIQAVG("$"&amp;HP.TradeCurrency&amp;MO.ReportCurrency,"IQ_LASTSALEPRICE",INDEX(MO_SNA_FPStartDate,0,COLUMN()),INDEX(MO_Common_QEndDate,0,COLUMN()))),"N/A")</f>
        <v>N/A</v>
      </c>
      <c r="BW762" s="162"/>
    </row>
    <row r="763" spans="1:75" s="460" customFormat="1" hidden="1" outlineLevel="1">
      <c r="A763" s="163" t="s">
        <v>611</v>
      </c>
      <c r="B763" s="231"/>
      <c r="C763" s="550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D763" s="550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E763" s="550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F763" s="550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G763" s="550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H763" s="231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I763" s="231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J763" s="231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K763" s="231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L763" s="231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M763" s="231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N763" s="231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O763" s="231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P763" s="231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Q763" s="231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R763" s="231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S763" s="231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T763" s="231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U763" s="231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V763" s="231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W763" s="231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X763" s="231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Y763" s="231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Z763" s="231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AA763" s="231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AB763" s="231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AC763" s="231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AD763" s="231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AE763" s="231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AF763" s="231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AG763" s="231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AH763" s="231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AI763" s="231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AJ763" s="231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AK763" s="231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AL763" s="231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AM763" s="231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AN763" s="231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AO763" s="231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AP763" s="231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AQ763" s="231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AR763" s="231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AS763" s="231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AT763" s="231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AU763" s="231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AV763" s="231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AW763" s="231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AX763" s="231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AY763" s="231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AZ763" s="231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BA763" s="231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BB763" s="231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BC763" s="231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BD763" s="231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BE763" s="231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BF763" s="231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BG763" s="231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BH763" s="231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BI763" s="231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BJ763" s="231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BK763" s="231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BL763" s="302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BM763" s="231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BN763" s="231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BO763" s="231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BP763" s="231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BQ763" s="231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BR763" s="231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BS763" s="231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BT763" s="231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BU763" s="231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BV763" s="303" t="str">
        <f ca="1">IFERROR(IF(INDEX(MO_Common_QEndDate,0,COLUMN())&gt;TODAY(),_xll.FDS(MO.ReportCurrency&amp;HP.TradeCurrency,"FG_PRICE(NOW)"),_xll.FDS(MO.ReportCurrency&amp;HP.TradeCurrency,"P_PRICE_AVG("&amp;INDEX(MO_SNA_FPStartDate,0,COLUMN())&amp;","&amp;INDEX(MO_Common_QEndDate,0,COLUMN())&amp;",,,,0)")),"N/A")</f>
        <v>N/A</v>
      </c>
      <c r="BW763" s="162"/>
    </row>
    <row r="764" spans="1:75" s="460" customFormat="1" hidden="1" outlineLevel="1">
      <c r="A764" s="163" t="s">
        <v>612</v>
      </c>
      <c r="B764" s="231"/>
      <c r="C764" s="550" t="str">
        <f t="shared" ref="C764:AH764" si="1459">"N/A"</f>
        <v>N/A</v>
      </c>
      <c r="D764" s="550" t="str">
        <f t="shared" si="1459"/>
        <v>N/A</v>
      </c>
      <c r="E764" s="550" t="str">
        <f t="shared" si="1459"/>
        <v>N/A</v>
      </c>
      <c r="F764" s="550" t="str">
        <f t="shared" si="1459"/>
        <v>N/A</v>
      </c>
      <c r="G764" s="550" t="str">
        <f t="shared" si="1459"/>
        <v>N/A</v>
      </c>
      <c r="H764" s="231" t="str">
        <f t="shared" si="1459"/>
        <v>N/A</v>
      </c>
      <c r="I764" s="231" t="str">
        <f t="shared" si="1459"/>
        <v>N/A</v>
      </c>
      <c r="J764" s="231" t="str">
        <f t="shared" si="1459"/>
        <v>N/A</v>
      </c>
      <c r="K764" s="231" t="str">
        <f t="shared" si="1459"/>
        <v>N/A</v>
      </c>
      <c r="L764" s="231" t="str">
        <f t="shared" si="1459"/>
        <v>N/A</v>
      </c>
      <c r="M764" s="231" t="str">
        <f t="shared" si="1459"/>
        <v>N/A</v>
      </c>
      <c r="N764" s="231" t="str">
        <f t="shared" si="1459"/>
        <v>N/A</v>
      </c>
      <c r="O764" s="231" t="str">
        <f t="shared" si="1459"/>
        <v>N/A</v>
      </c>
      <c r="P764" s="231" t="str">
        <f t="shared" si="1459"/>
        <v>N/A</v>
      </c>
      <c r="Q764" s="231" t="str">
        <f t="shared" si="1459"/>
        <v>N/A</v>
      </c>
      <c r="R764" s="231" t="str">
        <f t="shared" si="1459"/>
        <v>N/A</v>
      </c>
      <c r="S764" s="231" t="str">
        <f t="shared" si="1459"/>
        <v>N/A</v>
      </c>
      <c r="T764" s="231" t="str">
        <f t="shared" si="1459"/>
        <v>N/A</v>
      </c>
      <c r="U764" s="231" t="str">
        <f t="shared" si="1459"/>
        <v>N/A</v>
      </c>
      <c r="V764" s="231" t="str">
        <f t="shared" si="1459"/>
        <v>N/A</v>
      </c>
      <c r="W764" s="231" t="str">
        <f t="shared" si="1459"/>
        <v>N/A</v>
      </c>
      <c r="X764" s="231" t="str">
        <f t="shared" si="1459"/>
        <v>N/A</v>
      </c>
      <c r="Y764" s="231" t="str">
        <f t="shared" si="1459"/>
        <v>N/A</v>
      </c>
      <c r="Z764" s="231" t="str">
        <f t="shared" si="1459"/>
        <v>N/A</v>
      </c>
      <c r="AA764" s="231" t="str">
        <f t="shared" si="1459"/>
        <v>N/A</v>
      </c>
      <c r="AB764" s="231" t="str">
        <f t="shared" si="1459"/>
        <v>N/A</v>
      </c>
      <c r="AC764" s="231" t="str">
        <f t="shared" si="1459"/>
        <v>N/A</v>
      </c>
      <c r="AD764" s="231" t="str">
        <f t="shared" si="1459"/>
        <v>N/A</v>
      </c>
      <c r="AE764" s="231" t="str">
        <f t="shared" si="1459"/>
        <v>N/A</v>
      </c>
      <c r="AF764" s="231" t="str">
        <f t="shared" si="1459"/>
        <v>N/A</v>
      </c>
      <c r="AG764" s="231" t="str">
        <f t="shared" si="1459"/>
        <v>N/A</v>
      </c>
      <c r="AH764" s="231" t="str">
        <f t="shared" si="1459"/>
        <v>N/A</v>
      </c>
      <c r="AI764" s="231" t="str">
        <f t="shared" ref="AI764:AQ764" si="1460">"N/A"</f>
        <v>N/A</v>
      </c>
      <c r="AJ764" s="231" t="str">
        <f t="shared" si="1460"/>
        <v>N/A</v>
      </c>
      <c r="AK764" s="231" t="str">
        <f t="shared" si="1460"/>
        <v>N/A</v>
      </c>
      <c r="AL764" s="231" t="str">
        <f t="shared" si="1460"/>
        <v>N/A</v>
      </c>
      <c r="AM764" s="231" t="str">
        <f t="shared" si="1460"/>
        <v>N/A</v>
      </c>
      <c r="AN764" s="231" t="str">
        <f t="shared" si="1460"/>
        <v>N/A</v>
      </c>
      <c r="AO764" s="231" t="str">
        <f t="shared" si="1460"/>
        <v>N/A</v>
      </c>
      <c r="AP764" s="231" t="str">
        <f t="shared" si="1460"/>
        <v>N/A</v>
      </c>
      <c r="AQ764" s="231" t="str">
        <f t="shared" si="1460"/>
        <v>N/A</v>
      </c>
      <c r="AR764" s="231" t="str">
        <f t="shared" ref="AR764:AW764" si="1461">"N/A"</f>
        <v>N/A</v>
      </c>
      <c r="AS764" s="231" t="str">
        <f t="shared" si="1461"/>
        <v>N/A</v>
      </c>
      <c r="AT764" s="231" t="str">
        <f t="shared" si="1461"/>
        <v>N/A</v>
      </c>
      <c r="AU764" s="231" t="str">
        <f t="shared" si="1461"/>
        <v>N/A</v>
      </c>
      <c r="AV764" s="231" t="str">
        <f t="shared" si="1461"/>
        <v>N/A</v>
      </c>
      <c r="AW764" s="231" t="str">
        <f t="shared" si="1461"/>
        <v>N/A</v>
      </c>
      <c r="AX764" s="231" t="str">
        <f t="shared" ref="AX764:BA764" si="1462">"N/A"</f>
        <v>N/A</v>
      </c>
      <c r="AY764" s="231" t="str">
        <f t="shared" si="1462"/>
        <v>N/A</v>
      </c>
      <c r="AZ764" s="231" t="str">
        <f t="shared" si="1462"/>
        <v>N/A</v>
      </c>
      <c r="BA764" s="231" t="str">
        <f t="shared" si="1462"/>
        <v>N/A</v>
      </c>
      <c r="BB764" s="231" t="str">
        <f t="shared" ref="BB764:BN764" si="1463">"N/A"</f>
        <v>N/A</v>
      </c>
      <c r="BC764" s="231" t="str">
        <f t="shared" si="1463"/>
        <v>N/A</v>
      </c>
      <c r="BD764" s="231" t="str">
        <f t="shared" si="1463"/>
        <v>N/A</v>
      </c>
      <c r="BE764" s="231" t="str">
        <f t="shared" ref="BE764:BM764" si="1464">"N/A"</f>
        <v>N/A</v>
      </c>
      <c r="BF764" s="231" t="str">
        <f t="shared" si="1464"/>
        <v>N/A</v>
      </c>
      <c r="BG764" s="231" t="str">
        <f t="shared" si="1464"/>
        <v>N/A</v>
      </c>
      <c r="BH764" s="231" t="str">
        <f t="shared" si="1464"/>
        <v>N/A</v>
      </c>
      <c r="BI764" s="231" t="str">
        <f t="shared" si="1464"/>
        <v>N/A</v>
      </c>
      <c r="BJ764" s="231" t="str">
        <f>"N/A"</f>
        <v>N/A</v>
      </c>
      <c r="BK764" s="231" t="str">
        <f>"N/A"</f>
        <v>N/A</v>
      </c>
      <c r="BL764" s="302" t="str">
        <f>"N/A"</f>
        <v>N/A</v>
      </c>
      <c r="BM764" s="231" t="str">
        <f t="shared" si="1464"/>
        <v>N/A</v>
      </c>
      <c r="BN764" s="231" t="str">
        <f t="shared" si="1463"/>
        <v>N/A</v>
      </c>
      <c r="BO764" s="231" t="str">
        <f t="shared" ref="BO764:BV764" si="1465">"N/A"</f>
        <v>N/A</v>
      </c>
      <c r="BP764" s="231" t="str">
        <f t="shared" si="1465"/>
        <v>N/A</v>
      </c>
      <c r="BQ764" s="231" t="str">
        <f t="shared" si="1465"/>
        <v>N/A</v>
      </c>
      <c r="BR764" s="231" t="str">
        <f t="shared" si="1465"/>
        <v>N/A</v>
      </c>
      <c r="BS764" s="231" t="str">
        <f t="shared" si="1465"/>
        <v>N/A</v>
      </c>
      <c r="BT764" s="231" t="str">
        <f t="shared" si="1465"/>
        <v>N/A</v>
      </c>
      <c r="BU764" s="231" t="str">
        <f t="shared" si="1465"/>
        <v>N/A</v>
      </c>
      <c r="BV764" s="303" t="str">
        <f t="shared" si="1465"/>
        <v>N/A</v>
      </c>
      <c r="BW764" s="162"/>
    </row>
    <row r="765" spans="1:75" s="439" customFormat="1" hidden="1" outlineLevel="1">
      <c r="A765" s="122"/>
      <c r="B765" s="518"/>
      <c r="C765" s="533"/>
      <c r="D765" s="533"/>
      <c r="E765" s="533"/>
      <c r="F765" s="533"/>
      <c r="G765" s="533"/>
      <c r="H765" s="518"/>
      <c r="I765" s="518"/>
      <c r="J765" s="518"/>
      <c r="K765" s="518"/>
      <c r="L765" s="518"/>
      <c r="M765" s="518"/>
      <c r="N765" s="518"/>
      <c r="O765" s="518"/>
      <c r="P765" s="518"/>
      <c r="Q765" s="518"/>
      <c r="R765" s="518"/>
      <c r="S765" s="518"/>
      <c r="T765" s="518"/>
      <c r="U765" s="518"/>
      <c r="V765" s="518"/>
      <c r="W765" s="518"/>
      <c r="X765" s="518"/>
      <c r="Y765" s="518"/>
      <c r="Z765" s="518"/>
      <c r="AA765" s="518"/>
      <c r="AB765" s="518"/>
      <c r="AC765" s="518"/>
      <c r="AD765" s="518"/>
      <c r="AE765" s="518"/>
      <c r="AF765" s="518"/>
      <c r="AG765" s="518"/>
      <c r="AH765" s="518"/>
      <c r="AI765" s="518"/>
      <c r="AJ765" s="518"/>
      <c r="AK765" s="518"/>
      <c r="AL765" s="518"/>
      <c r="AM765" s="518"/>
      <c r="AN765" s="518"/>
      <c r="AO765" s="518"/>
      <c r="AP765" s="518"/>
      <c r="AQ765" s="518"/>
      <c r="AR765" s="518"/>
      <c r="AS765" s="518"/>
      <c r="AT765" s="518"/>
      <c r="AU765" s="518"/>
      <c r="AV765" s="518"/>
      <c r="AW765" s="518"/>
      <c r="AX765" s="518"/>
      <c r="AY765" s="518"/>
      <c r="AZ765" s="518"/>
      <c r="BA765" s="518"/>
      <c r="BB765" s="518"/>
      <c r="BC765" s="518"/>
      <c r="BD765" s="518"/>
      <c r="BE765" s="518"/>
      <c r="BF765" s="518"/>
      <c r="BG765" s="518"/>
      <c r="BH765" s="518"/>
      <c r="BI765" s="518"/>
      <c r="BJ765" s="518"/>
      <c r="BK765" s="518"/>
      <c r="BL765" s="520"/>
      <c r="BM765" s="518"/>
      <c r="BN765" s="518"/>
      <c r="BO765" s="518"/>
      <c r="BP765" s="518"/>
      <c r="BQ765" s="518"/>
      <c r="BR765" s="518"/>
      <c r="BS765" s="518"/>
      <c r="BT765" s="518"/>
      <c r="BU765" s="518"/>
      <c r="BV765" s="121"/>
      <c r="BW765" s="519"/>
    </row>
    <row r="766" spans="1:75" s="439" customFormat="1" collapsed="1">
      <c r="A766" s="122" t="s">
        <v>613</v>
      </c>
      <c r="B766" s="518"/>
      <c r="C766" s="548">
        <f t="shared" ref="C766:AH766" si="1466">WORKDAY(INDEX(MO_Common_QEndDate,0,COLUMN()),-1)</f>
        <v>40177</v>
      </c>
      <c r="D766" s="548">
        <f t="shared" si="1466"/>
        <v>40542</v>
      </c>
      <c r="E766" s="548">
        <f t="shared" si="1466"/>
        <v>40907</v>
      </c>
      <c r="F766" s="548">
        <f t="shared" si="1466"/>
        <v>41271</v>
      </c>
      <c r="G766" s="548">
        <f t="shared" si="1466"/>
        <v>41362</v>
      </c>
      <c r="H766" s="157">
        <f t="shared" si="1466"/>
        <v>41453</v>
      </c>
      <c r="I766" s="157">
        <f t="shared" si="1466"/>
        <v>41544</v>
      </c>
      <c r="J766" s="157">
        <f t="shared" si="1466"/>
        <v>41638</v>
      </c>
      <c r="K766" s="157">
        <f t="shared" si="1466"/>
        <v>41638</v>
      </c>
      <c r="L766" s="157">
        <f t="shared" si="1466"/>
        <v>41726</v>
      </c>
      <c r="M766" s="157">
        <f t="shared" si="1466"/>
        <v>41817</v>
      </c>
      <c r="N766" s="157">
        <f t="shared" si="1466"/>
        <v>41911</v>
      </c>
      <c r="O766" s="157">
        <f t="shared" si="1466"/>
        <v>42003</v>
      </c>
      <c r="P766" s="157">
        <f t="shared" si="1466"/>
        <v>42003</v>
      </c>
      <c r="Q766" s="157">
        <f t="shared" si="1466"/>
        <v>42093</v>
      </c>
      <c r="R766" s="157">
        <f t="shared" si="1466"/>
        <v>42184</v>
      </c>
      <c r="S766" s="157">
        <f t="shared" si="1466"/>
        <v>42276</v>
      </c>
      <c r="T766" s="157">
        <f t="shared" si="1466"/>
        <v>42368</v>
      </c>
      <c r="U766" s="157">
        <f t="shared" si="1466"/>
        <v>42368</v>
      </c>
      <c r="V766" s="157">
        <f t="shared" si="1466"/>
        <v>42459</v>
      </c>
      <c r="W766" s="157">
        <f t="shared" si="1466"/>
        <v>42550</v>
      </c>
      <c r="X766" s="157">
        <f t="shared" si="1466"/>
        <v>42642</v>
      </c>
      <c r="Y766" s="157">
        <f t="shared" si="1466"/>
        <v>42734</v>
      </c>
      <c r="Z766" s="157">
        <f t="shared" si="1466"/>
        <v>42734</v>
      </c>
      <c r="AA766" s="157">
        <f t="shared" si="1466"/>
        <v>42824</v>
      </c>
      <c r="AB766" s="157">
        <f t="shared" si="1466"/>
        <v>42915</v>
      </c>
      <c r="AC766" s="157">
        <f t="shared" si="1466"/>
        <v>43007</v>
      </c>
      <c r="AD766" s="157">
        <f t="shared" si="1466"/>
        <v>43098</v>
      </c>
      <c r="AE766" s="157">
        <f t="shared" si="1466"/>
        <v>43098</v>
      </c>
      <c r="AF766" s="157">
        <f t="shared" si="1466"/>
        <v>43189</v>
      </c>
      <c r="AG766" s="157">
        <f t="shared" si="1466"/>
        <v>43280</v>
      </c>
      <c r="AH766" s="157">
        <f t="shared" si="1466"/>
        <v>43371</v>
      </c>
      <c r="AI766" s="157">
        <f t="shared" ref="AI766:AZ766" si="1467">WORKDAY(INDEX(MO_Common_QEndDate,0,COLUMN()),-1)</f>
        <v>43462</v>
      </c>
      <c r="AJ766" s="157">
        <f t="shared" si="1467"/>
        <v>43462</v>
      </c>
      <c r="AK766" s="157">
        <f t="shared" si="1467"/>
        <v>43553</v>
      </c>
      <c r="AL766" s="157">
        <f t="shared" si="1467"/>
        <v>43644</v>
      </c>
      <c r="AM766" s="157">
        <f t="shared" si="1467"/>
        <v>43735</v>
      </c>
      <c r="AN766" s="157">
        <f t="shared" si="1467"/>
        <v>43829</v>
      </c>
      <c r="AO766" s="157">
        <f t="shared" si="1467"/>
        <v>43829</v>
      </c>
      <c r="AP766" s="157">
        <f t="shared" si="1467"/>
        <v>43920</v>
      </c>
      <c r="AQ766" s="157">
        <f t="shared" si="1467"/>
        <v>44011</v>
      </c>
      <c r="AR766" s="157">
        <f t="shared" si="1467"/>
        <v>44103</v>
      </c>
      <c r="AS766" s="157">
        <f t="shared" si="1467"/>
        <v>44195</v>
      </c>
      <c r="AT766" s="157">
        <f t="shared" si="1467"/>
        <v>44195</v>
      </c>
      <c r="AU766" s="157">
        <f t="shared" si="1467"/>
        <v>44285</v>
      </c>
      <c r="AV766" s="157">
        <f t="shared" si="1467"/>
        <v>44376</v>
      </c>
      <c r="AW766" s="157">
        <f t="shared" si="1467"/>
        <v>44468</v>
      </c>
      <c r="AX766" s="157">
        <f t="shared" si="1467"/>
        <v>44560</v>
      </c>
      <c r="AY766" s="157">
        <f t="shared" si="1467"/>
        <v>44560</v>
      </c>
      <c r="AZ766" s="157">
        <f t="shared" si="1467"/>
        <v>44650</v>
      </c>
      <c r="BA766" s="157">
        <f t="shared" ref="BA766:BD766" si="1468">WORKDAY(INDEX(MO_Common_QEndDate,0,COLUMN()),-1)</f>
        <v>44741</v>
      </c>
      <c r="BB766" s="157">
        <f t="shared" si="1468"/>
        <v>44833</v>
      </c>
      <c r="BC766" s="157">
        <f t="shared" si="1468"/>
        <v>44925</v>
      </c>
      <c r="BD766" s="157">
        <f t="shared" si="1468"/>
        <v>44925</v>
      </c>
      <c r="BE766" s="157">
        <f t="shared" ref="BE766:BV766" si="1469">WORKDAY(INDEX(MO_Common_QEndDate,0,COLUMN()),-1)</f>
        <v>45015</v>
      </c>
      <c r="BF766" s="157">
        <f t="shared" si="1469"/>
        <v>45106</v>
      </c>
      <c r="BG766" s="157">
        <f t="shared" si="1469"/>
        <v>45198</v>
      </c>
      <c r="BH766" s="157">
        <f t="shared" si="1469"/>
        <v>45289</v>
      </c>
      <c r="BI766" s="157">
        <f t="shared" si="1469"/>
        <v>45289</v>
      </c>
      <c r="BJ766" s="157">
        <f>WORKDAY(INDEX(MO_Common_QEndDate,0,COLUMN()),-1)</f>
        <v>45380</v>
      </c>
      <c r="BK766" s="157">
        <f>WORKDAY(INDEX(MO_Common_QEndDate,0,COLUMN()),-1)</f>
        <v>45471</v>
      </c>
      <c r="BL766" s="516">
        <f>WORKDAY(INDEX(MO_Common_QEndDate,0,COLUMN()),-1)</f>
        <v>45562</v>
      </c>
      <c r="BM766" s="157">
        <f t="shared" si="1469"/>
        <v>45656</v>
      </c>
      <c r="BN766" s="157">
        <f t="shared" si="1469"/>
        <v>45656</v>
      </c>
      <c r="BO766" s="157">
        <f t="shared" si="1469"/>
        <v>45744</v>
      </c>
      <c r="BP766" s="157">
        <f t="shared" si="1469"/>
        <v>45835</v>
      </c>
      <c r="BQ766" s="157">
        <f t="shared" si="1469"/>
        <v>45929</v>
      </c>
      <c r="BR766" s="157">
        <f t="shared" si="1469"/>
        <v>46021</v>
      </c>
      <c r="BS766" s="157">
        <f t="shared" si="1469"/>
        <v>46021</v>
      </c>
      <c r="BT766" s="157">
        <f t="shared" si="1469"/>
        <v>46386</v>
      </c>
      <c r="BU766" s="157">
        <f t="shared" si="1469"/>
        <v>46751</v>
      </c>
      <c r="BV766" s="299">
        <f t="shared" si="1469"/>
        <v>47116</v>
      </c>
      <c r="BW766" s="519"/>
    </row>
    <row r="767" spans="1:75" s="439" customFormat="1">
      <c r="A767" s="122" t="s">
        <v>614</v>
      </c>
      <c r="B767" s="518"/>
      <c r="C767" s="660">
        <v>0</v>
      </c>
      <c r="D767" s="660">
        <v>0</v>
      </c>
      <c r="E767" s="660">
        <v>0</v>
      </c>
      <c r="F767" s="660">
        <v>18.87</v>
      </c>
      <c r="G767" s="660">
        <v>23.71</v>
      </c>
      <c r="H767" s="661">
        <v>34.770000000000003</v>
      </c>
      <c r="I767" s="661">
        <v>68.05</v>
      </c>
      <c r="J767" s="661">
        <v>66.010000000000005</v>
      </c>
      <c r="K767" s="661">
        <v>66.010000000000005</v>
      </c>
      <c r="L767" s="661">
        <v>76.44</v>
      </c>
      <c r="M767" s="661">
        <v>77.28</v>
      </c>
      <c r="N767" s="661">
        <v>69.540000000000006</v>
      </c>
      <c r="O767" s="661">
        <v>54.24</v>
      </c>
      <c r="P767" s="661">
        <v>54.24</v>
      </c>
      <c r="Q767" s="661">
        <v>47.39</v>
      </c>
      <c r="R767" s="661">
        <v>42.47</v>
      </c>
      <c r="S767" s="661">
        <v>21.14</v>
      </c>
      <c r="T767" s="661">
        <v>28.25</v>
      </c>
      <c r="U767" s="661">
        <v>28.25</v>
      </c>
      <c r="V767" s="661">
        <v>20.43</v>
      </c>
      <c r="W767" s="661">
        <v>29.2</v>
      </c>
      <c r="X767" s="661">
        <v>40.98</v>
      </c>
      <c r="Y767" s="661">
        <v>38.130000000000003</v>
      </c>
      <c r="Z767" s="661">
        <v>38.130000000000003</v>
      </c>
      <c r="AA767" s="661">
        <v>32.520000000000003</v>
      </c>
      <c r="AB767" s="661">
        <v>29.89</v>
      </c>
      <c r="AC767" s="661">
        <v>43.3</v>
      </c>
      <c r="AD767" s="661">
        <v>41.96</v>
      </c>
      <c r="AE767" s="661">
        <v>41.96</v>
      </c>
      <c r="AF767" s="661">
        <v>41.75</v>
      </c>
      <c r="AG767" s="661">
        <v>39.18</v>
      </c>
      <c r="AH767" s="661">
        <v>49.2</v>
      </c>
      <c r="AI767" s="661">
        <v>34.42</v>
      </c>
      <c r="AJ767" s="661">
        <v>34.42</v>
      </c>
      <c r="AK767" s="661">
        <v>34.5</v>
      </c>
      <c r="AL767" s="661">
        <v>34.18</v>
      </c>
      <c r="AM767" s="661">
        <v>34.42</v>
      </c>
      <c r="AN767" s="661">
        <v>34.58</v>
      </c>
      <c r="AO767" s="661">
        <v>34.58</v>
      </c>
      <c r="AP767" s="661">
        <v>17.53</v>
      </c>
      <c r="AQ767" s="661">
        <v>21.47</v>
      </c>
      <c r="AR767" s="661">
        <v>20.07</v>
      </c>
      <c r="AS767" s="661">
        <v>31.64</v>
      </c>
      <c r="AT767" s="661">
        <v>31.64</v>
      </c>
      <c r="AU767" s="661">
        <v>38.57</v>
      </c>
      <c r="AV767" s="661">
        <v>40.369999999999997</v>
      </c>
      <c r="AW767" s="661">
        <v>37.979999999999997</v>
      </c>
      <c r="AX767" s="661">
        <v>36.479999999999997</v>
      </c>
      <c r="AY767" s="661">
        <v>36.479999999999997</v>
      </c>
      <c r="AZ767" s="661">
        <v>34.76</v>
      </c>
      <c r="BA767" s="661">
        <v>28.47</v>
      </c>
      <c r="BB767" s="661">
        <v>33.770000000000003</v>
      </c>
      <c r="BC767" s="661">
        <v>27.34</v>
      </c>
      <c r="BD767" s="661">
        <v>27.34</v>
      </c>
      <c r="BE767" s="661">
        <v>29.98</v>
      </c>
      <c r="BF767" s="661">
        <v>36.47</v>
      </c>
      <c r="BG767" s="661">
        <v>41.59</v>
      </c>
      <c r="BH767" s="661">
        <v>47.34</v>
      </c>
      <c r="BI767" s="661">
        <v>47.34</v>
      </c>
      <c r="BJ767" s="661">
        <v>39.4</v>
      </c>
      <c r="BK767" s="661">
        <v>36.950000000000003</v>
      </c>
      <c r="BL767" s="662">
        <v>34.909999999999997</v>
      </c>
      <c r="BM767" s="300"/>
      <c r="BN767" s="300"/>
      <c r="BO767" s="300"/>
      <c r="BP767" s="300"/>
      <c r="BQ767" s="300"/>
      <c r="BR767" s="300"/>
      <c r="BS767" s="300"/>
      <c r="BT767" s="300"/>
      <c r="BU767" s="300"/>
      <c r="BV767" s="301"/>
      <c r="BW767" s="519"/>
    </row>
    <row r="768" spans="1:75" s="439" customFormat="1">
      <c r="A768" s="122" t="s">
        <v>615</v>
      </c>
      <c r="B768" s="518"/>
      <c r="C768" s="657">
        <v>1</v>
      </c>
      <c r="D768" s="657">
        <v>1</v>
      </c>
      <c r="E768" s="657">
        <v>1</v>
      </c>
      <c r="F768" s="657">
        <v>1</v>
      </c>
      <c r="G768" s="657">
        <v>1</v>
      </c>
      <c r="H768" s="658">
        <v>1</v>
      </c>
      <c r="I768" s="658">
        <v>1</v>
      </c>
      <c r="J768" s="658">
        <v>1</v>
      </c>
      <c r="K768" s="658">
        <v>1</v>
      </c>
      <c r="L768" s="658">
        <v>1</v>
      </c>
      <c r="M768" s="658">
        <v>1</v>
      </c>
      <c r="N768" s="658">
        <v>1</v>
      </c>
      <c r="O768" s="658">
        <v>1</v>
      </c>
      <c r="P768" s="658">
        <v>1</v>
      </c>
      <c r="Q768" s="658">
        <v>1</v>
      </c>
      <c r="R768" s="658">
        <v>1</v>
      </c>
      <c r="S768" s="658">
        <v>1</v>
      </c>
      <c r="T768" s="658">
        <v>1</v>
      </c>
      <c r="U768" s="658">
        <v>1</v>
      </c>
      <c r="V768" s="658">
        <v>1</v>
      </c>
      <c r="W768" s="658">
        <v>1</v>
      </c>
      <c r="X768" s="658">
        <v>1</v>
      </c>
      <c r="Y768" s="658">
        <v>1</v>
      </c>
      <c r="Z768" s="658">
        <v>1</v>
      </c>
      <c r="AA768" s="658">
        <v>1</v>
      </c>
      <c r="AB768" s="658">
        <v>1</v>
      </c>
      <c r="AC768" s="658">
        <v>1</v>
      </c>
      <c r="AD768" s="658">
        <v>1</v>
      </c>
      <c r="AE768" s="658">
        <v>1</v>
      </c>
      <c r="AF768" s="658">
        <v>1</v>
      </c>
      <c r="AG768" s="658">
        <v>1</v>
      </c>
      <c r="AH768" s="658">
        <v>1</v>
      </c>
      <c r="AI768" s="658">
        <v>1</v>
      </c>
      <c r="AJ768" s="658">
        <v>1</v>
      </c>
      <c r="AK768" s="658">
        <v>1</v>
      </c>
      <c r="AL768" s="658">
        <v>1</v>
      </c>
      <c r="AM768" s="658">
        <v>1</v>
      </c>
      <c r="AN768" s="658">
        <v>1</v>
      </c>
      <c r="AO768" s="658">
        <v>1</v>
      </c>
      <c r="AP768" s="658">
        <v>1</v>
      </c>
      <c r="AQ768" s="658">
        <v>1</v>
      </c>
      <c r="AR768" s="658">
        <v>1</v>
      </c>
      <c r="AS768" s="658">
        <v>1</v>
      </c>
      <c r="AT768" s="658">
        <v>1</v>
      </c>
      <c r="AU768" s="658">
        <v>1</v>
      </c>
      <c r="AV768" s="658">
        <v>1</v>
      </c>
      <c r="AW768" s="658">
        <v>1</v>
      </c>
      <c r="AX768" s="658">
        <v>1</v>
      </c>
      <c r="AY768" s="658">
        <v>1</v>
      </c>
      <c r="AZ768" s="658">
        <v>1</v>
      </c>
      <c r="BA768" s="658">
        <v>1</v>
      </c>
      <c r="BB768" s="658">
        <v>1</v>
      </c>
      <c r="BC768" s="658">
        <v>1</v>
      </c>
      <c r="BD768" s="658">
        <v>1</v>
      </c>
      <c r="BE768" s="658">
        <v>1</v>
      </c>
      <c r="BF768" s="658">
        <v>1</v>
      </c>
      <c r="BG768" s="658">
        <v>1</v>
      </c>
      <c r="BH768" s="658">
        <v>1</v>
      </c>
      <c r="BI768" s="658">
        <v>1</v>
      </c>
      <c r="BJ768" s="658">
        <v>1</v>
      </c>
      <c r="BK768" s="658">
        <v>1</v>
      </c>
      <c r="BL768" s="659">
        <v>1</v>
      </c>
      <c r="BM768" s="231"/>
      <c r="BN768" s="231"/>
      <c r="BO768" s="231"/>
      <c r="BP768" s="231"/>
      <c r="BQ768" s="231"/>
      <c r="BR768" s="231"/>
      <c r="BS768" s="231"/>
      <c r="BT768" s="231"/>
      <c r="BU768" s="231"/>
      <c r="BV768" s="303"/>
      <c r="BW768" s="519"/>
    </row>
    <row r="769" spans="1:75" s="439" customFormat="1">
      <c r="A769" s="304"/>
      <c r="B769" s="521"/>
      <c r="C769" s="305"/>
      <c r="D769" s="305"/>
      <c r="E769" s="305"/>
      <c r="F769" s="305"/>
      <c r="G769" s="305"/>
      <c r="H769" s="306"/>
      <c r="I769" s="306"/>
      <c r="J769" s="306"/>
      <c r="K769" s="306"/>
      <c r="L769" s="306"/>
      <c r="M769" s="306"/>
      <c r="N769" s="306"/>
      <c r="O769" s="306"/>
      <c r="P769" s="306"/>
      <c r="Q769" s="306"/>
      <c r="R769" s="306"/>
      <c r="S769" s="306"/>
      <c r="T769" s="306"/>
      <c r="U769" s="306"/>
      <c r="V769" s="306"/>
      <c r="W769" s="306"/>
      <c r="X769" s="306"/>
      <c r="Y769" s="306"/>
      <c r="Z769" s="306"/>
      <c r="AA769" s="306"/>
      <c r="AB769" s="306"/>
      <c r="AC769" s="306"/>
      <c r="AD769" s="306"/>
      <c r="AE769" s="306"/>
      <c r="AF769" s="306"/>
      <c r="AG769" s="306"/>
      <c r="AH769" s="306"/>
      <c r="AI769" s="306"/>
      <c r="AJ769" s="306"/>
      <c r="AK769" s="306"/>
      <c r="AL769" s="306"/>
      <c r="AM769" s="306"/>
      <c r="AN769" s="306"/>
      <c r="AO769" s="306"/>
      <c r="AP769" s="306"/>
      <c r="AQ769" s="306"/>
      <c r="AR769" s="306"/>
      <c r="AS769" s="306"/>
      <c r="AT769" s="306"/>
      <c r="AU769" s="306"/>
      <c r="AV769" s="306"/>
      <c r="AW769" s="306"/>
      <c r="AX769" s="306"/>
      <c r="AY769" s="306"/>
      <c r="AZ769" s="306"/>
      <c r="BA769" s="306"/>
      <c r="BB769" s="306"/>
      <c r="BC769" s="306"/>
      <c r="BD769" s="306"/>
      <c r="BE769" s="306"/>
      <c r="BF769" s="306"/>
      <c r="BG769" s="306"/>
      <c r="BH769" s="306"/>
      <c r="BI769" s="306"/>
      <c r="BJ769" s="306"/>
      <c r="BK769" s="306"/>
      <c r="BL769" s="307"/>
      <c r="BM769" s="306"/>
      <c r="BN769" s="306"/>
      <c r="BO769" s="306"/>
      <c r="BP769" s="306"/>
      <c r="BQ769" s="306"/>
      <c r="BR769" s="306"/>
      <c r="BS769" s="306"/>
      <c r="BT769" s="306"/>
      <c r="BU769" s="306"/>
      <c r="BV769" s="308"/>
      <c r="BW769" s="519"/>
    </row>
    <row r="770" spans="1:75" s="439" customFormat="1">
      <c r="A770" s="42"/>
      <c r="B770" s="518"/>
      <c r="C770" s="533"/>
      <c r="D770" s="533"/>
      <c r="E770" s="518"/>
      <c r="F770" s="518"/>
      <c r="G770" s="518"/>
      <c r="H770" s="518"/>
      <c r="I770" s="518"/>
      <c r="J770" s="518"/>
      <c r="K770" s="518"/>
      <c r="L770" s="518"/>
      <c r="M770" s="518"/>
      <c r="N770" s="518"/>
      <c r="O770" s="518"/>
      <c r="P770" s="518"/>
      <c r="Q770" s="518"/>
      <c r="R770" s="518"/>
      <c r="S770" s="518"/>
      <c r="T770" s="518"/>
      <c r="U770" s="518"/>
      <c r="V770" s="518"/>
      <c r="W770" s="518"/>
      <c r="X770" s="518"/>
      <c r="Y770" s="518"/>
      <c r="Z770" s="518"/>
      <c r="AA770" s="518"/>
      <c r="AB770" s="518"/>
      <c r="AC770" s="518"/>
      <c r="AD770" s="518"/>
      <c r="AE770" s="518"/>
      <c r="AF770" s="518"/>
      <c r="AG770" s="518"/>
      <c r="AH770" s="518"/>
      <c r="AI770" s="518"/>
      <c r="AJ770" s="518"/>
      <c r="AK770" s="518"/>
      <c r="AL770" s="518"/>
      <c r="AM770" s="518"/>
      <c r="AN770" s="518"/>
      <c r="AO770" s="518"/>
      <c r="AP770" s="518"/>
      <c r="AQ770" s="518"/>
      <c r="AR770" s="518"/>
      <c r="AS770" s="518"/>
      <c r="AT770" s="518"/>
      <c r="AU770" s="518"/>
      <c r="AV770" s="518"/>
      <c r="AW770" s="518"/>
      <c r="AX770" s="518"/>
      <c r="AY770" s="518"/>
      <c r="AZ770" s="518"/>
      <c r="BA770" s="518"/>
      <c r="BB770" s="518"/>
      <c r="BC770" s="518"/>
      <c r="BD770" s="518"/>
      <c r="BE770" s="518"/>
      <c r="BF770" s="518"/>
      <c r="BG770" s="518"/>
      <c r="BH770" s="518"/>
      <c r="BI770" s="518"/>
      <c r="BJ770" s="518"/>
      <c r="BK770" s="518"/>
      <c r="BL770" s="520"/>
      <c r="BM770" s="518"/>
      <c r="BN770" s="518"/>
      <c r="BO770" s="518"/>
      <c r="BP770" s="518"/>
      <c r="BQ770" s="518"/>
      <c r="BR770" s="518"/>
      <c r="BS770" s="518"/>
      <c r="BT770" s="518"/>
      <c r="BU770" s="518"/>
      <c r="BV770" s="518"/>
      <c r="BW770" s="519"/>
    </row>
    <row r="771" spans="1:75" s="439" customFormat="1">
      <c r="A771" s="120" t="s">
        <v>616</v>
      </c>
      <c r="B771" s="125"/>
      <c r="C771" s="518"/>
      <c r="D771" s="518"/>
      <c r="E771" s="518"/>
      <c r="F771" s="518"/>
      <c r="G771" s="518"/>
      <c r="H771" s="518"/>
      <c r="I771" s="518"/>
      <c r="J771" s="518"/>
      <c r="K771" s="518"/>
      <c r="L771" s="518"/>
      <c r="M771" s="518"/>
      <c r="N771" s="518"/>
      <c r="O771" s="518"/>
      <c r="P771" s="518"/>
      <c r="Q771" s="518"/>
      <c r="R771" s="518"/>
      <c r="S771" s="518"/>
      <c r="T771" s="518"/>
      <c r="U771" s="518"/>
      <c r="V771" s="518"/>
      <c r="W771" s="518"/>
      <c r="X771" s="518"/>
      <c r="Y771" s="518"/>
      <c r="Z771" s="518"/>
      <c r="AA771" s="518"/>
      <c r="AB771" s="518"/>
      <c r="AC771" s="518"/>
      <c r="AD771" s="518"/>
      <c r="AE771" s="518"/>
      <c r="AF771" s="518"/>
      <c r="AG771" s="518"/>
      <c r="AH771" s="518"/>
      <c r="AI771" s="518"/>
      <c r="AJ771" s="518"/>
      <c r="AK771" s="518"/>
      <c r="AL771" s="518"/>
      <c r="AM771" s="518"/>
      <c r="AN771" s="518"/>
      <c r="AO771" s="518"/>
      <c r="AP771" s="518"/>
      <c r="AQ771" s="518"/>
      <c r="AR771" s="518"/>
      <c r="AS771" s="518"/>
      <c r="AT771" s="518"/>
      <c r="AU771" s="518"/>
      <c r="AV771" s="518"/>
      <c r="AW771" s="518"/>
      <c r="AX771" s="518"/>
      <c r="AY771" s="518"/>
      <c r="AZ771" s="518"/>
      <c r="BA771" s="518"/>
      <c r="BB771" s="518"/>
      <c r="BC771" s="518"/>
      <c r="BD771" s="518"/>
      <c r="BE771" s="518"/>
      <c r="BF771" s="518"/>
      <c r="BG771" s="518"/>
      <c r="BH771" s="518"/>
      <c r="BI771" s="518"/>
      <c r="BJ771" s="518"/>
      <c r="BK771" s="518"/>
      <c r="BL771" s="520"/>
      <c r="BM771" s="518"/>
      <c r="BN771" s="518"/>
      <c r="BO771" s="518"/>
      <c r="BP771" s="518"/>
      <c r="BQ771" s="518"/>
      <c r="BR771" s="518"/>
      <c r="BS771" s="518"/>
      <c r="BT771" s="518"/>
      <c r="BU771" s="518"/>
      <c r="BV771" s="518"/>
      <c r="BW771" s="519"/>
    </row>
    <row r="772" spans="1:75" s="476" customFormat="1">
      <c r="A772" s="126" t="s">
        <v>617</v>
      </c>
      <c r="B772" s="127" t="e">
        <f>FP.LastPrice</f>
        <v>#REF!</v>
      </c>
      <c r="C772" s="127"/>
      <c r="D772" s="127"/>
      <c r="E772" s="127"/>
      <c r="F772" s="127"/>
      <c r="G772" s="127"/>
      <c r="H772" s="127"/>
      <c r="I772" s="127"/>
      <c r="J772" s="127"/>
      <c r="K772" s="127"/>
      <c r="L772" s="127"/>
      <c r="M772" s="127"/>
      <c r="N772" s="127"/>
      <c r="O772" s="127"/>
      <c r="P772" s="127"/>
      <c r="Q772" s="127"/>
      <c r="R772" s="127"/>
      <c r="S772" s="127"/>
      <c r="T772" s="127"/>
      <c r="U772" s="127"/>
      <c r="V772" s="127"/>
      <c r="W772" s="127"/>
      <c r="X772" s="127"/>
      <c r="Y772" s="127"/>
      <c r="Z772" s="127"/>
      <c r="AA772" s="127"/>
      <c r="AB772" s="127"/>
      <c r="AC772" s="127"/>
      <c r="AD772" s="127"/>
      <c r="AE772" s="127"/>
      <c r="AF772" s="127"/>
      <c r="AG772" s="127"/>
      <c r="AH772" s="127"/>
      <c r="AI772" s="127"/>
      <c r="AJ772" s="127"/>
      <c r="AK772" s="127"/>
      <c r="AL772" s="127"/>
      <c r="AM772" s="127"/>
      <c r="AN772" s="127"/>
      <c r="AO772" s="127"/>
      <c r="AP772" s="127"/>
      <c r="AQ772" s="127"/>
      <c r="AR772" s="127"/>
      <c r="AS772" s="127"/>
      <c r="AT772" s="127"/>
      <c r="AU772" s="127"/>
      <c r="AV772" s="127"/>
      <c r="AW772" s="127"/>
      <c r="AX772" s="127"/>
      <c r="AY772" s="127"/>
      <c r="AZ772" s="127"/>
      <c r="BA772" s="127"/>
      <c r="BB772" s="127"/>
      <c r="BC772" s="127"/>
      <c r="BD772" s="127"/>
      <c r="BE772" s="127"/>
      <c r="BF772" s="127"/>
      <c r="BG772" s="127"/>
      <c r="BH772" s="127"/>
      <c r="BI772" s="127"/>
      <c r="BJ772" s="127"/>
      <c r="BK772" s="127"/>
      <c r="BL772" s="169"/>
      <c r="BM772" s="127"/>
      <c r="BN772" s="127"/>
      <c r="BO772" s="127"/>
      <c r="BP772" s="127"/>
      <c r="BQ772" s="127"/>
      <c r="BR772" s="127"/>
      <c r="BS772" s="127"/>
      <c r="BT772" s="127"/>
      <c r="BU772" s="127"/>
      <c r="BV772" s="127"/>
      <c r="BW772" s="128"/>
    </row>
    <row r="773" spans="1:75">
      <c r="A773" s="31" t="s">
        <v>618</v>
      </c>
      <c r="B773" s="285" t="e">
        <f>FP.LastPriceDate</f>
        <v>#REF!</v>
      </c>
      <c r="C773" s="87"/>
      <c r="D773" s="87"/>
      <c r="E773" s="87"/>
      <c r="F773" s="87"/>
      <c r="G773" s="87"/>
      <c r="H773" s="87"/>
      <c r="I773" s="87"/>
      <c r="J773" s="87"/>
      <c r="K773" s="87"/>
      <c r="L773" s="87"/>
      <c r="M773" s="87"/>
      <c r="N773" s="87"/>
      <c r="O773" s="87"/>
      <c r="P773" s="87"/>
      <c r="Q773" s="87"/>
      <c r="R773" s="87"/>
      <c r="S773" s="87"/>
      <c r="T773" s="87"/>
      <c r="U773" s="87"/>
      <c r="V773" s="87"/>
      <c r="W773" s="87"/>
      <c r="X773" s="87"/>
      <c r="Y773" s="87"/>
      <c r="Z773" s="87"/>
      <c r="AA773" s="87"/>
      <c r="AB773" s="87"/>
      <c r="AC773" s="87"/>
      <c r="AD773" s="87"/>
      <c r="AE773" s="87"/>
      <c r="AF773" s="87"/>
      <c r="AG773" s="87"/>
      <c r="AH773" s="87"/>
      <c r="AI773" s="87"/>
      <c r="AJ773" s="87"/>
      <c r="AK773" s="87"/>
      <c r="AL773" s="87"/>
      <c r="AM773" s="87"/>
      <c r="AN773" s="87"/>
      <c r="AO773" s="87"/>
      <c r="AP773" s="87"/>
      <c r="AQ773" s="87"/>
      <c r="AR773" s="87"/>
      <c r="AS773" s="87"/>
      <c r="AT773" s="87"/>
      <c r="AU773" s="87"/>
      <c r="AV773" s="87"/>
      <c r="AW773" s="87"/>
      <c r="AX773" s="87"/>
      <c r="AY773" s="87"/>
      <c r="AZ773" s="87"/>
      <c r="BA773" s="87"/>
      <c r="BB773" s="87"/>
      <c r="BC773" s="87"/>
      <c r="BD773" s="87"/>
      <c r="BE773" s="87"/>
      <c r="BF773" s="87"/>
      <c r="BG773" s="87"/>
      <c r="BH773" s="87"/>
      <c r="BI773" s="87"/>
      <c r="BJ773" s="87"/>
      <c r="BK773" s="87"/>
      <c r="BL773" s="241"/>
      <c r="BM773" s="87"/>
      <c r="BN773" s="87"/>
      <c r="BO773" s="87"/>
      <c r="BP773" s="87"/>
      <c r="BQ773" s="87"/>
      <c r="BR773" s="87"/>
      <c r="BS773" s="87"/>
      <c r="BT773" s="87"/>
      <c r="BU773" s="87"/>
      <c r="BV773" s="87"/>
      <c r="BW773" s="129"/>
    </row>
    <row r="774" spans="1:75">
      <c r="A774" s="31" t="s">
        <v>619</v>
      </c>
      <c r="B774" s="87" t="e">
        <f>IF(FP.RealTimeToggle="ON",TRUE,FALSE)</f>
        <v>#REF!</v>
      </c>
      <c r="C774" s="87"/>
      <c r="D774" s="87"/>
      <c r="E774" s="87"/>
      <c r="F774" s="87"/>
      <c r="G774" s="87"/>
      <c r="H774" s="87"/>
      <c r="I774" s="87"/>
      <c r="J774" s="87"/>
      <c r="K774" s="87"/>
      <c r="L774" s="87"/>
      <c r="M774" s="87"/>
      <c r="N774" s="87"/>
      <c r="O774" s="87"/>
      <c r="P774" s="87"/>
      <c r="Q774" s="87"/>
      <c r="R774" s="87"/>
      <c r="S774" s="87"/>
      <c r="T774" s="87"/>
      <c r="U774" s="87"/>
      <c r="V774" s="87"/>
      <c r="W774" s="87"/>
      <c r="X774" s="87"/>
      <c r="Y774" s="87"/>
      <c r="Z774" s="87"/>
      <c r="AA774" s="87"/>
      <c r="AB774" s="87"/>
      <c r="AC774" s="87"/>
      <c r="AD774" s="87"/>
      <c r="AE774" s="87"/>
      <c r="AF774" s="87"/>
      <c r="AG774" s="87"/>
      <c r="AH774" s="87"/>
      <c r="AI774" s="87"/>
      <c r="AJ774" s="87"/>
      <c r="AK774" s="87"/>
      <c r="AL774" s="87"/>
      <c r="AM774" s="87"/>
      <c r="AN774" s="87"/>
      <c r="AO774" s="87"/>
      <c r="AP774" s="87"/>
      <c r="AQ774" s="87"/>
      <c r="AR774" s="87"/>
      <c r="AS774" s="87"/>
      <c r="AT774" s="87"/>
      <c r="AU774" s="87"/>
      <c r="AV774" s="87"/>
      <c r="AW774" s="87"/>
      <c r="AX774" s="87"/>
      <c r="AY774" s="87"/>
      <c r="AZ774" s="87"/>
      <c r="BA774" s="87"/>
      <c r="BB774" s="87"/>
      <c r="BC774" s="87"/>
      <c r="BD774" s="87"/>
      <c r="BE774" s="87"/>
      <c r="BF774" s="87"/>
      <c r="BG774" s="87"/>
      <c r="BH774" s="87"/>
      <c r="BI774" s="87"/>
      <c r="BJ774" s="87"/>
      <c r="BK774" s="87"/>
      <c r="BL774" s="241"/>
      <c r="BM774" s="87"/>
      <c r="BN774" s="87"/>
      <c r="BO774" s="87"/>
      <c r="BP774" s="87"/>
      <c r="BQ774" s="87"/>
      <c r="BR774" s="87"/>
      <c r="BS774" s="87"/>
      <c r="BT774" s="87"/>
      <c r="BU774" s="87"/>
      <c r="BV774" s="87"/>
      <c r="BW774" s="129"/>
    </row>
    <row r="775" spans="1:75" s="476" customFormat="1">
      <c r="A775" s="126" t="s">
        <v>620</v>
      </c>
      <c r="B775" s="127" t="str">
        <f>IFERROR(CHOOSE(MO.DataSourceIndex,_xll.BDP(MO.Ticker.Bloomberg&amp;" EQUITY","LAST_PRICE"),_xll.CIQ(MO.Ticker.CapIQ,"IQ_LASTSALEPRICE"),_xll.FDS(MO.Ticker.FactSet,"FG_PRICE(NOW)"),_xll.TR(MO.Ticker.Thomson,"TRDPRC_1")),"N/A")</f>
        <v>N/A</v>
      </c>
      <c r="C775" s="127"/>
      <c r="D775" s="127"/>
      <c r="E775" s="127"/>
      <c r="F775" s="127"/>
      <c r="G775" s="127"/>
      <c r="H775" s="127"/>
      <c r="I775" s="127"/>
      <c r="J775" s="127"/>
      <c r="K775" s="127"/>
      <c r="L775" s="127"/>
      <c r="M775" s="127"/>
      <c r="N775" s="127"/>
      <c r="O775" s="127"/>
      <c r="P775" s="127"/>
      <c r="Q775" s="127"/>
      <c r="R775" s="127"/>
      <c r="S775" s="127"/>
      <c r="T775" s="127"/>
      <c r="U775" s="127"/>
      <c r="V775" s="127"/>
      <c r="W775" s="127"/>
      <c r="X775" s="127"/>
      <c r="Y775" s="127"/>
      <c r="Z775" s="127"/>
      <c r="AA775" s="127"/>
      <c r="AB775" s="127"/>
      <c r="AC775" s="127"/>
      <c r="AD775" s="127"/>
      <c r="AE775" s="127"/>
      <c r="AF775" s="127"/>
      <c r="AG775" s="127"/>
      <c r="AH775" s="127"/>
      <c r="AI775" s="127"/>
      <c r="AJ775" s="127"/>
      <c r="AK775" s="127"/>
      <c r="AL775" s="127"/>
      <c r="AM775" s="127"/>
      <c r="AN775" s="127"/>
      <c r="AO775" s="127"/>
      <c r="AP775" s="127"/>
      <c r="AQ775" s="127"/>
      <c r="AR775" s="127"/>
      <c r="AS775" s="127"/>
      <c r="AT775" s="127"/>
      <c r="AU775" s="127"/>
      <c r="AV775" s="127"/>
      <c r="AW775" s="127"/>
      <c r="AX775" s="127"/>
      <c r="AY775" s="127"/>
      <c r="AZ775" s="127"/>
      <c r="BA775" s="127"/>
      <c r="BB775" s="127"/>
      <c r="BC775" s="127"/>
      <c r="BD775" s="127"/>
      <c r="BE775" s="127"/>
      <c r="BF775" s="127"/>
      <c r="BG775" s="127"/>
      <c r="BH775" s="127"/>
      <c r="BI775" s="127"/>
      <c r="BJ775" s="127"/>
      <c r="BK775" s="127"/>
      <c r="BL775" s="169"/>
      <c r="BM775" s="127"/>
      <c r="BN775" s="127"/>
      <c r="BO775" s="127"/>
      <c r="BP775" s="127"/>
      <c r="BQ775" s="127"/>
      <c r="BR775" s="127"/>
      <c r="BS775" s="127"/>
      <c r="BT775" s="127"/>
      <c r="BU775" s="127"/>
      <c r="BV775" s="127"/>
      <c r="BW775" s="128"/>
    </row>
    <row r="776" spans="1:75" s="476" customFormat="1">
      <c r="A776" s="126" t="s">
        <v>621</v>
      </c>
      <c r="B776" s="127" t="b">
        <f>OR(AND(OR(EXACT(HP.TradeCurrency.HardCoded,"GBp"),EXACT(HP.TradeCurrency.HardCoded,"GBX")),EXACT(HP.ReportCurrency,"GBP")),AND(OR(EXACT(HP.TradeCurrency.HardCoded,"ZAc"),EXACT(HP.TradeCurrency.HardCoded,"ZAC")),EXACT(HP.ReportCurrency,"ZAR")))</f>
        <v>0</v>
      </c>
      <c r="C776" s="127"/>
      <c r="D776" s="127"/>
      <c r="E776" s="127"/>
      <c r="F776" s="127"/>
      <c r="G776" s="127"/>
      <c r="H776" s="127"/>
      <c r="I776" s="127"/>
      <c r="J776" s="127"/>
      <c r="K776" s="127"/>
      <c r="L776" s="127"/>
      <c r="M776" s="127"/>
      <c r="N776" s="127"/>
      <c r="O776" s="127"/>
      <c r="P776" s="127"/>
      <c r="Q776" s="127"/>
      <c r="R776" s="127"/>
      <c r="S776" s="127"/>
      <c r="T776" s="127"/>
      <c r="U776" s="127"/>
      <c r="V776" s="127"/>
      <c r="W776" s="127"/>
      <c r="X776" s="127"/>
      <c r="Y776" s="127"/>
      <c r="Z776" s="127"/>
      <c r="AA776" s="127"/>
      <c r="AB776" s="127"/>
      <c r="AC776" s="127"/>
      <c r="AD776" s="127"/>
      <c r="AE776" s="127"/>
      <c r="AF776" s="127"/>
      <c r="AG776" s="127"/>
      <c r="AH776" s="127"/>
      <c r="AI776" s="127"/>
      <c r="AJ776" s="127"/>
      <c r="AK776" s="127"/>
      <c r="AL776" s="127"/>
      <c r="AM776" s="127"/>
      <c r="AN776" s="127"/>
      <c r="AO776" s="127"/>
      <c r="AP776" s="127"/>
      <c r="AQ776" s="127"/>
      <c r="AR776" s="127"/>
      <c r="AS776" s="127"/>
      <c r="AT776" s="127"/>
      <c r="AU776" s="127"/>
      <c r="AV776" s="127"/>
      <c r="AW776" s="127"/>
      <c r="AX776" s="127"/>
      <c r="AY776" s="127"/>
      <c r="AZ776" s="127"/>
      <c r="BA776" s="127"/>
      <c r="BB776" s="127"/>
      <c r="BC776" s="127"/>
      <c r="BD776" s="127"/>
      <c r="BE776" s="127"/>
      <c r="BF776" s="127"/>
      <c r="BG776" s="127"/>
      <c r="BH776" s="127"/>
      <c r="BI776" s="127"/>
      <c r="BJ776" s="127"/>
      <c r="BK776" s="127"/>
      <c r="BL776" s="169"/>
      <c r="BM776" s="127"/>
      <c r="BN776" s="127"/>
      <c r="BO776" s="127"/>
      <c r="BP776" s="127"/>
      <c r="BQ776" s="127"/>
      <c r="BR776" s="127"/>
      <c r="BS776" s="127"/>
      <c r="BT776" s="127"/>
      <c r="BU776" s="127"/>
      <c r="BV776" s="127"/>
      <c r="BW776" s="128"/>
    </row>
    <row r="777" spans="1:75" s="476" customFormat="1">
      <c r="A777" s="126" t="s">
        <v>622</v>
      </c>
      <c r="B777" s="127" t="str">
        <f>IFERROR(CHOOSE(MO.DataSourceIndex,_xll.BDP(HP.Ticker&amp;" Equity","CRNCY"),_xll.CIQ(HP.Ticker,"IQ_TRADING_CURRENCY"),_xll.FDS(HP.Ticker,"P_CURRENCY(""ISO"")"),_xll.TR(HP.Ticker,"Currency")),HP.TradeCurrency.HardCoded)</f>
        <v>USD</v>
      </c>
      <c r="C777" s="127"/>
      <c r="D777" s="127"/>
      <c r="E777" s="127"/>
      <c r="F777" s="127"/>
      <c r="G777" s="127"/>
      <c r="H777" s="127"/>
      <c r="I777" s="127"/>
      <c r="J777" s="127"/>
      <c r="K777" s="127"/>
      <c r="L777" s="127"/>
      <c r="M777" s="127"/>
      <c r="N777" s="127"/>
      <c r="O777" s="127"/>
      <c r="P777" s="127"/>
      <c r="Q777" s="127"/>
      <c r="R777" s="127"/>
      <c r="S777" s="127"/>
      <c r="T777" s="127"/>
      <c r="U777" s="127"/>
      <c r="V777" s="127"/>
      <c r="W777" s="127"/>
      <c r="X777" s="127"/>
      <c r="Y777" s="127"/>
      <c r="Z777" s="127"/>
      <c r="AA777" s="127"/>
      <c r="AB777" s="127"/>
      <c r="AC777" s="127"/>
      <c r="AD777" s="127"/>
      <c r="AE777" s="127"/>
      <c r="AF777" s="127"/>
      <c r="AG777" s="127"/>
      <c r="AH777" s="127"/>
      <c r="AI777" s="127"/>
      <c r="AJ777" s="127"/>
      <c r="AK777" s="127"/>
      <c r="AL777" s="127"/>
      <c r="AM777" s="127"/>
      <c r="AN777" s="127"/>
      <c r="AO777" s="127"/>
      <c r="AP777" s="127"/>
      <c r="AQ777" s="127"/>
      <c r="AR777" s="127"/>
      <c r="AS777" s="127"/>
      <c r="AT777" s="127"/>
      <c r="AU777" s="127"/>
      <c r="AV777" s="127"/>
      <c r="AW777" s="127"/>
      <c r="AX777" s="127"/>
      <c r="AY777" s="127"/>
      <c r="AZ777" s="127"/>
      <c r="BA777" s="127"/>
      <c r="BB777" s="127"/>
      <c r="BC777" s="127"/>
      <c r="BD777" s="127"/>
      <c r="BE777" s="127"/>
      <c r="BF777" s="127"/>
      <c r="BG777" s="127"/>
      <c r="BH777" s="127"/>
      <c r="BI777" s="127"/>
      <c r="BJ777" s="127"/>
      <c r="BK777" s="127"/>
      <c r="BL777" s="169"/>
      <c r="BM777" s="127"/>
      <c r="BN777" s="127"/>
      <c r="BO777" s="127"/>
      <c r="BP777" s="127"/>
      <c r="BQ777" s="127"/>
      <c r="BR777" s="127"/>
      <c r="BS777" s="127"/>
      <c r="BT777" s="127"/>
      <c r="BU777" s="127"/>
      <c r="BV777" s="127"/>
      <c r="BW777" s="128"/>
    </row>
    <row r="778" spans="1:75" s="476" customFormat="1">
      <c r="A778" s="126" t="s">
        <v>623</v>
      </c>
      <c r="B778" s="655" t="s">
        <v>624</v>
      </c>
      <c r="C778" s="127"/>
      <c r="D778" s="127"/>
      <c r="E778" s="127"/>
      <c r="F778" s="127"/>
      <c r="G778" s="127"/>
      <c r="H778" s="127"/>
      <c r="I778" s="127"/>
      <c r="J778" s="127"/>
      <c r="K778" s="127"/>
      <c r="L778" s="127"/>
      <c r="M778" s="127"/>
      <c r="N778" s="127"/>
      <c r="O778" s="127"/>
      <c r="P778" s="127"/>
      <c r="Q778" s="127"/>
      <c r="R778" s="127"/>
      <c r="S778" s="127"/>
      <c r="T778" s="127"/>
      <c r="U778" s="127"/>
      <c r="V778" s="127"/>
      <c r="W778" s="127"/>
      <c r="X778" s="127"/>
      <c r="Y778" s="127"/>
      <c r="Z778" s="127"/>
      <c r="AA778" s="127"/>
      <c r="AB778" s="127"/>
      <c r="AC778" s="127"/>
      <c r="AD778" s="127"/>
      <c r="AE778" s="127"/>
      <c r="AF778" s="127"/>
      <c r="AG778" s="127"/>
      <c r="AH778" s="127"/>
      <c r="AI778" s="127"/>
      <c r="AJ778" s="127"/>
      <c r="AK778" s="127"/>
      <c r="AL778" s="127"/>
      <c r="AM778" s="127"/>
      <c r="AN778" s="127"/>
      <c r="AO778" s="127"/>
      <c r="AP778" s="127"/>
      <c r="AQ778" s="127"/>
      <c r="AR778" s="127"/>
      <c r="AS778" s="127"/>
      <c r="AT778" s="127"/>
      <c r="AU778" s="127"/>
      <c r="AV778" s="127"/>
      <c r="AW778" s="127"/>
      <c r="AX778" s="127"/>
      <c r="AY778" s="127"/>
      <c r="AZ778" s="127"/>
      <c r="BA778" s="127"/>
      <c r="BB778" s="127"/>
      <c r="BC778" s="127"/>
      <c r="BD778" s="127"/>
      <c r="BE778" s="127"/>
      <c r="BF778" s="127"/>
      <c r="BG778" s="127"/>
      <c r="BH778" s="127"/>
      <c r="BI778" s="127"/>
      <c r="BJ778" s="127"/>
      <c r="BK778" s="127"/>
      <c r="BL778" s="169"/>
      <c r="BM778" s="127"/>
      <c r="BN778" s="127"/>
      <c r="BO778" s="127"/>
      <c r="BP778" s="127"/>
      <c r="BQ778" s="127"/>
      <c r="BR778" s="127"/>
      <c r="BS778" s="127"/>
      <c r="BT778" s="127"/>
      <c r="BU778" s="127"/>
      <c r="BV778" s="127"/>
      <c r="BW778" s="128"/>
    </row>
    <row r="779" spans="1:75" s="476" customFormat="1">
      <c r="A779" s="126" t="s">
        <v>625</v>
      </c>
      <c r="B779" s="655" t="s">
        <v>624</v>
      </c>
      <c r="C779" s="127"/>
      <c r="D779" s="127"/>
      <c r="E779" s="127"/>
      <c r="F779" s="127"/>
      <c r="G779" s="127"/>
      <c r="H779" s="127"/>
      <c r="I779" s="127"/>
      <c r="J779" s="127"/>
      <c r="K779" s="127"/>
      <c r="L779" s="127"/>
      <c r="M779" s="127"/>
      <c r="N779" s="127"/>
      <c r="O779" s="127"/>
      <c r="P779" s="127"/>
      <c r="Q779" s="127"/>
      <c r="R779" s="127"/>
      <c r="S779" s="127"/>
      <c r="T779" s="127"/>
      <c r="U779" s="127"/>
      <c r="V779" s="127"/>
      <c r="W779" s="127"/>
      <c r="X779" s="127"/>
      <c r="Y779" s="127"/>
      <c r="Z779" s="127"/>
      <c r="AA779" s="127"/>
      <c r="AB779" s="127"/>
      <c r="AC779" s="127"/>
      <c r="AD779" s="127"/>
      <c r="AE779" s="127"/>
      <c r="AF779" s="127"/>
      <c r="AG779" s="127"/>
      <c r="AH779" s="127"/>
      <c r="AI779" s="127"/>
      <c r="AJ779" s="127"/>
      <c r="AK779" s="127"/>
      <c r="AL779" s="127"/>
      <c r="AM779" s="127"/>
      <c r="AN779" s="127"/>
      <c r="AO779" s="127"/>
      <c r="AP779" s="127"/>
      <c r="AQ779" s="127"/>
      <c r="AR779" s="127"/>
      <c r="AS779" s="127"/>
      <c r="AT779" s="127"/>
      <c r="AU779" s="127"/>
      <c r="AV779" s="127"/>
      <c r="AW779" s="127"/>
      <c r="AX779" s="127"/>
      <c r="AY779" s="127"/>
      <c r="AZ779" s="127"/>
      <c r="BA779" s="127"/>
      <c r="BB779" s="127"/>
      <c r="BC779" s="127"/>
      <c r="BD779" s="127"/>
      <c r="BE779" s="127"/>
      <c r="BF779" s="127"/>
      <c r="BG779" s="127"/>
      <c r="BH779" s="127"/>
      <c r="BI779" s="127"/>
      <c r="BJ779" s="127"/>
      <c r="BK779" s="127"/>
      <c r="BL779" s="169"/>
      <c r="BM779" s="127"/>
      <c r="BN779" s="127"/>
      <c r="BO779" s="127"/>
      <c r="BP779" s="127"/>
      <c r="BQ779" s="127"/>
      <c r="BR779" s="127"/>
      <c r="BS779" s="127"/>
      <c r="BT779" s="127"/>
      <c r="BU779" s="127"/>
      <c r="BV779" s="127"/>
      <c r="BW779" s="128"/>
    </row>
    <row r="780" spans="1:75" s="476" customFormat="1">
      <c r="A780" s="126" t="s">
        <v>626</v>
      </c>
      <c r="B780" s="231">
        <f>IF(EXACT(MO.ReportFX,HP.TradeCurrency),1,IF(OR(INDEX(MO_SPT_FXAverage,1,MO.MRFPColumnNumber+1)="N/A",ISERROR(INDEX(MO_SPT_FXAverage,1,MO.MRFPColumnNumber+1))),MO.MRFX.Hardcoded,INDEX(MO_SPT_FXAverage,1,MO.MRFPColumnNumber+1)))</f>
        <v>1</v>
      </c>
      <c r="C780" s="127"/>
      <c r="D780" s="127"/>
      <c r="E780" s="127"/>
      <c r="F780" s="127"/>
      <c r="G780" s="127"/>
      <c r="H780" s="127"/>
      <c r="I780" s="127"/>
      <c r="J780" s="127"/>
      <c r="K780" s="127"/>
      <c r="L780" s="127"/>
      <c r="M780" s="127"/>
      <c r="N780" s="127"/>
      <c r="O780" s="127"/>
      <c r="P780" s="127"/>
      <c r="Q780" s="127"/>
      <c r="R780" s="127"/>
      <c r="S780" s="127"/>
      <c r="T780" s="127"/>
      <c r="U780" s="127"/>
      <c r="V780" s="127"/>
      <c r="W780" s="127"/>
      <c r="X780" s="127"/>
      <c r="Y780" s="127"/>
      <c r="Z780" s="127"/>
      <c r="AA780" s="127"/>
      <c r="AB780" s="127"/>
      <c r="AC780" s="127"/>
      <c r="AD780" s="127"/>
      <c r="AE780" s="127"/>
      <c r="AF780" s="127"/>
      <c r="AG780" s="127"/>
      <c r="AH780" s="127"/>
      <c r="AI780" s="127"/>
      <c r="AJ780" s="127"/>
      <c r="AK780" s="127"/>
      <c r="AL780" s="127"/>
      <c r="AM780" s="127"/>
      <c r="AN780" s="127"/>
      <c r="AO780" s="127"/>
      <c r="AP780" s="127"/>
      <c r="AQ780" s="127"/>
      <c r="AR780" s="127"/>
      <c r="AS780" s="127"/>
      <c r="AT780" s="127"/>
      <c r="AU780" s="127"/>
      <c r="AV780" s="127"/>
      <c r="AW780" s="127"/>
      <c r="AX780" s="127"/>
      <c r="AY780" s="127"/>
      <c r="AZ780" s="127"/>
      <c r="BA780" s="127"/>
      <c r="BB780" s="127"/>
      <c r="BC780" s="127"/>
      <c r="BD780" s="127"/>
      <c r="BE780" s="127"/>
      <c r="BF780" s="127"/>
      <c r="BG780" s="127"/>
      <c r="BH780" s="127"/>
      <c r="BI780" s="127"/>
      <c r="BJ780" s="127"/>
      <c r="BK780" s="127"/>
      <c r="BL780" s="169"/>
      <c r="BM780" s="127"/>
      <c r="BN780" s="127"/>
      <c r="BO780" s="127"/>
      <c r="BP780" s="127"/>
      <c r="BQ780" s="127"/>
      <c r="BR780" s="127"/>
      <c r="BS780" s="127"/>
      <c r="BT780" s="127"/>
      <c r="BU780" s="127"/>
      <c r="BV780" s="127"/>
      <c r="BW780" s="128"/>
    </row>
    <row r="781" spans="1:75" s="476" customFormat="1">
      <c r="A781" s="126" t="s">
        <v>627</v>
      </c>
      <c r="B781" s="658">
        <v>1</v>
      </c>
      <c r="C781" s="127"/>
      <c r="D781" s="127"/>
      <c r="E781" s="127"/>
      <c r="F781" s="127"/>
      <c r="G781" s="127"/>
      <c r="H781" s="127"/>
      <c r="I781" s="127"/>
      <c r="J781" s="127"/>
      <c r="K781" s="127"/>
      <c r="L781" s="127"/>
      <c r="M781" s="127"/>
      <c r="N781" s="127"/>
      <c r="O781" s="127"/>
      <c r="P781" s="127"/>
      <c r="Q781" s="127"/>
      <c r="R781" s="127"/>
      <c r="S781" s="127"/>
      <c r="T781" s="127"/>
      <c r="U781" s="127"/>
      <c r="V781" s="127"/>
      <c r="W781" s="127"/>
      <c r="X781" s="127"/>
      <c r="Y781" s="127"/>
      <c r="Z781" s="127"/>
      <c r="AA781" s="127"/>
      <c r="AB781" s="127"/>
      <c r="AC781" s="127"/>
      <c r="AD781" s="127"/>
      <c r="AE781" s="127"/>
      <c r="AF781" s="127"/>
      <c r="AG781" s="127"/>
      <c r="AH781" s="127"/>
      <c r="AI781" s="127"/>
      <c r="AJ781" s="127"/>
      <c r="AK781" s="127"/>
      <c r="AL781" s="127"/>
      <c r="AM781" s="127"/>
      <c r="AN781" s="127"/>
      <c r="AO781" s="127"/>
      <c r="AP781" s="127"/>
      <c r="AQ781" s="127"/>
      <c r="AR781" s="127"/>
      <c r="AS781" s="127"/>
      <c r="AT781" s="127"/>
      <c r="AU781" s="127"/>
      <c r="AV781" s="127"/>
      <c r="AW781" s="127"/>
      <c r="AX781" s="127"/>
      <c r="AY781" s="127"/>
      <c r="AZ781" s="127"/>
      <c r="BA781" s="127"/>
      <c r="BB781" s="127"/>
      <c r="BC781" s="127"/>
      <c r="BD781" s="127"/>
      <c r="BE781" s="127"/>
      <c r="BF781" s="127"/>
      <c r="BG781" s="127"/>
      <c r="BH781" s="127"/>
      <c r="BI781" s="127"/>
      <c r="BJ781" s="127"/>
      <c r="BK781" s="127"/>
      <c r="BL781" s="169"/>
      <c r="BM781" s="127"/>
      <c r="BN781" s="127"/>
      <c r="BO781" s="127"/>
      <c r="BP781" s="127"/>
      <c r="BQ781" s="127"/>
      <c r="BR781" s="127"/>
      <c r="BS781" s="127"/>
      <c r="BT781" s="127"/>
      <c r="BU781" s="127"/>
      <c r="BV781" s="127"/>
      <c r="BW781" s="128"/>
    </row>
    <row r="782" spans="1:75" s="446" customFormat="1">
      <c r="A782" s="130" t="s">
        <v>628</v>
      </c>
      <c r="B782" s="43">
        <f>MATCH(MO.MRFP,MO_Common_ColumnHeader,0)</f>
        <v>64</v>
      </c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  <c r="AB782" s="43"/>
      <c r="AC782" s="43"/>
      <c r="AD782" s="43"/>
      <c r="AE782" s="43"/>
      <c r="AF782" s="43"/>
      <c r="AG782" s="43"/>
      <c r="AH782" s="43"/>
      <c r="AI782" s="43"/>
      <c r="AJ782" s="43"/>
      <c r="AK782" s="43"/>
      <c r="AL782" s="43"/>
      <c r="AM782" s="43"/>
      <c r="AN782" s="43"/>
      <c r="AO782" s="43"/>
      <c r="AP782" s="43"/>
      <c r="AQ782" s="43"/>
      <c r="AR782" s="43"/>
      <c r="AS782" s="43"/>
      <c r="AT782" s="43"/>
      <c r="AU782" s="43"/>
      <c r="AV782" s="43"/>
      <c r="AW782" s="43"/>
      <c r="AX782" s="43"/>
      <c r="AY782" s="43"/>
      <c r="AZ782" s="43"/>
      <c r="BA782" s="43"/>
      <c r="BB782" s="43"/>
      <c r="BC782" s="43"/>
      <c r="BD782" s="43"/>
      <c r="BE782" s="43"/>
      <c r="BF782" s="43"/>
      <c r="BG782" s="43"/>
      <c r="BH782" s="43"/>
      <c r="BI782" s="43"/>
      <c r="BJ782" s="43"/>
      <c r="BK782" s="43"/>
      <c r="BL782" s="207"/>
      <c r="BM782" s="43"/>
      <c r="BN782" s="43"/>
      <c r="BO782" s="43"/>
      <c r="BP782" s="43"/>
      <c r="BQ782" s="43"/>
      <c r="BR782" s="43"/>
      <c r="BS782" s="43"/>
      <c r="BT782" s="43"/>
      <c r="BU782" s="43"/>
      <c r="BV782" s="43"/>
      <c r="BW782" s="124"/>
    </row>
    <row r="783" spans="1:75" s="446" customFormat="1">
      <c r="A783" s="130" t="s">
        <v>629</v>
      </c>
      <c r="B783" s="613" t="s">
        <v>630</v>
      </c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  <c r="AB783" s="43"/>
      <c r="AC783" s="43"/>
      <c r="AD783" s="43"/>
      <c r="AE783" s="43"/>
      <c r="AF783" s="43"/>
      <c r="AG783" s="43"/>
      <c r="AH783" s="43"/>
      <c r="AI783" s="43"/>
      <c r="AJ783" s="43"/>
      <c r="AK783" s="43"/>
      <c r="AL783" s="43"/>
      <c r="AM783" s="43"/>
      <c r="AN783" s="43"/>
      <c r="AO783" s="43"/>
      <c r="AP783" s="43"/>
      <c r="AQ783" s="43"/>
      <c r="AR783" s="43"/>
      <c r="AS783" s="43"/>
      <c r="AT783" s="43"/>
      <c r="AU783" s="43"/>
      <c r="AV783" s="43"/>
      <c r="AW783" s="43"/>
      <c r="AX783" s="43"/>
      <c r="AY783" s="43"/>
      <c r="AZ783" s="43"/>
      <c r="BA783" s="43"/>
      <c r="BB783" s="43"/>
      <c r="BC783" s="43"/>
      <c r="BD783" s="43"/>
      <c r="BE783" s="43"/>
      <c r="BF783" s="43"/>
      <c r="BG783" s="43"/>
      <c r="BH783" s="43"/>
      <c r="BI783" s="43"/>
      <c r="BJ783" s="43"/>
      <c r="BK783" s="43"/>
      <c r="BL783" s="207"/>
      <c r="BM783" s="43"/>
      <c r="BN783" s="43"/>
      <c r="BO783" s="43"/>
      <c r="BP783" s="43"/>
      <c r="BQ783" s="43"/>
      <c r="BR783" s="43"/>
      <c r="BS783" s="43"/>
      <c r="BT783" s="43"/>
      <c r="BU783" s="43"/>
      <c r="BV783" s="43"/>
      <c r="BW783" s="124"/>
    </row>
    <row r="784" spans="1:75" s="446" customFormat="1">
      <c r="A784" s="130" t="s">
        <v>631</v>
      </c>
      <c r="B784" s="43" t="str">
        <f>"FY"&amp;RIGHT(MO.MRFP,4)</f>
        <v>FY2024</v>
      </c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  <c r="AB784" s="43"/>
      <c r="AC784" s="43"/>
      <c r="AD784" s="43"/>
      <c r="AE784" s="43"/>
      <c r="AF784" s="43"/>
      <c r="AG784" s="43"/>
      <c r="AH784" s="43"/>
      <c r="AI784" s="43"/>
      <c r="AJ784" s="43"/>
      <c r="AK784" s="43"/>
      <c r="AL784" s="43"/>
      <c r="AM784" s="43"/>
      <c r="AN784" s="43"/>
      <c r="AO784" s="43"/>
      <c r="AP784" s="43"/>
      <c r="AQ784" s="43"/>
      <c r="AR784" s="43"/>
      <c r="AS784" s="43"/>
      <c r="AT784" s="43"/>
      <c r="AU784" s="43"/>
      <c r="AV784" s="43"/>
      <c r="AW784" s="43"/>
      <c r="AX784" s="43"/>
      <c r="AY784" s="43"/>
      <c r="AZ784" s="43"/>
      <c r="BA784" s="43"/>
      <c r="BB784" s="43"/>
      <c r="BC784" s="43"/>
      <c r="BD784" s="43"/>
      <c r="BE784" s="43"/>
      <c r="BF784" s="43"/>
      <c r="BG784" s="43"/>
      <c r="BH784" s="43"/>
      <c r="BI784" s="43"/>
      <c r="BJ784" s="43"/>
      <c r="BK784" s="43"/>
      <c r="BL784" s="207"/>
      <c r="BM784" s="43"/>
      <c r="BN784" s="43"/>
      <c r="BO784" s="43"/>
      <c r="BP784" s="43"/>
      <c r="BQ784" s="43"/>
      <c r="BR784" s="43"/>
      <c r="BS784" s="43"/>
      <c r="BT784" s="43"/>
      <c r="BU784" s="43"/>
      <c r="BV784" s="43"/>
      <c r="BW784" s="124"/>
    </row>
    <row r="785" spans="1:75" s="446" customFormat="1">
      <c r="A785" s="130" t="s">
        <v>632</v>
      </c>
      <c r="B785" s="43" t="str">
        <f>"FY"&amp;RIGHT(MO.MRFP,4)+IF(LEFT(MO.MRFP,2)="FY",1,0)</f>
        <v>FY2024</v>
      </c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  <c r="AB785" s="43"/>
      <c r="AC785" s="43"/>
      <c r="AD785" s="43"/>
      <c r="AE785" s="43"/>
      <c r="AF785" s="43"/>
      <c r="AG785" s="43"/>
      <c r="AH785" s="43"/>
      <c r="AI785" s="43"/>
      <c r="AJ785" s="43"/>
      <c r="AK785" s="43"/>
      <c r="AL785" s="43"/>
      <c r="AM785" s="43"/>
      <c r="AN785" s="43"/>
      <c r="AO785" s="43"/>
      <c r="AP785" s="43"/>
      <c r="AQ785" s="43"/>
      <c r="AR785" s="43"/>
      <c r="AS785" s="43"/>
      <c r="AT785" s="43"/>
      <c r="AU785" s="43"/>
      <c r="AV785" s="43"/>
      <c r="AW785" s="43"/>
      <c r="AX785" s="43"/>
      <c r="AY785" s="43"/>
      <c r="AZ785" s="43"/>
      <c r="BA785" s="43"/>
      <c r="BB785" s="43"/>
      <c r="BC785" s="43"/>
      <c r="BD785" s="43"/>
      <c r="BE785" s="43"/>
      <c r="BF785" s="43"/>
      <c r="BG785" s="43"/>
      <c r="BH785" s="43"/>
      <c r="BI785" s="43"/>
      <c r="BJ785" s="43"/>
      <c r="BK785" s="43"/>
      <c r="BL785" s="207"/>
      <c r="BM785" s="43"/>
      <c r="BN785" s="43"/>
      <c r="BO785" s="43"/>
      <c r="BP785" s="43"/>
      <c r="BQ785" s="43"/>
      <c r="BR785" s="43"/>
      <c r="BS785" s="43"/>
      <c r="BT785" s="43"/>
      <c r="BU785" s="43"/>
      <c r="BV785" s="43"/>
      <c r="BW785" s="124"/>
    </row>
    <row r="786" spans="1:75" s="446" customFormat="1">
      <c r="A786" s="130" t="s">
        <v>633</v>
      </c>
      <c r="B786" s="43">
        <f>COUNTA(tb_KPIs)-1</f>
        <v>9</v>
      </c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  <c r="AB786" s="43"/>
      <c r="AC786" s="43"/>
      <c r="AD786" s="43"/>
      <c r="AE786" s="43"/>
      <c r="AF786" s="43"/>
      <c r="AG786" s="43"/>
      <c r="AH786" s="43"/>
      <c r="AI786" s="43"/>
      <c r="AJ786" s="43"/>
      <c r="AK786" s="43"/>
      <c r="AL786" s="43"/>
      <c r="AM786" s="43"/>
      <c r="AN786" s="43"/>
      <c r="AO786" s="43"/>
      <c r="AP786" s="43"/>
      <c r="AQ786" s="43"/>
      <c r="AR786" s="43"/>
      <c r="AS786" s="43"/>
      <c r="AT786" s="43"/>
      <c r="AU786" s="43"/>
      <c r="AV786" s="43"/>
      <c r="AW786" s="43"/>
      <c r="AX786" s="43"/>
      <c r="AY786" s="43"/>
      <c r="AZ786" s="43"/>
      <c r="BA786" s="43"/>
      <c r="BB786" s="43"/>
      <c r="BC786" s="43"/>
      <c r="BD786" s="43"/>
      <c r="BE786" s="43"/>
      <c r="BF786" s="43"/>
      <c r="BG786" s="43"/>
      <c r="BH786" s="43"/>
      <c r="BI786" s="43"/>
      <c r="BJ786" s="43"/>
      <c r="BK786" s="43"/>
      <c r="BL786" s="207"/>
      <c r="BM786" s="43"/>
      <c r="BN786" s="43"/>
      <c r="BO786" s="43"/>
      <c r="BP786" s="43"/>
      <c r="BQ786" s="43"/>
      <c r="BR786" s="43"/>
      <c r="BS786" s="43"/>
      <c r="BT786" s="43"/>
      <c r="BU786" s="43"/>
      <c r="BV786" s="43"/>
      <c r="BW786" s="124"/>
    </row>
    <row r="787" spans="1:75" s="446" customFormat="1">
      <c r="A787" s="131" t="s">
        <v>634</v>
      </c>
      <c r="B787" s="123" t="e">
        <f>IF(MO.DataSourceName="Bloomberg",1,IF(MO.DataSourceName="Capital IQ",2,IF(MO.DataSourceName="FactSet",3,IF(MO.DataSourceName="Refinitiv",4,1))))</f>
        <v>#REF!</v>
      </c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  <c r="AB787" s="43"/>
      <c r="AC787" s="43"/>
      <c r="AD787" s="43"/>
      <c r="AE787" s="43"/>
      <c r="AF787" s="43"/>
      <c r="AG787" s="43"/>
      <c r="AH787" s="43"/>
      <c r="AI787" s="43"/>
      <c r="AJ787" s="43"/>
      <c r="AK787" s="43"/>
      <c r="AL787" s="43"/>
      <c r="AM787" s="43"/>
      <c r="AN787" s="43"/>
      <c r="AO787" s="43"/>
      <c r="AP787" s="43"/>
      <c r="AQ787" s="43"/>
      <c r="AR787" s="43"/>
      <c r="AS787" s="43"/>
      <c r="AT787" s="43"/>
      <c r="AU787" s="43"/>
      <c r="AV787" s="43"/>
      <c r="AW787" s="43"/>
      <c r="AX787" s="43"/>
      <c r="AY787" s="43"/>
      <c r="AZ787" s="43"/>
      <c r="BA787" s="43"/>
      <c r="BB787" s="43"/>
      <c r="BC787" s="43"/>
      <c r="BD787" s="43"/>
      <c r="BE787" s="43"/>
      <c r="BF787" s="43"/>
      <c r="BG787" s="43"/>
      <c r="BH787" s="43"/>
      <c r="BI787" s="43"/>
      <c r="BJ787" s="43"/>
      <c r="BK787" s="43"/>
      <c r="BL787" s="207"/>
      <c r="BM787" s="43"/>
      <c r="BN787" s="43"/>
      <c r="BO787" s="43"/>
      <c r="BP787" s="43"/>
      <c r="BQ787" s="43"/>
      <c r="BR787" s="43"/>
      <c r="BS787" s="43"/>
      <c r="BT787" s="43"/>
      <c r="BU787" s="43"/>
      <c r="BV787" s="43"/>
      <c r="BW787" s="124"/>
    </row>
    <row r="788" spans="1:75">
      <c r="A788" s="87"/>
      <c r="B788" s="87"/>
      <c r="C788" s="87"/>
      <c r="D788" s="87"/>
      <c r="E788" s="87"/>
      <c r="F788" s="87"/>
      <c r="G788" s="87"/>
      <c r="H788" s="87"/>
      <c r="I788" s="87"/>
      <c r="J788" s="87"/>
      <c r="K788" s="87"/>
      <c r="L788" s="87"/>
      <c r="M788" s="87"/>
      <c r="N788" s="87"/>
      <c r="O788" s="87"/>
      <c r="P788" s="87"/>
      <c r="Q788" s="87"/>
      <c r="R788" s="87"/>
      <c r="S788" s="87"/>
      <c r="T788" s="87"/>
      <c r="U788" s="87"/>
      <c r="V788" s="87"/>
      <c r="W788" s="87"/>
      <c r="X788" s="87"/>
      <c r="Y788" s="87"/>
      <c r="Z788" s="87"/>
      <c r="AA788" s="87"/>
      <c r="AB788" s="87"/>
      <c r="AC788" s="87"/>
      <c r="AD788" s="87"/>
      <c r="AE788" s="87"/>
      <c r="AF788" s="87"/>
      <c r="AG788" s="87"/>
      <c r="AH788" s="87"/>
      <c r="AI788" s="87"/>
      <c r="AJ788" s="87"/>
      <c r="AK788" s="87"/>
      <c r="AL788" s="87"/>
      <c r="AM788" s="87"/>
      <c r="AN788" s="87"/>
      <c r="AO788" s="87"/>
      <c r="AP788" s="87"/>
      <c r="AQ788" s="87"/>
      <c r="AR788" s="87"/>
      <c r="AS788" s="87"/>
      <c r="AT788" s="87"/>
      <c r="AU788" s="87"/>
      <c r="AV788" s="87"/>
      <c r="AW788" s="87"/>
      <c r="AX788" s="87"/>
      <c r="AY788" s="87"/>
      <c r="AZ788" s="87"/>
      <c r="BA788" s="87"/>
      <c r="BB788" s="87"/>
      <c r="BC788" s="87"/>
      <c r="BD788" s="87"/>
      <c r="BE788" s="87"/>
      <c r="BF788" s="87"/>
      <c r="BG788" s="87"/>
      <c r="BH788" s="87"/>
      <c r="BI788" s="87"/>
      <c r="BJ788" s="87"/>
      <c r="BK788" s="87"/>
      <c r="BL788" s="241"/>
      <c r="BM788" s="87"/>
      <c r="BN788" s="87"/>
      <c r="BO788" s="87"/>
      <c r="BP788" s="87"/>
      <c r="BQ788" s="87"/>
      <c r="BR788" s="87"/>
      <c r="BS788" s="87"/>
      <c r="BT788" s="87"/>
      <c r="BU788" s="87"/>
      <c r="BV788" s="87"/>
      <c r="BW788" s="129"/>
    </row>
    <row r="789" spans="1:75">
      <c r="A789" s="230" t="s">
        <v>635</v>
      </c>
      <c r="B789" s="132"/>
      <c r="C789" s="132"/>
      <c r="D789" s="132"/>
      <c r="E789" s="132"/>
      <c r="F789" s="132"/>
      <c r="G789" s="132"/>
      <c r="H789" s="132"/>
      <c r="I789" s="132"/>
      <c r="J789" s="132"/>
      <c r="K789" s="132"/>
      <c r="L789" s="132"/>
      <c r="M789" s="132"/>
      <c r="N789" s="132"/>
      <c r="O789" s="132"/>
      <c r="P789" s="132"/>
      <c r="Q789" s="132"/>
      <c r="R789" s="132"/>
      <c r="S789" s="132"/>
      <c r="T789" s="132"/>
      <c r="U789" s="132"/>
      <c r="V789" s="132"/>
      <c r="W789" s="132"/>
      <c r="X789" s="132"/>
      <c r="Y789" s="132"/>
      <c r="Z789" s="132"/>
      <c r="AA789" s="132"/>
      <c r="AB789" s="132"/>
      <c r="AC789" s="132"/>
      <c r="AD789" s="132"/>
      <c r="AE789" s="132"/>
      <c r="AF789" s="132"/>
      <c r="AG789" s="132"/>
      <c r="AH789" s="132"/>
      <c r="AI789" s="132"/>
      <c r="AJ789" s="132"/>
      <c r="AK789" s="132"/>
      <c r="AL789" s="132"/>
      <c r="AM789" s="132"/>
      <c r="AN789" s="132"/>
      <c r="AO789" s="132"/>
      <c r="AP789" s="132"/>
      <c r="AQ789" s="132"/>
      <c r="AR789" s="132"/>
      <c r="AS789" s="132"/>
      <c r="AT789" s="132"/>
      <c r="AU789" s="132"/>
      <c r="AV789" s="132"/>
      <c r="AW789" s="132"/>
      <c r="AX789" s="132"/>
      <c r="AY789" s="132"/>
      <c r="AZ789" s="132"/>
      <c r="BA789" s="132"/>
      <c r="BB789" s="132"/>
      <c r="BC789" s="132"/>
      <c r="BD789" s="132"/>
      <c r="BE789" s="132"/>
      <c r="BF789" s="132"/>
      <c r="BG789" s="132"/>
      <c r="BH789" s="132"/>
      <c r="BI789" s="132"/>
      <c r="BJ789" s="132"/>
      <c r="BK789" s="132"/>
      <c r="BL789" s="132"/>
      <c r="BM789" s="132"/>
      <c r="BN789" s="132"/>
      <c r="BO789" s="132"/>
      <c r="BP789" s="132"/>
      <c r="BQ789" s="132"/>
      <c r="BR789" s="132"/>
      <c r="BS789" s="132"/>
      <c r="BT789" s="132"/>
      <c r="BU789" s="132"/>
      <c r="BV789" s="132"/>
      <c r="BW789" s="129"/>
    </row>
    <row r="790" spans="1:75">
      <c r="A790" s="87"/>
      <c r="B790" s="87"/>
      <c r="C790" s="87"/>
      <c r="D790" s="87"/>
      <c r="E790" s="87"/>
      <c r="F790" s="87"/>
      <c r="G790" s="87"/>
      <c r="H790" s="87"/>
      <c r="I790" s="87"/>
      <c r="J790" s="87"/>
      <c r="K790" s="87"/>
      <c r="L790" s="87"/>
      <c r="M790" s="87"/>
      <c r="N790" s="87"/>
      <c r="O790" s="87"/>
      <c r="P790" s="87"/>
      <c r="Q790" s="87"/>
      <c r="R790" s="87"/>
      <c r="S790" s="87"/>
      <c r="T790" s="87"/>
      <c r="U790" s="87"/>
      <c r="V790" s="87"/>
      <c r="W790" s="87"/>
      <c r="X790" s="87"/>
      <c r="Y790" s="87"/>
      <c r="Z790" s="87"/>
      <c r="AA790" s="87"/>
      <c r="AB790" s="129"/>
      <c r="AC790" s="129"/>
      <c r="AD790" s="129"/>
      <c r="AE790" s="129"/>
      <c r="AF790" s="129"/>
      <c r="AG790" s="129"/>
      <c r="AH790" s="129"/>
      <c r="AI790" s="129"/>
      <c r="AJ790" s="129"/>
      <c r="AK790" s="129"/>
      <c r="AL790" s="129"/>
      <c r="AM790" s="129"/>
      <c r="AN790" s="129"/>
      <c r="AO790" s="129"/>
      <c r="AP790" s="129"/>
      <c r="AQ790" s="129"/>
      <c r="AR790" s="129"/>
      <c r="AS790" s="129"/>
      <c r="AT790" s="129"/>
      <c r="AU790" s="129"/>
      <c r="AV790" s="129"/>
      <c r="AW790" s="129"/>
      <c r="AX790" s="129"/>
      <c r="AY790" s="129"/>
      <c r="AZ790" s="129"/>
      <c r="BA790" s="129"/>
      <c r="BB790" s="129"/>
      <c r="BC790" s="129"/>
      <c r="BD790" s="129"/>
      <c r="BE790" s="129"/>
      <c r="BF790" s="129"/>
      <c r="BG790" s="129"/>
      <c r="BH790" s="129"/>
      <c r="BI790" s="129"/>
      <c r="BJ790" s="129"/>
      <c r="BK790" s="129"/>
      <c r="BL790" s="129"/>
      <c r="BM790" s="129"/>
      <c r="BN790" s="129"/>
      <c r="BO790" s="129"/>
      <c r="BP790" s="129"/>
      <c r="BQ790" s="129"/>
      <c r="BR790" s="129"/>
      <c r="BS790" s="129"/>
      <c r="BT790" s="129"/>
      <c r="BU790" s="129"/>
      <c r="BV790" s="129"/>
      <c r="BW790" s="129"/>
    </row>
  </sheetData>
  <conditionalFormatting sqref="C177:AA177 AE177:BV177">
    <cfRule type="cellIs" dxfId="9" priority="1047" operator="notEqual">
      <formula>0</formula>
    </cfRule>
    <cfRule type="cellIs" dxfId="8" priority="1048" operator="equal">
      <formula>0</formula>
    </cfRule>
  </conditionalFormatting>
  <conditionalFormatting sqref="C655:AA655 AE655:BV655 C656:BV658 C659:X659 Z659:BV659 C660:BV666 C667:J667 L667:O667 Q667:Y667 AA667:AD667 AF667:BV667 C668:BV669 C670:J670 L670:O670 Q670:Y670 AA670:AD670 AF670:BV670 C671:BV675">
    <cfRule type="cellIs" dxfId="7" priority="1041" operator="notEqual">
      <formula>0</formula>
    </cfRule>
    <cfRule type="cellIs" dxfId="6" priority="1042" operator="equal">
      <formula>0</formula>
    </cfRule>
  </conditionalFormatting>
  <conditionalFormatting sqref="C571:BV571">
    <cfRule type="cellIs" dxfId="5" priority="1045" operator="notEqual">
      <formula>0</formula>
    </cfRule>
    <cfRule type="cellIs" dxfId="4" priority="1046" operator="equal">
      <formula>0</formula>
    </cfRule>
  </conditionalFormatting>
  <conditionalFormatting sqref="C652:BV652">
    <cfRule type="cellIs" dxfId="3" priority="1043" operator="notEqual">
      <formula>0</formula>
    </cfRule>
    <cfRule type="cellIs" dxfId="2" priority="1044" operator="equal">
      <formula>0</formula>
    </cfRule>
  </conditionalFormatting>
  <dataValidations disablePrompts="1" count="1">
    <dataValidation type="list" allowBlank="1" showInputMessage="1" showErrorMessage="1" sqref="B410" xr:uid="{00000000-0002-0000-0100-000000000000}">
      <formula1>OFFSET(tb_ValuationToggle,1,0,4,1)</formula1>
    </dataValidation>
  </dataValidations>
  <hyperlinks>
    <hyperlink ref="A1" r:id="rId1" xr:uid="{00000000-0004-0000-0100-000000000000}"/>
  </hyperlinks>
  <pageMargins left="0" right="0" top="0.39370078740157499" bottom="0" header="0.196850393700787" footer="0"/>
  <pageSetup scale="26" fitToHeight="0" orientation="landscape" r:id="rId2"/>
  <headerFooter>
    <oddHeader>&amp;CYelp Inc.&amp;RPage &amp;P</oddHeader>
  </headerFooter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0DFB3-47CB-4E2D-B44D-DD3D75390EEB}">
  <sheetPr codeName="Sheet3">
    <pageSetUpPr fitToPage="1"/>
  </sheetPr>
  <dimension ref="A1:BW173"/>
  <sheetViews>
    <sheetView workbookViewId="0">
      <pane xSplit="2" ySplit="2" topLeftCell="C76" activePane="bottomRight" state="frozen"/>
      <selection pane="bottomRight" activeCell="BN104" sqref="BN104"/>
      <selection pane="bottomLeft" activeCell="A3" sqref="A3"/>
      <selection pane="topRight" activeCell="C1" sqref="C1"/>
    </sheetView>
  </sheetViews>
  <sheetFormatPr defaultColWidth="9.28515625" defaultRowHeight="15" outlineLevelRow="1" outlineLevelCol="1"/>
  <cols>
    <col min="1" max="1" width="41.28515625" style="477" customWidth="1"/>
    <col min="2" max="2" width="9.7109375" style="477" customWidth="1"/>
    <col min="3" max="5" width="9.7109375" style="477" hidden="1" customWidth="1" outlineLevel="1"/>
    <col min="6" max="6" width="9.7109375" style="477" customWidth="1" collapsed="1"/>
    <col min="7" max="10" width="9.7109375" style="477" hidden="1" customWidth="1" outlineLevel="1"/>
    <col min="11" max="11" width="9.7109375" style="477" customWidth="1" collapsed="1"/>
    <col min="12" max="15" width="9.7109375" style="477" hidden="1" customWidth="1" outlineLevel="1"/>
    <col min="16" max="16" width="9.7109375" style="477" customWidth="1" collapsed="1"/>
    <col min="17" max="20" width="9.7109375" style="477" hidden="1" customWidth="1" outlineLevel="1"/>
    <col min="21" max="21" width="9.7109375" style="477" customWidth="1" collapsed="1"/>
    <col min="22" max="25" width="9.7109375" style="477" hidden="1" customWidth="1" outlineLevel="1"/>
    <col min="26" max="26" width="9.7109375" style="477" customWidth="1" collapsed="1"/>
    <col min="27" max="30" width="9.7109375" style="477" hidden="1" customWidth="1" outlineLevel="1"/>
    <col min="31" max="31" width="9.7109375" style="477" customWidth="1" collapsed="1"/>
    <col min="32" max="35" width="9.7109375" style="477" hidden="1" customWidth="1" outlineLevel="1"/>
    <col min="36" max="36" width="9.7109375" style="477" customWidth="1" collapsed="1"/>
    <col min="37" max="40" width="9.7109375" style="477" hidden="1" customWidth="1" outlineLevel="1"/>
    <col min="41" max="41" width="9.7109375" style="477" customWidth="1" collapsed="1"/>
    <col min="42" max="45" width="9.7109375" style="477" hidden="1" customWidth="1" outlineLevel="1"/>
    <col min="46" max="46" width="9.7109375" style="477" customWidth="1" collapsed="1"/>
    <col min="47" max="50" width="9.7109375" style="477" hidden="1" customWidth="1" outlineLevel="1"/>
    <col min="51" max="51" width="9.7109375" style="477" collapsed="1"/>
    <col min="52" max="54" width="9.7109375" style="477" hidden="1" customWidth="1" outlineLevel="1" collapsed="1"/>
    <col min="55" max="55" width="9.7109375" style="477" hidden="1" customWidth="1" outlineLevel="1"/>
    <col min="56" max="56" width="9.7109375" style="477" customWidth="1" collapsed="1"/>
    <col min="57" max="59" width="9.7109375" style="477" hidden="1" customWidth="1" outlineLevel="1" collapsed="1"/>
    <col min="60" max="60" width="9.7109375" style="477" hidden="1" customWidth="1" outlineLevel="1"/>
    <col min="61" max="61" width="9.7109375" style="477" customWidth="1" collapsed="1"/>
    <col min="62" max="64" width="9.7109375" style="477" customWidth="1" outlineLevel="1" collapsed="1"/>
    <col min="65" max="65" width="9.7109375" style="477" customWidth="1" outlineLevel="1"/>
    <col min="66" max="66" width="9.7109375" style="477" customWidth="1"/>
    <col min="67" max="69" width="9.7109375" style="477" hidden="1" customWidth="1" outlineLevel="1" collapsed="1"/>
    <col min="70" max="70" width="9.7109375" style="477" hidden="1" customWidth="1" outlineLevel="1"/>
    <col min="71" max="71" width="9.7109375" style="477" customWidth="1" collapsed="1"/>
    <col min="72" max="74" width="9.7109375" style="477" customWidth="1"/>
    <col min="75" max="75" width="8.7109375" style="477" customWidth="1"/>
    <col min="76" max="80" width="9.28515625" style="477" customWidth="1"/>
    <col min="81" max="16384" width="9.28515625" style="477"/>
  </cols>
  <sheetData>
    <row r="1" spans="1:75" ht="28.5">
      <c r="A1" s="86" t="str">
        <f>MO.CompanyName</f>
        <v>Yelp Inc.</v>
      </c>
      <c r="B1" s="552"/>
      <c r="C1" s="779">
        <f t="shared" ref="C1:AH1" si="0">INDEX(MO_Common_QEndDate,0,COLUMN())</f>
        <v>40178</v>
      </c>
      <c r="D1" s="780">
        <f t="shared" si="0"/>
        <v>40543</v>
      </c>
      <c r="E1" s="780">
        <f t="shared" si="0"/>
        <v>40908</v>
      </c>
      <c r="F1" s="780">
        <f t="shared" si="0"/>
        <v>41274</v>
      </c>
      <c r="G1" s="82">
        <f t="shared" si="0"/>
        <v>41364</v>
      </c>
      <c r="H1" s="82">
        <f t="shared" si="0"/>
        <v>41455</v>
      </c>
      <c r="I1" s="82">
        <f t="shared" si="0"/>
        <v>41547</v>
      </c>
      <c r="J1" s="82">
        <f t="shared" si="0"/>
        <v>41639</v>
      </c>
      <c r="K1" s="780">
        <f t="shared" si="0"/>
        <v>41639</v>
      </c>
      <c r="L1" s="82">
        <f t="shared" si="0"/>
        <v>41729</v>
      </c>
      <c r="M1" s="82">
        <f t="shared" si="0"/>
        <v>41820</v>
      </c>
      <c r="N1" s="82">
        <f t="shared" si="0"/>
        <v>41912</v>
      </c>
      <c r="O1" s="82">
        <f t="shared" si="0"/>
        <v>42004</v>
      </c>
      <c r="P1" s="780">
        <f t="shared" si="0"/>
        <v>42004</v>
      </c>
      <c r="Q1" s="82">
        <f t="shared" si="0"/>
        <v>42094</v>
      </c>
      <c r="R1" s="82">
        <f t="shared" si="0"/>
        <v>42185</v>
      </c>
      <c r="S1" s="82">
        <f t="shared" si="0"/>
        <v>42277</v>
      </c>
      <c r="T1" s="82">
        <f t="shared" si="0"/>
        <v>42369</v>
      </c>
      <c r="U1" s="780">
        <f t="shared" si="0"/>
        <v>42369</v>
      </c>
      <c r="V1" s="82">
        <f t="shared" si="0"/>
        <v>42460</v>
      </c>
      <c r="W1" s="82">
        <f t="shared" si="0"/>
        <v>42551</v>
      </c>
      <c r="X1" s="82">
        <f t="shared" si="0"/>
        <v>42643</v>
      </c>
      <c r="Y1" s="82">
        <f t="shared" si="0"/>
        <v>42735</v>
      </c>
      <c r="Z1" s="780">
        <f t="shared" si="0"/>
        <v>42735</v>
      </c>
      <c r="AA1" s="82">
        <f t="shared" si="0"/>
        <v>42825</v>
      </c>
      <c r="AB1" s="82">
        <f t="shared" si="0"/>
        <v>42916</v>
      </c>
      <c r="AC1" s="82">
        <f t="shared" si="0"/>
        <v>43008</v>
      </c>
      <c r="AD1" s="82">
        <f t="shared" si="0"/>
        <v>43100</v>
      </c>
      <c r="AE1" s="780">
        <f t="shared" si="0"/>
        <v>43100</v>
      </c>
      <c r="AF1" s="82">
        <f t="shared" si="0"/>
        <v>43190</v>
      </c>
      <c r="AG1" s="82">
        <f t="shared" si="0"/>
        <v>43281</v>
      </c>
      <c r="AH1" s="82">
        <f t="shared" si="0"/>
        <v>43373</v>
      </c>
      <c r="AI1" s="82">
        <f t="shared" ref="AI1:BA1" si="1">INDEX(MO_Common_QEndDate,0,COLUMN())</f>
        <v>43465</v>
      </c>
      <c r="AJ1" s="780">
        <f t="shared" si="1"/>
        <v>43465</v>
      </c>
      <c r="AK1" s="82">
        <f t="shared" si="1"/>
        <v>43555</v>
      </c>
      <c r="AL1" s="82">
        <f t="shared" si="1"/>
        <v>43646</v>
      </c>
      <c r="AM1" s="82">
        <f t="shared" si="1"/>
        <v>43738</v>
      </c>
      <c r="AN1" s="82">
        <f t="shared" si="1"/>
        <v>43830</v>
      </c>
      <c r="AO1" s="780">
        <f t="shared" si="1"/>
        <v>43830</v>
      </c>
      <c r="AP1" s="82">
        <f t="shared" si="1"/>
        <v>43921</v>
      </c>
      <c r="AQ1" s="82">
        <f t="shared" si="1"/>
        <v>44012</v>
      </c>
      <c r="AR1" s="82">
        <f t="shared" si="1"/>
        <v>44104</v>
      </c>
      <c r="AS1" s="82">
        <f t="shared" si="1"/>
        <v>44196</v>
      </c>
      <c r="AT1" s="780">
        <f t="shared" si="1"/>
        <v>44196</v>
      </c>
      <c r="AU1" s="82">
        <f t="shared" si="1"/>
        <v>44286</v>
      </c>
      <c r="AV1" s="82">
        <f t="shared" si="1"/>
        <v>44377</v>
      </c>
      <c r="AW1" s="82">
        <f t="shared" si="1"/>
        <v>44469</v>
      </c>
      <c r="AX1" s="82">
        <f t="shared" si="1"/>
        <v>44561</v>
      </c>
      <c r="AY1" s="780">
        <f t="shared" si="1"/>
        <v>44561</v>
      </c>
      <c r="AZ1" s="82">
        <f t="shared" si="1"/>
        <v>44651</v>
      </c>
      <c r="BA1" s="82">
        <f t="shared" si="1"/>
        <v>44742</v>
      </c>
      <c r="BB1" s="82">
        <f t="shared" ref="BB1:BG1" si="2">INDEX(MO_Common_QEndDate,0,COLUMN())</f>
        <v>44834</v>
      </c>
      <c r="BC1" s="82">
        <f t="shared" si="2"/>
        <v>44926</v>
      </c>
      <c r="BD1" s="780">
        <f t="shared" si="2"/>
        <v>44926</v>
      </c>
      <c r="BE1" s="82">
        <f t="shared" si="2"/>
        <v>45016</v>
      </c>
      <c r="BF1" s="82">
        <f t="shared" si="2"/>
        <v>45107</v>
      </c>
      <c r="BG1" s="82">
        <f t="shared" si="2"/>
        <v>45199</v>
      </c>
      <c r="BH1" s="82">
        <f t="shared" ref="BH1:BN1" si="3">INDEX(MO_Common_QEndDate,0,COLUMN())</f>
        <v>45291</v>
      </c>
      <c r="BI1" s="780">
        <f t="shared" si="3"/>
        <v>45291</v>
      </c>
      <c r="BJ1" s="82">
        <f t="shared" si="3"/>
        <v>45382</v>
      </c>
      <c r="BK1" s="82">
        <f t="shared" si="3"/>
        <v>45473</v>
      </c>
      <c r="BL1" s="411">
        <f>INDEX(MO_Common_QEndDate,0,COLUMN())</f>
        <v>45565</v>
      </c>
      <c r="BM1" s="82">
        <f t="shared" si="3"/>
        <v>45657</v>
      </c>
      <c r="BN1" s="780">
        <f t="shared" si="3"/>
        <v>45657</v>
      </c>
      <c r="BO1" s="82">
        <f t="shared" ref="BO1:BV1" si="4">INDEX(MO_Common_QEndDate,0,COLUMN())</f>
        <v>45747</v>
      </c>
      <c r="BP1" s="82">
        <f t="shared" si="4"/>
        <v>45838</v>
      </c>
      <c r="BQ1" s="82">
        <f t="shared" si="4"/>
        <v>45930</v>
      </c>
      <c r="BR1" s="82">
        <f t="shared" si="4"/>
        <v>46022</v>
      </c>
      <c r="BS1" s="780">
        <f t="shared" si="4"/>
        <v>46022</v>
      </c>
      <c r="BT1" s="780">
        <f t="shared" si="4"/>
        <v>46387</v>
      </c>
      <c r="BU1" s="780">
        <f t="shared" si="4"/>
        <v>46752</v>
      </c>
      <c r="BV1" s="780">
        <f t="shared" si="4"/>
        <v>47118</v>
      </c>
      <c r="BW1" s="552"/>
    </row>
    <row r="2" spans="1:75" s="478" customFormat="1">
      <c r="A2" s="91" t="s">
        <v>636</v>
      </c>
      <c r="B2" s="57" t="str">
        <f>MO.ReportFX</f>
        <v>USD</v>
      </c>
      <c r="C2" s="781" t="str">
        <f t="shared" ref="C2:AH2" si="5">INDEX(MO_Common_ColumnHeader,0,COLUMN())</f>
        <v>FY2009</v>
      </c>
      <c r="D2" s="782" t="str">
        <f t="shared" si="5"/>
        <v>FY2010</v>
      </c>
      <c r="E2" s="782" t="str">
        <f t="shared" si="5"/>
        <v>FY2011</v>
      </c>
      <c r="F2" s="782" t="str">
        <f t="shared" si="5"/>
        <v>FY2012</v>
      </c>
      <c r="G2" s="57" t="str">
        <f t="shared" si="5"/>
        <v>Q1-2013</v>
      </c>
      <c r="H2" s="57" t="str">
        <f t="shared" si="5"/>
        <v>Q2-2013</v>
      </c>
      <c r="I2" s="57" t="str">
        <f t="shared" si="5"/>
        <v>Q3-2013</v>
      </c>
      <c r="J2" s="57" t="str">
        <f t="shared" si="5"/>
        <v>Q4-2013</v>
      </c>
      <c r="K2" s="782" t="str">
        <f t="shared" si="5"/>
        <v>FY2013</v>
      </c>
      <c r="L2" s="57" t="str">
        <f t="shared" si="5"/>
        <v>Q1-2014</v>
      </c>
      <c r="M2" s="57" t="str">
        <f t="shared" si="5"/>
        <v>Q2-2014</v>
      </c>
      <c r="N2" s="57" t="str">
        <f t="shared" si="5"/>
        <v>Q3-2014</v>
      </c>
      <c r="O2" s="57" t="str">
        <f t="shared" si="5"/>
        <v>Q4-2014</v>
      </c>
      <c r="P2" s="782" t="str">
        <f t="shared" si="5"/>
        <v>FY2014</v>
      </c>
      <c r="Q2" s="57" t="str">
        <f t="shared" si="5"/>
        <v>Q1-2015</v>
      </c>
      <c r="R2" s="57" t="str">
        <f t="shared" si="5"/>
        <v>Q2-2015</v>
      </c>
      <c r="S2" s="57" t="str">
        <f t="shared" si="5"/>
        <v>Q3-2015</v>
      </c>
      <c r="T2" s="57" t="str">
        <f t="shared" si="5"/>
        <v>Q4-2015</v>
      </c>
      <c r="U2" s="782" t="str">
        <f t="shared" si="5"/>
        <v>FY2015</v>
      </c>
      <c r="V2" s="57" t="str">
        <f t="shared" si="5"/>
        <v>Q1-2016</v>
      </c>
      <c r="W2" s="57" t="str">
        <f t="shared" si="5"/>
        <v>Q2-2016</v>
      </c>
      <c r="X2" s="57" t="str">
        <f t="shared" si="5"/>
        <v>Q3-2016</v>
      </c>
      <c r="Y2" s="57" t="str">
        <f t="shared" si="5"/>
        <v>Q4-2016</v>
      </c>
      <c r="Z2" s="782" t="str">
        <f t="shared" si="5"/>
        <v>FY2016</v>
      </c>
      <c r="AA2" s="57" t="str">
        <f t="shared" si="5"/>
        <v>Q1-2017</v>
      </c>
      <c r="AB2" s="57" t="str">
        <f t="shared" si="5"/>
        <v>Q2-2017</v>
      </c>
      <c r="AC2" s="57" t="str">
        <f t="shared" si="5"/>
        <v>Q3-2017</v>
      </c>
      <c r="AD2" s="57" t="str">
        <f t="shared" si="5"/>
        <v>Q4-2017</v>
      </c>
      <c r="AE2" s="782" t="str">
        <f t="shared" si="5"/>
        <v>FY2017</v>
      </c>
      <c r="AF2" s="57" t="str">
        <f t="shared" si="5"/>
        <v>Q1-2018</v>
      </c>
      <c r="AG2" s="57" t="str">
        <f t="shared" si="5"/>
        <v>Q2-2018</v>
      </c>
      <c r="AH2" s="57" t="str">
        <f t="shared" si="5"/>
        <v>Q3-2018</v>
      </c>
      <c r="AI2" s="57" t="str">
        <f t="shared" ref="AI2:BA2" si="6">INDEX(MO_Common_ColumnHeader,0,COLUMN())</f>
        <v>Q4-2018</v>
      </c>
      <c r="AJ2" s="782" t="str">
        <f t="shared" si="6"/>
        <v>FY2018</v>
      </c>
      <c r="AK2" s="57" t="str">
        <f t="shared" si="6"/>
        <v>Q1-2019</v>
      </c>
      <c r="AL2" s="57" t="str">
        <f t="shared" si="6"/>
        <v>Q2-2019</v>
      </c>
      <c r="AM2" s="57" t="str">
        <f t="shared" si="6"/>
        <v>Q3-2019</v>
      </c>
      <c r="AN2" s="57" t="str">
        <f t="shared" si="6"/>
        <v>Q4-2019</v>
      </c>
      <c r="AO2" s="782" t="str">
        <f t="shared" si="6"/>
        <v>FY2019</v>
      </c>
      <c r="AP2" s="57" t="str">
        <f t="shared" si="6"/>
        <v>Q1-2020</v>
      </c>
      <c r="AQ2" s="57" t="str">
        <f t="shared" si="6"/>
        <v>Q2-2020</v>
      </c>
      <c r="AR2" s="57" t="str">
        <f t="shared" si="6"/>
        <v>Q3-2020</v>
      </c>
      <c r="AS2" s="57" t="str">
        <f t="shared" si="6"/>
        <v>Q4-2020</v>
      </c>
      <c r="AT2" s="782" t="str">
        <f t="shared" si="6"/>
        <v>FY2020</v>
      </c>
      <c r="AU2" s="57" t="str">
        <f t="shared" si="6"/>
        <v>Q1-2021</v>
      </c>
      <c r="AV2" s="57" t="str">
        <f t="shared" si="6"/>
        <v>Q2-2021</v>
      </c>
      <c r="AW2" s="57" t="str">
        <f t="shared" si="6"/>
        <v>Q3-2021</v>
      </c>
      <c r="AX2" s="57" t="str">
        <f t="shared" si="6"/>
        <v>Q4-2021</v>
      </c>
      <c r="AY2" s="782" t="str">
        <f t="shared" si="6"/>
        <v>FY2021</v>
      </c>
      <c r="AZ2" s="57" t="str">
        <f t="shared" si="6"/>
        <v>Q1-2022</v>
      </c>
      <c r="BA2" s="57" t="str">
        <f t="shared" si="6"/>
        <v>Q2-2022</v>
      </c>
      <c r="BB2" s="57" t="str">
        <f t="shared" ref="BB2:BG2" si="7">INDEX(MO_Common_ColumnHeader,0,COLUMN())</f>
        <v>Q3-2022</v>
      </c>
      <c r="BC2" s="57" t="str">
        <f t="shared" si="7"/>
        <v>Q4-2022</v>
      </c>
      <c r="BD2" s="782" t="str">
        <f t="shared" si="7"/>
        <v>FY2022</v>
      </c>
      <c r="BE2" s="57" t="str">
        <f t="shared" si="7"/>
        <v>Q1-2023</v>
      </c>
      <c r="BF2" s="57" t="str">
        <f t="shared" si="7"/>
        <v>Q2-2023</v>
      </c>
      <c r="BG2" s="57" t="str">
        <f t="shared" si="7"/>
        <v>Q3-2023</v>
      </c>
      <c r="BH2" s="57" t="str">
        <f t="shared" ref="BH2:BN2" si="8">INDEX(MO_Common_ColumnHeader,0,COLUMN())</f>
        <v>Q4-2023</v>
      </c>
      <c r="BI2" s="782" t="str">
        <f t="shared" si="8"/>
        <v>FY2023</v>
      </c>
      <c r="BJ2" s="57" t="str">
        <f t="shared" si="8"/>
        <v>Q1-2024</v>
      </c>
      <c r="BK2" s="57" t="str">
        <f t="shared" si="8"/>
        <v>Q2-2024</v>
      </c>
      <c r="BL2" s="412" t="str">
        <f>INDEX(MO_Common_ColumnHeader,0,COLUMN())</f>
        <v>Q3-2024</v>
      </c>
      <c r="BM2" s="57" t="str">
        <f t="shared" si="8"/>
        <v>Q4-2024</v>
      </c>
      <c r="BN2" s="782" t="str">
        <f t="shared" si="8"/>
        <v>FY2024</v>
      </c>
      <c r="BO2" s="57" t="str">
        <f t="shared" ref="BO2:BV2" si="9">INDEX(MO_Common_ColumnHeader,0,COLUMN())</f>
        <v>Q1-2025</v>
      </c>
      <c r="BP2" s="57" t="str">
        <f t="shared" si="9"/>
        <v>Q2-2025</v>
      </c>
      <c r="BQ2" s="57" t="str">
        <f t="shared" si="9"/>
        <v>Q3-2025</v>
      </c>
      <c r="BR2" s="57" t="str">
        <f t="shared" si="9"/>
        <v>Q4-2025</v>
      </c>
      <c r="BS2" s="782" t="str">
        <f t="shared" si="9"/>
        <v>FY2025</v>
      </c>
      <c r="BT2" s="782" t="str">
        <f t="shared" si="9"/>
        <v>FY2026</v>
      </c>
      <c r="BU2" s="782" t="str">
        <f t="shared" si="9"/>
        <v>FY2027</v>
      </c>
      <c r="BV2" s="782" t="str">
        <f t="shared" si="9"/>
        <v>FY2028</v>
      </c>
      <c r="BW2" s="551"/>
    </row>
    <row r="3" spans="1:75" s="479" customFormat="1">
      <c r="A3" s="55" t="s">
        <v>637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187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146"/>
    </row>
    <row r="4" spans="1:75" s="480" customFormat="1">
      <c r="A4" s="226" t="str">
        <f>"Stock Price - "&amp;SP.ValuationToggle</f>
        <v>Stock Price - EoP</v>
      </c>
      <c r="B4" s="607" t="s">
        <v>424</v>
      </c>
      <c r="C4" s="783">
        <f t="shared" ref="C4:AH4" si="10">IF(INDEX(MO_SNA_IsHistoricalPeriod,1,COLUMN())=FALSE,MO.LastPrice/HP.MRFX,CHOOSE(VLOOKUP(SP.ValuationToggle,tb_ValuationToggle,COLUMNS(tb_ValuationToggle),FALSE),INDEX(MO_SPT_StockHigh,1,COLUMN()),INDEX(MO_SPT_StockLow,1,COLUMN()),INDEX(MO_SPT_StockAverage,1,COLUMN()),INDEX(MO_SPT_StockEoP,1,COLUMN()))/IF(SP.ValuationToggle="EoP",IF(INDEX(MO_SPT_FXEoP,1,COLUMN())=0,1,INDEX(MO_SPT_FXEoP,1,COLUMN())),IF(INDEX(MO_SPT_FXAverage,1,COLUMN())=0,1,INDEX(MO_SPT_FXAverage,1,COLUMN()))))</f>
        <v>0</v>
      </c>
      <c r="D4" s="783">
        <f t="shared" si="10"/>
        <v>0</v>
      </c>
      <c r="E4" s="783">
        <f t="shared" si="10"/>
        <v>0</v>
      </c>
      <c r="F4" s="783">
        <f t="shared" si="10"/>
        <v>18.87</v>
      </c>
      <c r="G4" s="227">
        <f t="shared" si="10"/>
        <v>23.71</v>
      </c>
      <c r="H4" s="227">
        <f t="shared" si="10"/>
        <v>34.770000000000003</v>
      </c>
      <c r="I4" s="227">
        <f t="shared" si="10"/>
        <v>68.05</v>
      </c>
      <c r="J4" s="227">
        <f t="shared" si="10"/>
        <v>66.010000000000005</v>
      </c>
      <c r="K4" s="783">
        <f t="shared" si="10"/>
        <v>66.010000000000005</v>
      </c>
      <c r="L4" s="227">
        <f t="shared" si="10"/>
        <v>76.44</v>
      </c>
      <c r="M4" s="227">
        <f t="shared" si="10"/>
        <v>77.28</v>
      </c>
      <c r="N4" s="227">
        <f t="shared" si="10"/>
        <v>69.540000000000006</v>
      </c>
      <c r="O4" s="227">
        <f t="shared" si="10"/>
        <v>54.24</v>
      </c>
      <c r="P4" s="783">
        <f t="shared" si="10"/>
        <v>54.24</v>
      </c>
      <c r="Q4" s="227">
        <f t="shared" si="10"/>
        <v>47.39</v>
      </c>
      <c r="R4" s="227">
        <f t="shared" si="10"/>
        <v>42.47</v>
      </c>
      <c r="S4" s="227">
        <f t="shared" si="10"/>
        <v>21.14</v>
      </c>
      <c r="T4" s="227">
        <f t="shared" si="10"/>
        <v>28.25</v>
      </c>
      <c r="U4" s="783">
        <f t="shared" si="10"/>
        <v>28.25</v>
      </c>
      <c r="V4" s="227">
        <f t="shared" si="10"/>
        <v>20.43</v>
      </c>
      <c r="W4" s="227">
        <f t="shared" si="10"/>
        <v>29.2</v>
      </c>
      <c r="X4" s="227">
        <f t="shared" si="10"/>
        <v>40.98</v>
      </c>
      <c r="Y4" s="227">
        <f t="shared" si="10"/>
        <v>38.130000000000003</v>
      </c>
      <c r="Z4" s="784">
        <f t="shared" si="10"/>
        <v>38.130000000000003</v>
      </c>
      <c r="AA4" s="227">
        <f t="shared" si="10"/>
        <v>32.520000000000003</v>
      </c>
      <c r="AB4" s="227">
        <f t="shared" si="10"/>
        <v>29.89</v>
      </c>
      <c r="AC4" s="227">
        <f t="shared" si="10"/>
        <v>43.3</v>
      </c>
      <c r="AD4" s="227">
        <f t="shared" si="10"/>
        <v>41.96</v>
      </c>
      <c r="AE4" s="784">
        <f t="shared" si="10"/>
        <v>41.96</v>
      </c>
      <c r="AF4" s="227">
        <f t="shared" si="10"/>
        <v>41.75</v>
      </c>
      <c r="AG4" s="227">
        <f t="shared" si="10"/>
        <v>39.18</v>
      </c>
      <c r="AH4" s="227">
        <f t="shared" si="10"/>
        <v>49.2</v>
      </c>
      <c r="AI4" s="227">
        <f t="shared" ref="AI4:BN4" si="11">IF(INDEX(MO_SNA_IsHistoricalPeriod,1,COLUMN())=FALSE,MO.LastPrice/HP.MRFX,CHOOSE(VLOOKUP(SP.ValuationToggle,tb_ValuationToggle,COLUMNS(tb_ValuationToggle),FALSE),INDEX(MO_SPT_StockHigh,1,COLUMN()),INDEX(MO_SPT_StockLow,1,COLUMN()),INDEX(MO_SPT_StockAverage,1,COLUMN()),INDEX(MO_SPT_StockEoP,1,COLUMN()))/IF(SP.ValuationToggle="EoP",IF(INDEX(MO_SPT_FXEoP,1,COLUMN())=0,1,INDEX(MO_SPT_FXEoP,1,COLUMN())),IF(INDEX(MO_SPT_FXAverage,1,COLUMN())=0,1,INDEX(MO_SPT_FXAverage,1,COLUMN()))))</f>
        <v>34.42</v>
      </c>
      <c r="AJ4" s="784">
        <f t="shared" si="11"/>
        <v>34.42</v>
      </c>
      <c r="AK4" s="227">
        <f t="shared" si="11"/>
        <v>34.5</v>
      </c>
      <c r="AL4" s="227">
        <f t="shared" si="11"/>
        <v>34.18</v>
      </c>
      <c r="AM4" s="227">
        <f t="shared" si="11"/>
        <v>34.42</v>
      </c>
      <c r="AN4" s="227">
        <f t="shared" si="11"/>
        <v>34.58</v>
      </c>
      <c r="AO4" s="784">
        <f t="shared" si="11"/>
        <v>34.58</v>
      </c>
      <c r="AP4" s="227">
        <f t="shared" si="11"/>
        <v>17.53</v>
      </c>
      <c r="AQ4" s="227">
        <f t="shared" si="11"/>
        <v>21.47</v>
      </c>
      <c r="AR4" s="227">
        <f t="shared" si="11"/>
        <v>20.07</v>
      </c>
      <c r="AS4" s="227">
        <f t="shared" si="11"/>
        <v>31.64</v>
      </c>
      <c r="AT4" s="784">
        <f t="shared" si="11"/>
        <v>31.64</v>
      </c>
      <c r="AU4" s="227">
        <f t="shared" si="11"/>
        <v>38.57</v>
      </c>
      <c r="AV4" s="227">
        <f t="shared" si="11"/>
        <v>40.369999999999997</v>
      </c>
      <c r="AW4" s="227">
        <f t="shared" si="11"/>
        <v>37.979999999999997</v>
      </c>
      <c r="AX4" s="227">
        <f t="shared" si="11"/>
        <v>36.479999999999997</v>
      </c>
      <c r="AY4" s="784">
        <f t="shared" si="11"/>
        <v>36.479999999999997</v>
      </c>
      <c r="AZ4" s="227">
        <f t="shared" si="11"/>
        <v>34.76</v>
      </c>
      <c r="BA4" s="227">
        <f t="shared" si="11"/>
        <v>28.47</v>
      </c>
      <c r="BB4" s="227">
        <f t="shared" si="11"/>
        <v>33.770000000000003</v>
      </c>
      <c r="BC4" s="227">
        <f t="shared" si="11"/>
        <v>27.34</v>
      </c>
      <c r="BD4" s="784">
        <f t="shared" si="11"/>
        <v>27.34</v>
      </c>
      <c r="BE4" s="227">
        <f t="shared" ref="BE4:BJ4" si="12">IF(INDEX(MO_SNA_IsHistoricalPeriod,1,COLUMN())=FALSE,MO.LastPrice/HP.MRFX,CHOOSE(VLOOKUP(SP.ValuationToggle,tb_ValuationToggle,COLUMNS(tb_ValuationToggle),FALSE),INDEX(MO_SPT_StockHigh,1,COLUMN()),INDEX(MO_SPT_StockLow,1,COLUMN()),INDEX(MO_SPT_StockAverage,1,COLUMN()),INDEX(MO_SPT_StockEoP,1,COLUMN()))/IF(SP.ValuationToggle="EoP",IF(INDEX(MO_SPT_FXEoP,1,COLUMN())=0,1,INDEX(MO_SPT_FXEoP,1,COLUMN())),IF(INDEX(MO_SPT_FXAverage,1,COLUMN())=0,1,INDEX(MO_SPT_FXAverage,1,COLUMN()))))</f>
        <v>29.98</v>
      </c>
      <c r="BF4" s="227">
        <f t="shared" si="12"/>
        <v>36.47</v>
      </c>
      <c r="BG4" s="227">
        <f t="shared" si="12"/>
        <v>41.59</v>
      </c>
      <c r="BH4" s="227">
        <f t="shared" si="12"/>
        <v>47.34</v>
      </c>
      <c r="BI4" s="784">
        <f t="shared" si="12"/>
        <v>47.34</v>
      </c>
      <c r="BJ4" s="227">
        <f t="shared" si="12"/>
        <v>39.4</v>
      </c>
      <c r="BK4" s="227">
        <f>IF(INDEX(MO_SNA_IsHistoricalPeriod,1,COLUMN())=FALSE,MO.LastPrice/HP.MRFX,CHOOSE(VLOOKUP(SP.ValuationToggle,tb_ValuationToggle,COLUMNS(tb_ValuationToggle),FALSE),INDEX(MO_SPT_StockHigh,1,COLUMN()),INDEX(MO_SPT_StockLow,1,COLUMN()),INDEX(MO_SPT_StockAverage,1,COLUMN()),INDEX(MO_SPT_StockEoP,1,COLUMN()))/IF(SP.ValuationToggle="EoP",IF(INDEX(MO_SPT_FXEoP,1,COLUMN())=0,1,INDEX(MO_SPT_FXEoP,1,COLUMN())),IF(INDEX(MO_SPT_FXAverage,1,COLUMN())=0,1,INDEX(MO_SPT_FXAverage,1,COLUMN()))))</f>
        <v>36.950000000000003</v>
      </c>
      <c r="BL4" s="413">
        <f>IF(INDEX(MO_SNA_IsHistoricalPeriod,1,COLUMN())=FALSE,MO.LastPrice/HP.MRFX,CHOOSE(VLOOKUP(SP.ValuationToggle,tb_ValuationToggle,COLUMNS(tb_ValuationToggle),FALSE),INDEX(MO_SPT_StockHigh,1,COLUMN()),INDEX(MO_SPT_StockLow,1,COLUMN()),INDEX(MO_SPT_StockAverage,1,COLUMN()),INDEX(MO_SPT_StockEoP,1,COLUMN()))/IF(SP.ValuationToggle="EoP",IF(INDEX(MO_SPT_FXEoP,1,COLUMN())=0,1,INDEX(MO_SPT_FXEoP,1,COLUMN())),IF(INDEX(MO_SPT_FXAverage,1,COLUMN())=0,1,INDEX(MO_SPT_FXAverage,1,COLUMN()))))</f>
        <v>34.909999999999997</v>
      </c>
      <c r="BM4" s="227" t="e">
        <f t="shared" si="11"/>
        <v>#REF!</v>
      </c>
      <c r="BN4" s="784" t="e">
        <f t="shared" si="11"/>
        <v>#REF!</v>
      </c>
      <c r="BO4" s="227" t="e">
        <f t="shared" ref="BO4:BV4" si="13">IF(INDEX(MO_SNA_IsHistoricalPeriod,1,COLUMN())=FALSE,MO.LastPrice/HP.MRFX,CHOOSE(VLOOKUP(SP.ValuationToggle,tb_ValuationToggle,COLUMNS(tb_ValuationToggle),FALSE),INDEX(MO_SPT_StockHigh,1,COLUMN()),INDEX(MO_SPT_StockLow,1,COLUMN()),INDEX(MO_SPT_StockAverage,1,COLUMN()),INDEX(MO_SPT_StockEoP,1,COLUMN()))/IF(SP.ValuationToggle="EoP",IF(INDEX(MO_SPT_FXEoP,1,COLUMN())=0,1,INDEX(MO_SPT_FXEoP,1,COLUMN())),IF(INDEX(MO_SPT_FXAverage,1,COLUMN())=0,1,INDEX(MO_SPT_FXAverage,1,COLUMN()))))</f>
        <v>#REF!</v>
      </c>
      <c r="BP4" s="227" t="e">
        <f t="shared" si="13"/>
        <v>#REF!</v>
      </c>
      <c r="BQ4" s="227" t="e">
        <f t="shared" si="13"/>
        <v>#REF!</v>
      </c>
      <c r="BR4" s="227" t="e">
        <f t="shared" si="13"/>
        <v>#REF!</v>
      </c>
      <c r="BS4" s="784" t="e">
        <f t="shared" si="13"/>
        <v>#REF!</v>
      </c>
      <c r="BT4" s="784" t="e">
        <f t="shared" si="13"/>
        <v>#REF!</v>
      </c>
      <c r="BU4" s="784" t="e">
        <f t="shared" si="13"/>
        <v>#REF!</v>
      </c>
      <c r="BV4" s="784" t="e">
        <f t="shared" si="13"/>
        <v>#REF!</v>
      </c>
      <c r="BW4" s="59"/>
    </row>
    <row r="5" spans="1:75" s="480" customFormat="1">
      <c r="A5" s="325" t="str">
        <f>INDEX(MO_SCA_ShareCount_EoP_Diluted,0,COLUMN())</f>
        <v>EoP Total Diluted Common Stock Outstanding, mm shares</v>
      </c>
      <c r="B5" s="345"/>
      <c r="C5" s="785">
        <f t="shared" ref="C5:AH5" si="14">INDEX(MO_SCA_ShareCount_EoP_Diluted,0,COLUMN())</f>
        <v>0</v>
      </c>
      <c r="D5" s="785">
        <f t="shared" si="14"/>
        <v>0</v>
      </c>
      <c r="E5" s="785">
        <f t="shared" si="14"/>
        <v>0</v>
      </c>
      <c r="F5" s="785">
        <f t="shared" si="14"/>
        <v>63.389297999999997</v>
      </c>
      <c r="G5" s="594">
        <f t="shared" si="14"/>
        <v>64.180119000000005</v>
      </c>
      <c r="H5" s="594">
        <f t="shared" si="14"/>
        <v>64.958307000000005</v>
      </c>
      <c r="I5" s="594">
        <f t="shared" si="14"/>
        <v>65.885621</v>
      </c>
      <c r="J5" s="594">
        <f t="shared" si="14"/>
        <v>70.801023000000001</v>
      </c>
      <c r="K5" s="785">
        <f t="shared" si="14"/>
        <v>70.801023000000001</v>
      </c>
      <c r="L5" s="594">
        <f t="shared" si="14"/>
        <v>71.488359000000003</v>
      </c>
      <c r="M5" s="594">
        <f t="shared" si="14"/>
        <v>77.282836000000003</v>
      </c>
      <c r="N5" s="594">
        <f t="shared" si="14"/>
        <v>77.533653000000015</v>
      </c>
      <c r="O5" s="594">
        <f t="shared" si="14"/>
        <v>74.927612000000011</v>
      </c>
      <c r="P5" s="785">
        <f t="shared" si="14"/>
        <v>74.927612000000011</v>
      </c>
      <c r="Q5" s="594">
        <f t="shared" si="14"/>
        <v>76.668051000000006</v>
      </c>
      <c r="R5" s="594">
        <f t="shared" si="14"/>
        <v>77.260047</v>
      </c>
      <c r="S5" s="594">
        <f t="shared" si="14"/>
        <v>77.476829000000009</v>
      </c>
      <c r="T5" s="594">
        <f t="shared" si="14"/>
        <v>78.020490000000024</v>
      </c>
      <c r="U5" s="785">
        <f t="shared" si="14"/>
        <v>78.020490000000024</v>
      </c>
      <c r="V5" s="594">
        <f t="shared" si="14"/>
        <v>78.462750000000014</v>
      </c>
      <c r="W5" s="594">
        <f t="shared" si="14"/>
        <v>80.057798000000005</v>
      </c>
      <c r="X5" s="594">
        <f t="shared" si="14"/>
        <v>83.709998999999996</v>
      </c>
      <c r="Y5" s="594">
        <f t="shared" si="14"/>
        <v>84.942833000000007</v>
      </c>
      <c r="Z5" s="786">
        <f t="shared" si="14"/>
        <v>84.942833000000007</v>
      </c>
      <c r="AA5" s="594">
        <f t="shared" si="14"/>
        <v>85.803089</v>
      </c>
      <c r="AB5" s="594">
        <f t="shared" si="14"/>
        <v>85.616996999999998</v>
      </c>
      <c r="AC5" s="594">
        <f t="shared" si="14"/>
        <v>87.915466000000009</v>
      </c>
      <c r="AD5" s="594">
        <f t="shared" si="14"/>
        <v>89.52491599999999</v>
      </c>
      <c r="AE5" s="786">
        <f t="shared" si="14"/>
        <v>89.52491599999999</v>
      </c>
      <c r="AF5" s="594">
        <f t="shared" si="14"/>
        <v>89.396509999999992</v>
      </c>
      <c r="AG5" s="594">
        <f t="shared" si="14"/>
        <v>88.674696999999995</v>
      </c>
      <c r="AH5" s="594">
        <f t="shared" si="14"/>
        <v>89.091021000000012</v>
      </c>
      <c r="AI5" s="594">
        <f t="shared" ref="AI5:BN5" si="15">INDEX(MO_SCA_ShareCount_EoP_Diluted,0,COLUMN())</f>
        <v>85.577838999999997</v>
      </c>
      <c r="AJ5" s="786">
        <f t="shared" si="15"/>
        <v>85.577838999999997</v>
      </c>
      <c r="AK5" s="594">
        <f t="shared" si="15"/>
        <v>83.004829000000001</v>
      </c>
      <c r="AL5" s="594">
        <f t="shared" si="15"/>
        <v>74.681010999999998</v>
      </c>
      <c r="AM5" s="594">
        <f t="shared" si="15"/>
        <v>73.138923000000005</v>
      </c>
      <c r="AN5" s="594">
        <f t="shared" si="15"/>
        <v>73.545468</v>
      </c>
      <c r="AO5" s="786">
        <f t="shared" si="15"/>
        <v>73.545468</v>
      </c>
      <c r="AP5" s="594">
        <f t="shared" si="15"/>
        <v>74.247845999999996</v>
      </c>
      <c r="AQ5" s="594">
        <f t="shared" si="15"/>
        <v>75.481228999999999</v>
      </c>
      <c r="AR5" s="594">
        <f t="shared" si="15"/>
        <v>76.336487000000005</v>
      </c>
      <c r="AS5" s="594">
        <f t="shared" si="15"/>
        <v>77.719350000000006</v>
      </c>
      <c r="AT5" s="786">
        <f t="shared" si="15"/>
        <v>77.719350000000006</v>
      </c>
      <c r="AU5" s="594">
        <f t="shared" si="15"/>
        <v>77.512259</v>
      </c>
      <c r="AV5" s="594">
        <f t="shared" si="15"/>
        <v>78.662036999999998</v>
      </c>
      <c r="AW5" s="594">
        <f t="shared" si="15"/>
        <v>77.06438</v>
      </c>
      <c r="AX5" s="594">
        <f t="shared" si="15"/>
        <v>75.269919999999999</v>
      </c>
      <c r="AY5" s="786">
        <f t="shared" si="15"/>
        <v>75.269919999999999</v>
      </c>
      <c r="AZ5" s="594">
        <f t="shared" si="15"/>
        <v>74.658000000000001</v>
      </c>
      <c r="BA5" s="594">
        <f t="shared" si="15"/>
        <v>72.736999999999995</v>
      </c>
      <c r="BB5" s="594">
        <f t="shared" si="15"/>
        <v>72.427000000000007</v>
      </c>
      <c r="BC5" s="594">
        <f t="shared" si="15"/>
        <v>71.402999999999992</v>
      </c>
      <c r="BD5" s="786">
        <f t="shared" si="15"/>
        <v>71.402999999999992</v>
      </c>
      <c r="BE5" s="594">
        <f t="shared" ref="BE5:BJ5" si="16">INDEX(MO_SCA_ShareCount_EoP_Diluted,0,COLUMN())</f>
        <v>71.254999999999995</v>
      </c>
      <c r="BF5" s="594">
        <f t="shared" si="16"/>
        <v>71.269000000000005</v>
      </c>
      <c r="BG5" s="594">
        <f t="shared" si="16"/>
        <v>73.498000000000005</v>
      </c>
      <c r="BH5" s="594">
        <f t="shared" si="16"/>
        <v>73.233000000000004</v>
      </c>
      <c r="BI5" s="786">
        <f t="shared" si="16"/>
        <v>73.233000000000004</v>
      </c>
      <c r="BJ5" s="594">
        <f t="shared" si="16"/>
        <v>72.018000000000001</v>
      </c>
      <c r="BK5" s="594">
        <f>INDEX(MO_SCA_ShareCount_EoP_Diluted,0,COLUMN())</f>
        <v>70.251000000000005</v>
      </c>
      <c r="BL5" s="595">
        <f>INDEX(MO_SCA_ShareCount_EoP_Diluted,0,COLUMN())</f>
        <v>68.582000000000008</v>
      </c>
      <c r="BM5" s="594" t="e">
        <f t="shared" si="15"/>
        <v>#REF!</v>
      </c>
      <c r="BN5" s="786" t="e">
        <f t="shared" si="15"/>
        <v>#REF!</v>
      </c>
      <c r="BO5" s="594" t="e">
        <f t="shared" ref="BO5:BV5" si="17">INDEX(MO_SCA_ShareCount_EoP_Diluted,0,COLUMN())</f>
        <v>#REF!</v>
      </c>
      <c r="BP5" s="594" t="e">
        <f t="shared" si="17"/>
        <v>#REF!</v>
      </c>
      <c r="BQ5" s="594" t="e">
        <f t="shared" si="17"/>
        <v>#REF!</v>
      </c>
      <c r="BR5" s="594" t="e">
        <f t="shared" si="17"/>
        <v>#REF!</v>
      </c>
      <c r="BS5" s="786" t="e">
        <f t="shared" si="17"/>
        <v>#REF!</v>
      </c>
      <c r="BT5" s="786" t="e">
        <f t="shared" si="17"/>
        <v>#REF!</v>
      </c>
      <c r="BU5" s="786" t="e">
        <f t="shared" si="17"/>
        <v>#REF!</v>
      </c>
      <c r="BV5" s="786" t="e">
        <f t="shared" si="17"/>
        <v>#REF!</v>
      </c>
      <c r="BW5" s="59"/>
    </row>
    <row r="6" spans="1:75" s="478" customFormat="1">
      <c r="A6" s="92" t="str">
        <f>"Market Cap - "&amp;SP.ValuationToggle</f>
        <v>Market Cap - EoP</v>
      </c>
      <c r="B6" s="97"/>
      <c r="C6" s="787"/>
      <c r="D6" s="787"/>
      <c r="E6" s="787"/>
      <c r="F6" s="787">
        <f t="shared" ref="F6:AK6" si="18">INDEX(SP_CS_StockPrice,0,COLUMN())*INDEX(SP_CS_ShareCount_EoP_Diluted,0,COLUMN())</f>
        <v>1196.1560532599999</v>
      </c>
      <c r="G6" s="551">
        <f t="shared" si="18"/>
        <v>1521.7106214900002</v>
      </c>
      <c r="H6" s="551">
        <f t="shared" si="18"/>
        <v>2258.6003343900002</v>
      </c>
      <c r="I6" s="551">
        <f t="shared" si="18"/>
        <v>4483.5165090499995</v>
      </c>
      <c r="J6" s="551">
        <f t="shared" si="18"/>
        <v>4673.5755282300006</v>
      </c>
      <c r="K6" s="787">
        <f t="shared" si="18"/>
        <v>4673.5755282300006</v>
      </c>
      <c r="L6" s="551">
        <f t="shared" si="18"/>
        <v>5464.5701619600004</v>
      </c>
      <c r="M6" s="551">
        <f t="shared" si="18"/>
        <v>5972.4175660800001</v>
      </c>
      <c r="N6" s="551">
        <f t="shared" si="18"/>
        <v>5391.6902296200014</v>
      </c>
      <c r="O6" s="551">
        <f t="shared" si="18"/>
        <v>4064.0736748800009</v>
      </c>
      <c r="P6" s="787">
        <f t="shared" si="18"/>
        <v>4064.0736748800009</v>
      </c>
      <c r="Q6" s="551">
        <f t="shared" si="18"/>
        <v>3633.2989368900003</v>
      </c>
      <c r="R6" s="551">
        <f t="shared" si="18"/>
        <v>3281.2341960899998</v>
      </c>
      <c r="S6" s="551">
        <f t="shared" si="18"/>
        <v>1637.8601650600003</v>
      </c>
      <c r="T6" s="551">
        <f t="shared" si="18"/>
        <v>2204.0788425000005</v>
      </c>
      <c r="U6" s="787">
        <f t="shared" si="18"/>
        <v>2204.0788425000005</v>
      </c>
      <c r="V6" s="551">
        <f t="shared" si="18"/>
        <v>1602.9939825000004</v>
      </c>
      <c r="W6" s="551">
        <f t="shared" si="18"/>
        <v>2337.6877016000003</v>
      </c>
      <c r="X6" s="551">
        <f t="shared" si="18"/>
        <v>3430.4357590199998</v>
      </c>
      <c r="Y6" s="551">
        <f t="shared" si="18"/>
        <v>3238.8702222900006</v>
      </c>
      <c r="Z6" s="787">
        <f t="shared" si="18"/>
        <v>3238.8702222900006</v>
      </c>
      <c r="AA6" s="551">
        <f t="shared" si="18"/>
        <v>2790.3164542800005</v>
      </c>
      <c r="AB6" s="551">
        <f t="shared" si="18"/>
        <v>2559.0920403300001</v>
      </c>
      <c r="AC6" s="551">
        <f t="shared" si="18"/>
        <v>3806.7396778000002</v>
      </c>
      <c r="AD6" s="551">
        <f t="shared" si="18"/>
        <v>3756.4654753599998</v>
      </c>
      <c r="AE6" s="787">
        <f t="shared" si="18"/>
        <v>3756.4654753599998</v>
      </c>
      <c r="AF6" s="551">
        <f t="shared" si="18"/>
        <v>3732.3042924999995</v>
      </c>
      <c r="AG6" s="551">
        <f t="shared" si="18"/>
        <v>3474.2746284599998</v>
      </c>
      <c r="AH6" s="551">
        <f t="shared" si="18"/>
        <v>4383.2782332000006</v>
      </c>
      <c r="AI6" s="551">
        <f t="shared" si="18"/>
        <v>2945.5892183800001</v>
      </c>
      <c r="AJ6" s="787">
        <f t="shared" si="18"/>
        <v>2945.5892183800001</v>
      </c>
      <c r="AK6" s="551">
        <f t="shared" si="18"/>
        <v>2863.6666005000002</v>
      </c>
      <c r="AL6" s="551">
        <f t="shared" ref="AL6:BN6" si="19">INDEX(SP_CS_StockPrice,0,COLUMN())*INDEX(SP_CS_ShareCount_EoP_Diluted,0,COLUMN())</f>
        <v>2552.5969559800001</v>
      </c>
      <c r="AM6" s="551">
        <f t="shared" si="19"/>
        <v>2517.4417296600004</v>
      </c>
      <c r="AN6" s="551">
        <f t="shared" si="19"/>
        <v>2543.20228344</v>
      </c>
      <c r="AO6" s="787">
        <f t="shared" si="19"/>
        <v>2543.20228344</v>
      </c>
      <c r="AP6" s="551">
        <f t="shared" si="19"/>
        <v>1301.5647403800001</v>
      </c>
      <c r="AQ6" s="551">
        <f t="shared" si="19"/>
        <v>1620.5819866299998</v>
      </c>
      <c r="AR6" s="551">
        <f t="shared" si="19"/>
        <v>1532.0732940900002</v>
      </c>
      <c r="AS6" s="551">
        <f t="shared" si="19"/>
        <v>2459.0402340000001</v>
      </c>
      <c r="AT6" s="787">
        <f t="shared" si="19"/>
        <v>2459.0402340000001</v>
      </c>
      <c r="AU6" s="551">
        <f t="shared" si="19"/>
        <v>2989.6478296300002</v>
      </c>
      <c r="AV6" s="551">
        <f t="shared" si="19"/>
        <v>3175.5864336899999</v>
      </c>
      <c r="AW6" s="551">
        <f t="shared" si="19"/>
        <v>2926.9051523999997</v>
      </c>
      <c r="AX6" s="551">
        <f t="shared" si="19"/>
        <v>2745.8466815999996</v>
      </c>
      <c r="AY6" s="787">
        <f t="shared" si="19"/>
        <v>2745.8466815999996</v>
      </c>
      <c r="AZ6" s="551">
        <f t="shared" si="19"/>
        <v>2595.1120799999999</v>
      </c>
      <c r="BA6" s="551">
        <f t="shared" si="19"/>
        <v>2070.8223899999998</v>
      </c>
      <c r="BB6" s="551">
        <f t="shared" si="19"/>
        <v>2445.8597900000004</v>
      </c>
      <c r="BC6" s="551">
        <f t="shared" si="19"/>
        <v>1952.1580199999999</v>
      </c>
      <c r="BD6" s="787">
        <f t="shared" si="19"/>
        <v>1952.1580199999999</v>
      </c>
      <c r="BE6" s="551">
        <f t="shared" ref="BE6:BJ6" si="20">INDEX(SP_CS_StockPrice,0,COLUMN())*INDEX(SP_CS_ShareCount_EoP_Diluted,0,COLUMN())</f>
        <v>2136.2248999999997</v>
      </c>
      <c r="BF6" s="551">
        <f t="shared" si="20"/>
        <v>2599.1804300000003</v>
      </c>
      <c r="BG6" s="551">
        <f t="shared" si="20"/>
        <v>3056.7818200000006</v>
      </c>
      <c r="BH6" s="551">
        <f t="shared" si="20"/>
        <v>3466.8502200000003</v>
      </c>
      <c r="BI6" s="787">
        <f t="shared" si="20"/>
        <v>3466.8502200000003</v>
      </c>
      <c r="BJ6" s="551">
        <f t="shared" si="20"/>
        <v>2837.5092</v>
      </c>
      <c r="BK6" s="551">
        <f>INDEX(SP_CS_StockPrice,0,COLUMN())*INDEX(SP_CS_ShareCount_EoP_Diluted,0,COLUMN())</f>
        <v>2595.7744500000003</v>
      </c>
      <c r="BL6" s="596">
        <f>INDEX(SP_CS_StockPrice,0,COLUMN())*INDEX(SP_CS_ShareCount_EoP_Diluted,0,COLUMN())</f>
        <v>2394.1976199999999</v>
      </c>
      <c r="BM6" s="551" t="e">
        <f t="shared" si="19"/>
        <v>#REF!</v>
      </c>
      <c r="BN6" s="787" t="e">
        <f t="shared" si="19"/>
        <v>#REF!</v>
      </c>
      <c r="BO6" s="551" t="e">
        <f t="shared" ref="BO6:BV6" si="21">INDEX(SP_CS_StockPrice,0,COLUMN())*INDEX(SP_CS_ShareCount_EoP_Diluted,0,COLUMN())</f>
        <v>#REF!</v>
      </c>
      <c r="BP6" s="551" t="e">
        <f t="shared" si="21"/>
        <v>#REF!</v>
      </c>
      <c r="BQ6" s="551" t="e">
        <f t="shared" si="21"/>
        <v>#REF!</v>
      </c>
      <c r="BR6" s="551" t="e">
        <f t="shared" si="21"/>
        <v>#REF!</v>
      </c>
      <c r="BS6" s="787" t="e">
        <f t="shared" si="21"/>
        <v>#REF!</v>
      </c>
      <c r="BT6" s="787" t="e">
        <f t="shared" si="21"/>
        <v>#REF!</v>
      </c>
      <c r="BU6" s="787" t="e">
        <f t="shared" si="21"/>
        <v>#REF!</v>
      </c>
      <c r="BV6" s="787" t="e">
        <f t="shared" si="21"/>
        <v>#REF!</v>
      </c>
      <c r="BW6" s="551"/>
    </row>
    <row r="7" spans="1:75" s="481" customFormat="1">
      <c r="A7" s="93" t="str">
        <f>INDEX(MO_BSS_Cash,0,COLUMN())</f>
        <v>Cash</v>
      </c>
      <c r="B7" s="94"/>
      <c r="C7" s="788"/>
      <c r="D7" s="788"/>
      <c r="E7" s="788"/>
      <c r="F7" s="788">
        <f t="shared" ref="F7:AK7" si="22">INDEX(MO_BSS_Cash,0,COLUMN())</f>
        <v>101.524</v>
      </c>
      <c r="G7" s="552">
        <f t="shared" si="22"/>
        <v>100.83</v>
      </c>
      <c r="H7" s="552">
        <f t="shared" si="22"/>
        <v>104.89700000000001</v>
      </c>
      <c r="I7" s="552">
        <f t="shared" si="22"/>
        <v>109.38200000000001</v>
      </c>
      <c r="J7" s="552">
        <f t="shared" si="22"/>
        <v>393.01100000000002</v>
      </c>
      <c r="K7" s="788">
        <f t="shared" si="22"/>
        <v>393.01100000000002</v>
      </c>
      <c r="L7" s="552">
        <f t="shared" si="22"/>
        <v>402.97499999999997</v>
      </c>
      <c r="M7" s="552">
        <f t="shared" si="22"/>
        <v>416.20300000000009</v>
      </c>
      <c r="N7" s="552">
        <f t="shared" si="22"/>
        <v>430.70099999999996</v>
      </c>
      <c r="O7" s="552">
        <f t="shared" si="22"/>
        <v>422.36500000000001</v>
      </c>
      <c r="P7" s="788">
        <f t="shared" si="22"/>
        <v>422.36500000000001</v>
      </c>
      <c r="Q7" s="552">
        <f t="shared" si="22"/>
        <v>365.62599999999998</v>
      </c>
      <c r="R7" s="552">
        <f t="shared" si="22"/>
        <v>384.41800000000006</v>
      </c>
      <c r="S7" s="552">
        <f t="shared" si="22"/>
        <v>385.19199999999995</v>
      </c>
      <c r="T7" s="552">
        <f t="shared" si="22"/>
        <v>387.31299999999999</v>
      </c>
      <c r="U7" s="788">
        <f t="shared" si="22"/>
        <v>387.31299999999999</v>
      </c>
      <c r="V7" s="552">
        <f t="shared" si="22"/>
        <v>401.03499999999997</v>
      </c>
      <c r="W7" s="552">
        <f t="shared" si="22"/>
        <v>421.40699999999998</v>
      </c>
      <c r="X7" s="552">
        <f t="shared" si="22"/>
        <v>449.60599999999994</v>
      </c>
      <c r="Y7" s="552">
        <f t="shared" si="22"/>
        <v>496.85</v>
      </c>
      <c r="Z7" s="788">
        <f t="shared" si="22"/>
        <v>496.85</v>
      </c>
      <c r="AA7" s="552">
        <f t="shared" si="22"/>
        <v>503.94</v>
      </c>
      <c r="AB7" s="552">
        <f t="shared" si="22"/>
        <v>530.33400000000006</v>
      </c>
      <c r="AC7" s="552">
        <f t="shared" si="22"/>
        <v>576.76400000000001</v>
      </c>
      <c r="AD7" s="552">
        <f t="shared" si="22"/>
        <v>864.80200000000002</v>
      </c>
      <c r="AE7" s="788">
        <f t="shared" si="22"/>
        <v>864.80200000000002</v>
      </c>
      <c r="AF7" s="552">
        <f t="shared" si="22"/>
        <v>848.31599999999992</v>
      </c>
      <c r="AG7" s="552">
        <f t="shared" si="22"/>
        <v>825.52800000000013</v>
      </c>
      <c r="AH7" s="552">
        <f t="shared" si="22"/>
        <v>859.61800000000005</v>
      </c>
      <c r="AI7" s="552">
        <f t="shared" si="22"/>
        <v>777.93100000000004</v>
      </c>
      <c r="AJ7" s="788">
        <f t="shared" si="22"/>
        <v>777.93100000000004</v>
      </c>
      <c r="AK7" s="552">
        <f t="shared" si="22"/>
        <v>698.25999999999988</v>
      </c>
      <c r="AL7" s="552">
        <f t="shared" ref="AL7:BA7" si="23">INDEX(MO_BSS_Cash,0,COLUMN())</f>
        <v>479.67900000000003</v>
      </c>
      <c r="AM7" s="552">
        <f t="shared" si="23"/>
        <v>438.90699999999998</v>
      </c>
      <c r="AN7" s="552">
        <f t="shared" si="23"/>
        <v>487.81700000000001</v>
      </c>
      <c r="AO7" s="788">
        <f t="shared" si="23"/>
        <v>487.81700000000001</v>
      </c>
      <c r="AP7" s="552">
        <f t="shared" si="23"/>
        <v>513.02600000000007</v>
      </c>
      <c r="AQ7" s="552">
        <f t="shared" si="23"/>
        <v>526.60299999999995</v>
      </c>
      <c r="AR7" s="552">
        <f t="shared" si="23"/>
        <v>591.61500000000001</v>
      </c>
      <c r="AS7" s="552">
        <f t="shared" si="23"/>
        <v>596.54</v>
      </c>
      <c r="AT7" s="788">
        <f t="shared" si="23"/>
        <v>596.54</v>
      </c>
      <c r="AU7" s="552">
        <f t="shared" si="23"/>
        <v>589.28099999999995</v>
      </c>
      <c r="AV7" s="552">
        <f t="shared" si="23"/>
        <v>559.25400000000002</v>
      </c>
      <c r="AW7" s="552">
        <f t="shared" si="23"/>
        <v>532.67399999999998</v>
      </c>
      <c r="AX7" s="552">
        <f t="shared" si="23"/>
        <v>480.64100000000002</v>
      </c>
      <c r="AY7" s="788">
        <f t="shared" si="23"/>
        <v>480.64100000000002</v>
      </c>
      <c r="AZ7" s="552">
        <f t="shared" si="23"/>
        <v>465.91499999999996</v>
      </c>
      <c r="BA7" s="552">
        <f t="shared" si="23"/>
        <v>422.214</v>
      </c>
      <c r="BB7" s="552">
        <f t="shared" ref="BB7:BG7" si="24">INDEX(MO_BSS_Cash,0,COLUMN())</f>
        <v>422.98700000000002</v>
      </c>
      <c r="BC7" s="552">
        <f t="shared" si="24"/>
        <v>401.38200000000006</v>
      </c>
      <c r="BD7" s="788">
        <f t="shared" si="24"/>
        <v>401.38200000000006</v>
      </c>
      <c r="BE7" s="552">
        <f t="shared" si="24"/>
        <v>414.738</v>
      </c>
      <c r="BF7" s="552">
        <f t="shared" si="24"/>
        <v>397.68299999999994</v>
      </c>
      <c r="BG7" s="552">
        <f t="shared" si="24"/>
        <v>426.92200000000003</v>
      </c>
      <c r="BH7" s="552">
        <f t="shared" ref="BH7:BN7" si="25">INDEX(MO_BSS_Cash,0,COLUMN())</f>
        <v>441.48700000000002</v>
      </c>
      <c r="BI7" s="788">
        <f t="shared" si="25"/>
        <v>441.48700000000002</v>
      </c>
      <c r="BJ7" s="552">
        <f t="shared" si="25"/>
        <v>420.88499999999999</v>
      </c>
      <c r="BK7" s="552">
        <f t="shared" si="25"/>
        <v>385.17</v>
      </c>
      <c r="BL7" s="597">
        <f>INDEX(MO_BSS_Cash,0,COLUMN())</f>
        <v>397.40300000000002</v>
      </c>
      <c r="BM7" s="552" t="e">
        <f t="shared" si="25"/>
        <v>#REF!</v>
      </c>
      <c r="BN7" s="788" t="e">
        <f t="shared" si="25"/>
        <v>#REF!</v>
      </c>
      <c r="BO7" s="552" t="e">
        <f t="shared" ref="BO7:BV7" si="26">INDEX(MO_BSS_Cash,0,COLUMN())</f>
        <v>#REF!</v>
      </c>
      <c r="BP7" s="552" t="e">
        <f t="shared" si="26"/>
        <v>#REF!</v>
      </c>
      <c r="BQ7" s="552" t="e">
        <f t="shared" si="26"/>
        <v>#REF!</v>
      </c>
      <c r="BR7" s="552" t="e">
        <f t="shared" si="26"/>
        <v>#REF!</v>
      </c>
      <c r="BS7" s="788" t="e">
        <f t="shared" si="26"/>
        <v>#REF!</v>
      </c>
      <c r="BT7" s="788" t="e">
        <f t="shared" si="26"/>
        <v>#REF!</v>
      </c>
      <c r="BU7" s="788" t="e">
        <f t="shared" si="26"/>
        <v>#REF!</v>
      </c>
      <c r="BV7" s="788" t="e">
        <f t="shared" si="26"/>
        <v>#REF!</v>
      </c>
      <c r="BW7" s="552"/>
    </row>
    <row r="8" spans="1:75" s="481" customFormat="1">
      <c r="A8" s="93" t="str">
        <f>INDEX(MO_BSS_Debt,0,COLUMN())</f>
        <v>Debt</v>
      </c>
      <c r="B8" s="94"/>
      <c r="C8" s="788"/>
      <c r="D8" s="788"/>
      <c r="E8" s="788"/>
      <c r="F8" s="788">
        <f t="shared" ref="F8:AK8" si="27">INDEX(MO_BSS_Debt,0,COLUMN())</f>
        <v>0</v>
      </c>
      <c r="G8" s="552">
        <f t="shared" si="27"/>
        <v>0</v>
      </c>
      <c r="H8" s="552">
        <f t="shared" si="27"/>
        <v>0</v>
      </c>
      <c r="I8" s="552">
        <f t="shared" si="27"/>
        <v>0</v>
      </c>
      <c r="J8" s="552">
        <f t="shared" si="27"/>
        <v>0</v>
      </c>
      <c r="K8" s="788">
        <f t="shared" si="27"/>
        <v>0</v>
      </c>
      <c r="L8" s="552">
        <f t="shared" si="27"/>
        <v>0</v>
      </c>
      <c r="M8" s="552">
        <f t="shared" si="27"/>
        <v>0</v>
      </c>
      <c r="N8" s="552">
        <f t="shared" si="27"/>
        <v>0</v>
      </c>
      <c r="O8" s="552">
        <f t="shared" si="27"/>
        <v>0</v>
      </c>
      <c r="P8" s="788">
        <f t="shared" si="27"/>
        <v>0</v>
      </c>
      <c r="Q8" s="552">
        <f t="shared" si="27"/>
        <v>0</v>
      </c>
      <c r="R8" s="552">
        <f t="shared" si="27"/>
        <v>0</v>
      </c>
      <c r="S8" s="552">
        <f t="shared" si="27"/>
        <v>0</v>
      </c>
      <c r="T8" s="552">
        <f t="shared" si="27"/>
        <v>0</v>
      </c>
      <c r="U8" s="788">
        <f t="shared" si="27"/>
        <v>0</v>
      </c>
      <c r="V8" s="552">
        <f t="shared" si="27"/>
        <v>0</v>
      </c>
      <c r="W8" s="552">
        <f t="shared" si="27"/>
        <v>0</v>
      </c>
      <c r="X8" s="552">
        <f t="shared" si="27"/>
        <v>0</v>
      </c>
      <c r="Y8" s="552">
        <f t="shared" si="27"/>
        <v>0</v>
      </c>
      <c r="Z8" s="788">
        <f t="shared" si="27"/>
        <v>0</v>
      </c>
      <c r="AA8" s="552">
        <f t="shared" si="27"/>
        <v>0</v>
      </c>
      <c r="AB8" s="552">
        <f t="shared" si="27"/>
        <v>0</v>
      </c>
      <c r="AC8" s="552">
        <f t="shared" si="27"/>
        <v>0</v>
      </c>
      <c r="AD8" s="552">
        <f t="shared" si="27"/>
        <v>0</v>
      </c>
      <c r="AE8" s="788">
        <f t="shared" si="27"/>
        <v>0</v>
      </c>
      <c r="AF8" s="552">
        <f t="shared" si="27"/>
        <v>0</v>
      </c>
      <c r="AG8" s="552">
        <f t="shared" si="27"/>
        <v>0</v>
      </c>
      <c r="AH8" s="552">
        <f t="shared" si="27"/>
        <v>0</v>
      </c>
      <c r="AI8" s="552">
        <f t="shared" si="27"/>
        <v>0</v>
      </c>
      <c r="AJ8" s="788">
        <f t="shared" si="27"/>
        <v>0</v>
      </c>
      <c r="AK8" s="552">
        <f t="shared" si="27"/>
        <v>0</v>
      </c>
      <c r="AL8" s="552">
        <f t="shared" ref="AL8:BA8" si="28">INDEX(MO_BSS_Debt,0,COLUMN())</f>
        <v>0</v>
      </c>
      <c r="AM8" s="552">
        <f t="shared" si="28"/>
        <v>0</v>
      </c>
      <c r="AN8" s="552">
        <f t="shared" si="28"/>
        <v>0</v>
      </c>
      <c r="AO8" s="788">
        <f t="shared" si="28"/>
        <v>0</v>
      </c>
      <c r="AP8" s="552">
        <f t="shared" si="28"/>
        <v>0</v>
      </c>
      <c r="AQ8" s="552">
        <f t="shared" si="28"/>
        <v>0</v>
      </c>
      <c r="AR8" s="552">
        <f t="shared" si="28"/>
        <v>0</v>
      </c>
      <c r="AS8" s="552">
        <f t="shared" si="28"/>
        <v>0</v>
      </c>
      <c r="AT8" s="788">
        <f t="shared" si="28"/>
        <v>0</v>
      </c>
      <c r="AU8" s="552">
        <f t="shared" si="28"/>
        <v>0</v>
      </c>
      <c r="AV8" s="552">
        <f t="shared" si="28"/>
        <v>0</v>
      </c>
      <c r="AW8" s="552">
        <f t="shared" si="28"/>
        <v>0</v>
      </c>
      <c r="AX8" s="552">
        <f t="shared" si="28"/>
        <v>0</v>
      </c>
      <c r="AY8" s="788">
        <f t="shared" si="28"/>
        <v>0</v>
      </c>
      <c r="AZ8" s="552">
        <f t="shared" si="28"/>
        <v>0</v>
      </c>
      <c r="BA8" s="552">
        <f t="shared" si="28"/>
        <v>0</v>
      </c>
      <c r="BB8" s="552">
        <f t="shared" ref="BB8:BG8" si="29">INDEX(MO_BSS_Debt,0,COLUMN())</f>
        <v>0</v>
      </c>
      <c r="BC8" s="552">
        <f t="shared" si="29"/>
        <v>0</v>
      </c>
      <c r="BD8" s="788">
        <f t="shared" si="29"/>
        <v>0</v>
      </c>
      <c r="BE8" s="552">
        <f t="shared" si="29"/>
        <v>0</v>
      </c>
      <c r="BF8" s="552">
        <f t="shared" si="29"/>
        <v>0</v>
      </c>
      <c r="BG8" s="552">
        <f t="shared" si="29"/>
        <v>0</v>
      </c>
      <c r="BH8" s="552">
        <f t="shared" ref="BH8:BN8" si="30">INDEX(MO_BSS_Debt,0,COLUMN())</f>
        <v>0</v>
      </c>
      <c r="BI8" s="788">
        <f t="shared" si="30"/>
        <v>0</v>
      </c>
      <c r="BJ8" s="552">
        <f t="shared" si="30"/>
        <v>0</v>
      </c>
      <c r="BK8" s="552">
        <f t="shared" si="30"/>
        <v>0</v>
      </c>
      <c r="BL8" s="597">
        <f>INDEX(MO_BSS_Debt,0,COLUMN())</f>
        <v>0</v>
      </c>
      <c r="BM8" s="552">
        <f t="shared" si="30"/>
        <v>0</v>
      </c>
      <c r="BN8" s="788">
        <f t="shared" si="30"/>
        <v>0</v>
      </c>
      <c r="BO8" s="552">
        <f t="shared" ref="BO8:BV8" si="31">INDEX(MO_BSS_Debt,0,COLUMN())</f>
        <v>0</v>
      </c>
      <c r="BP8" s="552">
        <f t="shared" si="31"/>
        <v>0</v>
      </c>
      <c r="BQ8" s="552">
        <f t="shared" si="31"/>
        <v>0</v>
      </c>
      <c r="BR8" s="552">
        <f t="shared" si="31"/>
        <v>0</v>
      </c>
      <c r="BS8" s="788">
        <f t="shared" si="31"/>
        <v>0</v>
      </c>
      <c r="BT8" s="788">
        <f t="shared" si="31"/>
        <v>0</v>
      </c>
      <c r="BU8" s="788">
        <f t="shared" si="31"/>
        <v>0</v>
      </c>
      <c r="BV8" s="788">
        <f t="shared" si="31"/>
        <v>0</v>
      </c>
      <c r="BW8" s="552"/>
    </row>
    <row r="9" spans="1:75" s="481" customFormat="1">
      <c r="A9" s="93" t="s">
        <v>412</v>
      </c>
      <c r="B9" s="94"/>
      <c r="C9" s="788">
        <f t="shared" ref="C9:AH9" si="32">INDEX(MO_BSS_OL,0,COLUMN())</f>
        <v>0</v>
      </c>
      <c r="D9" s="788">
        <f t="shared" si="32"/>
        <v>0</v>
      </c>
      <c r="E9" s="788">
        <f t="shared" si="32"/>
        <v>0</v>
      </c>
      <c r="F9" s="788">
        <f t="shared" si="32"/>
        <v>0</v>
      </c>
      <c r="G9" s="552">
        <f t="shared" si="32"/>
        <v>0</v>
      </c>
      <c r="H9" s="552">
        <f t="shared" si="32"/>
        <v>0</v>
      </c>
      <c r="I9" s="552">
        <f t="shared" si="32"/>
        <v>0</v>
      </c>
      <c r="J9" s="552">
        <f t="shared" si="32"/>
        <v>0</v>
      </c>
      <c r="K9" s="788">
        <f t="shared" si="32"/>
        <v>0</v>
      </c>
      <c r="L9" s="552">
        <f t="shared" si="32"/>
        <v>0</v>
      </c>
      <c r="M9" s="552">
        <f t="shared" si="32"/>
        <v>0</v>
      </c>
      <c r="N9" s="552">
        <f t="shared" si="32"/>
        <v>0</v>
      </c>
      <c r="O9" s="552">
        <f t="shared" si="32"/>
        <v>0</v>
      </c>
      <c r="P9" s="788">
        <f t="shared" si="32"/>
        <v>0</v>
      </c>
      <c r="Q9" s="552">
        <f t="shared" si="32"/>
        <v>0</v>
      </c>
      <c r="R9" s="552">
        <f t="shared" si="32"/>
        <v>0</v>
      </c>
      <c r="S9" s="552">
        <f t="shared" si="32"/>
        <v>0</v>
      </c>
      <c r="T9" s="552">
        <f t="shared" si="32"/>
        <v>0</v>
      </c>
      <c r="U9" s="788">
        <f t="shared" si="32"/>
        <v>0</v>
      </c>
      <c r="V9" s="552">
        <f t="shared" si="32"/>
        <v>0</v>
      </c>
      <c r="W9" s="552">
        <f t="shared" si="32"/>
        <v>0</v>
      </c>
      <c r="X9" s="552">
        <f t="shared" si="32"/>
        <v>0</v>
      </c>
      <c r="Y9" s="552">
        <f t="shared" si="32"/>
        <v>0</v>
      </c>
      <c r="Z9" s="788">
        <f t="shared" si="32"/>
        <v>0</v>
      </c>
      <c r="AA9" s="552">
        <f t="shared" si="32"/>
        <v>0</v>
      </c>
      <c r="AB9" s="552">
        <f t="shared" si="32"/>
        <v>0</v>
      </c>
      <c r="AC9" s="552">
        <f t="shared" si="32"/>
        <v>0</v>
      </c>
      <c r="AD9" s="552">
        <f t="shared" si="32"/>
        <v>0</v>
      </c>
      <c r="AE9" s="788">
        <f t="shared" si="32"/>
        <v>0</v>
      </c>
      <c r="AF9" s="552">
        <f t="shared" si="32"/>
        <v>0</v>
      </c>
      <c r="AG9" s="552">
        <f t="shared" si="32"/>
        <v>0</v>
      </c>
      <c r="AH9" s="552">
        <f t="shared" si="32"/>
        <v>0</v>
      </c>
      <c r="AI9" s="552">
        <f t="shared" ref="AI9:BA9" si="33">INDEX(MO_BSS_OL,0,COLUMN())</f>
        <v>0</v>
      </c>
      <c r="AJ9" s="788">
        <f t="shared" si="33"/>
        <v>0</v>
      </c>
      <c r="AK9" s="552">
        <f t="shared" si="33"/>
        <v>264.12299999999999</v>
      </c>
      <c r="AL9" s="552">
        <f t="shared" si="33"/>
        <v>253.77199999999999</v>
      </c>
      <c r="AM9" s="552">
        <f t="shared" si="33"/>
        <v>243.06900000000002</v>
      </c>
      <c r="AN9" s="552">
        <f t="shared" si="33"/>
        <v>232.26300000000001</v>
      </c>
      <c r="AO9" s="788">
        <f t="shared" si="33"/>
        <v>232.26300000000001</v>
      </c>
      <c r="AP9" s="552">
        <f t="shared" si="33"/>
        <v>237.41500000000002</v>
      </c>
      <c r="AQ9" s="552">
        <f t="shared" si="33"/>
        <v>220.94300000000001</v>
      </c>
      <c r="AR9" s="552">
        <f t="shared" si="33"/>
        <v>209.69299999999998</v>
      </c>
      <c r="AS9" s="552">
        <f t="shared" si="33"/>
        <v>200.096</v>
      </c>
      <c r="AT9" s="788">
        <f t="shared" si="33"/>
        <v>200.096</v>
      </c>
      <c r="AU9" s="552">
        <f t="shared" si="33"/>
        <v>197.80199999999999</v>
      </c>
      <c r="AV9" s="552">
        <f t="shared" si="33"/>
        <v>182.30600000000001</v>
      </c>
      <c r="AW9" s="552">
        <f t="shared" si="33"/>
        <v>178.05600000000001</v>
      </c>
      <c r="AX9" s="552">
        <f t="shared" si="33"/>
        <v>168.21600000000001</v>
      </c>
      <c r="AY9" s="788">
        <f t="shared" si="33"/>
        <v>168.21600000000001</v>
      </c>
      <c r="AZ9" s="552">
        <f t="shared" si="33"/>
        <v>158.52799999999999</v>
      </c>
      <c r="BA9" s="552">
        <f t="shared" si="33"/>
        <v>146.98599999999999</v>
      </c>
      <c r="BB9" s="552">
        <f t="shared" ref="BB9:BG9" si="34">INDEX(MO_BSS_OL,0,COLUMN())</f>
        <v>135.316</v>
      </c>
      <c r="BC9" s="552">
        <f t="shared" si="34"/>
        <v>126.33500000000001</v>
      </c>
      <c r="BD9" s="788">
        <f t="shared" si="34"/>
        <v>126.33500000000001</v>
      </c>
      <c r="BE9" s="552">
        <f t="shared" si="34"/>
        <v>116.20699999999999</v>
      </c>
      <c r="BF9" s="552">
        <f t="shared" si="34"/>
        <v>106.023</v>
      </c>
      <c r="BG9" s="552">
        <f t="shared" si="34"/>
        <v>96.259999999999991</v>
      </c>
      <c r="BH9" s="552">
        <f t="shared" ref="BH9:BN9" si="35">INDEX(MO_BSS_OL,0,COLUMN())</f>
        <v>87.299000000000007</v>
      </c>
      <c r="BI9" s="788">
        <f t="shared" si="35"/>
        <v>87.299000000000007</v>
      </c>
      <c r="BJ9" s="552">
        <f t="shared" si="35"/>
        <v>77.373000000000005</v>
      </c>
      <c r="BK9" s="552">
        <f t="shared" si="35"/>
        <v>67.61699999999999</v>
      </c>
      <c r="BL9" s="597">
        <f>INDEX(MO_BSS_OL,0,COLUMN())</f>
        <v>53.927</v>
      </c>
      <c r="BM9" s="552">
        <f t="shared" si="35"/>
        <v>53.927</v>
      </c>
      <c r="BN9" s="788">
        <f t="shared" si="35"/>
        <v>53.927</v>
      </c>
      <c r="BO9" s="552">
        <f t="shared" ref="BO9:BV9" si="36">INDEX(MO_BSS_OL,0,COLUMN())</f>
        <v>53.927</v>
      </c>
      <c r="BP9" s="552">
        <f t="shared" si="36"/>
        <v>53.927</v>
      </c>
      <c r="BQ9" s="552">
        <f t="shared" si="36"/>
        <v>53.927</v>
      </c>
      <c r="BR9" s="552">
        <f t="shared" si="36"/>
        <v>53.927</v>
      </c>
      <c r="BS9" s="788">
        <f t="shared" si="36"/>
        <v>53.927</v>
      </c>
      <c r="BT9" s="788">
        <f t="shared" si="36"/>
        <v>53.927</v>
      </c>
      <c r="BU9" s="788">
        <f t="shared" si="36"/>
        <v>53.927</v>
      </c>
      <c r="BV9" s="788">
        <f t="shared" si="36"/>
        <v>53.927</v>
      </c>
      <c r="BW9" s="552"/>
    </row>
    <row r="10" spans="1:75" s="481" customFormat="1">
      <c r="A10" s="93" t="s">
        <v>428</v>
      </c>
      <c r="B10" s="94"/>
      <c r="C10" s="788"/>
      <c r="D10" s="788"/>
      <c r="E10" s="788"/>
      <c r="F10" s="788">
        <f t="shared" ref="F10:AK10" si="37">INDEX(MO_VA_EVCalc_NCI,0,COLUMN())+INDEX(MO_VA_EVCalc_Prefs,0,COLUMN())+INDEX(MO_VA_EVCalc_Other,0,COLUMN())</f>
        <v>0</v>
      </c>
      <c r="G10" s="552">
        <f t="shared" si="37"/>
        <v>0</v>
      </c>
      <c r="H10" s="552">
        <f t="shared" si="37"/>
        <v>0</v>
      </c>
      <c r="I10" s="552">
        <f t="shared" si="37"/>
        <v>0</v>
      </c>
      <c r="J10" s="552">
        <f t="shared" si="37"/>
        <v>0</v>
      </c>
      <c r="K10" s="788">
        <f t="shared" si="37"/>
        <v>0</v>
      </c>
      <c r="L10" s="552">
        <f t="shared" si="37"/>
        <v>0</v>
      </c>
      <c r="M10" s="552">
        <f t="shared" si="37"/>
        <v>0</v>
      </c>
      <c r="N10" s="552">
        <f t="shared" si="37"/>
        <v>0</v>
      </c>
      <c r="O10" s="552">
        <f t="shared" si="37"/>
        <v>0</v>
      </c>
      <c r="P10" s="788">
        <f t="shared" si="37"/>
        <v>0</v>
      </c>
      <c r="Q10" s="552">
        <f t="shared" si="37"/>
        <v>0</v>
      </c>
      <c r="R10" s="552">
        <f t="shared" si="37"/>
        <v>0</v>
      </c>
      <c r="S10" s="552">
        <f t="shared" si="37"/>
        <v>0</v>
      </c>
      <c r="T10" s="552">
        <f t="shared" si="37"/>
        <v>0</v>
      </c>
      <c r="U10" s="788">
        <f t="shared" si="37"/>
        <v>0</v>
      </c>
      <c r="V10" s="552">
        <f t="shared" si="37"/>
        <v>0</v>
      </c>
      <c r="W10" s="552">
        <f t="shared" si="37"/>
        <v>0</v>
      </c>
      <c r="X10" s="552">
        <f t="shared" si="37"/>
        <v>0</v>
      </c>
      <c r="Y10" s="552">
        <f t="shared" si="37"/>
        <v>0</v>
      </c>
      <c r="Z10" s="788">
        <f t="shared" si="37"/>
        <v>0</v>
      </c>
      <c r="AA10" s="552">
        <f t="shared" si="37"/>
        <v>0</v>
      </c>
      <c r="AB10" s="552">
        <f t="shared" si="37"/>
        <v>0</v>
      </c>
      <c r="AC10" s="552">
        <f t="shared" si="37"/>
        <v>0</v>
      </c>
      <c r="AD10" s="552">
        <f t="shared" si="37"/>
        <v>0</v>
      </c>
      <c r="AE10" s="788">
        <f t="shared" si="37"/>
        <v>0</v>
      </c>
      <c r="AF10" s="552">
        <f t="shared" si="37"/>
        <v>0</v>
      </c>
      <c r="AG10" s="552">
        <f t="shared" si="37"/>
        <v>0</v>
      </c>
      <c r="AH10" s="552">
        <f t="shared" si="37"/>
        <v>0</v>
      </c>
      <c r="AI10" s="552">
        <f t="shared" si="37"/>
        <v>0</v>
      </c>
      <c r="AJ10" s="788">
        <f t="shared" si="37"/>
        <v>0</v>
      </c>
      <c r="AK10" s="552">
        <f t="shared" si="37"/>
        <v>0</v>
      </c>
      <c r="AL10" s="552">
        <f t="shared" ref="AL10:BA10" si="38">INDEX(MO_VA_EVCalc_NCI,0,COLUMN())+INDEX(MO_VA_EVCalc_Prefs,0,COLUMN())+INDEX(MO_VA_EVCalc_Other,0,COLUMN())</f>
        <v>0</v>
      </c>
      <c r="AM10" s="552">
        <f t="shared" si="38"/>
        <v>0</v>
      </c>
      <c r="AN10" s="552">
        <f t="shared" si="38"/>
        <v>0</v>
      </c>
      <c r="AO10" s="788">
        <f t="shared" si="38"/>
        <v>0</v>
      </c>
      <c r="AP10" s="552">
        <f t="shared" si="38"/>
        <v>0</v>
      </c>
      <c r="AQ10" s="552">
        <f t="shared" si="38"/>
        <v>0</v>
      </c>
      <c r="AR10" s="552">
        <f t="shared" si="38"/>
        <v>0</v>
      </c>
      <c r="AS10" s="552">
        <f t="shared" si="38"/>
        <v>0</v>
      </c>
      <c r="AT10" s="788">
        <f t="shared" si="38"/>
        <v>0</v>
      </c>
      <c r="AU10" s="552">
        <f t="shared" si="38"/>
        <v>0</v>
      </c>
      <c r="AV10" s="552">
        <f t="shared" si="38"/>
        <v>0</v>
      </c>
      <c r="AW10" s="552">
        <f t="shared" si="38"/>
        <v>0</v>
      </c>
      <c r="AX10" s="552">
        <f t="shared" si="38"/>
        <v>0</v>
      </c>
      <c r="AY10" s="788">
        <f t="shared" si="38"/>
        <v>0</v>
      </c>
      <c r="AZ10" s="552">
        <f t="shared" si="38"/>
        <v>0</v>
      </c>
      <c r="BA10" s="552">
        <f t="shared" si="38"/>
        <v>0</v>
      </c>
      <c r="BB10" s="552">
        <f t="shared" ref="BB10:BG10" si="39">INDEX(MO_VA_EVCalc_NCI,0,COLUMN())+INDEX(MO_VA_EVCalc_Prefs,0,COLUMN())+INDEX(MO_VA_EVCalc_Other,0,COLUMN())</f>
        <v>0</v>
      </c>
      <c r="BC10" s="552">
        <f t="shared" si="39"/>
        <v>0</v>
      </c>
      <c r="BD10" s="788">
        <f t="shared" si="39"/>
        <v>0</v>
      </c>
      <c r="BE10" s="552">
        <f t="shared" si="39"/>
        <v>0</v>
      </c>
      <c r="BF10" s="552">
        <f t="shared" si="39"/>
        <v>0</v>
      </c>
      <c r="BG10" s="552">
        <f t="shared" si="39"/>
        <v>0</v>
      </c>
      <c r="BH10" s="552">
        <f t="shared" ref="BH10:BN10" si="40">INDEX(MO_VA_EVCalc_NCI,0,COLUMN())+INDEX(MO_VA_EVCalc_Prefs,0,COLUMN())+INDEX(MO_VA_EVCalc_Other,0,COLUMN())</f>
        <v>0</v>
      </c>
      <c r="BI10" s="788">
        <f t="shared" si="40"/>
        <v>0</v>
      </c>
      <c r="BJ10" s="552">
        <f t="shared" si="40"/>
        <v>0</v>
      </c>
      <c r="BK10" s="552">
        <f t="shared" si="40"/>
        <v>0</v>
      </c>
      <c r="BL10" s="597">
        <f>INDEX(MO_VA_EVCalc_NCI,0,COLUMN())+INDEX(MO_VA_EVCalc_Prefs,0,COLUMN())+INDEX(MO_VA_EVCalc_Other,0,COLUMN())</f>
        <v>0</v>
      </c>
      <c r="BM10" s="552">
        <f t="shared" si="40"/>
        <v>0</v>
      </c>
      <c r="BN10" s="788">
        <f t="shared" si="40"/>
        <v>0</v>
      </c>
      <c r="BO10" s="552">
        <f t="shared" ref="BO10:BV10" si="41">INDEX(MO_VA_EVCalc_NCI,0,COLUMN())+INDEX(MO_VA_EVCalc_Prefs,0,COLUMN())+INDEX(MO_VA_EVCalc_Other,0,COLUMN())</f>
        <v>0</v>
      </c>
      <c r="BP10" s="552">
        <f t="shared" si="41"/>
        <v>0</v>
      </c>
      <c r="BQ10" s="552">
        <f t="shared" si="41"/>
        <v>0</v>
      </c>
      <c r="BR10" s="552">
        <f t="shared" si="41"/>
        <v>0</v>
      </c>
      <c r="BS10" s="788">
        <f t="shared" si="41"/>
        <v>0</v>
      </c>
      <c r="BT10" s="788">
        <f t="shared" si="41"/>
        <v>0</v>
      </c>
      <c r="BU10" s="788">
        <f t="shared" si="41"/>
        <v>0</v>
      </c>
      <c r="BV10" s="788">
        <f t="shared" si="41"/>
        <v>0</v>
      </c>
      <c r="BW10" s="552"/>
    </row>
    <row r="11" spans="1:75" s="478" customFormat="1">
      <c r="A11" s="95" t="str">
        <f>"Enterprise Value - "&amp;SP.ValuationToggle</f>
        <v>Enterprise Value - EoP</v>
      </c>
      <c r="B11" s="96"/>
      <c r="C11" s="789"/>
      <c r="D11" s="789"/>
      <c r="E11" s="789"/>
      <c r="F11" s="789">
        <f t="shared" ref="F11:AK11" si="42">INDEX(SP_CS_MarketCap,0,COLUMN())-INDEX(SP_CS_Cash,0,COLUMN())+INDEX(SP_CS_Debt,0,COLUMN())+INDEX(SP_CS_OL,0,COLUMN())+INDEX(SP_CS_EVCalc_Other,0,COLUMN())</f>
        <v>1094.6320532599998</v>
      </c>
      <c r="G11" s="598">
        <f t="shared" si="42"/>
        <v>1420.8806214900003</v>
      </c>
      <c r="H11" s="598">
        <f t="shared" si="42"/>
        <v>2153.7033343900002</v>
      </c>
      <c r="I11" s="598">
        <f t="shared" si="42"/>
        <v>4374.1345090499999</v>
      </c>
      <c r="J11" s="598">
        <f t="shared" si="42"/>
        <v>4280.5645282300002</v>
      </c>
      <c r="K11" s="789">
        <f t="shared" si="42"/>
        <v>4280.5645282300002</v>
      </c>
      <c r="L11" s="598">
        <f t="shared" si="42"/>
        <v>5061.59516196</v>
      </c>
      <c r="M11" s="598">
        <f t="shared" si="42"/>
        <v>5556.2145660799997</v>
      </c>
      <c r="N11" s="598">
        <f t="shared" si="42"/>
        <v>4960.9892296200014</v>
      </c>
      <c r="O11" s="598">
        <f t="shared" si="42"/>
        <v>3641.7086748800011</v>
      </c>
      <c r="P11" s="789">
        <f t="shared" si="42"/>
        <v>3641.7086748800011</v>
      </c>
      <c r="Q11" s="598">
        <f t="shared" si="42"/>
        <v>3267.6729368900005</v>
      </c>
      <c r="R11" s="598">
        <f t="shared" si="42"/>
        <v>2896.8161960899997</v>
      </c>
      <c r="S11" s="598">
        <f t="shared" si="42"/>
        <v>1252.6681650600003</v>
      </c>
      <c r="T11" s="598">
        <f t="shared" si="42"/>
        <v>1816.7658425000004</v>
      </c>
      <c r="U11" s="789">
        <f t="shared" si="42"/>
        <v>1816.7658425000004</v>
      </c>
      <c r="V11" s="598">
        <f t="shared" si="42"/>
        <v>1201.9589825000003</v>
      </c>
      <c r="W11" s="598">
        <f t="shared" si="42"/>
        <v>1916.2807016000004</v>
      </c>
      <c r="X11" s="598">
        <f t="shared" si="42"/>
        <v>2980.82975902</v>
      </c>
      <c r="Y11" s="598">
        <f t="shared" si="42"/>
        <v>2742.0202222900007</v>
      </c>
      <c r="Z11" s="789">
        <f t="shared" si="42"/>
        <v>2742.0202222900007</v>
      </c>
      <c r="AA11" s="598">
        <f t="shared" si="42"/>
        <v>2286.3764542800004</v>
      </c>
      <c r="AB11" s="598">
        <f t="shared" si="42"/>
        <v>2028.7580403300001</v>
      </c>
      <c r="AC11" s="598">
        <f t="shared" si="42"/>
        <v>3229.9756778000001</v>
      </c>
      <c r="AD11" s="598">
        <f t="shared" si="42"/>
        <v>2891.6634753599997</v>
      </c>
      <c r="AE11" s="789">
        <f t="shared" si="42"/>
        <v>2891.6634753599997</v>
      </c>
      <c r="AF11" s="598">
        <f t="shared" si="42"/>
        <v>2883.9882924999997</v>
      </c>
      <c r="AG11" s="598">
        <f t="shared" si="42"/>
        <v>2648.7466284599996</v>
      </c>
      <c r="AH11" s="598">
        <f t="shared" si="42"/>
        <v>3523.6602332000007</v>
      </c>
      <c r="AI11" s="598">
        <f t="shared" si="42"/>
        <v>2167.6582183800001</v>
      </c>
      <c r="AJ11" s="789">
        <f t="shared" si="42"/>
        <v>2167.6582183800001</v>
      </c>
      <c r="AK11" s="598">
        <f t="shared" si="42"/>
        <v>2429.5296005000005</v>
      </c>
      <c r="AL11" s="598">
        <f t="shared" ref="AL11:BA11" si="43">INDEX(SP_CS_MarketCap,0,COLUMN())-INDEX(SP_CS_Cash,0,COLUMN())+INDEX(SP_CS_Debt,0,COLUMN())+INDEX(SP_CS_OL,0,COLUMN())+INDEX(SP_CS_EVCalc_Other,0,COLUMN())</f>
        <v>2326.6899559799999</v>
      </c>
      <c r="AM11" s="598">
        <f t="shared" si="43"/>
        <v>2321.6037296600002</v>
      </c>
      <c r="AN11" s="598">
        <f t="shared" si="43"/>
        <v>2287.6482834399999</v>
      </c>
      <c r="AO11" s="789">
        <f t="shared" si="43"/>
        <v>2287.6482834399999</v>
      </c>
      <c r="AP11" s="598">
        <f t="shared" si="43"/>
        <v>1025.95374038</v>
      </c>
      <c r="AQ11" s="598">
        <f t="shared" si="43"/>
        <v>1314.9219866299998</v>
      </c>
      <c r="AR11" s="598">
        <f t="shared" si="43"/>
        <v>1150.1512940900002</v>
      </c>
      <c r="AS11" s="598">
        <f t="shared" si="43"/>
        <v>2062.5962340000001</v>
      </c>
      <c r="AT11" s="789">
        <f t="shared" si="43"/>
        <v>2062.5962340000001</v>
      </c>
      <c r="AU11" s="598">
        <f t="shared" si="43"/>
        <v>2598.1688296300003</v>
      </c>
      <c r="AV11" s="598">
        <f t="shared" si="43"/>
        <v>2798.6384336900001</v>
      </c>
      <c r="AW11" s="598">
        <f t="shared" si="43"/>
        <v>2572.2871523999997</v>
      </c>
      <c r="AX11" s="598">
        <f t="shared" si="43"/>
        <v>2433.4216815999994</v>
      </c>
      <c r="AY11" s="789">
        <f t="shared" si="43"/>
        <v>2433.4216815999994</v>
      </c>
      <c r="AZ11" s="598">
        <f t="shared" si="43"/>
        <v>2287.7250799999997</v>
      </c>
      <c r="BA11" s="598">
        <f t="shared" si="43"/>
        <v>1795.5943899999997</v>
      </c>
      <c r="BB11" s="598">
        <f t="shared" ref="BB11:BG11" si="44">INDEX(SP_CS_MarketCap,0,COLUMN())-INDEX(SP_CS_Cash,0,COLUMN())+INDEX(SP_CS_Debt,0,COLUMN())+INDEX(SP_CS_OL,0,COLUMN())+INDEX(SP_CS_EVCalc_Other,0,COLUMN())</f>
        <v>2158.1887900000002</v>
      </c>
      <c r="BC11" s="598">
        <f t="shared" si="44"/>
        <v>1677.1110199999998</v>
      </c>
      <c r="BD11" s="789">
        <f t="shared" si="44"/>
        <v>1677.1110199999998</v>
      </c>
      <c r="BE11" s="598">
        <f t="shared" si="44"/>
        <v>1837.6938999999998</v>
      </c>
      <c r="BF11" s="598">
        <f t="shared" si="44"/>
        <v>2307.5204300000005</v>
      </c>
      <c r="BG11" s="598">
        <f t="shared" si="44"/>
        <v>2726.1198200000008</v>
      </c>
      <c r="BH11" s="598">
        <f t="shared" ref="BH11:BN11" si="45">INDEX(SP_CS_MarketCap,0,COLUMN())-INDEX(SP_CS_Cash,0,COLUMN())+INDEX(SP_CS_Debt,0,COLUMN())+INDEX(SP_CS_OL,0,COLUMN())+INDEX(SP_CS_EVCalc_Other,0,COLUMN())</f>
        <v>3112.6622200000002</v>
      </c>
      <c r="BI11" s="789">
        <f t="shared" si="45"/>
        <v>3112.6622200000002</v>
      </c>
      <c r="BJ11" s="598">
        <f t="shared" si="45"/>
        <v>2493.9972000000002</v>
      </c>
      <c r="BK11" s="598">
        <f t="shared" si="45"/>
        <v>2278.2214500000005</v>
      </c>
      <c r="BL11" s="599">
        <f>INDEX(SP_CS_MarketCap,0,COLUMN())-INDEX(SP_CS_Cash,0,COLUMN())+INDEX(SP_CS_Debt,0,COLUMN())+INDEX(SP_CS_OL,0,COLUMN())+INDEX(SP_CS_EVCalc_Other,0,COLUMN())</f>
        <v>2050.7216199999998</v>
      </c>
      <c r="BM11" s="598" t="e">
        <f t="shared" si="45"/>
        <v>#REF!</v>
      </c>
      <c r="BN11" s="789" t="e">
        <f t="shared" si="45"/>
        <v>#REF!</v>
      </c>
      <c r="BO11" s="598" t="e">
        <f t="shared" ref="BO11:BV11" si="46">INDEX(SP_CS_MarketCap,0,COLUMN())-INDEX(SP_CS_Cash,0,COLUMN())+INDEX(SP_CS_Debt,0,COLUMN())+INDEX(SP_CS_OL,0,COLUMN())+INDEX(SP_CS_EVCalc_Other,0,COLUMN())</f>
        <v>#REF!</v>
      </c>
      <c r="BP11" s="598" t="e">
        <f t="shared" si="46"/>
        <v>#REF!</v>
      </c>
      <c r="BQ11" s="598" t="e">
        <f t="shared" si="46"/>
        <v>#REF!</v>
      </c>
      <c r="BR11" s="598" t="e">
        <f t="shared" si="46"/>
        <v>#REF!</v>
      </c>
      <c r="BS11" s="789" t="e">
        <f t="shared" si="46"/>
        <v>#REF!</v>
      </c>
      <c r="BT11" s="789" t="e">
        <f t="shared" si="46"/>
        <v>#REF!</v>
      </c>
      <c r="BU11" s="789" t="e">
        <f t="shared" si="46"/>
        <v>#REF!</v>
      </c>
      <c r="BV11" s="789" t="e">
        <f t="shared" si="46"/>
        <v>#REF!</v>
      </c>
      <c r="BW11" s="551"/>
    </row>
    <row r="12" spans="1:75" s="478" customFormat="1">
      <c r="A12" s="92"/>
      <c r="B12" s="97"/>
      <c r="C12" s="787"/>
      <c r="D12" s="787"/>
      <c r="E12" s="787"/>
      <c r="F12" s="787"/>
      <c r="G12" s="551"/>
      <c r="H12" s="551"/>
      <c r="I12" s="551"/>
      <c r="J12" s="551"/>
      <c r="K12" s="787"/>
      <c r="L12" s="551"/>
      <c r="M12" s="551"/>
      <c r="N12" s="551"/>
      <c r="O12" s="551"/>
      <c r="P12" s="787"/>
      <c r="Q12" s="551"/>
      <c r="R12" s="551"/>
      <c r="S12" s="551"/>
      <c r="T12" s="551"/>
      <c r="U12" s="787"/>
      <c r="V12" s="551"/>
      <c r="W12" s="551"/>
      <c r="X12" s="551"/>
      <c r="Y12" s="551"/>
      <c r="Z12" s="787"/>
      <c r="AA12" s="551"/>
      <c r="AB12" s="551"/>
      <c r="AC12" s="551"/>
      <c r="AD12" s="551"/>
      <c r="AE12" s="787"/>
      <c r="AF12" s="551"/>
      <c r="AG12" s="551"/>
      <c r="AH12" s="551"/>
      <c r="AI12" s="551"/>
      <c r="AJ12" s="787"/>
      <c r="AK12" s="551"/>
      <c r="AL12" s="551"/>
      <c r="AM12" s="551"/>
      <c r="AN12" s="551"/>
      <c r="AO12" s="787"/>
      <c r="AP12" s="551"/>
      <c r="AQ12" s="551"/>
      <c r="AR12" s="551"/>
      <c r="AS12" s="551"/>
      <c r="AT12" s="787"/>
      <c r="AU12" s="551"/>
      <c r="AV12" s="551"/>
      <c r="AW12" s="551"/>
      <c r="AX12" s="551"/>
      <c r="AY12" s="787"/>
      <c r="AZ12" s="551"/>
      <c r="BA12" s="551"/>
      <c r="BB12" s="551"/>
      <c r="BC12" s="551"/>
      <c r="BD12" s="787"/>
      <c r="BE12" s="551"/>
      <c r="BF12" s="551"/>
      <c r="BG12" s="551"/>
      <c r="BH12" s="551"/>
      <c r="BI12" s="787"/>
      <c r="BJ12" s="551"/>
      <c r="BK12" s="551"/>
      <c r="BL12" s="596"/>
      <c r="BM12" s="551"/>
      <c r="BN12" s="787"/>
      <c r="BO12" s="551"/>
      <c r="BP12" s="551"/>
      <c r="BQ12" s="551"/>
      <c r="BR12" s="551"/>
      <c r="BS12" s="787"/>
      <c r="BT12" s="787"/>
      <c r="BU12" s="787"/>
      <c r="BV12" s="787"/>
      <c r="BW12" s="551"/>
    </row>
    <row r="13" spans="1:75" s="479" customFormat="1">
      <c r="A13" s="55" t="s">
        <v>638</v>
      </c>
      <c r="B13" s="553"/>
      <c r="C13" s="553"/>
      <c r="D13" s="553"/>
      <c r="E13" s="553"/>
      <c r="F13" s="553"/>
      <c r="G13" s="553"/>
      <c r="H13" s="553"/>
      <c r="I13" s="553"/>
      <c r="J13" s="553"/>
      <c r="K13" s="553"/>
      <c r="L13" s="553"/>
      <c r="M13" s="553"/>
      <c r="N13" s="553"/>
      <c r="O13" s="553"/>
      <c r="P13" s="553"/>
      <c r="Q13" s="553"/>
      <c r="R13" s="553"/>
      <c r="S13" s="553"/>
      <c r="T13" s="553"/>
      <c r="U13" s="553"/>
      <c r="V13" s="553"/>
      <c r="W13" s="553"/>
      <c r="X13" s="553"/>
      <c r="Y13" s="553"/>
      <c r="Z13" s="553"/>
      <c r="AA13" s="553"/>
      <c r="AB13" s="553"/>
      <c r="AC13" s="553"/>
      <c r="AD13" s="553"/>
      <c r="AE13" s="553"/>
      <c r="AF13" s="553"/>
      <c r="AG13" s="553"/>
      <c r="AH13" s="553"/>
      <c r="AI13" s="553"/>
      <c r="AJ13" s="553"/>
      <c r="AK13" s="553"/>
      <c r="AL13" s="553"/>
      <c r="AM13" s="553"/>
      <c r="AN13" s="553"/>
      <c r="AO13" s="553"/>
      <c r="AP13" s="553"/>
      <c r="AQ13" s="553"/>
      <c r="AR13" s="553"/>
      <c r="AS13" s="553"/>
      <c r="AT13" s="553"/>
      <c r="AU13" s="553"/>
      <c r="AV13" s="553"/>
      <c r="AW13" s="553"/>
      <c r="AX13" s="553"/>
      <c r="AY13" s="553"/>
      <c r="AZ13" s="553"/>
      <c r="BA13" s="553"/>
      <c r="BB13" s="553"/>
      <c r="BC13" s="553"/>
      <c r="BD13" s="553"/>
      <c r="BE13" s="553"/>
      <c r="BF13" s="553"/>
      <c r="BG13" s="553"/>
      <c r="BH13" s="553"/>
      <c r="BI13" s="553"/>
      <c r="BJ13" s="553"/>
      <c r="BK13" s="553"/>
      <c r="BL13" s="600"/>
      <c r="BM13" s="553"/>
      <c r="BN13" s="553"/>
      <c r="BO13" s="553"/>
      <c r="BP13" s="553"/>
      <c r="BQ13" s="553"/>
      <c r="BR13" s="553"/>
      <c r="BS13" s="553"/>
      <c r="BT13" s="553"/>
      <c r="BU13" s="553"/>
      <c r="BV13" s="553"/>
      <c r="BW13" s="551"/>
    </row>
    <row r="14" spans="1:75" s="443" customFormat="1">
      <c r="A14" s="268" t="str">
        <f>Model!A7</f>
        <v>Services Advertising revenue growth, %</v>
      </c>
      <c r="B14" s="27"/>
      <c r="C14" s="668"/>
      <c r="D14" s="668">
        <f>Model!D7</f>
        <v>0</v>
      </c>
      <c r="E14" s="668">
        <f>Model!E7</f>
        <v>0</v>
      </c>
      <c r="F14" s="668">
        <f>Model!F7</f>
        <v>0</v>
      </c>
      <c r="G14" s="13"/>
      <c r="H14" s="13"/>
      <c r="I14" s="13"/>
      <c r="J14" s="13"/>
      <c r="K14" s="668">
        <f>Model!K7</f>
        <v>0</v>
      </c>
      <c r="L14" s="13">
        <f>Model!L7</f>
        <v>0</v>
      </c>
      <c r="M14" s="13">
        <f>Model!M7</f>
        <v>0</v>
      </c>
      <c r="N14" s="13">
        <f>Model!N7</f>
        <v>0</v>
      </c>
      <c r="O14" s="13">
        <f>Model!O7</f>
        <v>0</v>
      </c>
      <c r="P14" s="668">
        <f>Model!P7</f>
        <v>0</v>
      </c>
      <c r="Q14" s="13">
        <f>Model!Q7</f>
        <v>0</v>
      </c>
      <c r="R14" s="13">
        <f>Model!R7</f>
        <v>0</v>
      </c>
      <c r="S14" s="13">
        <f>Model!S7</f>
        <v>0</v>
      </c>
      <c r="T14" s="13">
        <f>Model!T7</f>
        <v>0</v>
      </c>
      <c r="U14" s="668">
        <f>Model!U7</f>
        <v>0</v>
      </c>
      <c r="V14" s="13">
        <f>Model!V7</f>
        <v>0</v>
      </c>
      <c r="W14" s="13">
        <f>Model!W7</f>
        <v>0</v>
      </c>
      <c r="X14" s="13">
        <f>Model!X7</f>
        <v>0</v>
      </c>
      <c r="Y14" s="13">
        <f>Model!Y7</f>
        <v>0</v>
      </c>
      <c r="Z14" s="668">
        <f>Model!Z7</f>
        <v>0</v>
      </c>
      <c r="AA14" s="13">
        <f>Model!AA7</f>
        <v>0</v>
      </c>
      <c r="AB14" s="13">
        <f>Model!AB7</f>
        <v>0</v>
      </c>
      <c r="AC14" s="13">
        <f>Model!AC7</f>
        <v>0</v>
      </c>
      <c r="AD14" s="13">
        <f>Model!AD7</f>
        <v>0</v>
      </c>
      <c r="AE14" s="668">
        <f>Model!AE7</f>
        <v>0</v>
      </c>
      <c r="AF14" s="13">
        <f>Model!AF7</f>
        <v>0</v>
      </c>
      <c r="AG14" s="13">
        <f>Model!AG7</f>
        <v>0</v>
      </c>
      <c r="AH14" s="13">
        <f>Model!AH7</f>
        <v>0</v>
      </c>
      <c r="AI14" s="13">
        <f>Model!AI7</f>
        <v>0</v>
      </c>
      <c r="AJ14" s="668">
        <f>Model!AJ7</f>
        <v>0</v>
      </c>
      <c r="AK14" s="13">
        <f>Model!AK7</f>
        <v>9.101314394543536E-2</v>
      </c>
      <c r="AL14" s="13">
        <f>Model!AL7</f>
        <v>7.9413401990118926E-2</v>
      </c>
      <c r="AM14" s="13">
        <f>Model!AM7</f>
        <v>0.1423343132354562</v>
      </c>
      <c r="AN14" s="13">
        <f>Model!AN7</f>
        <v>0.16590494764064956</v>
      </c>
      <c r="AO14" s="668">
        <f>Model!AO7</f>
        <v>0.12064319139031032</v>
      </c>
      <c r="AP14" s="13">
        <f>Model!AP7</f>
        <v>0.1443976266230973</v>
      </c>
      <c r="AQ14" s="13">
        <f>Model!AQ7</f>
        <v>-0.11696401231284947</v>
      </c>
      <c r="AR14" s="13">
        <f>Model!AR7</f>
        <v>-1.018243844556499E-2</v>
      </c>
      <c r="AS14" s="13">
        <f>Model!AS7</f>
        <v>1.0079926691442198E-2</v>
      </c>
      <c r="AT14" s="668">
        <f>Model!AT7</f>
        <v>4.4662970107014477E-3</v>
      </c>
      <c r="AU14" s="13">
        <f>Model!AU7</f>
        <v>5.7145218737320036E-2</v>
      </c>
      <c r="AV14" s="13">
        <f>Model!AV7</f>
        <v>0.39183997517863167</v>
      </c>
      <c r="AW14" s="13">
        <f>Model!AW7</f>
        <v>0.17871084238051327</v>
      </c>
      <c r="AX14" s="13">
        <f>Model!AX7</f>
        <v>0.13215779734604394</v>
      </c>
      <c r="AY14" s="668">
        <f>Model!AY7</f>
        <v>0.180092384941138</v>
      </c>
      <c r="AZ14" s="13">
        <f>Model!AZ7</f>
        <v>0.1391457632901405</v>
      </c>
      <c r="BA14" s="13">
        <f>Model!BA7</f>
        <v>0.14277284588452832</v>
      </c>
      <c r="BB14" s="13">
        <f>Model!BB7</f>
        <v>0.1502552139283877</v>
      </c>
      <c r="BC14" s="13">
        <f>Model!BC7</f>
        <v>0.13387008560053948</v>
      </c>
      <c r="BD14" s="668">
        <f>Model!BD7</f>
        <v>0.14156671109136698</v>
      </c>
      <c r="BE14" s="13">
        <f>Model!BE7</f>
        <v>0.14511771275965124</v>
      </c>
      <c r="BF14" s="13">
        <f>Model!BF7</f>
        <v>0.14903211740811706</v>
      </c>
      <c r="BG14" s="13">
        <f>Model!BG7</f>
        <v>0.13937565277938968</v>
      </c>
      <c r="BH14" s="13">
        <f>Model!BH7</f>
        <v>0.13936688129585173</v>
      </c>
      <c r="BI14" s="668">
        <f>Model!BI7</f>
        <v>0.14312563958432412</v>
      </c>
      <c r="BJ14" s="13">
        <f>Model!BJ7</f>
        <v>0.10771578029642548</v>
      </c>
      <c r="BK14" s="13">
        <f>Model!BK7</f>
        <v>0.11324984770863922</v>
      </c>
      <c r="BL14" s="388">
        <f>Model!BL7</f>
        <v>0.10588423595145935</v>
      </c>
      <c r="BM14" s="13">
        <f>Model!BM7</f>
        <v>0.12651875000000001</v>
      </c>
      <c r="BN14" s="668">
        <f>Model!BN7</f>
        <v>0.11345310482630455</v>
      </c>
      <c r="BO14" s="13">
        <f>Model!BO7</f>
        <v>0.1153661971830986</v>
      </c>
      <c r="BP14" s="13">
        <f>Model!BP7</f>
        <v>0.10201541501976319</v>
      </c>
      <c r="BQ14" s="13">
        <f>Model!BQ7</f>
        <v>8.8693280632410998E-2</v>
      </c>
      <c r="BR14" s="13">
        <f>Model!BR7</f>
        <v>0.14052936735407218</v>
      </c>
      <c r="BS14" s="668">
        <f>Model!BS7</f>
        <v>0.11162941850129493</v>
      </c>
      <c r="BT14" s="668">
        <f>Model!BT7</f>
        <v>6.2429326537008167E-2</v>
      </c>
      <c r="BU14" s="668">
        <f>Model!BU7</f>
        <v>9.0603933919266799E-2</v>
      </c>
      <c r="BV14" s="668">
        <f>Model!BV7</f>
        <v>0.11230749479328228</v>
      </c>
      <c r="BW14" s="26"/>
    </row>
    <row r="15" spans="1:75" s="443" customFormat="1">
      <c r="A15" s="269" t="str">
        <f>Model!A8</f>
        <v>Restaurants, retail &amp; other revenue growth, %</v>
      </c>
      <c r="B15" s="47"/>
      <c r="C15" s="670"/>
      <c r="D15" s="670">
        <f>Model!D8</f>
        <v>0</v>
      </c>
      <c r="E15" s="670">
        <f>Model!E8</f>
        <v>0</v>
      </c>
      <c r="F15" s="670">
        <f>Model!F8</f>
        <v>0</v>
      </c>
      <c r="G15" s="16"/>
      <c r="H15" s="16"/>
      <c r="I15" s="16"/>
      <c r="J15" s="16"/>
      <c r="K15" s="670">
        <f>Model!K8</f>
        <v>0</v>
      </c>
      <c r="L15" s="16">
        <f>Model!L8</f>
        <v>0</v>
      </c>
      <c r="M15" s="16">
        <f>Model!M8</f>
        <v>0</v>
      </c>
      <c r="N15" s="16">
        <f>Model!N8</f>
        <v>0</v>
      </c>
      <c r="O15" s="16">
        <f>Model!O8</f>
        <v>0</v>
      </c>
      <c r="P15" s="670">
        <f>Model!P8</f>
        <v>0</v>
      </c>
      <c r="Q15" s="16">
        <f>Model!Q8</f>
        <v>0</v>
      </c>
      <c r="R15" s="16">
        <f>Model!R8</f>
        <v>0</v>
      </c>
      <c r="S15" s="16">
        <f>Model!S8</f>
        <v>0</v>
      </c>
      <c r="T15" s="16">
        <f>Model!T8</f>
        <v>0</v>
      </c>
      <c r="U15" s="670">
        <f>Model!U8</f>
        <v>0</v>
      </c>
      <c r="V15" s="16">
        <f>Model!V8</f>
        <v>0</v>
      </c>
      <c r="W15" s="16">
        <f>Model!W8</f>
        <v>0</v>
      </c>
      <c r="X15" s="16">
        <f>Model!X8</f>
        <v>0</v>
      </c>
      <c r="Y15" s="16">
        <f>Model!Y8</f>
        <v>0</v>
      </c>
      <c r="Z15" s="670">
        <f>Model!Z8</f>
        <v>0</v>
      </c>
      <c r="AA15" s="16">
        <f>Model!AA8</f>
        <v>0</v>
      </c>
      <c r="AB15" s="16">
        <f>Model!AB8</f>
        <v>0</v>
      </c>
      <c r="AC15" s="16">
        <f>Model!AC8</f>
        <v>0</v>
      </c>
      <c r="AD15" s="16">
        <f>Model!AD8</f>
        <v>0</v>
      </c>
      <c r="AE15" s="670">
        <f>Model!AE8</f>
        <v>0</v>
      </c>
      <c r="AF15" s="16">
        <f>Model!AF8</f>
        <v>0</v>
      </c>
      <c r="AG15" s="16">
        <f>Model!AG8</f>
        <v>0</v>
      </c>
      <c r="AH15" s="16">
        <f>Model!AH8</f>
        <v>0</v>
      </c>
      <c r="AI15" s="16">
        <f>Model!AI8</f>
        <v>0</v>
      </c>
      <c r="AJ15" s="670">
        <f>Model!AJ8</f>
        <v>0</v>
      </c>
      <c r="AK15" s="16">
        <f>Model!AK8</f>
        <v>3.06084464049734E-2</v>
      </c>
      <c r="AL15" s="16">
        <f>Model!AL8</f>
        <v>2.2877697841726663E-2</v>
      </c>
      <c r="AM15" s="16">
        <f>Model!AM8</f>
        <v>3.3154818587666002E-2</v>
      </c>
      <c r="AN15" s="16">
        <f>Model!AN8</f>
        <v>3.9473121132498568E-2</v>
      </c>
      <c r="AO15" s="670">
        <f>Model!AO8</f>
        <v>3.1647538870467562E-2</v>
      </c>
      <c r="AP15" s="16">
        <f>Model!AP8</f>
        <v>-3.3699646930280047E-2</v>
      </c>
      <c r="AQ15" s="16">
        <f>Model!AQ8</f>
        <v>-0.53711844141229426</v>
      </c>
      <c r="AR15" s="16">
        <f>Model!AR8</f>
        <v>-0.34296199834260677</v>
      </c>
      <c r="AS15" s="16">
        <f>Model!AS8</f>
        <v>-0.31054499345415021</v>
      </c>
      <c r="AT15" s="670">
        <f>Model!AT8</f>
        <v>-0.30827495282165296</v>
      </c>
      <c r="AU15" s="16">
        <f>Model!AU8</f>
        <v>-0.24026501948397827</v>
      </c>
      <c r="AV15" s="16">
        <f>Model!AV8</f>
        <v>0.75572649572649575</v>
      </c>
      <c r="AW15" s="16">
        <f>Model!AW8</f>
        <v>0.28070785070785065</v>
      </c>
      <c r="AX15" s="16">
        <f>Model!AX8</f>
        <v>0.24446169463187428</v>
      </c>
      <c r="AY15" s="670">
        <f>Model!AY8</f>
        <v>0.17552071654583057</v>
      </c>
      <c r="AZ15" s="16">
        <f>Model!AZ8</f>
        <v>0.26659286592865938</v>
      </c>
      <c r="BA15" s="16">
        <f>Model!BA8</f>
        <v>0.181535931803676</v>
      </c>
      <c r="BB15" s="16">
        <f>Model!BB8</f>
        <v>0.13260845534664512</v>
      </c>
      <c r="BC15" s="16">
        <f>Model!BC8</f>
        <v>0.11023463365481501</v>
      </c>
      <c r="BD15" s="670">
        <f>Model!BD8</f>
        <v>0.1672729199507228</v>
      </c>
      <c r="BE15" s="16">
        <f>Model!BE8</f>
        <v>0.10341445413405337</v>
      </c>
      <c r="BF15" s="16">
        <f>Model!BF8</f>
        <v>0.11424647500457796</v>
      </c>
      <c r="BG15" s="16">
        <f>Model!BG8</f>
        <v>9.8902463910848448E-2</v>
      </c>
      <c r="BH15" s="16">
        <f>Model!BH8</f>
        <v>7.3808042042665001E-2</v>
      </c>
      <c r="BI15" s="670">
        <f>Model!BI8</f>
        <v>9.7171312299559887E-2</v>
      </c>
      <c r="BJ15" s="16">
        <f>Model!BJ8</f>
        <v>6.398352446247646E-3</v>
      </c>
      <c r="BK15" s="16">
        <f>Model!BK8</f>
        <v>-2.7239560222846682E-2</v>
      </c>
      <c r="BL15" s="389">
        <f>Model!BL8</f>
        <v>-6.0207986823194948E-2</v>
      </c>
      <c r="BM15" s="16">
        <f>Model!BM8</f>
        <v>-0.14768735999999971</v>
      </c>
      <c r="BN15" s="670">
        <f>Model!BN8</f>
        <v>-5.8733959487801135E-2</v>
      </c>
      <c r="BO15" s="16">
        <f>Model!BO8</f>
        <v>-5.6148700173310195E-2</v>
      </c>
      <c r="BP15" s="16">
        <f>Model!BP8</f>
        <v>4.5459279279278952E-2</v>
      </c>
      <c r="BQ15" s="16">
        <f>Model!BQ8</f>
        <v>4.540309653916208E-2</v>
      </c>
      <c r="BR15" s="16">
        <f>Model!BR8</f>
        <v>0.11695989790788497</v>
      </c>
      <c r="BS15" s="670">
        <f>Model!BS8</f>
        <v>3.6548194198397388E-2</v>
      </c>
      <c r="BT15" s="670">
        <f>Model!BT8</f>
        <v>-2.3808276731260847E-2</v>
      </c>
      <c r="BU15" s="670">
        <f>Model!BU8</f>
        <v>4.56002270707212E-2</v>
      </c>
      <c r="BV15" s="670">
        <f>Model!BV8</f>
        <v>5.072521593000312E-2</v>
      </c>
      <c r="BW15" s="26"/>
    </row>
    <row r="16" spans="1:75" s="443" customFormat="1">
      <c r="A16" s="14" t="str">
        <f>Model!A9</f>
        <v>Local advertising revenue growth, %</v>
      </c>
      <c r="B16" s="27"/>
      <c r="C16" s="668"/>
      <c r="D16" s="668">
        <f>Model!D9</f>
        <v>0.67980295566502447</v>
      </c>
      <c r="E16" s="668">
        <f>Model!E9</f>
        <v>0.73207144761396958</v>
      </c>
      <c r="F16" s="668">
        <f>Model!F9</f>
        <v>0.86682742462333051</v>
      </c>
      <c r="G16" s="13"/>
      <c r="H16" s="13"/>
      <c r="I16" s="13"/>
      <c r="J16" s="13"/>
      <c r="K16" s="668">
        <f>Model!K9</f>
        <v>0.76790736448666608</v>
      </c>
      <c r="L16" s="13">
        <f>Model!L9</f>
        <v>0.67308235173351805</v>
      </c>
      <c r="M16" s="13">
        <f>Model!M9</f>
        <v>0.68951045828961788</v>
      </c>
      <c r="N16" s="13">
        <f>Model!N9</f>
        <v>0.66380675044462256</v>
      </c>
      <c r="O16" s="13">
        <f>Model!O9</f>
        <v>0.60416523117205201</v>
      </c>
      <c r="P16" s="668">
        <f>Model!P9</f>
        <v>0.65370524864884461</v>
      </c>
      <c r="Q16" s="13">
        <f>Model!Q9</f>
        <v>0.51192576117800459</v>
      </c>
      <c r="R16" s="13">
        <f>Model!R9</f>
        <v>0.42540794080729349</v>
      </c>
      <c r="S16" s="13">
        <f>Model!S9</f>
        <v>0.36179110087863542</v>
      </c>
      <c r="T16" s="13">
        <f>Model!T9</f>
        <v>0.35143087248322114</v>
      </c>
      <c r="U16" s="668">
        <f>Model!U9</f>
        <v>0.40452532924731388</v>
      </c>
      <c r="V16" s="13">
        <f>Model!V9</f>
        <v>0.45122248148523902</v>
      </c>
      <c r="W16" s="13">
        <f>Model!W9</f>
        <v>0.40782521644018455</v>
      </c>
      <c r="X16" s="13">
        <f>Model!X9</f>
        <v>0.41092191974605807</v>
      </c>
      <c r="Y16" s="13">
        <f>Model!Y9</f>
        <v>0.3595334202078635</v>
      </c>
      <c r="Z16" s="668">
        <f>Model!Z9</f>
        <v>0.43951177504707339</v>
      </c>
      <c r="AA16" s="13">
        <f>Model!AA9</f>
        <v>0.24364719288066161</v>
      </c>
      <c r="AB16" s="13">
        <f>Model!AB9</f>
        <v>0.23574029325976609</v>
      </c>
      <c r="AC16" s="13">
        <f>Model!AC9</f>
        <v>0.22577963086366171</v>
      </c>
      <c r="AD16" s="13">
        <f>Model!AD9</f>
        <v>0.2249736995908822</v>
      </c>
      <c r="AE16" s="668">
        <f>Model!AE9</f>
        <v>0.20215237407418307</v>
      </c>
      <c r="AF16" s="13">
        <f>Model!AF9</f>
        <v>0.2031646992692524</v>
      </c>
      <c r="AG16" s="13">
        <f>Model!AG9</f>
        <v>0.20505320140875849</v>
      </c>
      <c r="AH16" s="13">
        <f>Model!AH9</f>
        <v>0.15959940549221452</v>
      </c>
      <c r="AI16" s="13">
        <f>Model!AI9</f>
        <v>0.12014237116697646</v>
      </c>
      <c r="AJ16" s="668">
        <f>Model!AJ9</f>
        <v>0.16992746990374874</v>
      </c>
      <c r="AK16" s="13">
        <f>Model!AK9</f>
        <v>6.0688740112967876E-2</v>
      </c>
      <c r="AL16" s="13">
        <f>Model!AL9</f>
        <v>5.1616497470906575E-2</v>
      </c>
      <c r="AM16" s="13">
        <f>Model!AM9</f>
        <v>8.858418422207115E-2</v>
      </c>
      <c r="AN16" s="13">
        <f>Model!AN9</f>
        <v>0.10298414645574039</v>
      </c>
      <c r="AO16" s="668">
        <f>Model!AO9</f>
        <v>7.6516798587748402E-2</v>
      </c>
      <c r="AP16" s="13">
        <f>Model!AP9</f>
        <v>5.7524677029330507E-2</v>
      </c>
      <c r="AQ16" s="13">
        <f>Model!AQ9</f>
        <v>-0.31789591409423068</v>
      </c>
      <c r="AR16" s="13">
        <f>Model!AR9</f>
        <v>-0.16567100490719011</v>
      </c>
      <c r="AS16" s="13">
        <f>Model!AS9</f>
        <v>-0.1402962711236061</v>
      </c>
      <c r="AT16" s="668">
        <f>Model!AT9</f>
        <v>-0.14413593674028191</v>
      </c>
      <c r="AU16" s="13">
        <f>Model!AU9</f>
        <v>-7.5412444344483132E-2</v>
      </c>
      <c r="AV16" s="13">
        <f>Model!AV9</f>
        <v>0.50993324416117569</v>
      </c>
      <c r="AW16" s="13">
        <f>Model!AW9</f>
        <v>0.2162411740470811</v>
      </c>
      <c r="AX16" s="13">
        <f>Model!AX9</f>
        <v>0.17439875663681059</v>
      </c>
      <c r="AY16" s="668">
        <f>Model!AY9</f>
        <v>0.17833671205516</v>
      </c>
      <c r="AZ16" s="13">
        <f>Model!AZ9</f>
        <v>0.18582169226125878</v>
      </c>
      <c r="BA16" s="13">
        <f>Model!BA9</f>
        <v>0.15740056580435269</v>
      </c>
      <c r="BB16" s="13">
        <f>Model!BB9</f>
        <v>0.14341782502044165</v>
      </c>
      <c r="BC16" s="13">
        <f>Model!BC9</f>
        <v>0.12444969726177768</v>
      </c>
      <c r="BD16" s="668">
        <f>Model!BD9</f>
        <v>0.15141515897383839</v>
      </c>
      <c r="BE16" s="13">
        <f>Model!BE9</f>
        <v>0.1288040814931033</v>
      </c>
      <c r="BF16" s="13">
        <f>Model!BF9</f>
        <v>0.13563160011004571</v>
      </c>
      <c r="BG16" s="13">
        <f>Model!BG9</f>
        <v>0.12384221423123032</v>
      </c>
      <c r="BH16" s="13">
        <f>Model!BH9</f>
        <v>0.1135674050288451</v>
      </c>
      <c r="BI16" s="668">
        <f>Model!BI9</f>
        <v>0.12527734852605299</v>
      </c>
      <c r="BJ16" s="13">
        <f>Model!BJ9</f>
        <v>6.8973524531959374E-2</v>
      </c>
      <c r="BK16" s="13">
        <f>Model!BK9</f>
        <v>6.0148087411327822E-2</v>
      </c>
      <c r="BL16" s="388">
        <f>Model!BL9</f>
        <v>4.3553352402191381E-2</v>
      </c>
      <c r="BM16" s="13">
        <f>Model!BM9</f>
        <v>2.2462803531284159E-2</v>
      </c>
      <c r="BN16" s="668">
        <f>Model!BN9</f>
        <v>4.8247396789422581E-2</v>
      </c>
      <c r="BO16" s="13">
        <f>Model!BO9</f>
        <v>5.3620661344485621E-2</v>
      </c>
      <c r="BP16" s="13">
        <f>Model!BP9</f>
        <v>8.24005903668803E-2</v>
      </c>
      <c r="BQ16" s="13">
        <f>Model!BQ9</f>
        <v>7.4062735409906377E-2</v>
      </c>
      <c r="BR16" s="13">
        <f>Model!BR9</f>
        <v>0.13307362324243988</v>
      </c>
      <c r="BS16" s="668">
        <f>Model!BS9</f>
        <v>8.6098582440568894E-2</v>
      </c>
      <c r="BT16" s="668">
        <f>Model!BT9</f>
        <v>3.4442695539952828E-2</v>
      </c>
      <c r="BU16" s="668">
        <f>Model!BU9</f>
        <v>7.6821341461182691E-2</v>
      </c>
      <c r="BV16" s="668">
        <f>Model!BV9</f>
        <v>9.3994456726251396E-2</v>
      </c>
      <c r="BW16" s="26"/>
    </row>
    <row r="17" spans="1:75" s="443" customFormat="1">
      <c r="A17" s="14" t="str">
        <f>Model!A10</f>
        <v>Transactions revenue growth, %</v>
      </c>
      <c r="B17" s="27"/>
      <c r="C17" s="668"/>
      <c r="D17" s="668">
        <f>Model!D10</f>
        <v>0</v>
      </c>
      <c r="E17" s="668">
        <f>Model!E10</f>
        <v>0</v>
      </c>
      <c r="F17" s="668">
        <f>Model!F10</f>
        <v>0</v>
      </c>
      <c r="G17" s="13"/>
      <c r="H17" s="13"/>
      <c r="I17" s="13"/>
      <c r="J17" s="13"/>
      <c r="K17" s="668">
        <f>Model!K10</f>
        <v>0</v>
      </c>
      <c r="L17" s="13">
        <f>Model!L10</f>
        <v>0</v>
      </c>
      <c r="M17" s="13">
        <f>Model!M10</f>
        <v>0</v>
      </c>
      <c r="N17" s="13">
        <f>Model!N10</f>
        <v>0</v>
      </c>
      <c r="O17" s="13">
        <f>Model!O10</f>
        <v>0</v>
      </c>
      <c r="P17" s="668">
        <f>Model!P10</f>
        <v>0</v>
      </c>
      <c r="Q17" s="13">
        <f>Model!Q10</f>
        <v>0</v>
      </c>
      <c r="R17" s="13">
        <f>Model!R10</f>
        <v>8.2052117263843645</v>
      </c>
      <c r="S17" s="13">
        <f>Model!S10</f>
        <v>7.948430493273543</v>
      </c>
      <c r="T17" s="13">
        <f>Model!T10</f>
        <v>4.2111152555016771</v>
      </c>
      <c r="U17" s="668">
        <f>Model!U10</f>
        <v>7.3579188107490001</v>
      </c>
      <c r="V17" s="13">
        <f>Model!V10</f>
        <v>1.1948228882833787</v>
      </c>
      <c r="W17" s="13">
        <f>Model!W10</f>
        <v>0.37278839348903037</v>
      </c>
      <c r="X17" s="13">
        <f>Model!X10</f>
        <v>0.32882318550070977</v>
      </c>
      <c r="Y17" s="13">
        <f>Model!Y10</f>
        <v>0.18817550640612746</v>
      </c>
      <c r="Z17" s="668">
        <f>Model!Z10</f>
        <v>0.42506954895790572</v>
      </c>
      <c r="AA17" s="13">
        <f>Model!AA10</f>
        <v>0.24594799641354581</v>
      </c>
      <c r="AB17" s="13">
        <f>Model!AB10</f>
        <v>0.18797525454311104</v>
      </c>
      <c r="AC17" s="13">
        <f>Model!AC10</f>
        <v>0.16429918290383405</v>
      </c>
      <c r="AD17" s="13">
        <f>Model!AD10</f>
        <v>-0.68512048192771058</v>
      </c>
      <c r="AE17" s="668">
        <f>Model!AE10</f>
        <v>-3.5906872549803848E-2</v>
      </c>
      <c r="AF17" s="13">
        <f>Model!AF10</f>
        <v>-0.7874896208137282</v>
      </c>
      <c r="AG17" s="13">
        <f>Model!AG10</f>
        <v>-0.80905885543802547</v>
      </c>
      <c r="AH17" s="13">
        <f>Model!AH10</f>
        <v>-0.83578060893975381</v>
      </c>
      <c r="AI17" s="13">
        <f>Model!AI10</f>
        <v>-0.37000191314329467</v>
      </c>
      <c r="AJ17" s="668">
        <f>Model!AJ10</f>
        <v>-0.77271746527028595</v>
      </c>
      <c r="AK17" s="13">
        <f>Model!AK10</f>
        <v>-0.13857775462359989</v>
      </c>
      <c r="AL17" s="13">
        <f>Model!AL10</f>
        <v>-0.10596590909090919</v>
      </c>
      <c r="AM17" s="13">
        <f>Model!AM10</f>
        <v>1.051939513477973E-2</v>
      </c>
      <c r="AN17" s="13">
        <f>Model!AN10</f>
        <v>-0.11691466747646517</v>
      </c>
      <c r="AO17" s="668">
        <f>Model!AO10</f>
        <v>-9.1865050387030855E-2</v>
      </c>
      <c r="AP17" s="13">
        <f>Model!AP10</f>
        <v>-0.20199576655579077</v>
      </c>
      <c r="AQ17" s="13">
        <f>Model!AQ10</f>
        <v>0.26088338099777575</v>
      </c>
      <c r="AR17" s="13">
        <f>Model!AR10</f>
        <v>0.43526350032530914</v>
      </c>
      <c r="AS17" s="13">
        <f>Model!AS10</f>
        <v>0.37482806052269591</v>
      </c>
      <c r="AT17" s="668">
        <f>Model!AT10</f>
        <v>0.20754261820521069</v>
      </c>
      <c r="AU17" s="13">
        <f>Model!AU10</f>
        <v>0.44145509662751037</v>
      </c>
      <c r="AV17" s="13">
        <f>Model!AV10</f>
        <v>-0.11164314516129037</v>
      </c>
      <c r="AW17" s="13">
        <f>Model!AW10</f>
        <v>-0.31980961015412512</v>
      </c>
      <c r="AX17" s="13">
        <f>Model!AX10</f>
        <v>-0.28314157078539293</v>
      </c>
      <c r="AY17" s="668">
        <f>Model!AY10</f>
        <v>-0.12126256908836652</v>
      </c>
      <c r="AZ17" s="13">
        <f>Model!AZ10</f>
        <v>-0.16403785488958977</v>
      </c>
      <c r="BA17" s="13">
        <f>Model!BA10</f>
        <v>0.11773049645390077</v>
      </c>
      <c r="BB17" s="13">
        <f>Model!BB10</f>
        <v>0.2169276907697435</v>
      </c>
      <c r="BC17" s="13">
        <f>Model!BC10</f>
        <v>0.14829030006978394</v>
      </c>
      <c r="BD17" s="668">
        <f>Model!BD10</f>
        <v>6.5701727796301901E-2</v>
      </c>
      <c r="BE17" s="13">
        <f>Model!BE10</f>
        <v>0.1182389937106918</v>
      </c>
      <c r="BF17" s="13">
        <f>Model!BF10</f>
        <v>-0.14213197969543145</v>
      </c>
      <c r="BG17" s="13">
        <f>Model!BG10</f>
        <v>-0.13882803943044908</v>
      </c>
      <c r="BH17" s="13">
        <f>Model!BH10</f>
        <v>-0.1106046794287453</v>
      </c>
      <c r="BI17" s="668">
        <f>Model!BI10</f>
        <v>-7.5019554860271787E-2</v>
      </c>
      <c r="BJ17" s="13">
        <f>Model!BJ10</f>
        <v>0</v>
      </c>
      <c r="BK17" s="13">
        <f>Model!BK10</f>
        <v>0</v>
      </c>
      <c r="BL17" s="388">
        <f>Model!BL10</f>
        <v>0</v>
      </c>
      <c r="BM17" s="13">
        <f>Model!BM10</f>
        <v>0</v>
      </c>
      <c r="BN17" s="668">
        <f>Model!BN10</f>
        <v>0</v>
      </c>
      <c r="BO17" s="13">
        <f>Model!BO10</f>
        <v>0</v>
      </c>
      <c r="BP17" s="13">
        <f>Model!BP10</f>
        <v>0</v>
      </c>
      <c r="BQ17" s="13">
        <f>Model!BQ10</f>
        <v>0</v>
      </c>
      <c r="BR17" s="13">
        <f>Model!BR10</f>
        <v>0</v>
      </c>
      <c r="BS17" s="668">
        <f>Model!BS10</f>
        <v>0</v>
      </c>
      <c r="BT17" s="668">
        <f>Model!BT10</f>
        <v>0</v>
      </c>
      <c r="BU17" s="668">
        <f>Model!BU10</f>
        <v>0</v>
      </c>
      <c r="BV17" s="668">
        <f>Model!BV10</f>
        <v>0</v>
      </c>
      <c r="BW17" s="26"/>
    </row>
    <row r="18" spans="1:75" s="443" customFormat="1">
      <c r="A18" s="14" t="str">
        <f>Model!A11</f>
        <v>Brand advertising revenue growth, %</v>
      </c>
      <c r="B18" s="27"/>
      <c r="C18" s="668"/>
      <c r="D18" s="668">
        <f>Model!D11</f>
        <v>1.2336361950676804</v>
      </c>
      <c r="E18" s="668">
        <f>Model!E11</f>
        <v>0.46820521334882947</v>
      </c>
      <c r="F18" s="668">
        <f>Model!F11</f>
        <v>0.16357570960081413</v>
      </c>
      <c r="G18" s="13"/>
      <c r="H18" s="13"/>
      <c r="I18" s="13"/>
      <c r="J18" s="13"/>
      <c r="K18" s="668">
        <f>Model!K11</f>
        <v>0.35866660187569854</v>
      </c>
      <c r="L18" s="13">
        <f>Model!L11</f>
        <v>0.56683480453972268</v>
      </c>
      <c r="M18" s="13">
        <f>Model!M11</f>
        <v>0.28476163450624292</v>
      </c>
      <c r="N18" s="13">
        <f>Model!N11</f>
        <v>0.3484804630969609</v>
      </c>
      <c r="O18" s="13">
        <f>Model!O11</f>
        <v>-6.3825183903071903E-2</v>
      </c>
      <c r="P18" s="668">
        <f>Model!P11</f>
        <v>0.2332618025751072</v>
      </c>
      <c r="Q18" s="13">
        <f>Model!Q11</f>
        <v>-0.11106639839034205</v>
      </c>
      <c r="R18" s="13">
        <f>Model!R11</f>
        <v>-8.3048039757040226E-2</v>
      </c>
      <c r="S18" s="13">
        <f>Model!S11</f>
        <v>-3.6488516849109254E-2</v>
      </c>
      <c r="T18" s="13">
        <f>Model!T11</f>
        <v>-0.17910792697018763</v>
      </c>
      <c r="U18" s="668">
        <f>Model!U11</f>
        <v>-0.10063221390870591</v>
      </c>
      <c r="V18" s="13">
        <f>Model!V11</f>
        <v>0</v>
      </c>
      <c r="W18" s="13">
        <f>Model!W11</f>
        <v>0</v>
      </c>
      <c r="X18" s="13">
        <f>Model!X11</f>
        <v>0</v>
      </c>
      <c r="Y18" s="13">
        <f>Model!Y11</f>
        <v>0</v>
      </c>
      <c r="Z18" s="668">
        <f>Model!Z11</f>
        <v>0</v>
      </c>
      <c r="AA18" s="13">
        <f>Model!AA11</f>
        <v>0</v>
      </c>
      <c r="AB18" s="13">
        <f>Model!AB11</f>
        <v>0</v>
      </c>
      <c r="AC18" s="13">
        <f>Model!AC11</f>
        <v>0</v>
      </c>
      <c r="AD18" s="13">
        <f>Model!AD11</f>
        <v>0</v>
      </c>
      <c r="AE18" s="668">
        <f>Model!AE11</f>
        <v>0</v>
      </c>
      <c r="AF18" s="13">
        <f>Model!AF11</f>
        <v>0</v>
      </c>
      <c r="AG18" s="13">
        <f>Model!AG11</f>
        <v>0</v>
      </c>
      <c r="AH18" s="13">
        <f>Model!AH11</f>
        <v>0</v>
      </c>
      <c r="AI18" s="13">
        <f>Model!AI11</f>
        <v>0</v>
      </c>
      <c r="AJ18" s="668">
        <f>Model!AJ11</f>
        <v>0</v>
      </c>
      <c r="AK18" s="13">
        <f>Model!AK11</f>
        <v>0</v>
      </c>
      <c r="AL18" s="13">
        <f>Model!AL11</f>
        <v>0</v>
      </c>
      <c r="AM18" s="13">
        <f>Model!AM11</f>
        <v>0</v>
      </c>
      <c r="AN18" s="13">
        <f>Model!AN11</f>
        <v>0</v>
      </c>
      <c r="AO18" s="668">
        <f>Model!AO11</f>
        <v>0</v>
      </c>
      <c r="AP18" s="13">
        <f>Model!AP11</f>
        <v>0</v>
      </c>
      <c r="AQ18" s="13">
        <f>Model!AQ11</f>
        <v>0</v>
      </c>
      <c r="AR18" s="13">
        <f>Model!AR11</f>
        <v>0</v>
      </c>
      <c r="AS18" s="13">
        <f>Model!AS11</f>
        <v>0</v>
      </c>
      <c r="AT18" s="668">
        <f>Model!AT11</f>
        <v>0</v>
      </c>
      <c r="AU18" s="13">
        <f>Model!AU11</f>
        <v>0</v>
      </c>
      <c r="AV18" s="13">
        <f>Model!AV11</f>
        <v>0</v>
      </c>
      <c r="AW18" s="13">
        <f>Model!AW11</f>
        <v>0</v>
      </c>
      <c r="AX18" s="13">
        <f>Model!AX11</f>
        <v>0</v>
      </c>
      <c r="AY18" s="668">
        <f>Model!AY11</f>
        <v>0</v>
      </c>
      <c r="AZ18" s="13">
        <f>Model!AZ11</f>
        <v>0</v>
      </c>
      <c r="BA18" s="13">
        <f>Model!BA11</f>
        <v>0</v>
      </c>
      <c r="BB18" s="13">
        <f>Model!BB11</f>
        <v>0</v>
      </c>
      <c r="BC18" s="13">
        <f>Model!BC11</f>
        <v>0</v>
      </c>
      <c r="BD18" s="668">
        <f>Model!BD11</f>
        <v>0</v>
      </c>
      <c r="BE18" s="13">
        <f>Model!BE11</f>
        <v>0</v>
      </c>
      <c r="BF18" s="13">
        <f>Model!BF11</f>
        <v>0</v>
      </c>
      <c r="BG18" s="13">
        <f>Model!BG11</f>
        <v>0</v>
      </c>
      <c r="BH18" s="13">
        <f>Model!BH11</f>
        <v>0</v>
      </c>
      <c r="BI18" s="668">
        <f>Model!BI11</f>
        <v>0</v>
      </c>
      <c r="BJ18" s="13">
        <f>Model!BJ11</f>
        <v>0</v>
      </c>
      <c r="BK18" s="13">
        <f>Model!BK11</f>
        <v>0</v>
      </c>
      <c r="BL18" s="388">
        <f>Model!BL11</f>
        <v>0</v>
      </c>
      <c r="BM18" s="13">
        <f>Model!BM11</f>
        <v>0</v>
      </c>
      <c r="BN18" s="668">
        <f>Model!BN11</f>
        <v>0</v>
      </c>
      <c r="BO18" s="13">
        <f>Model!BO11</f>
        <v>0</v>
      </c>
      <c r="BP18" s="13">
        <f>Model!BP11</f>
        <v>0</v>
      </c>
      <c r="BQ18" s="13">
        <f>Model!BQ11</f>
        <v>0</v>
      </c>
      <c r="BR18" s="13">
        <f>Model!BR11</f>
        <v>0</v>
      </c>
      <c r="BS18" s="668">
        <f>Model!BS11</f>
        <v>0</v>
      </c>
      <c r="BT18" s="668">
        <f>Model!BT11</f>
        <v>0</v>
      </c>
      <c r="BU18" s="668">
        <f>Model!BU11</f>
        <v>0</v>
      </c>
      <c r="BV18" s="668">
        <f>Model!BV11</f>
        <v>0</v>
      </c>
      <c r="BW18" s="26"/>
    </row>
    <row r="19" spans="1:75" s="443" customFormat="1">
      <c r="A19" s="15" t="str">
        <f>Model!A12</f>
        <v>Other services revenue growth, %</v>
      </c>
      <c r="B19" s="47"/>
      <c r="C19" s="670"/>
      <c r="D19" s="670">
        <f>Model!D12</f>
        <v>5.0566037735849054</v>
      </c>
      <c r="E19" s="670">
        <f>Model!E12</f>
        <v>2.6998961578400835</v>
      </c>
      <c r="F19" s="670">
        <f>Model!F12</f>
        <v>9.8652820656749851E-2</v>
      </c>
      <c r="G19" s="16"/>
      <c r="H19" s="16"/>
      <c r="I19" s="16"/>
      <c r="J19" s="16"/>
      <c r="K19" s="670">
        <f>Model!K12</f>
        <v>0.53851066547451776</v>
      </c>
      <c r="L19" s="16">
        <f>Model!L12</f>
        <v>0.5602159468438539</v>
      </c>
      <c r="M19" s="16">
        <f>Model!M12</f>
        <v>-0.11296412838263059</v>
      </c>
      <c r="N19" s="16">
        <f>Model!N12</f>
        <v>1.147873711340206</v>
      </c>
      <c r="O19" s="16">
        <f>Model!O12</f>
        <v>0.61758569299553012</v>
      </c>
      <c r="P19" s="670">
        <f>Model!P12</f>
        <v>0.55002075550020768</v>
      </c>
      <c r="Q19" s="16">
        <f>Model!Q12</f>
        <v>0.78466861857865311</v>
      </c>
      <c r="R19" s="16">
        <f>Model!R12</f>
        <v>1.2788222774033349</v>
      </c>
      <c r="S19" s="16">
        <f>Model!S12</f>
        <v>1.3499325033747844E-3</v>
      </c>
      <c r="T19" s="16">
        <f>Model!T12</f>
        <v>0.25373134328358216</v>
      </c>
      <c r="U19" s="670">
        <f>Model!U12</f>
        <v>0.42522763792179963</v>
      </c>
      <c r="V19" s="16">
        <f>Model!V12</f>
        <v>-0.84086502609992542</v>
      </c>
      <c r="W19" s="16">
        <f>Model!W12</f>
        <v>-6.1176836861768447E-2</v>
      </c>
      <c r="X19" s="16">
        <f>Model!X12</f>
        <v>1.1234272019173153E-2</v>
      </c>
      <c r="Y19" s="16">
        <f>Model!Y12</f>
        <v>4.3503821281598798E-2</v>
      </c>
      <c r="Z19" s="670">
        <f>Model!Z12</f>
        <v>-0.79957908978165282</v>
      </c>
      <c r="AA19" s="16">
        <f>Model!AA12</f>
        <v>1.07029053420806</v>
      </c>
      <c r="AB19" s="16">
        <f>Model!AB12</f>
        <v>-0.36544519980102796</v>
      </c>
      <c r="AC19" s="16">
        <f>Model!AC12</f>
        <v>-0.36883424677825505</v>
      </c>
      <c r="AD19" s="16">
        <f>Model!AD12</f>
        <v>-0.34915492957746475</v>
      </c>
      <c r="AE19" s="670">
        <f>Model!AE12</f>
        <v>1.7972998312394526</v>
      </c>
      <c r="AF19" s="16">
        <f>Model!AF12</f>
        <v>1.3503847894975101</v>
      </c>
      <c r="AG19" s="16">
        <f>Model!AG12</f>
        <v>0.35223412594721704</v>
      </c>
      <c r="AH19" s="16">
        <f>Model!AH12</f>
        <v>0.30298052100445894</v>
      </c>
      <c r="AI19" s="16">
        <f>Model!AI12</f>
        <v>0.22765635143908192</v>
      </c>
      <c r="AJ19" s="670">
        <f>Model!AJ12</f>
        <v>0.44737900522858265</v>
      </c>
      <c r="AK19" s="16">
        <f>Model!AK12</f>
        <v>7.8967642526964532E-2</v>
      </c>
      <c r="AL19" s="16">
        <f>Model!AL12</f>
        <v>0.15285024154589388</v>
      </c>
      <c r="AM19" s="16">
        <f>Model!AM12</f>
        <v>0.13508645533141217</v>
      </c>
      <c r="AN19" s="16">
        <f>Model!AN12</f>
        <v>0.22739291380222104</v>
      </c>
      <c r="AO19" s="670">
        <f>Model!AO12</f>
        <v>0.15010188958873649</v>
      </c>
      <c r="AP19" s="16">
        <f>Model!AP12</f>
        <v>0.27972152802570505</v>
      </c>
      <c r="AQ19" s="16">
        <f>Model!AQ12</f>
        <v>-0.52581293999329537</v>
      </c>
      <c r="AR19" s="16">
        <f>Model!AR12</f>
        <v>-0.17042208822595994</v>
      </c>
      <c r="AS19" s="16">
        <f>Model!AS12</f>
        <v>-5.5723107855809029E-2</v>
      </c>
      <c r="AT19" s="670">
        <f>Model!AT12</f>
        <v>-0.12209559859863894</v>
      </c>
      <c r="AU19" s="16">
        <f>Model!AU12</f>
        <v>-0.12051890082298788</v>
      </c>
      <c r="AV19" s="16">
        <f>Model!AV12</f>
        <v>2.0759985860728172</v>
      </c>
      <c r="AW19" s="16">
        <f>Model!AW12</f>
        <v>0.78347360367253249</v>
      </c>
      <c r="AX19" s="16">
        <f>Model!AX12</f>
        <v>0.38205323193916363</v>
      </c>
      <c r="AY19" s="670">
        <f>Model!AY12</f>
        <v>0.53286546488693176</v>
      </c>
      <c r="AZ19" s="16">
        <f>Model!AZ12</f>
        <v>0.61950832672482159</v>
      </c>
      <c r="BA19" s="16">
        <f>Model!BA12</f>
        <v>0.31303148701447947</v>
      </c>
      <c r="BB19" s="16">
        <f>Model!BB12</f>
        <v>0.24141999141999126</v>
      </c>
      <c r="BC19" s="16">
        <f>Model!BC12</f>
        <v>0.30163970507318094</v>
      </c>
      <c r="BD19" s="670">
        <f>Model!BD12</f>
        <v>0.34777664731581792</v>
      </c>
      <c r="BE19" s="16">
        <f>Model!BE12</f>
        <v>0.14964254235628238</v>
      </c>
      <c r="BF19" s="16">
        <f>Model!BF12</f>
        <v>3.0456852791878042E-2</v>
      </c>
      <c r="BG19" s="16">
        <f>Model!BG12</f>
        <v>3.1965442764579022E-2</v>
      </c>
      <c r="BH19" s="16">
        <f>Model!BH12</f>
        <v>2.1136286777139635E-2</v>
      </c>
      <c r="BI19" s="670">
        <f>Model!BI12</f>
        <v>5.5417406749556086E-2</v>
      </c>
      <c r="BJ19" s="16">
        <f>Model!BJ12</f>
        <v>0.28750319447993866</v>
      </c>
      <c r="BK19" s="16">
        <f>Model!BK12</f>
        <v>0.33157805333786317</v>
      </c>
      <c r="BL19" s="389">
        <f>Model!BL12</f>
        <v>0.33428212641272492</v>
      </c>
      <c r="BM19" s="16">
        <f>Model!BM12</f>
        <v>0.3</v>
      </c>
      <c r="BN19" s="670">
        <f>Model!BN12</f>
        <v>0.31334988219454751</v>
      </c>
      <c r="BO19" s="16">
        <f>Model!BO12</f>
        <v>0.1</v>
      </c>
      <c r="BP19" s="16">
        <f>Model!BP12</f>
        <v>0.08</v>
      </c>
      <c r="BQ19" s="16">
        <f>Model!BQ12</f>
        <v>0.1</v>
      </c>
      <c r="BR19" s="16">
        <f>Model!BR12</f>
        <v>0.1</v>
      </c>
      <c r="BS19" s="670">
        <f>Model!BS12</f>
        <v>9.4977527334001888E-2</v>
      </c>
      <c r="BT19" s="670">
        <f>Model!BT12</f>
        <v>0.05</v>
      </c>
      <c r="BU19" s="670">
        <f>Model!BU12</f>
        <v>0.05</v>
      </c>
      <c r="BV19" s="670">
        <f>Model!BV12</f>
        <v>0.05</v>
      </c>
      <c r="BW19" s="26"/>
    </row>
    <row r="20" spans="1:75" s="442" customFormat="1">
      <c r="A20" s="65" t="str">
        <f>Model!A13</f>
        <v>Total Revenue Growth, %</v>
      </c>
      <c r="B20" s="17"/>
      <c r="C20" s="673"/>
      <c r="D20" s="673">
        <f>Model!D13</f>
        <v>0.84946528208307481</v>
      </c>
      <c r="E20" s="673">
        <f>Model!E13</f>
        <v>0.74488278058284951</v>
      </c>
      <c r="F20" s="673">
        <f>Model!F13</f>
        <v>0.65176202197274424</v>
      </c>
      <c r="G20" s="10"/>
      <c r="H20" s="10"/>
      <c r="I20" s="10"/>
      <c r="J20" s="10"/>
      <c r="K20" s="673">
        <f>Model!K13</f>
        <v>0.6936329206859202</v>
      </c>
      <c r="L20" s="10">
        <f>Model!L13</f>
        <v>0.65623306526781255</v>
      </c>
      <c r="M20" s="10">
        <f>Model!M13</f>
        <v>0.61363429838431194</v>
      </c>
      <c r="N20" s="10">
        <f>Model!N13</f>
        <v>0.67462120592994568</v>
      </c>
      <c r="O20" s="10">
        <f>Model!O13</f>
        <v>0.5553495350384281</v>
      </c>
      <c r="P20" s="673">
        <f>Model!P13</f>
        <v>0.62040963483097844</v>
      </c>
      <c r="Q20" s="10">
        <f>Model!Q13</f>
        <v>0.55100972423992545</v>
      </c>
      <c r="R20" s="10">
        <f>Model!R13</f>
        <v>0.50825008165609864</v>
      </c>
      <c r="S20" s="10">
        <f>Model!S13</f>
        <v>0.40119076667805387</v>
      </c>
      <c r="T20" s="10">
        <f>Model!T13</f>
        <v>0.3989916914648679</v>
      </c>
      <c r="U20" s="673">
        <f>Model!U13</f>
        <v>0.4560492244448211</v>
      </c>
      <c r="V20" s="10">
        <f>Model!V13</f>
        <v>0.33841597191750794</v>
      </c>
      <c r="W20" s="10">
        <f>Model!W13</f>
        <v>0.29507964125962372</v>
      </c>
      <c r="X20" s="10">
        <f>Model!X13</f>
        <v>0.29725060776405532</v>
      </c>
      <c r="Y20" s="10">
        <f>Model!Y13</f>
        <v>0.26714846062277631</v>
      </c>
      <c r="Z20" s="673">
        <f>Model!Z13</f>
        <v>0.29717069514708627</v>
      </c>
      <c r="AA20" s="10">
        <f>Model!AA13</f>
        <v>0.24941839571787949</v>
      </c>
      <c r="AB20" s="10">
        <f>Model!AB13</f>
        <v>0.21056000184514612</v>
      </c>
      <c r="AC20" s="10">
        <f>Model!AC13</f>
        <v>0.19897224966708205</v>
      </c>
      <c r="AD20" s="10">
        <f>Model!AD13</f>
        <v>0.12649383983572871</v>
      </c>
      <c r="AE20" s="673">
        <f>Model!AE13</f>
        <v>0.19321832810008566</v>
      </c>
      <c r="AF20" s="10">
        <f>Model!AF13</f>
        <v>0.12564715855763109</v>
      </c>
      <c r="AG20" s="10">
        <f>Model!AG13</f>
        <v>0.11868822786920408</v>
      </c>
      <c r="AH20" s="10">
        <f>Model!AH13</f>
        <v>7.9758337923838019E-2</v>
      </c>
      <c r="AI20" s="10">
        <f>Model!AI13</f>
        <v>0.11073135831499159</v>
      </c>
      <c r="AJ20" s="673">
        <f>Model!AJ13</f>
        <v>0.10804057603775985</v>
      </c>
      <c r="AK20" s="10">
        <f>Model!AK13</f>
        <v>5.7684893802056658E-2</v>
      </c>
      <c r="AL20" s="10">
        <f>Model!AL13</f>
        <v>5.1485334003227301E-2</v>
      </c>
      <c r="AM20" s="10">
        <f>Model!AM13</f>
        <v>8.8670073331785115E-2</v>
      </c>
      <c r="AN20" s="10">
        <f>Model!AN13</f>
        <v>0.10290883728563238</v>
      </c>
      <c r="AO20" s="673">
        <f>Model!AO13</f>
        <v>7.5756306130956297E-2</v>
      </c>
      <c r="AP20" s="10">
        <f>Model!AP13</f>
        <v>5.9162845106000672E-2</v>
      </c>
      <c r="AQ20" s="10">
        <f>Model!AQ13</f>
        <v>-0.31554331760847121</v>
      </c>
      <c r="AR20" s="10">
        <f>Model!AR13</f>
        <v>-0.15874715209887469</v>
      </c>
      <c r="AS20" s="10">
        <f>Model!AS13</f>
        <v>-0.13253330258199669</v>
      </c>
      <c r="AT20" s="673">
        <f>Model!AT13</f>
        <v>-0.1392840028633574</v>
      </c>
      <c r="AU20" s="10">
        <f>Model!AU13</f>
        <v>-7.124821429285999E-2</v>
      </c>
      <c r="AV20" s="10">
        <f>Model!AV13</f>
        <v>0.52155238715021035</v>
      </c>
      <c r="AW20" s="10">
        <f>Model!AW13</f>
        <v>0.21896044962342653</v>
      </c>
      <c r="AX20" s="10">
        <f>Model!AX13</f>
        <v>0.17240935697592175</v>
      </c>
      <c r="AY20" s="673">
        <f>Model!AY13</f>
        <v>0.18203688026457909</v>
      </c>
      <c r="AZ20" s="10">
        <f>Model!AZ13</f>
        <v>0.19186888184199669</v>
      </c>
      <c r="BA20" s="10">
        <f>Model!BA13</f>
        <v>0.16212264957929601</v>
      </c>
      <c r="BB20" s="10">
        <f>Model!BB13</f>
        <v>0.14763240511972664</v>
      </c>
      <c r="BC20" s="10">
        <f>Model!BC13</f>
        <v>0.13058888076079</v>
      </c>
      <c r="BD20" s="673">
        <f>Model!BD13</f>
        <v>0.15667851283000567</v>
      </c>
      <c r="BE20" s="10">
        <f>Model!BE13</f>
        <v>0.12945182700232771</v>
      </c>
      <c r="BF20" s="10">
        <f>Model!BF13</f>
        <v>0.12794930474699195</v>
      </c>
      <c r="BG20" s="10">
        <f>Model!BG13</f>
        <v>0.11729380266825506</v>
      </c>
      <c r="BH20" s="10">
        <f>Model!BH13</f>
        <v>0.10764373040701658</v>
      </c>
      <c r="BI20" s="673">
        <f>Model!BI13</f>
        <v>0.1202809202467352</v>
      </c>
      <c r="BJ20" s="10">
        <f>Model!BJ13</f>
        <v>6.5017699511583205E-2</v>
      </c>
      <c r="BK20" s="10">
        <f>Model!BK13</f>
        <v>5.8998712647496898E-2</v>
      </c>
      <c r="BL20" s="390">
        <f>Model!BL13</f>
        <v>4.4106142175810437E-2</v>
      </c>
      <c r="BM20" s="10">
        <f>Model!BM13</f>
        <v>2.3512367849498839E-2</v>
      </c>
      <c r="BN20" s="673">
        <f>Model!BN13</f>
        <v>4.7474290986386558E-2</v>
      </c>
      <c r="BO20" s="10">
        <f>Model!BO13</f>
        <v>5.5727267238483202E-2</v>
      </c>
      <c r="BP20" s="10">
        <f>Model!BP13</f>
        <v>8.2295170845704702E-2</v>
      </c>
      <c r="BQ20" s="10">
        <f>Model!BQ13</f>
        <v>7.5209939534401027E-2</v>
      </c>
      <c r="BR20" s="10">
        <f>Model!BR13</f>
        <v>0.13159170670779163</v>
      </c>
      <c r="BS20" s="673">
        <f>Model!BS13</f>
        <v>8.6494376722719313E-2</v>
      </c>
      <c r="BT20" s="673">
        <f>Model!BT13</f>
        <v>3.5141603890546547E-2</v>
      </c>
      <c r="BU20" s="673">
        <f>Model!BU13</f>
        <v>7.5599103104432297E-2</v>
      </c>
      <c r="BV20" s="673">
        <f>Model!BV13</f>
        <v>9.2037360225687426E-2</v>
      </c>
      <c r="BW20" s="34"/>
    </row>
    <row r="21" spans="1:75" s="482" customFormat="1">
      <c r="A21" s="98"/>
      <c r="B21" s="99"/>
      <c r="C21" s="790"/>
      <c r="D21" s="790"/>
      <c r="E21" s="790"/>
      <c r="F21" s="790"/>
      <c r="G21" s="58"/>
      <c r="H21" s="58"/>
      <c r="I21" s="58"/>
      <c r="J21" s="58"/>
      <c r="K21" s="790"/>
      <c r="L21" s="58"/>
      <c r="M21" s="58"/>
      <c r="N21" s="58"/>
      <c r="O21" s="58"/>
      <c r="P21" s="790"/>
      <c r="Q21" s="58"/>
      <c r="R21" s="58"/>
      <c r="S21" s="58"/>
      <c r="T21" s="58"/>
      <c r="U21" s="790"/>
      <c r="V21" s="58"/>
      <c r="W21" s="58"/>
      <c r="X21" s="58"/>
      <c r="Y21" s="58"/>
      <c r="Z21" s="790"/>
      <c r="AA21" s="58"/>
      <c r="AB21" s="58"/>
      <c r="AC21" s="58"/>
      <c r="AD21" s="58"/>
      <c r="AE21" s="790"/>
      <c r="AF21" s="58"/>
      <c r="AG21" s="58"/>
      <c r="AH21" s="58"/>
      <c r="AI21" s="58"/>
      <c r="AJ21" s="790"/>
      <c r="AK21" s="58"/>
      <c r="AL21" s="58"/>
      <c r="AM21" s="58"/>
      <c r="AN21" s="58"/>
      <c r="AO21" s="790"/>
      <c r="AP21" s="58"/>
      <c r="AQ21" s="58"/>
      <c r="AR21" s="58"/>
      <c r="AS21" s="58"/>
      <c r="AT21" s="790"/>
      <c r="AU21" s="58"/>
      <c r="AV21" s="58"/>
      <c r="AW21" s="58"/>
      <c r="AX21" s="58"/>
      <c r="AY21" s="790"/>
      <c r="AZ21" s="58"/>
      <c r="BA21" s="58"/>
      <c r="BB21" s="58"/>
      <c r="BC21" s="58"/>
      <c r="BD21" s="790"/>
      <c r="BE21" s="58"/>
      <c r="BF21" s="58"/>
      <c r="BG21" s="58"/>
      <c r="BH21" s="58"/>
      <c r="BI21" s="790"/>
      <c r="BJ21" s="58"/>
      <c r="BK21" s="58"/>
      <c r="BL21" s="414"/>
      <c r="BM21" s="58"/>
      <c r="BN21" s="790"/>
      <c r="BO21" s="58"/>
      <c r="BP21" s="58"/>
      <c r="BQ21" s="58"/>
      <c r="BR21" s="58"/>
      <c r="BS21" s="790"/>
      <c r="BT21" s="790"/>
      <c r="BU21" s="790"/>
      <c r="BV21" s="790"/>
      <c r="BW21" s="102"/>
    </row>
    <row r="22" spans="1:75" s="481" customFormat="1">
      <c r="A22" s="271" t="str">
        <f>Model!A16</f>
        <v>Services Advertising revenue, mm</v>
      </c>
      <c r="B22" s="270"/>
      <c r="C22" s="791">
        <f>Model!C16</f>
        <v>0</v>
      </c>
      <c r="D22" s="791">
        <f>Model!D16</f>
        <v>0</v>
      </c>
      <c r="E22" s="791">
        <f>Model!E16</f>
        <v>0</v>
      </c>
      <c r="F22" s="791">
        <f>Model!F16</f>
        <v>0</v>
      </c>
      <c r="G22" s="601">
        <f>Model!G16</f>
        <v>0</v>
      </c>
      <c r="H22" s="601">
        <f>Model!H16</f>
        <v>0</v>
      </c>
      <c r="I22" s="601">
        <f>Model!I16</f>
        <v>0</v>
      </c>
      <c r="J22" s="601">
        <f>Model!J16</f>
        <v>0</v>
      </c>
      <c r="K22" s="791">
        <f>Model!K16</f>
        <v>0</v>
      </c>
      <c r="L22" s="601">
        <f>Model!L16</f>
        <v>0</v>
      </c>
      <c r="M22" s="601">
        <f>Model!M16</f>
        <v>0</v>
      </c>
      <c r="N22" s="601">
        <f>Model!N16</f>
        <v>0</v>
      </c>
      <c r="O22" s="601">
        <f>Model!O16</f>
        <v>0</v>
      </c>
      <c r="P22" s="791">
        <f>Model!P16</f>
        <v>0</v>
      </c>
      <c r="Q22" s="601">
        <f>Model!Q16</f>
        <v>0</v>
      </c>
      <c r="R22" s="601">
        <f>Model!R16</f>
        <v>0</v>
      </c>
      <c r="S22" s="601">
        <f>Model!S16</f>
        <v>0</v>
      </c>
      <c r="T22" s="601">
        <f>Model!T16</f>
        <v>0</v>
      </c>
      <c r="U22" s="791">
        <f>Model!U16</f>
        <v>0</v>
      </c>
      <c r="V22" s="601">
        <f>Model!V16</f>
        <v>0</v>
      </c>
      <c r="W22" s="601">
        <f>Model!W16</f>
        <v>0</v>
      </c>
      <c r="X22" s="601">
        <f>Model!X16</f>
        <v>0</v>
      </c>
      <c r="Y22" s="601">
        <f>Model!Y16</f>
        <v>0</v>
      </c>
      <c r="Z22" s="791">
        <f>Model!Z16</f>
        <v>0</v>
      </c>
      <c r="AA22" s="601">
        <f>Model!AA16</f>
        <v>0</v>
      </c>
      <c r="AB22" s="601">
        <f>Model!AB16</f>
        <v>0</v>
      </c>
      <c r="AC22" s="601">
        <f>Model!AC16</f>
        <v>0</v>
      </c>
      <c r="AD22" s="601">
        <f>Model!AD16</f>
        <v>0</v>
      </c>
      <c r="AE22" s="791">
        <f>Model!AE16</f>
        <v>0</v>
      </c>
      <c r="AF22" s="601">
        <f>Model!AF16</f>
        <v>106.589</v>
      </c>
      <c r="AG22" s="601">
        <f>Model!AG16</f>
        <v>114.968</v>
      </c>
      <c r="AH22" s="601">
        <f>Model!AH16</f>
        <v>118.039</v>
      </c>
      <c r="AI22" s="601">
        <f>Model!AI16</f>
        <v>117.935</v>
      </c>
      <c r="AJ22" s="791">
        <f>Model!AJ16</f>
        <v>457.53100000000001</v>
      </c>
      <c r="AK22" s="601">
        <f>Model!AK16</f>
        <v>116.29</v>
      </c>
      <c r="AL22" s="601">
        <f>Model!AL16</f>
        <v>124.098</v>
      </c>
      <c r="AM22" s="601">
        <f>Model!AM16</f>
        <v>134.84</v>
      </c>
      <c r="AN22" s="601">
        <f>Model!AN16</f>
        <v>137.501</v>
      </c>
      <c r="AO22" s="791">
        <f>Model!AO16</f>
        <v>512.72900000000004</v>
      </c>
      <c r="AP22" s="601">
        <f>Model!AP16</f>
        <v>133.08199999999999</v>
      </c>
      <c r="AQ22" s="601">
        <f>Model!AQ16</f>
        <v>109.583</v>
      </c>
      <c r="AR22" s="601">
        <f>Model!AR16</f>
        <v>133.46700000000001</v>
      </c>
      <c r="AS22" s="601">
        <f>Model!AS16</f>
        <v>138.887</v>
      </c>
      <c r="AT22" s="791">
        <f>Model!AT16</f>
        <v>515.01900000000001</v>
      </c>
      <c r="AU22" s="601">
        <f>Model!AU16</f>
        <v>140.68700000000001</v>
      </c>
      <c r="AV22" s="601">
        <f>Model!AV16</f>
        <v>152.52199999999999</v>
      </c>
      <c r="AW22" s="601">
        <f>Model!AW16</f>
        <v>157.31899999999999</v>
      </c>
      <c r="AX22" s="601">
        <f>Model!AX16</f>
        <v>157.24199999999999</v>
      </c>
      <c r="AY22" s="791">
        <f>Model!AY16</f>
        <v>607.77</v>
      </c>
      <c r="AZ22" s="601">
        <f>Model!AZ16</f>
        <v>160.26300000000001</v>
      </c>
      <c r="BA22" s="601">
        <f>Model!BA16</f>
        <v>174.298</v>
      </c>
      <c r="BB22" s="601">
        <f>Model!BB16</f>
        <v>180.95699999999999</v>
      </c>
      <c r="BC22" s="601">
        <f>Model!BC16</f>
        <v>178.292</v>
      </c>
      <c r="BD22" s="791">
        <f>Model!BD16</f>
        <v>693.81000000000006</v>
      </c>
      <c r="BE22" s="601">
        <f>Model!BE16</f>
        <v>183.52</v>
      </c>
      <c r="BF22" s="601">
        <f>Model!BF16</f>
        <v>200.274</v>
      </c>
      <c r="BG22" s="601">
        <f>Model!BG16</f>
        <v>206.178</v>
      </c>
      <c r="BH22" s="601">
        <f>Model!BH16</f>
        <v>203.14</v>
      </c>
      <c r="BI22" s="791">
        <f>Model!BI16</f>
        <v>793.11199999999997</v>
      </c>
      <c r="BJ22" s="601">
        <f>Model!BJ16</f>
        <v>203.28800000000001</v>
      </c>
      <c r="BK22" s="601">
        <f>Model!BK16</f>
        <v>222.95500000000001</v>
      </c>
      <c r="BL22" s="602">
        <f>Model!BL16</f>
        <v>228.00899999999999</v>
      </c>
      <c r="BM22" s="601">
        <f>Model!BM16</f>
        <v>228.84101887499997</v>
      </c>
      <c r="BN22" s="791">
        <f>Model!BN16</f>
        <v>883.0930188750001</v>
      </c>
      <c r="BO22" s="601">
        <f>Model!BO16</f>
        <v>226.74056349295776</v>
      </c>
      <c r="BP22" s="601">
        <f>Model!BP16</f>
        <v>245.69984685573129</v>
      </c>
      <c r="BQ22" s="601">
        <f>Model!BQ16</f>
        <v>248.2318662237154</v>
      </c>
      <c r="BR22" s="601">
        <f>Model!BR16</f>
        <v>260.999902482165</v>
      </c>
      <c r="BS22" s="791">
        <f>Model!BS16</f>
        <v>981.67217905456948</v>
      </c>
      <c r="BT22" s="791">
        <f>Model!BT16</f>
        <v>1042.9573120730636</v>
      </c>
      <c r="BU22" s="791">
        <f>Model!BU16</f>
        <v>1137.4533474567475</v>
      </c>
      <c r="BV22" s="791">
        <f>Model!BV16</f>
        <v>1265.1978833538476</v>
      </c>
      <c r="BW22" s="552"/>
    </row>
    <row r="23" spans="1:75" s="481" customFormat="1">
      <c r="A23" s="272" t="str">
        <f>Model!A17</f>
        <v>Restaurants, retail &amp; other revenue, mm</v>
      </c>
      <c r="B23" s="273"/>
      <c r="C23" s="792">
        <f>Model!C17</f>
        <v>0</v>
      </c>
      <c r="D23" s="792">
        <f>Model!D17</f>
        <v>0</v>
      </c>
      <c r="E23" s="792">
        <f>Model!E17</f>
        <v>0</v>
      </c>
      <c r="F23" s="792">
        <f>Model!F17</f>
        <v>0</v>
      </c>
      <c r="G23" s="603">
        <f>Model!G17</f>
        <v>0</v>
      </c>
      <c r="H23" s="603">
        <f>Model!H17</f>
        <v>0</v>
      </c>
      <c r="I23" s="603">
        <f>Model!I17</f>
        <v>0</v>
      </c>
      <c r="J23" s="603">
        <f>Model!J17</f>
        <v>0</v>
      </c>
      <c r="K23" s="792">
        <f>Model!K17</f>
        <v>0</v>
      </c>
      <c r="L23" s="603">
        <f>Model!L17</f>
        <v>0</v>
      </c>
      <c r="M23" s="603">
        <f>Model!M17</f>
        <v>0</v>
      </c>
      <c r="N23" s="603">
        <f>Model!N17</f>
        <v>0</v>
      </c>
      <c r="O23" s="603">
        <f>Model!O17</f>
        <v>0</v>
      </c>
      <c r="P23" s="792">
        <f>Model!P17</f>
        <v>0</v>
      </c>
      <c r="Q23" s="603">
        <f>Model!Q17</f>
        <v>0</v>
      </c>
      <c r="R23" s="603">
        <f>Model!R17</f>
        <v>0</v>
      </c>
      <c r="S23" s="603">
        <f>Model!S17</f>
        <v>0</v>
      </c>
      <c r="T23" s="603">
        <f>Model!T17</f>
        <v>0</v>
      </c>
      <c r="U23" s="792">
        <f>Model!U17</f>
        <v>0</v>
      </c>
      <c r="V23" s="603">
        <f>Model!V17</f>
        <v>0</v>
      </c>
      <c r="W23" s="603">
        <f>Model!W17</f>
        <v>0</v>
      </c>
      <c r="X23" s="603">
        <f>Model!X17</f>
        <v>0</v>
      </c>
      <c r="Y23" s="603">
        <f>Model!Y17</f>
        <v>0</v>
      </c>
      <c r="Z23" s="792">
        <f>Model!Z17</f>
        <v>0</v>
      </c>
      <c r="AA23" s="603">
        <f>Model!AA17</f>
        <v>0</v>
      </c>
      <c r="AB23" s="603">
        <f>Model!AB17</f>
        <v>0</v>
      </c>
      <c r="AC23" s="603">
        <f>Model!AC17</f>
        <v>0</v>
      </c>
      <c r="AD23" s="603">
        <f>Model!AD17</f>
        <v>0</v>
      </c>
      <c r="AE23" s="792">
        <f>Model!AE17</f>
        <v>0</v>
      </c>
      <c r="AF23" s="603">
        <f>Model!AF17</f>
        <v>107.45399999999999</v>
      </c>
      <c r="AG23" s="603">
        <f>Model!AG17</f>
        <v>111.2</v>
      </c>
      <c r="AH23" s="603">
        <f>Model!AH17</f>
        <v>114.46299999999999</v>
      </c>
      <c r="AI23" s="603">
        <f>Model!AI17</f>
        <v>116.839</v>
      </c>
      <c r="AJ23" s="792">
        <f>Model!AJ17</f>
        <v>449.95599999999996</v>
      </c>
      <c r="AK23" s="603">
        <f>Model!AK17</f>
        <v>110.74299999999999</v>
      </c>
      <c r="AL23" s="603">
        <f>Model!AL17</f>
        <v>113.744</v>
      </c>
      <c r="AM23" s="603">
        <f>Model!AM17</f>
        <v>118.258</v>
      </c>
      <c r="AN23" s="603">
        <f>Model!AN17</f>
        <v>121.45099999999999</v>
      </c>
      <c r="AO23" s="792">
        <f>Model!AO17</f>
        <v>464.19600000000003</v>
      </c>
      <c r="AP23" s="603">
        <f>Model!AP17</f>
        <v>107.011</v>
      </c>
      <c r="AQ23" s="603">
        <f>Model!AQ17</f>
        <v>52.65</v>
      </c>
      <c r="AR23" s="603">
        <f>Model!AR17</f>
        <v>77.7</v>
      </c>
      <c r="AS23" s="603">
        <f>Model!AS17</f>
        <v>83.734999999999999</v>
      </c>
      <c r="AT23" s="792">
        <f>Model!AT17</f>
        <v>321.096</v>
      </c>
      <c r="AU23" s="603">
        <f>Model!AU17</f>
        <v>81.3</v>
      </c>
      <c r="AV23" s="603">
        <f>Model!AV17</f>
        <v>92.438999999999993</v>
      </c>
      <c r="AW23" s="603">
        <f>Model!AW17</f>
        <v>99.510999999999996</v>
      </c>
      <c r="AX23" s="603">
        <f>Model!AX17</f>
        <v>104.205</v>
      </c>
      <c r="AY23" s="792">
        <f>Model!AY17</f>
        <v>377.45499999999998</v>
      </c>
      <c r="AZ23" s="603">
        <f>Model!AZ17</f>
        <v>102.974</v>
      </c>
      <c r="BA23" s="603">
        <f>Model!BA17</f>
        <v>109.22</v>
      </c>
      <c r="BB23" s="603">
        <f>Model!BB17</f>
        <v>112.70699999999999</v>
      </c>
      <c r="BC23" s="603">
        <f>Model!BC17</f>
        <v>115.69199999999999</v>
      </c>
      <c r="BD23" s="792">
        <f>Model!BD17</f>
        <v>440.59300000000002</v>
      </c>
      <c r="BE23" s="603">
        <f>Model!BE17</f>
        <v>113.623</v>
      </c>
      <c r="BF23" s="603">
        <f>Model!BF17</f>
        <v>121.69799999999999</v>
      </c>
      <c r="BG23" s="603">
        <f>Model!BG17</f>
        <v>123.854</v>
      </c>
      <c r="BH23" s="603">
        <f>Model!BH17</f>
        <v>124.23099999999999</v>
      </c>
      <c r="BI23" s="792">
        <f>Model!BI17</f>
        <v>483.40600000000001</v>
      </c>
      <c r="BJ23" s="603">
        <f>Model!BJ17</f>
        <v>114.35</v>
      </c>
      <c r="BK23" s="603">
        <f>Model!BK17</f>
        <v>118.383</v>
      </c>
      <c r="BL23" s="604">
        <f>Model!BL17</f>
        <v>116.39700000000001</v>
      </c>
      <c r="BM23" s="603">
        <f>Model!BM17</f>
        <v>105.88365157984003</v>
      </c>
      <c r="BN23" s="792">
        <f>Model!BN17</f>
        <v>455.01365157984003</v>
      </c>
      <c r="BO23" s="603">
        <f>Model!BO17</f>
        <v>107.92939613518197</v>
      </c>
      <c r="BP23" s="603">
        <f>Model!BP17</f>
        <v>123.76460585891888</v>
      </c>
      <c r="BQ23" s="603">
        <f>Model!BQ17</f>
        <v>121.68178422786886</v>
      </c>
      <c r="BR23" s="603">
        <f>Model!BR17</f>
        <v>118.26779265873219</v>
      </c>
      <c r="BS23" s="792">
        <f>Model!BS17</f>
        <v>471.64357888070197</v>
      </c>
      <c r="BT23" s="792">
        <f>Model!BT17</f>
        <v>460.41455803618794</v>
      </c>
      <c r="BU23" s="792">
        <f>Model!BU17</f>
        <v>481.40956642930382</v>
      </c>
      <c r="BV23" s="792">
        <f>Model!BV17</f>
        <v>505.82917063719947</v>
      </c>
      <c r="BW23" s="552"/>
    </row>
    <row r="24" spans="1:75" s="439" customFormat="1">
      <c r="A24" s="31" t="str">
        <f>Model!A18</f>
        <v>Advertising revenue, mm</v>
      </c>
      <c r="B24" s="24"/>
      <c r="C24" s="89">
        <f>Model!C18</f>
        <v>20.097000000000001</v>
      </c>
      <c r="D24" s="89">
        <f>Model!D18</f>
        <v>33.759</v>
      </c>
      <c r="E24" s="89">
        <f>Model!E18</f>
        <v>58.472999999999999</v>
      </c>
      <c r="F24" s="89">
        <f>Model!F18</f>
        <v>109.15900000000001</v>
      </c>
      <c r="G24" s="518">
        <f>Model!G18</f>
        <v>38.966999999999999</v>
      </c>
      <c r="H24" s="518">
        <f>Model!H18</f>
        <v>44.796999999999997</v>
      </c>
      <c r="I24" s="518">
        <f>Model!I18</f>
        <v>51.167000000000002</v>
      </c>
      <c r="J24" s="518">
        <f>Model!J18</f>
        <v>58.052000000000021</v>
      </c>
      <c r="K24" s="89">
        <f>Model!K18</f>
        <v>192.983</v>
      </c>
      <c r="L24" s="518">
        <f>Model!L18</f>
        <v>65.194999999999993</v>
      </c>
      <c r="M24" s="518">
        <f>Model!M18</f>
        <v>75.685000000000002</v>
      </c>
      <c r="N24" s="518">
        <f>Model!N18</f>
        <v>85.132000000000005</v>
      </c>
      <c r="O24" s="518">
        <f>Model!O18</f>
        <v>93.125</v>
      </c>
      <c r="P24" s="89">
        <f>Model!P18</f>
        <v>319.137</v>
      </c>
      <c r="Q24" s="518">
        <f>Model!Q18</f>
        <v>98.57</v>
      </c>
      <c r="R24" s="518">
        <f>Model!R18</f>
        <v>107.88200000000001</v>
      </c>
      <c r="S24" s="518">
        <f>Model!S18</f>
        <v>115.932</v>
      </c>
      <c r="T24" s="518">
        <f>Model!T18</f>
        <v>125.85199999999998</v>
      </c>
      <c r="U24" s="89">
        <f>Model!U18</f>
        <v>448.23599999999999</v>
      </c>
      <c r="V24" s="518">
        <f>Model!V18</f>
        <v>143.047</v>
      </c>
      <c r="W24" s="518">
        <f>Model!W18</f>
        <v>151.87899999999999</v>
      </c>
      <c r="X24" s="518">
        <f>Model!X18</f>
        <v>163.571</v>
      </c>
      <c r="Y24" s="518">
        <f>Model!Y18</f>
        <v>171.1</v>
      </c>
      <c r="Z24" s="89">
        <f>Model!Z18</f>
        <v>645.24099999999999</v>
      </c>
      <c r="AA24" s="518">
        <f>Model!AA18</f>
        <v>177.9</v>
      </c>
      <c r="AB24" s="518">
        <f>Model!AB18</f>
        <v>187.68299999999999</v>
      </c>
      <c r="AC24" s="518">
        <f>Model!AC18</f>
        <v>200.50200000000001</v>
      </c>
      <c r="AD24" s="518">
        <f>Model!AD18</f>
        <v>209.59299999999993</v>
      </c>
      <c r="AE24" s="89">
        <f>Model!AE18</f>
        <v>775.678</v>
      </c>
      <c r="AF24" s="518">
        <f>Model!AF18</f>
        <v>214.04300000000001</v>
      </c>
      <c r="AG24" s="518">
        <f>Model!AG18</f>
        <v>226.16800000000001</v>
      </c>
      <c r="AH24" s="518">
        <f>Model!AH18</f>
        <v>232.50200000000001</v>
      </c>
      <c r="AI24" s="518">
        <f>Model!AI18</f>
        <v>234.774</v>
      </c>
      <c r="AJ24" s="89">
        <f>Model!AJ18</f>
        <v>907.48699999999997</v>
      </c>
      <c r="AK24" s="518">
        <f>Model!AK18</f>
        <v>227.03299999999999</v>
      </c>
      <c r="AL24" s="518">
        <f>Model!AL18</f>
        <v>237.84200000000001</v>
      </c>
      <c r="AM24" s="518">
        <f>Model!AM18</f>
        <v>253.09800000000001</v>
      </c>
      <c r="AN24" s="518">
        <f>Model!AN18</f>
        <v>258.952</v>
      </c>
      <c r="AO24" s="89">
        <f>Model!AO18</f>
        <v>976.92499999999995</v>
      </c>
      <c r="AP24" s="518">
        <f>Model!AP18</f>
        <v>240.09299999999999</v>
      </c>
      <c r="AQ24" s="518">
        <f>Model!AQ18</f>
        <v>162.233</v>
      </c>
      <c r="AR24" s="518">
        <f>Model!AR18</f>
        <v>211.167</v>
      </c>
      <c r="AS24" s="518">
        <f>Model!AS18</f>
        <v>222.62199999999996</v>
      </c>
      <c r="AT24" s="89">
        <f>Model!AT18</f>
        <v>836.11500000000001</v>
      </c>
      <c r="AU24" s="518">
        <f>Model!AU18</f>
        <v>221.98699999999999</v>
      </c>
      <c r="AV24" s="518">
        <f>Model!AV18</f>
        <v>244.96100000000001</v>
      </c>
      <c r="AW24" s="518">
        <f>Model!AW18</f>
        <v>256.83</v>
      </c>
      <c r="AX24" s="518">
        <f>Model!AX18</f>
        <v>261.447</v>
      </c>
      <c r="AY24" s="89">
        <f>Model!AY18</f>
        <v>985.22500000000002</v>
      </c>
      <c r="AZ24" s="518">
        <f>Model!AZ18</f>
        <v>263.23700000000002</v>
      </c>
      <c r="BA24" s="518">
        <f>Model!BA18</f>
        <v>283.51800000000003</v>
      </c>
      <c r="BB24" s="518">
        <f>Model!BB18</f>
        <v>293.66399999999999</v>
      </c>
      <c r="BC24" s="518">
        <f>Model!BC18</f>
        <v>293.98399999999998</v>
      </c>
      <c r="BD24" s="89">
        <f>Model!BD18</f>
        <v>1134.403</v>
      </c>
      <c r="BE24" s="518">
        <f>Model!BE18</f>
        <v>297.14300000000003</v>
      </c>
      <c r="BF24" s="518">
        <f>Model!BF18</f>
        <v>321.97199999999998</v>
      </c>
      <c r="BG24" s="518">
        <f>Model!BG18</f>
        <v>330.03199999999998</v>
      </c>
      <c r="BH24" s="518">
        <f>Model!BH18</f>
        <v>327.37099999999998</v>
      </c>
      <c r="BI24" s="89">
        <f>Model!BI18</f>
        <v>1276.518</v>
      </c>
      <c r="BJ24" s="518">
        <f>Model!BJ18</f>
        <v>317.63800000000003</v>
      </c>
      <c r="BK24" s="518">
        <f>Model!BK18</f>
        <v>341.33800000000002</v>
      </c>
      <c r="BL24" s="520">
        <f>Model!BL18</f>
        <v>344.40600000000001</v>
      </c>
      <c r="BM24" s="518">
        <f>Model!BM18</f>
        <v>334.72467045484001</v>
      </c>
      <c r="BN24" s="89">
        <f>Model!BN18</f>
        <v>1338.1066704548402</v>
      </c>
      <c r="BO24" s="518">
        <f>Model!BO18</f>
        <v>334.66995962813974</v>
      </c>
      <c r="BP24" s="518">
        <f>Model!BP18</f>
        <v>369.46445271465018</v>
      </c>
      <c r="BQ24" s="518">
        <f>Model!BQ18</f>
        <v>369.91365045158426</v>
      </c>
      <c r="BR24" s="518">
        <f>Model!BR18</f>
        <v>379.26769514089722</v>
      </c>
      <c r="BS24" s="89">
        <f>Model!BS18</f>
        <v>1453.3157579352714</v>
      </c>
      <c r="BT24" s="89">
        <f>Model!BT18</f>
        <v>1503.3718701092516</v>
      </c>
      <c r="BU24" s="89">
        <f>Model!BU18</f>
        <v>1618.8629138860513</v>
      </c>
      <c r="BV24" s="89">
        <f>Model!BV18</f>
        <v>1771.0270539910471</v>
      </c>
      <c r="BW24" s="518"/>
    </row>
    <row r="25" spans="1:75" s="439" customFormat="1">
      <c r="A25" s="31" t="str">
        <f>Model!A19</f>
        <v>Transactions revenue, mm</v>
      </c>
      <c r="B25" s="24"/>
      <c r="C25" s="89">
        <f>Model!C19</f>
        <v>0</v>
      </c>
      <c r="D25" s="89">
        <f>Model!D19</f>
        <v>0</v>
      </c>
      <c r="E25" s="89">
        <f>Model!E19</f>
        <v>0</v>
      </c>
      <c r="F25" s="89">
        <f>Model!F19</f>
        <v>0</v>
      </c>
      <c r="G25" s="518">
        <f>Model!G19</f>
        <v>0</v>
      </c>
      <c r="H25" s="518">
        <f>Model!H19</f>
        <v>0</v>
      </c>
      <c r="I25" s="518">
        <f>Model!I19</f>
        <v>0</v>
      </c>
      <c r="J25" s="518">
        <f>Model!J19</f>
        <v>0</v>
      </c>
      <c r="K25" s="89">
        <f>Model!K19</f>
        <v>0</v>
      </c>
      <c r="L25" s="518">
        <f>Model!L19</f>
        <v>0</v>
      </c>
      <c r="M25" s="518">
        <f>Model!M19</f>
        <v>1.228</v>
      </c>
      <c r="N25" s="518">
        <f>Model!N19</f>
        <v>1.3380000000000001</v>
      </c>
      <c r="O25" s="518">
        <f>Model!O19</f>
        <v>2.681</v>
      </c>
      <c r="P25" s="89">
        <f>Model!P19</f>
        <v>5.2469999999999999</v>
      </c>
      <c r="Q25" s="518">
        <f>Model!Q19</f>
        <v>6.6059999999999999</v>
      </c>
      <c r="R25" s="518">
        <f>Model!R19</f>
        <v>11.304</v>
      </c>
      <c r="S25" s="518">
        <f>Model!S19</f>
        <v>11.973000000000001</v>
      </c>
      <c r="T25" s="518">
        <f>Model!T19</f>
        <v>13.970999999999997</v>
      </c>
      <c r="U25" s="89">
        <f>Model!U19</f>
        <v>43.853999999999999</v>
      </c>
      <c r="V25" s="518">
        <f>Model!V19</f>
        <v>14.499000000000001</v>
      </c>
      <c r="W25" s="518">
        <f>Model!W19</f>
        <v>15.518000000000001</v>
      </c>
      <c r="X25" s="518">
        <f>Model!X19</f>
        <v>15.91</v>
      </c>
      <c r="Y25" s="518">
        <f>Model!Y19</f>
        <v>16.600000000000001</v>
      </c>
      <c r="Z25" s="89">
        <f>Model!Z19</f>
        <v>62.494999999999997</v>
      </c>
      <c r="AA25" s="518">
        <f>Model!AA19</f>
        <v>18.065000000000001</v>
      </c>
      <c r="AB25" s="518">
        <f>Model!AB19</f>
        <v>18.434999999999999</v>
      </c>
      <c r="AC25" s="518">
        <f>Model!AC19</f>
        <v>18.524000000000001</v>
      </c>
      <c r="AD25" s="518">
        <f>Model!AD19</f>
        <v>5.2270000000000039</v>
      </c>
      <c r="AE25" s="89">
        <f>Model!AE19</f>
        <v>60.251000000000005</v>
      </c>
      <c r="AF25" s="518">
        <f>Model!AF19</f>
        <v>3.839</v>
      </c>
      <c r="AG25" s="518">
        <f>Model!AG19</f>
        <v>3.52</v>
      </c>
      <c r="AH25" s="518">
        <f>Model!AH19</f>
        <v>3.0419999999999998</v>
      </c>
      <c r="AI25" s="518">
        <f>Model!AI19</f>
        <v>3.293000000000001</v>
      </c>
      <c r="AJ25" s="89">
        <f>Model!AJ19</f>
        <v>13.694000000000001</v>
      </c>
      <c r="AK25" s="518">
        <f>Model!AK19</f>
        <v>3.3069999999999999</v>
      </c>
      <c r="AL25" s="518">
        <f>Model!AL19</f>
        <v>3.1469999999999998</v>
      </c>
      <c r="AM25" s="518">
        <f>Model!AM19</f>
        <v>3.0739999999999998</v>
      </c>
      <c r="AN25" s="518">
        <f>Model!AN19</f>
        <v>2.9080000000000013</v>
      </c>
      <c r="AO25" s="89">
        <f>Model!AO19</f>
        <v>12.436</v>
      </c>
      <c r="AP25" s="518">
        <f>Model!AP19</f>
        <v>2.6389999999999998</v>
      </c>
      <c r="AQ25" s="518">
        <f>Model!AQ19</f>
        <v>3.968</v>
      </c>
      <c r="AR25" s="518">
        <f>Model!AR19</f>
        <v>4.4119999999999999</v>
      </c>
      <c r="AS25" s="518">
        <f>Model!AS19</f>
        <v>3.9980000000000011</v>
      </c>
      <c r="AT25" s="89">
        <f>Model!AT19</f>
        <v>15.016999999999999</v>
      </c>
      <c r="AU25" s="518">
        <f>Model!AU19</f>
        <v>3.8039999999999998</v>
      </c>
      <c r="AV25" s="518">
        <f>Model!AV19</f>
        <v>3.5249999999999999</v>
      </c>
      <c r="AW25" s="518">
        <f>Model!AW19</f>
        <v>3.0009999999999999</v>
      </c>
      <c r="AX25" s="518">
        <f>Model!AX19</f>
        <v>2.8659999999999997</v>
      </c>
      <c r="AY25" s="89">
        <f>Model!AY19</f>
        <v>13.196</v>
      </c>
      <c r="AZ25" s="518">
        <f>Model!AZ19</f>
        <v>3.18</v>
      </c>
      <c r="BA25" s="518">
        <f>Model!BA19</f>
        <v>3.94</v>
      </c>
      <c r="BB25" s="518">
        <f>Model!BB19</f>
        <v>3.6520000000000001</v>
      </c>
      <c r="BC25" s="518">
        <f>Model!BC19</f>
        <v>3.2910000000000004</v>
      </c>
      <c r="BD25" s="89">
        <f>Model!BD19</f>
        <v>14.063000000000001</v>
      </c>
      <c r="BE25" s="518">
        <f>Model!BE19</f>
        <v>3.556</v>
      </c>
      <c r="BF25" s="518">
        <f>Model!BF19</f>
        <v>3.38</v>
      </c>
      <c r="BG25" s="518">
        <f>Model!BG19</f>
        <v>3.145</v>
      </c>
      <c r="BH25" s="518">
        <f>Model!BH19</f>
        <v>2.9269999999999996</v>
      </c>
      <c r="BI25" s="89">
        <f>Model!BI19</f>
        <v>13.007999999999999</v>
      </c>
      <c r="BJ25" s="518">
        <f>Model!BJ19</f>
        <v>0</v>
      </c>
      <c r="BK25" s="518">
        <f>Model!BK19</f>
        <v>0</v>
      </c>
      <c r="BL25" s="520">
        <f>Model!BL19</f>
        <v>0</v>
      </c>
      <c r="BM25" s="518">
        <f>Model!BM19</f>
        <v>0</v>
      </c>
      <c r="BN25" s="89">
        <f>Model!BN19</f>
        <v>0</v>
      </c>
      <c r="BO25" s="518">
        <f>Model!BO19</f>
        <v>0</v>
      </c>
      <c r="BP25" s="518">
        <f>Model!BP19</f>
        <v>0</v>
      </c>
      <c r="BQ25" s="518">
        <f>Model!BQ19</f>
        <v>0</v>
      </c>
      <c r="BR25" s="518">
        <f>Model!BR19</f>
        <v>0</v>
      </c>
      <c r="BS25" s="89">
        <f>Model!BS19</f>
        <v>0</v>
      </c>
      <c r="BT25" s="89">
        <f>Model!BT19</f>
        <v>0</v>
      </c>
      <c r="BU25" s="89">
        <f>Model!BU19</f>
        <v>0</v>
      </c>
      <c r="BV25" s="89">
        <f>Model!BV19</f>
        <v>0</v>
      </c>
      <c r="BW25" s="518"/>
    </row>
    <row r="26" spans="1:75" s="439" customFormat="1">
      <c r="A26" s="31" t="str">
        <f>Model!A20</f>
        <v>Brand advertising revenue, mm</v>
      </c>
      <c r="B26" s="24"/>
      <c r="C26" s="89">
        <f>Model!C20</f>
        <v>5.3929999999999998</v>
      </c>
      <c r="D26" s="89">
        <f>Model!D20</f>
        <v>12.045999999999999</v>
      </c>
      <c r="E26" s="89">
        <f>Model!E20</f>
        <v>17.686</v>
      </c>
      <c r="F26" s="89">
        <f>Model!F20</f>
        <v>20.579000000000001</v>
      </c>
      <c r="G26" s="518">
        <f>Model!G20</f>
        <v>4.758</v>
      </c>
      <c r="H26" s="518">
        <f>Model!H20</f>
        <v>7.048</v>
      </c>
      <c r="I26" s="518">
        <f>Model!I20</f>
        <v>6.91</v>
      </c>
      <c r="J26" s="518">
        <f>Model!J20</f>
        <v>9.2439999999999998</v>
      </c>
      <c r="K26" s="89">
        <f>Model!K20</f>
        <v>27.96</v>
      </c>
      <c r="L26" s="518">
        <f>Model!L20</f>
        <v>7.4550000000000001</v>
      </c>
      <c r="M26" s="518">
        <f>Model!M20</f>
        <v>9.0549999999999997</v>
      </c>
      <c r="N26" s="518">
        <f>Model!N20</f>
        <v>9.3179999999999996</v>
      </c>
      <c r="O26" s="518">
        <f>Model!O20</f>
        <v>8.6540000000000035</v>
      </c>
      <c r="P26" s="89">
        <f>Model!P20</f>
        <v>34.481999999999999</v>
      </c>
      <c r="Q26" s="518">
        <f>Model!Q20</f>
        <v>6.6269999999999998</v>
      </c>
      <c r="R26" s="518">
        <f>Model!R20</f>
        <v>8.3030000000000008</v>
      </c>
      <c r="S26" s="518">
        <f>Model!S20</f>
        <v>8.9779999999999998</v>
      </c>
      <c r="T26" s="518">
        <f>Model!T20</f>
        <v>7.1039999999999992</v>
      </c>
      <c r="U26" s="89">
        <f>Model!U20</f>
        <v>31.012</v>
      </c>
      <c r="V26" s="518">
        <f>Model!V20</f>
        <v>0</v>
      </c>
      <c r="W26" s="518">
        <f>Model!W20</f>
        <v>0</v>
      </c>
      <c r="X26" s="518">
        <f>Model!X20</f>
        <v>0</v>
      </c>
      <c r="Y26" s="518">
        <f>Model!Y20</f>
        <v>0</v>
      </c>
      <c r="Z26" s="89">
        <f>Model!Z20</f>
        <v>0</v>
      </c>
      <c r="AA26" s="518">
        <f>Model!AA20</f>
        <v>0</v>
      </c>
      <c r="AB26" s="518">
        <f>Model!AB20</f>
        <v>0</v>
      </c>
      <c r="AC26" s="518">
        <f>Model!AC20</f>
        <v>0</v>
      </c>
      <c r="AD26" s="518">
        <f>Model!AD20</f>
        <v>0</v>
      </c>
      <c r="AE26" s="89">
        <f>Model!AE20</f>
        <v>0</v>
      </c>
      <c r="AF26" s="518">
        <f>Model!AF20</f>
        <v>0</v>
      </c>
      <c r="AG26" s="518">
        <f>Model!AG20</f>
        <v>0</v>
      </c>
      <c r="AH26" s="518">
        <f>Model!AH20</f>
        <v>0</v>
      </c>
      <c r="AI26" s="518">
        <f>Model!AI20</f>
        <v>0</v>
      </c>
      <c r="AJ26" s="89">
        <f>Model!AJ20</f>
        <v>0</v>
      </c>
      <c r="AK26" s="518">
        <f>Model!AK20</f>
        <v>0</v>
      </c>
      <c r="AL26" s="518">
        <f>Model!AL20</f>
        <v>0</v>
      </c>
      <c r="AM26" s="518">
        <f>Model!AM20</f>
        <v>0</v>
      </c>
      <c r="AN26" s="518">
        <f>Model!AN20</f>
        <v>0</v>
      </c>
      <c r="AO26" s="89">
        <f>Model!AO20</f>
        <v>0</v>
      </c>
      <c r="AP26" s="518">
        <f>Model!AP20</f>
        <v>0</v>
      </c>
      <c r="AQ26" s="518">
        <f>Model!AQ20</f>
        <v>0</v>
      </c>
      <c r="AR26" s="518">
        <f>Model!AR20</f>
        <v>0</v>
      </c>
      <c r="AS26" s="518">
        <f>Model!AS20</f>
        <v>0</v>
      </c>
      <c r="AT26" s="89">
        <f>Model!AT20</f>
        <v>0</v>
      </c>
      <c r="AU26" s="518">
        <f>Model!AU20</f>
        <v>0</v>
      </c>
      <c r="AV26" s="518">
        <f>Model!AV20</f>
        <v>0</v>
      </c>
      <c r="AW26" s="518">
        <f>Model!AW20</f>
        <v>0</v>
      </c>
      <c r="AX26" s="518">
        <f>Model!AX20</f>
        <v>0</v>
      </c>
      <c r="AY26" s="89">
        <f>Model!AY20</f>
        <v>0</v>
      </c>
      <c r="AZ26" s="518">
        <f>Model!AZ20</f>
        <v>0</v>
      </c>
      <c r="BA26" s="518">
        <f>Model!BA20</f>
        <v>0</v>
      </c>
      <c r="BB26" s="518">
        <f>Model!BB20</f>
        <v>0</v>
      </c>
      <c r="BC26" s="518">
        <f>Model!BC20</f>
        <v>0</v>
      </c>
      <c r="BD26" s="89">
        <f>Model!BD20</f>
        <v>0</v>
      </c>
      <c r="BE26" s="518">
        <f>Model!BE20</f>
        <v>0</v>
      </c>
      <c r="BF26" s="518">
        <f>Model!BF20</f>
        <v>0</v>
      </c>
      <c r="BG26" s="518">
        <f>Model!BG20</f>
        <v>0</v>
      </c>
      <c r="BH26" s="518">
        <f>Model!BH20</f>
        <v>0</v>
      </c>
      <c r="BI26" s="89">
        <f>Model!BI20</f>
        <v>0</v>
      </c>
      <c r="BJ26" s="518">
        <f>Model!BJ20</f>
        <v>0</v>
      </c>
      <c r="BK26" s="518">
        <f>Model!BK20</f>
        <v>0</v>
      </c>
      <c r="BL26" s="520">
        <f>Model!BL20</f>
        <v>0</v>
      </c>
      <c r="BM26" s="518">
        <f>Model!BM20</f>
        <v>0</v>
      </c>
      <c r="BN26" s="89">
        <f>Model!BN20</f>
        <v>0</v>
      </c>
      <c r="BO26" s="518">
        <f>Model!BO20</f>
        <v>0</v>
      </c>
      <c r="BP26" s="518">
        <f>Model!BP20</f>
        <v>0</v>
      </c>
      <c r="BQ26" s="518">
        <f>Model!BQ20</f>
        <v>0</v>
      </c>
      <c r="BR26" s="518">
        <f>Model!BR20</f>
        <v>0</v>
      </c>
      <c r="BS26" s="89">
        <f>Model!BS20</f>
        <v>0</v>
      </c>
      <c r="BT26" s="89">
        <f>Model!BT20</f>
        <v>0</v>
      </c>
      <c r="BU26" s="89">
        <f>Model!BU20</f>
        <v>0</v>
      </c>
      <c r="BV26" s="89">
        <f>Model!BV20</f>
        <v>0</v>
      </c>
      <c r="BW26" s="518"/>
    </row>
    <row r="27" spans="1:75" s="439" customFormat="1">
      <c r="A27" s="31" t="str">
        <f>Model!A21</f>
        <v>Other services revenue, mm</v>
      </c>
      <c r="B27" s="24"/>
      <c r="C27" s="89">
        <f>Model!C21</f>
        <v>0.318</v>
      </c>
      <c r="D27" s="89">
        <f>Model!D21</f>
        <v>1.9259999999999999</v>
      </c>
      <c r="E27" s="89">
        <f>Model!E21</f>
        <v>7.1260000000000003</v>
      </c>
      <c r="F27" s="89">
        <f>Model!F21</f>
        <v>7.8289999999999997</v>
      </c>
      <c r="G27" s="518">
        <f>Model!G21</f>
        <v>2.4079999999999999</v>
      </c>
      <c r="H27" s="518">
        <f>Model!H21</f>
        <v>3.1779999999999999</v>
      </c>
      <c r="I27" s="518">
        <f>Model!I21</f>
        <v>3.1040000000000001</v>
      </c>
      <c r="J27" s="518">
        <f>Model!J21</f>
        <v>3.3549999999999986</v>
      </c>
      <c r="K27" s="89">
        <f>Model!K21</f>
        <v>12.045</v>
      </c>
      <c r="L27" s="518">
        <f>Model!L21</f>
        <v>3.7570000000000001</v>
      </c>
      <c r="M27" s="518">
        <f>Model!M21</f>
        <v>2.819</v>
      </c>
      <c r="N27" s="518">
        <f>Model!N21</f>
        <v>6.6669999999999998</v>
      </c>
      <c r="O27" s="518">
        <f>Model!O21</f>
        <v>5.4270000000000014</v>
      </c>
      <c r="P27" s="89">
        <f>Model!P21</f>
        <v>18.670000000000002</v>
      </c>
      <c r="Q27" s="518">
        <f>Model!Q21</f>
        <v>6.7050000000000001</v>
      </c>
      <c r="R27" s="518">
        <f>Model!R21</f>
        <v>6.4240000000000004</v>
      </c>
      <c r="S27" s="518">
        <f>Model!S21</f>
        <v>6.6760000000000002</v>
      </c>
      <c r="T27" s="518">
        <f>Model!T21</f>
        <v>6.804000000000002</v>
      </c>
      <c r="U27" s="89">
        <f>Model!U21</f>
        <v>26.609000000000002</v>
      </c>
      <c r="V27" s="518">
        <f>Model!V21</f>
        <v>1.0669999999999999</v>
      </c>
      <c r="W27" s="518">
        <f>Model!W21</f>
        <v>6.0309999999999997</v>
      </c>
      <c r="X27" s="518">
        <f>Model!X21</f>
        <v>6.7510000000000003</v>
      </c>
      <c r="Y27" s="518">
        <f>Model!Y21</f>
        <v>7.1</v>
      </c>
      <c r="Z27" s="89">
        <f>Model!Z21</f>
        <v>5.3330000000000002</v>
      </c>
      <c r="AA27" s="518">
        <f>Model!AA21</f>
        <v>2.2090000000000001</v>
      </c>
      <c r="AB27" s="518">
        <f>Model!AB21</f>
        <v>3.827</v>
      </c>
      <c r="AC27" s="518">
        <f>Model!AC21</f>
        <v>4.2610000000000001</v>
      </c>
      <c r="AD27" s="518">
        <f>Model!AD21</f>
        <v>4.6210000000000004</v>
      </c>
      <c r="AE27" s="89">
        <f>Model!AE21</f>
        <v>14.918000000000001</v>
      </c>
      <c r="AF27" s="518">
        <f>Model!AF21</f>
        <v>5.1920000000000002</v>
      </c>
      <c r="AG27" s="518">
        <f>Model!AG21</f>
        <v>5.1749999999999998</v>
      </c>
      <c r="AH27" s="518">
        <f>Model!AH21</f>
        <v>5.5519999999999996</v>
      </c>
      <c r="AI27" s="518">
        <f>Model!AI21</f>
        <v>5.6729999999999983</v>
      </c>
      <c r="AJ27" s="89">
        <f>Model!AJ21</f>
        <v>21.591999999999999</v>
      </c>
      <c r="AK27" s="518">
        <f>Model!AK21</f>
        <v>5.6020000000000003</v>
      </c>
      <c r="AL27" s="518">
        <f>Model!AL21</f>
        <v>5.9660000000000002</v>
      </c>
      <c r="AM27" s="518">
        <f>Model!AM21</f>
        <v>6.3019999999999996</v>
      </c>
      <c r="AN27" s="518">
        <f>Model!AN21</f>
        <v>6.9629999999999974</v>
      </c>
      <c r="AO27" s="89">
        <f>Model!AO21</f>
        <v>24.832999999999998</v>
      </c>
      <c r="AP27" s="518">
        <f>Model!AP21</f>
        <v>7.1689999999999996</v>
      </c>
      <c r="AQ27" s="518">
        <f>Model!AQ21</f>
        <v>2.8290000000000002</v>
      </c>
      <c r="AR27" s="518">
        <f>Model!AR21</f>
        <v>5.2279999999999998</v>
      </c>
      <c r="AS27" s="518">
        <f>Model!AS21</f>
        <v>6.5749999999999993</v>
      </c>
      <c r="AT27" s="89">
        <f>Model!AT21</f>
        <v>21.800999999999998</v>
      </c>
      <c r="AU27" s="518">
        <f>Model!AU21</f>
        <v>6.3049999999999997</v>
      </c>
      <c r="AV27" s="518">
        <f>Model!AV21</f>
        <v>8.702</v>
      </c>
      <c r="AW27" s="518">
        <f>Model!AW21</f>
        <v>9.3239999999999998</v>
      </c>
      <c r="AX27" s="518">
        <f>Model!AX21</f>
        <v>9.0869999999999997</v>
      </c>
      <c r="AY27" s="89">
        <f>Model!AY21</f>
        <v>33.417999999999999</v>
      </c>
      <c r="AZ27" s="518">
        <f>Model!AZ21</f>
        <v>10.211</v>
      </c>
      <c r="BA27" s="518">
        <f>Model!BA21</f>
        <v>11.426</v>
      </c>
      <c r="BB27" s="518">
        <f>Model!BB21</f>
        <v>11.574999999999999</v>
      </c>
      <c r="BC27" s="518">
        <f>Model!BC21</f>
        <v>11.827999999999996</v>
      </c>
      <c r="BD27" s="89">
        <f>Model!BD21</f>
        <v>45.04</v>
      </c>
      <c r="BE27" s="518">
        <f>Model!BE21</f>
        <v>11.739000000000001</v>
      </c>
      <c r="BF27" s="518">
        <f>Model!BF21</f>
        <v>11.773999999999999</v>
      </c>
      <c r="BG27" s="518">
        <f>Model!BG21</f>
        <v>11.945</v>
      </c>
      <c r="BH27" s="518">
        <f>Model!BH21</f>
        <v>12.078000000000003</v>
      </c>
      <c r="BI27" s="89">
        <f>Model!BI21</f>
        <v>47.536000000000001</v>
      </c>
      <c r="BJ27" s="518">
        <f>Model!BJ21</f>
        <v>15.114000000000001</v>
      </c>
      <c r="BK27" s="518">
        <f>Model!BK21</f>
        <v>15.678000000000001</v>
      </c>
      <c r="BL27" s="520">
        <f>Model!BL21</f>
        <v>15.938000000000001</v>
      </c>
      <c r="BM27" s="518">
        <f>Model!BM21</f>
        <v>15.701400000000005</v>
      </c>
      <c r="BN27" s="89">
        <f>Model!BN21</f>
        <v>62.431400000000011</v>
      </c>
      <c r="BO27" s="518">
        <f>Model!BO21</f>
        <v>16.625400000000003</v>
      </c>
      <c r="BP27" s="518">
        <f>Model!BP21</f>
        <v>16.932240000000004</v>
      </c>
      <c r="BQ27" s="518">
        <f>Model!BQ21</f>
        <v>17.5318</v>
      </c>
      <c r="BR27" s="518">
        <f>Model!BR21</f>
        <v>17.271540000000005</v>
      </c>
      <c r="BS27" s="89">
        <f>Model!BS21</f>
        <v>68.360980000000012</v>
      </c>
      <c r="BT27" s="89">
        <f>Model!BT21</f>
        <v>71.779029000000023</v>
      </c>
      <c r="BU27" s="89">
        <f>Model!BU21</f>
        <v>75.367980450000033</v>
      </c>
      <c r="BV27" s="89">
        <f>Model!BV21</f>
        <v>79.136379472500039</v>
      </c>
      <c r="BW27" s="518"/>
    </row>
    <row r="28" spans="1:75" s="444" customFormat="1">
      <c r="A28" s="18" t="str">
        <f>Model!A22</f>
        <v>Total revenue, mm</v>
      </c>
      <c r="B28" s="48"/>
      <c r="C28" s="676">
        <f>Model!C22</f>
        <v>25.808000000000003</v>
      </c>
      <c r="D28" s="676">
        <f>Model!D22</f>
        <v>47.731000000000002</v>
      </c>
      <c r="E28" s="676">
        <f>Model!E22</f>
        <v>83.284999999999997</v>
      </c>
      <c r="F28" s="676">
        <f>Model!F22</f>
        <v>137.56700000000001</v>
      </c>
      <c r="G28" s="560">
        <f>Model!G22</f>
        <v>46.133000000000003</v>
      </c>
      <c r="H28" s="560">
        <f>Model!H22</f>
        <v>55.022999999999996</v>
      </c>
      <c r="I28" s="560">
        <f>Model!I22</f>
        <v>61.180999999999997</v>
      </c>
      <c r="J28" s="560">
        <f>Model!J22</f>
        <v>70.651000000000025</v>
      </c>
      <c r="K28" s="676">
        <f>Model!K22</f>
        <v>232.988</v>
      </c>
      <c r="L28" s="560">
        <f>Model!L22</f>
        <v>76.406999999999996</v>
      </c>
      <c r="M28" s="560">
        <f>Model!M22</f>
        <v>88.786999999999992</v>
      </c>
      <c r="N28" s="560">
        <f>Model!N22</f>
        <v>102.455</v>
      </c>
      <c r="O28" s="560">
        <f>Model!O22</f>
        <v>109.88700000000001</v>
      </c>
      <c r="P28" s="676">
        <f>Model!P22</f>
        <v>377.536</v>
      </c>
      <c r="Q28" s="560">
        <f>Model!Q22</f>
        <v>118.50799999999998</v>
      </c>
      <c r="R28" s="560">
        <f>Model!R22</f>
        <v>133.91300000000001</v>
      </c>
      <c r="S28" s="560">
        <f>Model!S22</f>
        <v>143.559</v>
      </c>
      <c r="T28" s="560">
        <f>Model!T22</f>
        <v>153.73099999999997</v>
      </c>
      <c r="U28" s="676">
        <f>Model!U22</f>
        <v>549.71100000000001</v>
      </c>
      <c r="V28" s="560">
        <f>Model!V22</f>
        <v>158.613</v>
      </c>
      <c r="W28" s="560">
        <f>Model!W22</f>
        <v>173.428</v>
      </c>
      <c r="X28" s="560">
        <f>Model!X22</f>
        <v>186.232</v>
      </c>
      <c r="Y28" s="560">
        <f>Model!Y22</f>
        <v>194.79999999999998</v>
      </c>
      <c r="Z28" s="676">
        <f>Model!Z22</f>
        <v>713.06899999999996</v>
      </c>
      <c r="AA28" s="560">
        <f>Model!AA22</f>
        <v>198.17400000000001</v>
      </c>
      <c r="AB28" s="560">
        <f>Model!AB22</f>
        <v>209.94499999999999</v>
      </c>
      <c r="AC28" s="560">
        <f>Model!AC22</f>
        <v>223.28700000000001</v>
      </c>
      <c r="AD28" s="560">
        <f>Model!AD22</f>
        <v>219.44099999999995</v>
      </c>
      <c r="AE28" s="676">
        <f>Model!AE22</f>
        <v>850.84699999999998</v>
      </c>
      <c r="AF28" s="560">
        <f>Model!AF22</f>
        <v>223.07400000000001</v>
      </c>
      <c r="AG28" s="560">
        <f>Model!AG22</f>
        <v>234.86300000000003</v>
      </c>
      <c r="AH28" s="560">
        <f>Model!AH22</f>
        <v>241.096</v>
      </c>
      <c r="AI28" s="560">
        <f>Model!AI22</f>
        <v>243.74</v>
      </c>
      <c r="AJ28" s="676">
        <f>Model!AJ22</f>
        <v>942.77299999999991</v>
      </c>
      <c r="AK28" s="560">
        <f>Model!AK22</f>
        <v>235.94199999999998</v>
      </c>
      <c r="AL28" s="560">
        <f>Model!AL22</f>
        <v>246.95500000000001</v>
      </c>
      <c r="AM28" s="560">
        <f>Model!AM22</f>
        <v>262.47400000000005</v>
      </c>
      <c r="AN28" s="560">
        <f>Model!AN22</f>
        <v>268.82300000000004</v>
      </c>
      <c r="AO28" s="676">
        <f>Model!AO22</f>
        <v>1014.194</v>
      </c>
      <c r="AP28" s="560">
        <f>Model!AP22</f>
        <v>249.90100000000001</v>
      </c>
      <c r="AQ28" s="560">
        <f>Model!AQ22</f>
        <v>169.03</v>
      </c>
      <c r="AR28" s="560">
        <f>Model!AR22</f>
        <v>220.80700000000002</v>
      </c>
      <c r="AS28" s="560">
        <f>Model!AS22</f>
        <v>233.19499999999994</v>
      </c>
      <c r="AT28" s="676">
        <f>Model!AT22</f>
        <v>872.93300000000011</v>
      </c>
      <c r="AU28" s="560">
        <f>Model!AU22</f>
        <v>232.096</v>
      </c>
      <c r="AV28" s="560">
        <f>Model!AV22</f>
        <v>257.18800000000005</v>
      </c>
      <c r="AW28" s="560">
        <f>Model!AW22</f>
        <v>269.15499999999997</v>
      </c>
      <c r="AX28" s="560">
        <f>Model!AX22</f>
        <v>273.39999999999998</v>
      </c>
      <c r="AY28" s="676">
        <f>Model!AY22</f>
        <v>1031.8389999999999</v>
      </c>
      <c r="AZ28" s="560">
        <f>Model!AZ22</f>
        <v>276.62800000000004</v>
      </c>
      <c r="BA28" s="560">
        <f>Model!BA22</f>
        <v>298.88400000000001</v>
      </c>
      <c r="BB28" s="560">
        <f>Model!BB22</f>
        <v>308.89099999999996</v>
      </c>
      <c r="BC28" s="560">
        <f>Model!BC22</f>
        <v>309.10299999999995</v>
      </c>
      <c r="BD28" s="676">
        <f>Model!BD22</f>
        <v>1193.5060000000001</v>
      </c>
      <c r="BE28" s="560">
        <f>Model!BE22</f>
        <v>312.43799999999999</v>
      </c>
      <c r="BF28" s="560">
        <f>Model!BF22</f>
        <v>337.12599999999998</v>
      </c>
      <c r="BG28" s="560">
        <f>Model!BG22</f>
        <v>345.12199999999996</v>
      </c>
      <c r="BH28" s="560">
        <f>Model!BH22</f>
        <v>342.37599999999998</v>
      </c>
      <c r="BI28" s="676">
        <f>Model!BI22</f>
        <v>1337.0620000000001</v>
      </c>
      <c r="BJ28" s="560">
        <f>Model!BJ22</f>
        <v>332.75200000000001</v>
      </c>
      <c r="BK28" s="560">
        <f>Model!BK22</f>
        <v>357.01600000000002</v>
      </c>
      <c r="BL28" s="561">
        <f>Model!BL22</f>
        <v>360.34399999999999</v>
      </c>
      <c r="BM28" s="560">
        <f>Model!BM22</f>
        <v>350.42607045483999</v>
      </c>
      <c r="BN28" s="676">
        <f>Model!BN22</f>
        <v>1400.5380704548402</v>
      </c>
      <c r="BO28" s="560">
        <f>Model!BO22</f>
        <v>351.29535962813975</v>
      </c>
      <c r="BP28" s="560">
        <f>Model!BP22</f>
        <v>386.39669271465016</v>
      </c>
      <c r="BQ28" s="560">
        <f>Model!BQ22</f>
        <v>387.44545045158424</v>
      </c>
      <c r="BR28" s="560">
        <f>Model!BR22</f>
        <v>396.53923514089723</v>
      </c>
      <c r="BS28" s="676">
        <f>Model!BS22</f>
        <v>1521.6767379352714</v>
      </c>
      <c r="BT28" s="676">
        <f>Model!BT22</f>
        <v>1575.1508991092517</v>
      </c>
      <c r="BU28" s="676">
        <f>Model!BU22</f>
        <v>1694.2308943360513</v>
      </c>
      <c r="BV28" s="676">
        <f>Model!BV22</f>
        <v>1850.1634334635471</v>
      </c>
      <c r="BW28" s="523"/>
    </row>
    <row r="29" spans="1:75" s="482" customFormat="1">
      <c r="A29" s="98"/>
      <c r="B29" s="99"/>
      <c r="C29" s="790"/>
      <c r="D29" s="790"/>
      <c r="E29" s="790"/>
      <c r="F29" s="790"/>
      <c r="G29" s="58"/>
      <c r="H29" s="58"/>
      <c r="I29" s="58"/>
      <c r="J29" s="58"/>
      <c r="K29" s="790"/>
      <c r="L29" s="58"/>
      <c r="M29" s="58"/>
      <c r="N29" s="58"/>
      <c r="O29" s="58"/>
      <c r="P29" s="790"/>
      <c r="Q29" s="58"/>
      <c r="R29" s="58"/>
      <c r="S29" s="58"/>
      <c r="T29" s="58"/>
      <c r="U29" s="790"/>
      <c r="V29" s="58"/>
      <c r="W29" s="58"/>
      <c r="X29" s="58"/>
      <c r="Y29" s="58"/>
      <c r="Z29" s="790"/>
      <c r="AA29" s="58"/>
      <c r="AB29" s="58"/>
      <c r="AC29" s="58"/>
      <c r="AD29" s="58"/>
      <c r="AE29" s="790"/>
      <c r="AF29" s="58"/>
      <c r="AG29" s="58"/>
      <c r="AH29" s="58"/>
      <c r="AI29" s="58"/>
      <c r="AJ29" s="790"/>
      <c r="AK29" s="58"/>
      <c r="AL29" s="58"/>
      <c r="AM29" s="58"/>
      <c r="AN29" s="58"/>
      <c r="AO29" s="790"/>
      <c r="AP29" s="58"/>
      <c r="AQ29" s="58"/>
      <c r="AR29" s="58"/>
      <c r="AS29" s="58"/>
      <c r="AT29" s="790"/>
      <c r="AU29" s="58"/>
      <c r="AV29" s="58"/>
      <c r="AW29" s="58"/>
      <c r="AX29" s="58"/>
      <c r="AY29" s="790"/>
      <c r="AZ29" s="58"/>
      <c r="BA29" s="58"/>
      <c r="BB29" s="58"/>
      <c r="BC29" s="58"/>
      <c r="BD29" s="790"/>
      <c r="BE29" s="58"/>
      <c r="BF29" s="58"/>
      <c r="BG29" s="58"/>
      <c r="BH29" s="58"/>
      <c r="BI29" s="790"/>
      <c r="BJ29" s="58"/>
      <c r="BK29" s="58"/>
      <c r="BL29" s="414"/>
      <c r="BM29" s="58"/>
      <c r="BN29" s="790"/>
      <c r="BO29" s="58"/>
      <c r="BP29" s="58"/>
      <c r="BQ29" s="58"/>
      <c r="BR29" s="58"/>
      <c r="BS29" s="790"/>
      <c r="BT29" s="790"/>
      <c r="BU29" s="790"/>
      <c r="BV29" s="790"/>
      <c r="BW29" s="102"/>
    </row>
    <row r="30" spans="1:75" s="446" customFormat="1">
      <c r="A30" s="281" t="str">
        <f>Model!A25</f>
        <v>Services Advertising Locations, 000s locations</v>
      </c>
      <c r="B30" s="206"/>
      <c r="C30" s="678"/>
      <c r="D30" s="678"/>
      <c r="E30" s="678"/>
      <c r="F30" s="678"/>
      <c r="G30" s="43"/>
      <c r="H30" s="43"/>
      <c r="I30" s="43"/>
      <c r="J30" s="43"/>
      <c r="K30" s="678"/>
      <c r="L30" s="43"/>
      <c r="M30" s="43"/>
      <c r="N30" s="43"/>
      <c r="O30" s="43"/>
      <c r="P30" s="678"/>
      <c r="Q30" s="43"/>
      <c r="R30" s="43"/>
      <c r="S30" s="43"/>
      <c r="T30" s="43"/>
      <c r="U30" s="678"/>
      <c r="V30" s="43"/>
      <c r="W30" s="43"/>
      <c r="X30" s="43"/>
      <c r="Y30" s="43"/>
      <c r="Z30" s="678"/>
      <c r="AA30" s="43"/>
      <c r="AB30" s="43"/>
      <c r="AC30" s="43"/>
      <c r="AD30" s="43"/>
      <c r="AE30" s="678"/>
      <c r="AF30" s="43">
        <f>Model!AF25</f>
        <v>233</v>
      </c>
      <c r="AG30" s="43">
        <f>Model!AG25</f>
        <v>232</v>
      </c>
      <c r="AH30" s="43">
        <f>Model!AH25</f>
        <v>230</v>
      </c>
      <c r="AI30" s="43">
        <f>Model!AI25</f>
        <v>231</v>
      </c>
      <c r="AJ30" s="678">
        <f>Model!AJ25</f>
        <v>231</v>
      </c>
      <c r="AK30" s="43">
        <f>Model!AK25</f>
        <v>233</v>
      </c>
      <c r="AL30" s="43">
        <f>Model!AL25</f>
        <v>224</v>
      </c>
      <c r="AM30" s="43">
        <f>Model!AM25</f>
        <v>231</v>
      </c>
      <c r="AN30" s="43">
        <f>Model!AN25</f>
        <v>235</v>
      </c>
      <c r="AO30" s="678">
        <f>Model!AO25</f>
        <v>235</v>
      </c>
      <c r="AP30" s="43">
        <f>Model!AP25</f>
        <v>232</v>
      </c>
      <c r="AQ30" s="43">
        <f>Model!AQ25</f>
        <v>204</v>
      </c>
      <c r="AR30" s="43">
        <f>Model!AR25</f>
        <v>218</v>
      </c>
      <c r="AS30" s="43">
        <f>Model!AS25</f>
        <v>224</v>
      </c>
      <c r="AT30" s="678">
        <f>Model!AT25</f>
        <v>224</v>
      </c>
      <c r="AU30" s="43">
        <f>Model!AU25</f>
        <v>224</v>
      </c>
      <c r="AV30" s="43">
        <f>Model!AV25</f>
        <v>234</v>
      </c>
      <c r="AW30" s="43">
        <f>Model!AW25</f>
        <v>231</v>
      </c>
      <c r="AX30" s="43">
        <f>Model!AX25</f>
        <v>219</v>
      </c>
      <c r="AY30" s="678">
        <f>Model!AY25</f>
        <v>219</v>
      </c>
      <c r="AZ30" s="43">
        <f>Model!AZ25</f>
        <v>223</v>
      </c>
      <c r="BA30" s="43">
        <f>Model!BA25</f>
        <v>232</v>
      </c>
      <c r="BB30" s="43">
        <f>Model!BB25</f>
        <v>238</v>
      </c>
      <c r="BC30" s="43">
        <f>Model!BC25</f>
        <v>231</v>
      </c>
      <c r="BD30" s="678">
        <f>Model!BD25</f>
        <v>231</v>
      </c>
      <c r="BE30" s="43">
        <f>Model!BE25</f>
        <v>238</v>
      </c>
      <c r="BF30" s="43">
        <f>Model!BF25</f>
        <v>238</v>
      </c>
      <c r="BG30" s="43">
        <f>Model!BG25</f>
        <v>235</v>
      </c>
      <c r="BH30" s="43">
        <f>Model!BH25</f>
        <v>245</v>
      </c>
      <c r="BI30" s="678">
        <f>Model!BI25</f>
        <v>245</v>
      </c>
      <c r="BJ30" s="43">
        <f>Model!BJ25</f>
        <v>252</v>
      </c>
      <c r="BK30" s="43">
        <f>Model!BK25</f>
        <v>254</v>
      </c>
      <c r="BL30" s="207">
        <f>Model!BL25</f>
        <v>252</v>
      </c>
      <c r="BM30" s="43">
        <f>Model!BM25</f>
        <v>248.67499999999998</v>
      </c>
      <c r="BN30" s="678">
        <f>Model!BN25</f>
        <v>248.67499999999998</v>
      </c>
      <c r="BO30" s="43">
        <f>Model!BO25</f>
        <v>264.60000000000002</v>
      </c>
      <c r="BP30" s="43">
        <f>Model!BP25</f>
        <v>256.54000000000002</v>
      </c>
      <c r="BQ30" s="43">
        <f>Model!BQ25</f>
        <v>258.29999999999995</v>
      </c>
      <c r="BR30" s="43">
        <f>Model!BR25</f>
        <v>265.5849</v>
      </c>
      <c r="BS30" s="678">
        <f>Model!BS25</f>
        <v>265.5849</v>
      </c>
      <c r="BT30" s="678">
        <f>Model!BT25</f>
        <v>268.24074899999999</v>
      </c>
      <c r="BU30" s="678">
        <f>Model!BU25</f>
        <v>270.92315649</v>
      </c>
      <c r="BV30" s="678">
        <f>Model!BV25</f>
        <v>284.46931431450002</v>
      </c>
      <c r="BW30" s="43"/>
    </row>
    <row r="31" spans="1:75" s="446" customFormat="1">
      <c r="A31" s="282" t="str">
        <f>Model!A26</f>
        <v>Restaurants, Retail &amp; Other Advertising Locations, 000s locations</v>
      </c>
      <c r="B31" s="248"/>
      <c r="C31" s="680"/>
      <c r="D31" s="680"/>
      <c r="E31" s="680"/>
      <c r="F31" s="680"/>
      <c r="G31" s="249"/>
      <c r="H31" s="249"/>
      <c r="I31" s="249"/>
      <c r="J31" s="249"/>
      <c r="K31" s="680"/>
      <c r="L31" s="249"/>
      <c r="M31" s="249"/>
      <c r="N31" s="249"/>
      <c r="O31" s="249"/>
      <c r="P31" s="680"/>
      <c r="Q31" s="249"/>
      <c r="R31" s="249"/>
      <c r="S31" s="249"/>
      <c r="T31" s="249"/>
      <c r="U31" s="680"/>
      <c r="V31" s="249"/>
      <c r="W31" s="249"/>
      <c r="X31" s="249"/>
      <c r="Y31" s="249"/>
      <c r="Z31" s="680"/>
      <c r="AA31" s="249"/>
      <c r="AB31" s="249"/>
      <c r="AC31" s="249"/>
      <c r="AD31" s="249"/>
      <c r="AE31" s="680"/>
      <c r="AF31" s="249">
        <f>Model!AF26</f>
        <v>275</v>
      </c>
      <c r="AG31" s="249">
        <f>Model!AG26</f>
        <v>285</v>
      </c>
      <c r="AH31" s="249">
        <f>Model!AH26</f>
        <v>294</v>
      </c>
      <c r="AI31" s="249">
        <f>Model!AI26</f>
        <v>309</v>
      </c>
      <c r="AJ31" s="680">
        <f>Model!AJ26</f>
        <v>309</v>
      </c>
      <c r="AK31" s="249">
        <f>Model!AK26</f>
        <v>296</v>
      </c>
      <c r="AL31" s="249">
        <f>Model!AL26</f>
        <v>325</v>
      </c>
      <c r="AM31" s="249">
        <f>Model!AM26</f>
        <v>332</v>
      </c>
      <c r="AN31" s="249">
        <f>Model!AN26</f>
        <v>330</v>
      </c>
      <c r="AO31" s="680">
        <f>Model!AO26</f>
        <v>330</v>
      </c>
      <c r="AP31" s="249">
        <f>Model!AP26</f>
        <v>330</v>
      </c>
      <c r="AQ31" s="249">
        <f>Model!AQ26</f>
        <v>174</v>
      </c>
      <c r="AR31" s="249">
        <f>Model!AR26</f>
        <v>289</v>
      </c>
      <c r="AS31" s="249">
        <f>Model!AS26</f>
        <v>296</v>
      </c>
      <c r="AT31" s="680">
        <f>Model!AT26</f>
        <v>296</v>
      </c>
      <c r="AU31" s="249">
        <f>Model!AU26</f>
        <v>279</v>
      </c>
      <c r="AV31" s="249">
        <f>Model!AV26</f>
        <v>294</v>
      </c>
      <c r="AW31" s="249">
        <f>Model!AW26</f>
        <v>304</v>
      </c>
      <c r="AX31" s="249">
        <f>Model!AX26</f>
        <v>309</v>
      </c>
      <c r="AY31" s="680">
        <f>Model!AY26</f>
        <v>309</v>
      </c>
      <c r="AZ31" s="249">
        <f>Model!AZ26</f>
        <v>323</v>
      </c>
      <c r="BA31" s="249">
        <f>Model!BA26</f>
        <v>337</v>
      </c>
      <c r="BB31" s="249">
        <f>Model!BB26</f>
        <v>334</v>
      </c>
      <c r="BC31" s="249">
        <f>Model!BC26</f>
        <v>314</v>
      </c>
      <c r="BD31" s="680">
        <f>Model!BD26</f>
        <v>314</v>
      </c>
      <c r="BE31" s="249">
        <f>Model!BE26</f>
        <v>316</v>
      </c>
      <c r="BF31" s="249">
        <f>Model!BF26</f>
        <v>325</v>
      </c>
      <c r="BG31" s="249">
        <f>Model!BG26</f>
        <v>326</v>
      </c>
      <c r="BH31" s="249">
        <f>Model!BH26</f>
        <v>299</v>
      </c>
      <c r="BI31" s="680">
        <f>Model!BI26</f>
        <v>299</v>
      </c>
      <c r="BJ31" s="249">
        <f>Model!BJ26</f>
        <v>278</v>
      </c>
      <c r="BK31" s="249">
        <f>Model!BK26</f>
        <v>277</v>
      </c>
      <c r="BL31" s="351">
        <f>Model!BL26</f>
        <v>272</v>
      </c>
      <c r="BM31" s="249">
        <f>Model!BM26</f>
        <v>245.18</v>
      </c>
      <c r="BN31" s="680">
        <f>Model!BN26</f>
        <v>245.18</v>
      </c>
      <c r="BO31" s="249">
        <f>Model!BO26</f>
        <v>283.56</v>
      </c>
      <c r="BP31" s="249">
        <f>Model!BP26</f>
        <v>279.77</v>
      </c>
      <c r="BQ31" s="249">
        <f>Model!BQ26</f>
        <v>277.44</v>
      </c>
      <c r="BR31" s="249">
        <f>Model!BR26</f>
        <v>257.43900000000002</v>
      </c>
      <c r="BS31" s="680">
        <f>Model!BS26</f>
        <v>257.43900000000002</v>
      </c>
      <c r="BT31" s="680">
        <f>Model!BT26</f>
        <v>260.01339000000002</v>
      </c>
      <c r="BU31" s="680">
        <f>Model!BU26</f>
        <v>265.21365780000002</v>
      </c>
      <c r="BV31" s="680">
        <f>Model!BV26</f>
        <v>270.51793095600004</v>
      </c>
      <c r="BW31" s="43"/>
    </row>
    <row r="32" spans="1:75" s="447" customFormat="1">
      <c r="A32" s="20" t="str">
        <f>Model!A27</f>
        <v>Paying Advertising Locations, 000s locations</v>
      </c>
      <c r="B32" s="70"/>
      <c r="C32" s="682"/>
      <c r="D32" s="682"/>
      <c r="E32" s="682"/>
      <c r="F32" s="682"/>
      <c r="G32" s="21"/>
      <c r="H32" s="21"/>
      <c r="I32" s="21"/>
      <c r="J32" s="21"/>
      <c r="K32" s="682"/>
      <c r="L32" s="21"/>
      <c r="M32" s="21"/>
      <c r="N32" s="21"/>
      <c r="O32" s="21"/>
      <c r="P32" s="682"/>
      <c r="Q32" s="21"/>
      <c r="R32" s="21"/>
      <c r="S32" s="21"/>
      <c r="T32" s="21"/>
      <c r="U32" s="682"/>
      <c r="V32" s="21"/>
      <c r="W32" s="21"/>
      <c r="X32" s="21"/>
      <c r="Y32" s="21"/>
      <c r="Z32" s="682"/>
      <c r="AA32" s="21"/>
      <c r="AB32" s="21"/>
      <c r="AC32" s="21"/>
      <c r="AD32" s="21"/>
      <c r="AE32" s="682"/>
      <c r="AF32" s="21">
        <f>Model!AF27</f>
        <v>508</v>
      </c>
      <c r="AG32" s="21">
        <f>Model!AG27</f>
        <v>517</v>
      </c>
      <c r="AH32" s="21">
        <f>Model!AH27</f>
        <v>524</v>
      </c>
      <c r="AI32" s="21">
        <f>Model!AI27</f>
        <v>541</v>
      </c>
      <c r="AJ32" s="682">
        <f>Model!AJ27</f>
        <v>541</v>
      </c>
      <c r="AK32" s="21">
        <f>Model!AK27</f>
        <v>529</v>
      </c>
      <c r="AL32" s="21">
        <f>Model!AL27</f>
        <v>549</v>
      </c>
      <c r="AM32" s="21">
        <f>Model!AM27</f>
        <v>563</v>
      </c>
      <c r="AN32" s="21">
        <f>Model!AN27</f>
        <v>565</v>
      </c>
      <c r="AO32" s="682">
        <f>Model!AO27</f>
        <v>565</v>
      </c>
      <c r="AP32" s="21">
        <f>Model!AP27</f>
        <v>562</v>
      </c>
      <c r="AQ32" s="21">
        <f>Model!AQ27</f>
        <v>377</v>
      </c>
      <c r="AR32" s="21">
        <f>Model!AR27</f>
        <v>507</v>
      </c>
      <c r="AS32" s="21">
        <f>Model!AS27</f>
        <v>520</v>
      </c>
      <c r="AT32" s="682">
        <f>Model!AT27</f>
        <v>520</v>
      </c>
      <c r="AU32" s="21">
        <f>Model!AU27</f>
        <v>503</v>
      </c>
      <c r="AV32" s="21">
        <f>Model!AV27</f>
        <v>528</v>
      </c>
      <c r="AW32" s="21">
        <f>Model!AW27</f>
        <v>535</v>
      </c>
      <c r="AX32" s="21">
        <f>Model!AX27</f>
        <v>528</v>
      </c>
      <c r="AY32" s="682">
        <f>Model!AY27</f>
        <v>528</v>
      </c>
      <c r="AZ32" s="21">
        <f>Model!AZ27</f>
        <v>546</v>
      </c>
      <c r="BA32" s="21">
        <f>Model!BA27</f>
        <v>569</v>
      </c>
      <c r="BB32" s="21">
        <f>Model!BB27</f>
        <v>572</v>
      </c>
      <c r="BC32" s="21">
        <f>Model!BC27</f>
        <v>545</v>
      </c>
      <c r="BD32" s="682">
        <f>Model!BD27</f>
        <v>545</v>
      </c>
      <c r="BE32" s="21">
        <f>Model!BE27</f>
        <v>554</v>
      </c>
      <c r="BF32" s="21">
        <f>Model!BF27</f>
        <v>563</v>
      </c>
      <c r="BG32" s="21">
        <f>Model!BG27</f>
        <v>561</v>
      </c>
      <c r="BH32" s="21">
        <f>Model!BH27</f>
        <v>544</v>
      </c>
      <c r="BI32" s="682">
        <f>Model!BI27</f>
        <v>544</v>
      </c>
      <c r="BJ32" s="21">
        <f>Model!BJ27</f>
        <v>530</v>
      </c>
      <c r="BK32" s="21">
        <f>Model!BK27</f>
        <v>531</v>
      </c>
      <c r="BL32" s="186">
        <f>Model!BL27</f>
        <v>524</v>
      </c>
      <c r="BM32" s="21">
        <f>Model!BM27</f>
        <v>493.85500000000002</v>
      </c>
      <c r="BN32" s="682">
        <f>Model!BN27</f>
        <v>493.85500000000002</v>
      </c>
      <c r="BO32" s="21">
        <f>Model!BO27</f>
        <v>548.16000000000008</v>
      </c>
      <c r="BP32" s="21">
        <f>Model!BP27</f>
        <v>536.30999999999995</v>
      </c>
      <c r="BQ32" s="21">
        <f>Model!BQ27</f>
        <v>535.74</v>
      </c>
      <c r="BR32" s="21">
        <f>Model!BR27</f>
        <v>523.02390000000003</v>
      </c>
      <c r="BS32" s="682">
        <f>Model!BS27</f>
        <v>523.02390000000003</v>
      </c>
      <c r="BT32" s="682">
        <f>Model!BT27</f>
        <v>528.25413900000001</v>
      </c>
      <c r="BU32" s="682">
        <f>Model!BU27</f>
        <v>536.13681429000007</v>
      </c>
      <c r="BV32" s="682">
        <f>Model!BV27</f>
        <v>554.98724527050013</v>
      </c>
      <c r="BW32" s="21"/>
    </row>
    <row r="33" spans="1:75" s="447" customFormat="1">
      <c r="A33" s="20">
        <f>Model!A28</f>
        <v>0</v>
      </c>
      <c r="B33" s="70"/>
      <c r="C33" s="682"/>
      <c r="D33" s="682"/>
      <c r="E33" s="682"/>
      <c r="F33" s="682"/>
      <c r="G33" s="21"/>
      <c r="H33" s="21"/>
      <c r="I33" s="21"/>
      <c r="J33" s="21"/>
      <c r="K33" s="682"/>
      <c r="L33" s="21"/>
      <c r="M33" s="21"/>
      <c r="N33" s="21"/>
      <c r="O33" s="21"/>
      <c r="P33" s="682"/>
      <c r="Q33" s="21"/>
      <c r="R33" s="21"/>
      <c r="S33" s="21"/>
      <c r="T33" s="21"/>
      <c r="U33" s="682"/>
      <c r="V33" s="21"/>
      <c r="W33" s="21"/>
      <c r="X33" s="21"/>
      <c r="Y33" s="21"/>
      <c r="Z33" s="682"/>
      <c r="AA33" s="21"/>
      <c r="AB33" s="21"/>
      <c r="AC33" s="21"/>
      <c r="AD33" s="21"/>
      <c r="AE33" s="682"/>
      <c r="AF33" s="21">
        <f>Model!AF28</f>
        <v>0</v>
      </c>
      <c r="AG33" s="21">
        <f>Model!AG28</f>
        <v>0</v>
      </c>
      <c r="AH33" s="21">
        <f>Model!AH28</f>
        <v>0</v>
      </c>
      <c r="AI33" s="21">
        <f>Model!AI28</f>
        <v>0</v>
      </c>
      <c r="AJ33" s="682">
        <f>Model!AJ28</f>
        <v>0</v>
      </c>
      <c r="AK33" s="21">
        <f>Model!AK28</f>
        <v>0</v>
      </c>
      <c r="AL33" s="21">
        <f>Model!AL28</f>
        <v>0</v>
      </c>
      <c r="AM33" s="21">
        <f>Model!AM28</f>
        <v>0</v>
      </c>
      <c r="AN33" s="21">
        <f>Model!AN28</f>
        <v>0</v>
      </c>
      <c r="AO33" s="682">
        <f>Model!AO28</f>
        <v>0</v>
      </c>
      <c r="AP33" s="21">
        <f>Model!AP28</f>
        <v>0</v>
      </c>
      <c r="AQ33" s="21">
        <f>Model!AQ28</f>
        <v>0</v>
      </c>
      <c r="AR33" s="21">
        <f>Model!AR28</f>
        <v>0</v>
      </c>
      <c r="AS33" s="21">
        <f>Model!AS28</f>
        <v>0</v>
      </c>
      <c r="AT33" s="682">
        <f>Model!AT28</f>
        <v>0</v>
      </c>
      <c r="AU33" s="21">
        <f>Model!AU28</f>
        <v>0</v>
      </c>
      <c r="AV33" s="21">
        <f>Model!AV28</f>
        <v>0</v>
      </c>
      <c r="AW33" s="21">
        <f>Model!AW28</f>
        <v>0</v>
      </c>
      <c r="AX33" s="21">
        <f>Model!AX28</f>
        <v>0</v>
      </c>
      <c r="AY33" s="682">
        <f>Model!AY28</f>
        <v>0</v>
      </c>
      <c r="AZ33" s="21">
        <f>Model!AZ28</f>
        <v>0</v>
      </c>
      <c r="BA33" s="21">
        <f>Model!BA28</f>
        <v>0</v>
      </c>
      <c r="BB33" s="21">
        <f>Model!BB28</f>
        <v>0</v>
      </c>
      <c r="BC33" s="21">
        <f>Model!BC28</f>
        <v>0</v>
      </c>
      <c r="BD33" s="682">
        <f>Model!BD28</f>
        <v>0</v>
      </c>
      <c r="BE33" s="21">
        <f>Model!BE28</f>
        <v>0</v>
      </c>
      <c r="BF33" s="21">
        <f>Model!BF28</f>
        <v>0</v>
      </c>
      <c r="BG33" s="21">
        <f>Model!BG28</f>
        <v>0</v>
      </c>
      <c r="BH33" s="21">
        <f>Model!BH28</f>
        <v>0</v>
      </c>
      <c r="BI33" s="682">
        <f>Model!BI28</f>
        <v>0</v>
      </c>
      <c r="BJ33" s="21">
        <f>Model!BJ28</f>
        <v>0</v>
      </c>
      <c r="BK33" s="21">
        <f>Model!BK28</f>
        <v>0</v>
      </c>
      <c r="BL33" s="186">
        <f>Model!BL28</f>
        <v>0</v>
      </c>
      <c r="BM33" s="21">
        <f>Model!BM28</f>
        <v>0</v>
      </c>
      <c r="BN33" s="682">
        <f>Model!BN28</f>
        <v>0</v>
      </c>
      <c r="BO33" s="21">
        <f>Model!BO28</f>
        <v>0</v>
      </c>
      <c r="BP33" s="21">
        <f>Model!BP28</f>
        <v>0</v>
      </c>
      <c r="BQ33" s="21">
        <f>Model!BQ28</f>
        <v>0</v>
      </c>
      <c r="BR33" s="21">
        <f>Model!BR28</f>
        <v>0</v>
      </c>
      <c r="BS33" s="682">
        <f>Model!BS28</f>
        <v>0</v>
      </c>
      <c r="BT33" s="682">
        <f>Model!BT28</f>
        <v>0</v>
      </c>
      <c r="BU33" s="682">
        <f>Model!BU28</f>
        <v>0</v>
      </c>
      <c r="BV33" s="682">
        <f>Model!BV28</f>
        <v>0</v>
      </c>
      <c r="BW33" s="21"/>
    </row>
    <row r="34" spans="1:75" s="443" customFormat="1">
      <c r="A34" s="255" t="str">
        <f>Model!A29</f>
        <v>Services Advertising Locations growth, %</v>
      </c>
      <c r="B34" s="252"/>
      <c r="C34" s="90"/>
      <c r="D34" s="90"/>
      <c r="E34" s="90"/>
      <c r="F34" s="90"/>
      <c r="G34" s="26"/>
      <c r="H34" s="26"/>
      <c r="I34" s="26"/>
      <c r="J34" s="26"/>
      <c r="K34" s="90"/>
      <c r="L34" s="26"/>
      <c r="M34" s="26"/>
      <c r="N34" s="26"/>
      <c r="O34" s="26"/>
      <c r="P34" s="90"/>
      <c r="Q34" s="26"/>
      <c r="R34" s="26"/>
      <c r="S34" s="26"/>
      <c r="T34" s="26"/>
      <c r="U34" s="90"/>
      <c r="V34" s="26"/>
      <c r="W34" s="26"/>
      <c r="X34" s="26"/>
      <c r="Y34" s="26"/>
      <c r="Z34" s="90"/>
      <c r="AA34" s="26"/>
      <c r="AB34" s="26"/>
      <c r="AC34" s="26"/>
      <c r="AD34" s="26"/>
      <c r="AE34" s="90"/>
      <c r="AF34" s="26">
        <f>Model!AF29</f>
        <v>0</v>
      </c>
      <c r="AG34" s="26">
        <f>Model!AG29</f>
        <v>0</v>
      </c>
      <c r="AH34" s="26">
        <f>Model!AH29</f>
        <v>0</v>
      </c>
      <c r="AI34" s="26">
        <f>Model!AI29</f>
        <v>0</v>
      </c>
      <c r="AJ34" s="90">
        <f>Model!AJ29</f>
        <v>0</v>
      </c>
      <c r="AK34" s="26">
        <f>Model!AK29</f>
        <v>0</v>
      </c>
      <c r="AL34" s="26">
        <f>Model!AL29</f>
        <v>-3.4482758620689613E-2</v>
      </c>
      <c r="AM34" s="26">
        <f>Model!AM29</f>
        <v>4.3478260869564966E-3</v>
      </c>
      <c r="AN34" s="26">
        <f>Model!AN29</f>
        <v>1.7316017316017396E-2</v>
      </c>
      <c r="AO34" s="90">
        <f>Model!AO29</f>
        <v>1.7316017316017396E-2</v>
      </c>
      <c r="AP34" s="26">
        <f>Model!AP29</f>
        <v>-4.2918454935622075E-3</v>
      </c>
      <c r="AQ34" s="26">
        <f>Model!AQ29</f>
        <v>-8.9285714285714302E-2</v>
      </c>
      <c r="AR34" s="26">
        <f>Model!AR29</f>
        <v>-5.6277056277056259E-2</v>
      </c>
      <c r="AS34" s="26">
        <f>Model!AS29</f>
        <v>-4.6808510638297829E-2</v>
      </c>
      <c r="AT34" s="90">
        <f>Model!AT29</f>
        <v>-4.6808510638297829E-2</v>
      </c>
      <c r="AU34" s="26">
        <f>Model!AU29</f>
        <v>-3.4482758620689613E-2</v>
      </c>
      <c r="AV34" s="26">
        <f>Model!AV29</f>
        <v>0.14705882352941169</v>
      </c>
      <c r="AW34" s="26">
        <f>Model!AW29</f>
        <v>5.9633027522935755E-2</v>
      </c>
      <c r="AX34" s="26">
        <f>Model!AX29</f>
        <v>-2.2321428571428603E-2</v>
      </c>
      <c r="AY34" s="90">
        <f>Model!AY29</f>
        <v>-2.2321428571428603E-2</v>
      </c>
      <c r="AZ34" s="26">
        <f>Model!AZ29</f>
        <v>-4.4642857142856984E-3</v>
      </c>
      <c r="BA34" s="26">
        <f>Model!BA29</f>
        <v>-8.5470085470085166E-3</v>
      </c>
      <c r="BB34" s="26">
        <f>Model!BB29</f>
        <v>3.0303030303030276E-2</v>
      </c>
      <c r="BC34" s="26">
        <f>Model!BC29</f>
        <v>5.4794520547945202E-2</v>
      </c>
      <c r="BD34" s="90">
        <f>Model!BD29</f>
        <v>5.4794520547945202E-2</v>
      </c>
      <c r="BE34" s="26">
        <f>Model!BE29</f>
        <v>6.7264573991031362E-2</v>
      </c>
      <c r="BF34" s="26">
        <f>Model!BF29</f>
        <v>2.5862068965517349E-2</v>
      </c>
      <c r="BG34" s="26">
        <f>Model!BG29</f>
        <v>-1.2605042016806678E-2</v>
      </c>
      <c r="BH34" s="26">
        <f>Model!BH29</f>
        <v>6.0606060606060552E-2</v>
      </c>
      <c r="BI34" s="90">
        <f>Model!BI29</f>
        <v>6.0606060606060552E-2</v>
      </c>
      <c r="BJ34" s="26">
        <f>Model!BJ29</f>
        <v>5.8823529411764719E-2</v>
      </c>
      <c r="BK34" s="26">
        <f>Model!BK29</f>
        <v>6.7226890756302504E-2</v>
      </c>
      <c r="BL34" s="398">
        <f>Model!BL29</f>
        <v>7.2340425531914887E-2</v>
      </c>
      <c r="BM34" s="26">
        <f>Model!BM29</f>
        <v>1.4999999999999999E-2</v>
      </c>
      <c r="BN34" s="90">
        <f>Model!BN29</f>
        <v>1.4999999999999902E-2</v>
      </c>
      <c r="BO34" s="26">
        <f>Model!BO29</f>
        <v>0.05</v>
      </c>
      <c r="BP34" s="26">
        <f>Model!BP29</f>
        <v>0.01</v>
      </c>
      <c r="BQ34" s="26">
        <f>Model!BQ29</f>
        <v>2.5000000000000001E-2</v>
      </c>
      <c r="BR34" s="26">
        <f>Model!BR29</f>
        <v>6.8000000000000005E-2</v>
      </c>
      <c r="BS34" s="90">
        <f>Model!BS29</f>
        <v>6.800000000000006E-2</v>
      </c>
      <c r="BT34" s="90">
        <f>Model!BT29</f>
        <v>0.01</v>
      </c>
      <c r="BU34" s="90">
        <f>Model!BU29</f>
        <v>0.01</v>
      </c>
      <c r="BV34" s="90">
        <f>Model!BV29</f>
        <v>0.05</v>
      </c>
      <c r="BW34" s="26"/>
    </row>
    <row r="35" spans="1:75" s="443" customFormat="1">
      <c r="A35" s="256" t="str">
        <f>Model!A30</f>
        <v>Restaurants, Retail &amp; Other Advertising Locations growth, %</v>
      </c>
      <c r="B35" s="253"/>
      <c r="C35" s="793"/>
      <c r="D35" s="793"/>
      <c r="E35" s="793"/>
      <c r="F35" s="793"/>
      <c r="G35" s="254"/>
      <c r="H35" s="254"/>
      <c r="I35" s="254"/>
      <c r="J35" s="254"/>
      <c r="K35" s="793"/>
      <c r="L35" s="254"/>
      <c r="M35" s="254"/>
      <c r="N35" s="254"/>
      <c r="O35" s="254"/>
      <c r="P35" s="793"/>
      <c r="Q35" s="254"/>
      <c r="R35" s="254"/>
      <c r="S35" s="254"/>
      <c r="T35" s="254"/>
      <c r="U35" s="793"/>
      <c r="V35" s="254"/>
      <c r="W35" s="254"/>
      <c r="X35" s="254"/>
      <c r="Y35" s="254"/>
      <c r="Z35" s="793"/>
      <c r="AA35" s="254"/>
      <c r="AB35" s="254"/>
      <c r="AC35" s="254"/>
      <c r="AD35" s="254"/>
      <c r="AE35" s="793"/>
      <c r="AF35" s="254">
        <f>Model!AF30</f>
        <v>0</v>
      </c>
      <c r="AG35" s="254">
        <f>Model!AG30</f>
        <v>0</v>
      </c>
      <c r="AH35" s="254">
        <f>Model!AH30</f>
        <v>0</v>
      </c>
      <c r="AI35" s="254">
        <f>Model!AI30</f>
        <v>0</v>
      </c>
      <c r="AJ35" s="793">
        <f>Model!AJ30</f>
        <v>0</v>
      </c>
      <c r="AK35" s="254">
        <f>Model!AK30</f>
        <v>7.6363636363636411E-2</v>
      </c>
      <c r="AL35" s="254">
        <f>Model!AL30</f>
        <v>0.14035087719298245</v>
      </c>
      <c r="AM35" s="254">
        <f>Model!AM30</f>
        <v>0.12925170068027203</v>
      </c>
      <c r="AN35" s="254">
        <f>Model!AN30</f>
        <v>6.7961165048543659E-2</v>
      </c>
      <c r="AO35" s="793">
        <f>Model!AO30</f>
        <v>6.7961165048543659E-2</v>
      </c>
      <c r="AP35" s="254">
        <f>Model!AP30</f>
        <v>0.11486486486486491</v>
      </c>
      <c r="AQ35" s="254">
        <f>Model!AQ30</f>
        <v>-0.46461538461538465</v>
      </c>
      <c r="AR35" s="254">
        <f>Model!AR30</f>
        <v>-0.12951807228915657</v>
      </c>
      <c r="AS35" s="254">
        <f>Model!AS30</f>
        <v>-0.10303030303030303</v>
      </c>
      <c r="AT35" s="793">
        <f>Model!AT30</f>
        <v>-0.10303030303030303</v>
      </c>
      <c r="AU35" s="254">
        <f>Model!AU30</f>
        <v>-0.15454545454545454</v>
      </c>
      <c r="AV35" s="254">
        <f>Model!AV30</f>
        <v>0.68965517241379315</v>
      </c>
      <c r="AW35" s="254">
        <f>Model!AW30</f>
        <v>5.1903114186851118E-2</v>
      </c>
      <c r="AX35" s="254">
        <f>Model!AX30</f>
        <v>4.3918918918918859E-2</v>
      </c>
      <c r="AY35" s="793">
        <f>Model!AY30</f>
        <v>4.3918918918918859E-2</v>
      </c>
      <c r="AZ35" s="254">
        <f>Model!AZ30</f>
        <v>0.15770609318996409</v>
      </c>
      <c r="BA35" s="254">
        <f>Model!BA30</f>
        <v>0.1462585034013606</v>
      </c>
      <c r="BB35" s="254">
        <f>Model!BB30</f>
        <v>9.8684210526315708E-2</v>
      </c>
      <c r="BC35" s="254">
        <f>Model!BC30</f>
        <v>1.6181229773462702E-2</v>
      </c>
      <c r="BD35" s="793">
        <f>Model!BD30</f>
        <v>1.6181229773462702E-2</v>
      </c>
      <c r="BE35" s="254">
        <f>Model!BE30</f>
        <v>-2.1671826625387025E-2</v>
      </c>
      <c r="BF35" s="254">
        <f>Model!BF30</f>
        <v>-3.5608308605341255E-2</v>
      </c>
      <c r="BG35" s="254">
        <f>Model!BG30</f>
        <v>-2.39520958083832E-2</v>
      </c>
      <c r="BH35" s="254">
        <f>Model!BH30</f>
        <v>-4.7770700636942665E-2</v>
      </c>
      <c r="BI35" s="793">
        <f>Model!BI30</f>
        <v>-4.7770700636942665E-2</v>
      </c>
      <c r="BJ35" s="254">
        <f>Model!BJ30</f>
        <v>-0.120253164556962</v>
      </c>
      <c r="BK35" s="254">
        <f>Model!BK30</f>
        <v>-0.14769230769230768</v>
      </c>
      <c r="BL35" s="415">
        <f>Model!BL30</f>
        <v>-0.16564417177914115</v>
      </c>
      <c r="BM35" s="254">
        <f>Model!BM30</f>
        <v>-0.18</v>
      </c>
      <c r="BN35" s="793">
        <f>Model!BN30</f>
        <v>-0.17999999999999994</v>
      </c>
      <c r="BO35" s="254">
        <f>Model!BO30</f>
        <v>0.02</v>
      </c>
      <c r="BP35" s="254">
        <f>Model!BP30</f>
        <v>0.01</v>
      </c>
      <c r="BQ35" s="254">
        <f>Model!BQ30</f>
        <v>0.02</v>
      </c>
      <c r="BR35" s="254">
        <f>Model!BR30</f>
        <v>0.05</v>
      </c>
      <c r="BS35" s="793">
        <f>Model!BS30</f>
        <v>5.0000000000000044E-2</v>
      </c>
      <c r="BT35" s="793">
        <f>Model!BT30</f>
        <v>0.01</v>
      </c>
      <c r="BU35" s="793">
        <f>Model!BU30</f>
        <v>0.02</v>
      </c>
      <c r="BV35" s="793">
        <f>Model!BV30</f>
        <v>0.02</v>
      </c>
      <c r="BW35" s="26"/>
    </row>
    <row r="36" spans="1:75" s="449" customFormat="1">
      <c r="A36" s="51" t="str">
        <f>Model!A31</f>
        <v>Paying Advertising Locations growth, %</v>
      </c>
      <c r="B36" s="71"/>
      <c r="C36" s="685"/>
      <c r="D36" s="685"/>
      <c r="E36" s="685"/>
      <c r="F36" s="685"/>
      <c r="G36" s="54"/>
      <c r="H36" s="54"/>
      <c r="I36" s="54"/>
      <c r="J36" s="54"/>
      <c r="K36" s="685"/>
      <c r="L36" s="54"/>
      <c r="M36" s="54"/>
      <c r="N36" s="54"/>
      <c r="O36" s="54"/>
      <c r="P36" s="685"/>
      <c r="Q36" s="54"/>
      <c r="R36" s="54"/>
      <c r="S36" s="54"/>
      <c r="T36" s="54"/>
      <c r="U36" s="685"/>
      <c r="V36" s="54"/>
      <c r="W36" s="54"/>
      <c r="X36" s="54"/>
      <c r="Y36" s="54"/>
      <c r="Z36" s="685"/>
      <c r="AA36" s="54"/>
      <c r="AB36" s="54"/>
      <c r="AC36" s="54"/>
      <c r="AD36" s="54"/>
      <c r="AE36" s="685"/>
      <c r="AF36" s="54">
        <f>Model!AF31</f>
        <v>0.15454545454545454</v>
      </c>
      <c r="AG36" s="54">
        <f>Model!AG31</f>
        <v>0.15401785714285721</v>
      </c>
      <c r="AH36" s="54">
        <f>Model!AH31</f>
        <v>0.13174946004319654</v>
      </c>
      <c r="AI36" s="54">
        <f>Model!AI31</f>
        <v>0.13179916317991625</v>
      </c>
      <c r="AJ36" s="685">
        <f>Model!AJ31</f>
        <v>0.13179916317991625</v>
      </c>
      <c r="AK36" s="54">
        <f>Model!AK31</f>
        <v>4.1338582677165281E-2</v>
      </c>
      <c r="AL36" s="54">
        <f>Model!AL31</f>
        <v>6.1895551257253434E-2</v>
      </c>
      <c r="AM36" s="54">
        <f>Model!AM31</f>
        <v>7.4427480916030575E-2</v>
      </c>
      <c r="AN36" s="54">
        <f>Model!AN31</f>
        <v>4.4362292051755903E-2</v>
      </c>
      <c r="AO36" s="685">
        <f>Model!AO31</f>
        <v>4.4362292051755903E-2</v>
      </c>
      <c r="AP36" s="54">
        <f>Model!AP31</f>
        <v>6.2381852551984807E-2</v>
      </c>
      <c r="AQ36" s="54">
        <f>Model!AQ31</f>
        <v>-0.31329690346083794</v>
      </c>
      <c r="AR36" s="54">
        <f>Model!AR31</f>
        <v>-9.9467140319715819E-2</v>
      </c>
      <c r="AS36" s="54">
        <f>Model!AS31</f>
        <v>-7.9646017699115057E-2</v>
      </c>
      <c r="AT36" s="685">
        <f>Model!AT31</f>
        <v>-7.9646017699115057E-2</v>
      </c>
      <c r="AU36" s="54">
        <f>Model!AU31</f>
        <v>-0.104982206405694</v>
      </c>
      <c r="AV36" s="54">
        <f>Model!AV31</f>
        <v>0.40053050397877987</v>
      </c>
      <c r="AW36" s="54">
        <f>Model!AW31</f>
        <v>5.5226824457593748E-2</v>
      </c>
      <c r="AX36" s="54">
        <f>Model!AX31</f>
        <v>1.538461538461533E-2</v>
      </c>
      <c r="AY36" s="685">
        <f>Model!AY31</f>
        <v>1.538461538461533E-2</v>
      </c>
      <c r="AZ36" s="54">
        <f>Model!AZ31</f>
        <v>8.5487077534791345E-2</v>
      </c>
      <c r="BA36" s="54">
        <f>Model!BA31</f>
        <v>7.7651515151515138E-2</v>
      </c>
      <c r="BB36" s="54">
        <f>Model!BB31</f>
        <v>6.9158878504672838E-2</v>
      </c>
      <c r="BC36" s="54">
        <f>Model!BC31</f>
        <v>3.2196969696969724E-2</v>
      </c>
      <c r="BD36" s="685">
        <f>Model!BD31</f>
        <v>3.2196969696969724E-2</v>
      </c>
      <c r="BE36" s="54">
        <f>Model!BE31</f>
        <v>1.46520146520146E-2</v>
      </c>
      <c r="BF36" s="54">
        <f>Model!BF31</f>
        <v>-1.0544815465729385E-2</v>
      </c>
      <c r="BG36" s="54">
        <f>Model!BG31</f>
        <v>-1.9230769230769273E-2</v>
      </c>
      <c r="BH36" s="54">
        <f>Model!BH31</f>
        <v>-1.8348623853210455E-3</v>
      </c>
      <c r="BI36" s="685">
        <f>Model!BI31</f>
        <v>-1.8348623853210455E-3</v>
      </c>
      <c r="BJ36" s="54">
        <f>Model!BJ31</f>
        <v>-4.3321299638989119E-2</v>
      </c>
      <c r="BK36" s="54">
        <f>Model!BK31</f>
        <v>-5.6838365896980436E-2</v>
      </c>
      <c r="BL36" s="392">
        <f>Model!BL31</f>
        <v>-6.5953654188948274E-2</v>
      </c>
      <c r="BM36" s="54">
        <f>Model!BM31</f>
        <v>-9.2178308823529398E-2</v>
      </c>
      <c r="BN36" s="685">
        <f>Model!BN31</f>
        <v>-9.2178308823529398E-2</v>
      </c>
      <c r="BO36" s="54">
        <f>Model!BO31</f>
        <v>3.4264150943396299E-2</v>
      </c>
      <c r="BP36" s="54">
        <f>Model!BP31</f>
        <v>9.9999999999997868E-3</v>
      </c>
      <c r="BQ36" s="54">
        <f>Model!BQ31</f>
        <v>2.2404580152671771E-2</v>
      </c>
      <c r="BR36" s="54">
        <f>Model!BR31</f>
        <v>5.9063692784319333E-2</v>
      </c>
      <c r="BS36" s="685">
        <f>Model!BS31</f>
        <v>5.9063692784319333E-2</v>
      </c>
      <c r="BT36" s="685">
        <f>Model!BT31</f>
        <v>1.0000000000000009E-2</v>
      </c>
      <c r="BU36" s="685">
        <f>Model!BU31</f>
        <v>1.4922126885597464E-2</v>
      </c>
      <c r="BV36" s="685">
        <f>Model!BV31</f>
        <v>3.5159739973207094E-2</v>
      </c>
      <c r="BW36" s="54"/>
    </row>
    <row r="37" spans="1:75" s="449" customFormat="1">
      <c r="A37" s="51">
        <f>Model!A32</f>
        <v>0</v>
      </c>
      <c r="B37" s="71"/>
      <c r="C37" s="685"/>
      <c r="D37" s="685"/>
      <c r="E37" s="685"/>
      <c r="F37" s="685"/>
      <c r="G37" s="54"/>
      <c r="H37" s="54"/>
      <c r="I37" s="54"/>
      <c r="J37" s="54"/>
      <c r="K37" s="685"/>
      <c r="L37" s="54"/>
      <c r="M37" s="54"/>
      <c r="N37" s="54"/>
      <c r="O37" s="54"/>
      <c r="P37" s="685"/>
      <c r="Q37" s="54"/>
      <c r="R37" s="54"/>
      <c r="S37" s="54"/>
      <c r="T37" s="54"/>
      <c r="U37" s="685"/>
      <c r="V37" s="54"/>
      <c r="W37" s="54"/>
      <c r="X37" s="54"/>
      <c r="Y37" s="54"/>
      <c r="Z37" s="685"/>
      <c r="AA37" s="54"/>
      <c r="AB37" s="54"/>
      <c r="AC37" s="54"/>
      <c r="AD37" s="54"/>
      <c r="AE37" s="685"/>
      <c r="AF37" s="54">
        <f>Model!AF32</f>
        <v>0</v>
      </c>
      <c r="AG37" s="54">
        <f>Model!AG32</f>
        <v>0</v>
      </c>
      <c r="AH37" s="54">
        <f>Model!AH32</f>
        <v>0</v>
      </c>
      <c r="AI37" s="54">
        <f>Model!AI32</f>
        <v>0</v>
      </c>
      <c r="AJ37" s="685">
        <f>Model!AJ32</f>
        <v>0</v>
      </c>
      <c r="AK37" s="54">
        <f>Model!AK32</f>
        <v>0</v>
      </c>
      <c r="AL37" s="54">
        <f>Model!AL32</f>
        <v>0</v>
      </c>
      <c r="AM37" s="54">
        <f>Model!AM32</f>
        <v>0</v>
      </c>
      <c r="AN37" s="54">
        <f>Model!AN32</f>
        <v>0</v>
      </c>
      <c r="AO37" s="685">
        <f>Model!AO32</f>
        <v>0</v>
      </c>
      <c r="AP37" s="54">
        <f>Model!AP32</f>
        <v>0</v>
      </c>
      <c r="AQ37" s="54">
        <f>Model!AQ32</f>
        <v>0</v>
      </c>
      <c r="AR37" s="54">
        <f>Model!AR32</f>
        <v>0</v>
      </c>
      <c r="AS37" s="54">
        <f>Model!AS32</f>
        <v>0</v>
      </c>
      <c r="AT37" s="685">
        <f>Model!AT32</f>
        <v>0</v>
      </c>
      <c r="AU37" s="54">
        <f>Model!AU32</f>
        <v>0</v>
      </c>
      <c r="AV37" s="54">
        <f>Model!AV32</f>
        <v>0</v>
      </c>
      <c r="AW37" s="54">
        <f>Model!AW32</f>
        <v>0</v>
      </c>
      <c r="AX37" s="54">
        <f>Model!AX32</f>
        <v>0</v>
      </c>
      <c r="AY37" s="685">
        <f>Model!AY32</f>
        <v>0</v>
      </c>
      <c r="AZ37" s="54">
        <f>Model!AZ32</f>
        <v>0</v>
      </c>
      <c r="BA37" s="54">
        <f>Model!BA32</f>
        <v>0</v>
      </c>
      <c r="BB37" s="54">
        <f>Model!BB32</f>
        <v>0</v>
      </c>
      <c r="BC37" s="54">
        <f>Model!BC32</f>
        <v>0</v>
      </c>
      <c r="BD37" s="685">
        <f>Model!BD32</f>
        <v>0</v>
      </c>
      <c r="BE37" s="54">
        <f>Model!BE32</f>
        <v>0</v>
      </c>
      <c r="BF37" s="54">
        <f>Model!BF32</f>
        <v>0</v>
      </c>
      <c r="BG37" s="54">
        <f>Model!BG32</f>
        <v>0</v>
      </c>
      <c r="BH37" s="54">
        <f>Model!BH32</f>
        <v>0</v>
      </c>
      <c r="BI37" s="685">
        <f>Model!BI32</f>
        <v>0</v>
      </c>
      <c r="BJ37" s="54">
        <f>Model!BJ32</f>
        <v>0</v>
      </c>
      <c r="BK37" s="54">
        <f>Model!BK32</f>
        <v>0</v>
      </c>
      <c r="BL37" s="392">
        <f>Model!BL32</f>
        <v>0</v>
      </c>
      <c r="BM37" s="54">
        <f>Model!BM32</f>
        <v>0</v>
      </c>
      <c r="BN37" s="685">
        <f>Model!BN32</f>
        <v>0</v>
      </c>
      <c r="BO37" s="54">
        <f>Model!BO32</f>
        <v>0</v>
      </c>
      <c r="BP37" s="54">
        <f>Model!BP32</f>
        <v>0</v>
      </c>
      <c r="BQ37" s="54">
        <f>Model!BQ32</f>
        <v>0</v>
      </c>
      <c r="BR37" s="54">
        <f>Model!BR32</f>
        <v>0</v>
      </c>
      <c r="BS37" s="685">
        <f>Model!BS32</f>
        <v>0</v>
      </c>
      <c r="BT37" s="685">
        <f>Model!BT32</f>
        <v>0</v>
      </c>
      <c r="BU37" s="685">
        <f>Model!BU32</f>
        <v>0</v>
      </c>
      <c r="BV37" s="685">
        <f>Model!BV32</f>
        <v>0</v>
      </c>
      <c r="BW37" s="54"/>
    </row>
    <row r="38" spans="1:75" s="450" customFormat="1">
      <c r="A38" s="281" t="str">
        <f>Model!A33</f>
        <v>Average Services Advertising Locations, 000s locations</v>
      </c>
      <c r="B38" s="263"/>
      <c r="C38" s="794"/>
      <c r="D38" s="794"/>
      <c r="E38" s="794"/>
      <c r="F38" s="794"/>
      <c r="G38" s="264"/>
      <c r="H38" s="264"/>
      <c r="I38" s="264"/>
      <c r="J38" s="264"/>
      <c r="K38" s="794"/>
      <c r="L38" s="264"/>
      <c r="M38" s="264"/>
      <c r="N38" s="264"/>
      <c r="O38" s="264"/>
      <c r="P38" s="794"/>
      <c r="Q38" s="264"/>
      <c r="R38" s="264"/>
      <c r="S38" s="264"/>
      <c r="T38" s="264"/>
      <c r="U38" s="794"/>
      <c r="V38" s="264"/>
      <c r="W38" s="264"/>
      <c r="X38" s="264"/>
      <c r="Y38" s="264"/>
      <c r="Z38" s="794"/>
      <c r="AA38" s="264"/>
      <c r="AB38" s="264"/>
      <c r="AC38" s="264"/>
      <c r="AD38" s="264"/>
      <c r="AE38" s="794"/>
      <c r="AF38" s="264">
        <f>Model!AF33</f>
        <v>233</v>
      </c>
      <c r="AG38" s="264">
        <f>Model!AG33</f>
        <v>232.5</v>
      </c>
      <c r="AH38" s="264">
        <f>Model!AH33</f>
        <v>231</v>
      </c>
      <c r="AI38" s="264">
        <f>Model!AI33</f>
        <v>230.5</v>
      </c>
      <c r="AJ38" s="794">
        <f>Model!AJ33</f>
        <v>231.75</v>
      </c>
      <c r="AK38" s="264">
        <f>Model!AK33</f>
        <v>232</v>
      </c>
      <c r="AL38" s="264">
        <f>Model!AL33</f>
        <v>228.5</v>
      </c>
      <c r="AM38" s="264">
        <f>Model!AM33</f>
        <v>227.5</v>
      </c>
      <c r="AN38" s="264">
        <f>Model!AN33</f>
        <v>233</v>
      </c>
      <c r="AO38" s="794">
        <f>Model!AO33</f>
        <v>230.25</v>
      </c>
      <c r="AP38" s="264">
        <f>Model!AP33</f>
        <v>233.5</v>
      </c>
      <c r="AQ38" s="264">
        <f>Model!AQ33</f>
        <v>218</v>
      </c>
      <c r="AR38" s="264">
        <f>Model!AR33</f>
        <v>211</v>
      </c>
      <c r="AS38" s="264">
        <f>Model!AS33</f>
        <v>221</v>
      </c>
      <c r="AT38" s="794">
        <f>Model!AT33</f>
        <v>220.875</v>
      </c>
      <c r="AU38" s="264">
        <f>Model!AU33</f>
        <v>224</v>
      </c>
      <c r="AV38" s="264">
        <f>Model!AV33</f>
        <v>229</v>
      </c>
      <c r="AW38" s="264">
        <f>Model!AW33</f>
        <v>232.5</v>
      </c>
      <c r="AX38" s="264">
        <f>Model!AX33</f>
        <v>225</v>
      </c>
      <c r="AY38" s="794">
        <f>Model!AY33</f>
        <v>227.625</v>
      </c>
      <c r="AZ38" s="264">
        <f>Model!AZ33</f>
        <v>221</v>
      </c>
      <c r="BA38" s="264">
        <f>Model!BA33</f>
        <v>227.5</v>
      </c>
      <c r="BB38" s="264">
        <f>Model!BB33</f>
        <v>235</v>
      </c>
      <c r="BC38" s="264">
        <f>Model!BC33</f>
        <v>234.5</v>
      </c>
      <c r="BD38" s="794">
        <f>Model!BD33</f>
        <v>229.5</v>
      </c>
      <c r="BE38" s="264">
        <f>Model!BE33</f>
        <v>234.5</v>
      </c>
      <c r="BF38" s="264">
        <f>Model!BF33</f>
        <v>238</v>
      </c>
      <c r="BG38" s="264">
        <f>Model!BG33</f>
        <v>236.5</v>
      </c>
      <c r="BH38" s="264">
        <f>Model!BH33</f>
        <v>240</v>
      </c>
      <c r="BI38" s="794">
        <f>Model!BI33</f>
        <v>237.25</v>
      </c>
      <c r="BJ38" s="264">
        <f>Model!BJ33</f>
        <v>248.5</v>
      </c>
      <c r="BK38" s="264">
        <f>Model!BK33</f>
        <v>253</v>
      </c>
      <c r="BL38" s="416">
        <f>Model!BL33</f>
        <v>253</v>
      </c>
      <c r="BM38" s="264">
        <f>Model!BM33</f>
        <v>250.33749999999998</v>
      </c>
      <c r="BN38" s="794">
        <f>Model!BN33</f>
        <v>251.20937499999999</v>
      </c>
      <c r="BO38" s="264">
        <f>Model!BO33</f>
        <v>256.63749999999999</v>
      </c>
      <c r="BP38" s="264">
        <f>Model!BP33</f>
        <v>260.57000000000005</v>
      </c>
      <c r="BQ38" s="264">
        <f>Model!BQ33</f>
        <v>257.41999999999996</v>
      </c>
      <c r="BR38" s="264">
        <f>Model!BR33</f>
        <v>261.94245000000001</v>
      </c>
      <c r="BS38" s="794">
        <f>Model!BS33</f>
        <v>259.14248750000002</v>
      </c>
      <c r="BT38" s="794">
        <f>Model!BT33</f>
        <v>266.9128245</v>
      </c>
      <c r="BU38" s="794">
        <f>Model!BU33</f>
        <v>269.58195274499997</v>
      </c>
      <c r="BV38" s="794">
        <f>Model!BV33</f>
        <v>277.69623540225001</v>
      </c>
      <c r="BW38" s="264"/>
    </row>
    <row r="39" spans="1:75" s="450" customFormat="1">
      <c r="A39" s="282" t="str">
        <f>Model!A34</f>
        <v>Average Restaurants, Retail &amp; Other Advertising Locations, 000s locations</v>
      </c>
      <c r="B39" s="265"/>
      <c r="C39" s="795"/>
      <c r="D39" s="795"/>
      <c r="E39" s="795"/>
      <c r="F39" s="795"/>
      <c r="G39" s="266"/>
      <c r="H39" s="266"/>
      <c r="I39" s="266"/>
      <c r="J39" s="266"/>
      <c r="K39" s="795"/>
      <c r="L39" s="266"/>
      <c r="M39" s="266"/>
      <c r="N39" s="266"/>
      <c r="O39" s="266"/>
      <c r="P39" s="795"/>
      <c r="Q39" s="266"/>
      <c r="R39" s="266"/>
      <c r="S39" s="266"/>
      <c r="T39" s="266"/>
      <c r="U39" s="795"/>
      <c r="V39" s="266"/>
      <c r="W39" s="266"/>
      <c r="X39" s="266"/>
      <c r="Y39" s="266"/>
      <c r="Z39" s="795"/>
      <c r="AA39" s="266"/>
      <c r="AB39" s="266"/>
      <c r="AC39" s="266"/>
      <c r="AD39" s="266"/>
      <c r="AE39" s="795"/>
      <c r="AF39" s="266">
        <f>Model!AF34</f>
        <v>275</v>
      </c>
      <c r="AG39" s="266">
        <f>Model!AG34</f>
        <v>280</v>
      </c>
      <c r="AH39" s="266">
        <f>Model!AH34</f>
        <v>289.5</v>
      </c>
      <c r="AI39" s="266">
        <f>Model!AI34</f>
        <v>301.5</v>
      </c>
      <c r="AJ39" s="795">
        <f>Model!AJ34</f>
        <v>286.5</v>
      </c>
      <c r="AK39" s="266">
        <f>Model!AK34</f>
        <v>302.5</v>
      </c>
      <c r="AL39" s="266">
        <f>Model!AL34</f>
        <v>310.5</v>
      </c>
      <c r="AM39" s="266">
        <f>Model!AM34</f>
        <v>328.5</v>
      </c>
      <c r="AN39" s="266">
        <f>Model!AN34</f>
        <v>331</v>
      </c>
      <c r="AO39" s="795">
        <f>Model!AO34</f>
        <v>318.125</v>
      </c>
      <c r="AP39" s="266">
        <f>Model!AP34</f>
        <v>330</v>
      </c>
      <c r="AQ39" s="266">
        <f>Model!AQ34</f>
        <v>252</v>
      </c>
      <c r="AR39" s="266">
        <f>Model!AR34</f>
        <v>231.5</v>
      </c>
      <c r="AS39" s="266">
        <f>Model!AS34</f>
        <v>292.5</v>
      </c>
      <c r="AT39" s="795">
        <f>Model!AT34</f>
        <v>276.5</v>
      </c>
      <c r="AU39" s="266">
        <f>Model!AU34</f>
        <v>287.5</v>
      </c>
      <c r="AV39" s="266">
        <f>Model!AV34</f>
        <v>286.5</v>
      </c>
      <c r="AW39" s="266">
        <f>Model!AW34</f>
        <v>299</v>
      </c>
      <c r="AX39" s="266">
        <f>Model!AX34</f>
        <v>306.5</v>
      </c>
      <c r="AY39" s="795">
        <f>Model!AY34</f>
        <v>294.875</v>
      </c>
      <c r="AZ39" s="266">
        <f>Model!AZ34</f>
        <v>316</v>
      </c>
      <c r="BA39" s="266">
        <f>Model!BA34</f>
        <v>330</v>
      </c>
      <c r="BB39" s="266">
        <f>Model!BB34</f>
        <v>335.5</v>
      </c>
      <c r="BC39" s="266">
        <f>Model!BC34</f>
        <v>324</v>
      </c>
      <c r="BD39" s="795">
        <f>Model!BD34</f>
        <v>326.375</v>
      </c>
      <c r="BE39" s="266">
        <f>Model!BE34</f>
        <v>315</v>
      </c>
      <c r="BF39" s="266">
        <f>Model!BF34</f>
        <v>320.5</v>
      </c>
      <c r="BG39" s="266">
        <f>Model!BG34</f>
        <v>325.5</v>
      </c>
      <c r="BH39" s="266">
        <f>Model!BH34</f>
        <v>312.5</v>
      </c>
      <c r="BI39" s="795">
        <f>Model!BI34</f>
        <v>318.375</v>
      </c>
      <c r="BJ39" s="266">
        <f>Model!BJ34</f>
        <v>288.5</v>
      </c>
      <c r="BK39" s="266">
        <f>Model!BK34</f>
        <v>277.5</v>
      </c>
      <c r="BL39" s="417">
        <f>Model!BL34</f>
        <v>274.5</v>
      </c>
      <c r="BM39" s="266">
        <f>Model!BM34</f>
        <v>258.59000000000003</v>
      </c>
      <c r="BN39" s="795">
        <f>Model!BN34</f>
        <v>274.77250000000004</v>
      </c>
      <c r="BO39" s="266">
        <f>Model!BO34</f>
        <v>264.37</v>
      </c>
      <c r="BP39" s="266">
        <f>Model!BP34</f>
        <v>281.66499999999996</v>
      </c>
      <c r="BQ39" s="266">
        <f>Model!BQ34</f>
        <v>278.60500000000002</v>
      </c>
      <c r="BR39" s="266">
        <f>Model!BR34</f>
        <v>267.43950000000001</v>
      </c>
      <c r="BS39" s="795">
        <f>Model!BS34</f>
        <v>273.01987500000001</v>
      </c>
      <c r="BT39" s="795">
        <f>Model!BT34</f>
        <v>258.72619500000002</v>
      </c>
      <c r="BU39" s="795">
        <f>Model!BU34</f>
        <v>262.61352390000002</v>
      </c>
      <c r="BV39" s="795">
        <f>Model!BV34</f>
        <v>267.86579437800003</v>
      </c>
      <c r="BW39" s="264"/>
    </row>
    <row r="40" spans="1:75" s="447" customFormat="1">
      <c r="A40" s="20" t="str">
        <f>Model!A35</f>
        <v>Average Paying Advertising Locations, 000s locations</v>
      </c>
      <c r="B40" s="70"/>
      <c r="C40" s="682"/>
      <c r="D40" s="682"/>
      <c r="E40" s="682"/>
      <c r="F40" s="682"/>
      <c r="G40" s="21"/>
      <c r="H40" s="21"/>
      <c r="I40" s="21"/>
      <c r="J40" s="21"/>
      <c r="K40" s="682"/>
      <c r="L40" s="21"/>
      <c r="M40" s="21"/>
      <c r="N40" s="21"/>
      <c r="O40" s="21"/>
      <c r="P40" s="682"/>
      <c r="Q40" s="21"/>
      <c r="R40" s="21"/>
      <c r="S40" s="21"/>
      <c r="T40" s="21"/>
      <c r="U40" s="682"/>
      <c r="V40" s="21"/>
      <c r="W40" s="21"/>
      <c r="X40" s="21"/>
      <c r="Y40" s="21"/>
      <c r="Z40" s="682"/>
      <c r="AA40" s="21"/>
      <c r="AB40" s="21"/>
      <c r="AC40" s="21"/>
      <c r="AD40" s="21"/>
      <c r="AE40" s="682"/>
      <c r="AF40" s="21">
        <f>Model!AF35</f>
        <v>493</v>
      </c>
      <c r="AG40" s="21">
        <f>Model!AG35</f>
        <v>512.5</v>
      </c>
      <c r="AH40" s="21">
        <f>Model!AH35</f>
        <v>520.5</v>
      </c>
      <c r="AI40" s="21">
        <f>Model!AI35</f>
        <v>532.5</v>
      </c>
      <c r="AJ40" s="682">
        <f>Model!AJ35</f>
        <v>514.625</v>
      </c>
      <c r="AK40" s="21">
        <f>Model!AK35</f>
        <v>535</v>
      </c>
      <c r="AL40" s="21">
        <f>Model!AL35</f>
        <v>539</v>
      </c>
      <c r="AM40" s="21">
        <f>Model!AM35</f>
        <v>556</v>
      </c>
      <c r="AN40" s="21">
        <f>Model!AN35</f>
        <v>564</v>
      </c>
      <c r="AO40" s="682">
        <f>Model!AO35</f>
        <v>548.5</v>
      </c>
      <c r="AP40" s="21">
        <f>Model!AP35</f>
        <v>563.5</v>
      </c>
      <c r="AQ40" s="21">
        <f>Model!AQ35</f>
        <v>469.5</v>
      </c>
      <c r="AR40" s="21">
        <f>Model!AR35</f>
        <v>442</v>
      </c>
      <c r="AS40" s="21">
        <f>Model!AS35</f>
        <v>513.5</v>
      </c>
      <c r="AT40" s="682">
        <f>Model!AT35</f>
        <v>497.125</v>
      </c>
      <c r="AU40" s="21">
        <f>Model!AU35</f>
        <v>511.5</v>
      </c>
      <c r="AV40" s="21">
        <f>Model!AV35</f>
        <v>515.5</v>
      </c>
      <c r="AW40" s="21">
        <f>Model!AW35</f>
        <v>531.5</v>
      </c>
      <c r="AX40" s="21">
        <f>Model!AX35</f>
        <v>531.5</v>
      </c>
      <c r="AY40" s="682">
        <f>Model!AY35</f>
        <v>522.5</v>
      </c>
      <c r="AZ40" s="21">
        <f>Model!AZ35</f>
        <v>537</v>
      </c>
      <c r="BA40" s="21">
        <f>Model!BA35</f>
        <v>557.5</v>
      </c>
      <c r="BB40" s="21">
        <f>Model!BB35</f>
        <v>570.5</v>
      </c>
      <c r="BC40" s="21">
        <f>Model!BC35</f>
        <v>558.5</v>
      </c>
      <c r="BD40" s="682">
        <f>Model!BD35</f>
        <v>555.875</v>
      </c>
      <c r="BE40" s="21">
        <f>Model!BE35</f>
        <v>549.5</v>
      </c>
      <c r="BF40" s="21">
        <f>Model!BF35</f>
        <v>558.5</v>
      </c>
      <c r="BG40" s="21">
        <f>Model!BG35</f>
        <v>562</v>
      </c>
      <c r="BH40" s="21">
        <f>Model!BH35</f>
        <v>552.5</v>
      </c>
      <c r="BI40" s="682">
        <f>Model!BI35</f>
        <v>555.625</v>
      </c>
      <c r="BJ40" s="21">
        <f>Model!BJ35</f>
        <v>537</v>
      </c>
      <c r="BK40" s="21">
        <f>Model!BK35</f>
        <v>530.5</v>
      </c>
      <c r="BL40" s="186">
        <f>Model!BL35</f>
        <v>527.5</v>
      </c>
      <c r="BM40" s="21">
        <f>Model!BM35</f>
        <v>508.92750000000001</v>
      </c>
      <c r="BN40" s="682">
        <f>Model!BN35</f>
        <v>525.98187499999995</v>
      </c>
      <c r="BO40" s="21">
        <f>Model!BO35</f>
        <v>521.00750000000005</v>
      </c>
      <c r="BP40" s="21">
        <f>Model!BP35</f>
        <v>542.23500000000001</v>
      </c>
      <c r="BQ40" s="21">
        <f>Model!BQ35</f>
        <v>536.02499999999998</v>
      </c>
      <c r="BR40" s="21">
        <f>Model!BR35</f>
        <v>529.38194999999996</v>
      </c>
      <c r="BS40" s="682">
        <f>Model!BS35</f>
        <v>532.16236249999997</v>
      </c>
      <c r="BT40" s="682">
        <f>Model!BT35</f>
        <v>525.63901950000002</v>
      </c>
      <c r="BU40" s="682">
        <f>Model!BU35</f>
        <v>532.1954766450001</v>
      </c>
      <c r="BV40" s="682">
        <f>Model!BV35</f>
        <v>545.5620297802501</v>
      </c>
      <c r="BW40" s="21"/>
    </row>
    <row r="41" spans="1:75" s="447" customFormat="1">
      <c r="A41" s="20"/>
      <c r="B41" s="70"/>
      <c r="C41" s="682"/>
      <c r="D41" s="682"/>
      <c r="E41" s="682"/>
      <c r="F41" s="682"/>
      <c r="G41" s="21"/>
      <c r="H41" s="21"/>
      <c r="I41" s="21"/>
      <c r="J41" s="21"/>
      <c r="K41" s="682"/>
      <c r="L41" s="21"/>
      <c r="M41" s="21"/>
      <c r="N41" s="21"/>
      <c r="O41" s="21"/>
      <c r="P41" s="682"/>
      <c r="Q41" s="21"/>
      <c r="R41" s="21"/>
      <c r="S41" s="21"/>
      <c r="T41" s="21"/>
      <c r="U41" s="682"/>
      <c r="V41" s="21"/>
      <c r="W41" s="21"/>
      <c r="X41" s="21"/>
      <c r="Y41" s="21"/>
      <c r="Z41" s="682"/>
      <c r="AA41" s="21"/>
      <c r="AB41" s="21"/>
      <c r="AC41" s="21"/>
      <c r="AD41" s="21"/>
      <c r="AE41" s="682"/>
      <c r="AF41" s="21"/>
      <c r="AG41" s="21"/>
      <c r="AH41" s="21"/>
      <c r="AI41" s="21"/>
      <c r="AJ41" s="682"/>
      <c r="AK41" s="21"/>
      <c r="AL41" s="21"/>
      <c r="AM41" s="21"/>
      <c r="AN41" s="21"/>
      <c r="AO41" s="682"/>
      <c r="AP41" s="21"/>
      <c r="AQ41" s="21"/>
      <c r="AR41" s="21"/>
      <c r="AS41" s="21"/>
      <c r="AT41" s="682"/>
      <c r="AU41" s="21"/>
      <c r="AV41" s="21"/>
      <c r="AW41" s="21"/>
      <c r="AX41" s="21"/>
      <c r="AY41" s="682"/>
      <c r="AZ41" s="21"/>
      <c r="BA41" s="21"/>
      <c r="BB41" s="21"/>
      <c r="BC41" s="21"/>
      <c r="BD41" s="682"/>
      <c r="BE41" s="21"/>
      <c r="BF41" s="21"/>
      <c r="BG41" s="21"/>
      <c r="BH41" s="21"/>
      <c r="BI41" s="682"/>
      <c r="BJ41" s="21"/>
      <c r="BK41" s="21"/>
      <c r="BL41" s="186"/>
      <c r="BM41" s="21"/>
      <c r="BN41" s="682"/>
      <c r="BO41" s="21"/>
      <c r="BP41" s="21"/>
      <c r="BQ41" s="21"/>
      <c r="BR41" s="21"/>
      <c r="BS41" s="682"/>
      <c r="BT41" s="682"/>
      <c r="BU41" s="682"/>
      <c r="BV41" s="682"/>
      <c r="BW41" s="21"/>
    </row>
    <row r="42" spans="1:75" s="451" customFormat="1">
      <c r="A42" s="283" t="str">
        <f>Model!A37</f>
        <v>Services Revenue per Location per month, $/location</v>
      </c>
      <c r="B42" s="244"/>
      <c r="C42" s="690"/>
      <c r="D42" s="690"/>
      <c r="E42" s="690"/>
      <c r="F42" s="690"/>
      <c r="G42" s="245"/>
      <c r="H42" s="245"/>
      <c r="I42" s="245"/>
      <c r="J42" s="245"/>
      <c r="K42" s="690"/>
      <c r="L42" s="245"/>
      <c r="M42" s="245"/>
      <c r="N42" s="245"/>
      <c r="O42" s="245"/>
      <c r="P42" s="690"/>
      <c r="Q42" s="245"/>
      <c r="R42" s="245"/>
      <c r="S42" s="245"/>
      <c r="T42" s="245"/>
      <c r="U42" s="690"/>
      <c r="V42" s="245"/>
      <c r="W42" s="245"/>
      <c r="X42" s="245"/>
      <c r="Y42" s="245"/>
      <c r="Z42" s="690"/>
      <c r="AA42" s="245"/>
      <c r="AB42" s="245"/>
      <c r="AC42" s="245"/>
      <c r="AD42" s="245"/>
      <c r="AE42" s="690"/>
      <c r="AF42" s="245">
        <f>Model!AF37</f>
        <v>152.48783977110156</v>
      </c>
      <c r="AG42" s="245">
        <f>Model!AG37</f>
        <v>164.82867383512544</v>
      </c>
      <c r="AH42" s="245">
        <f>Model!AH37</f>
        <v>170.33044733044733</v>
      </c>
      <c r="AI42" s="245">
        <f>Model!AI37</f>
        <v>170.54953000723063</v>
      </c>
      <c r="AJ42" s="690">
        <f>Model!AJ37</f>
        <v>164.52031643293779</v>
      </c>
      <c r="AK42" s="245">
        <f>Model!AK37</f>
        <v>167.08333333333334</v>
      </c>
      <c r="AL42" s="245">
        <f>Model!AL37</f>
        <v>181.0328227571116</v>
      </c>
      <c r="AM42" s="245">
        <f>Model!AM37</f>
        <v>197.56776556776558</v>
      </c>
      <c r="AN42" s="245">
        <f>Model!AN37</f>
        <v>196.71101573676683</v>
      </c>
      <c r="AO42" s="690">
        <f>Model!AO37</f>
        <v>185.56967064784658</v>
      </c>
      <c r="AP42" s="245">
        <f>Model!AP37</f>
        <v>189.98144182726625</v>
      </c>
      <c r="AQ42" s="245">
        <f>Model!AQ37</f>
        <v>167.55810397553518</v>
      </c>
      <c r="AR42" s="245">
        <f>Model!AR37</f>
        <v>210.84834123222751</v>
      </c>
      <c r="AS42" s="245">
        <f>Model!AS37</f>
        <v>209.48265460030166</v>
      </c>
      <c r="AT42" s="690">
        <f>Model!AT37</f>
        <v>194.31013016411998</v>
      </c>
      <c r="AU42" s="245">
        <f>Model!AU37</f>
        <v>209.35565476190479</v>
      </c>
      <c r="AV42" s="245">
        <f>Model!AV37</f>
        <v>222.01164483260553</v>
      </c>
      <c r="AW42" s="245">
        <f>Model!AW37</f>
        <v>225.54695340501792</v>
      </c>
      <c r="AX42" s="245">
        <f>Model!AX37</f>
        <v>232.95111111111112</v>
      </c>
      <c r="AY42" s="690">
        <f>Model!AY37</f>
        <v>222.50411861614498</v>
      </c>
      <c r="AZ42" s="245">
        <f>Model!AZ37</f>
        <v>241.72398190045249</v>
      </c>
      <c r="BA42" s="245">
        <f>Model!BA37</f>
        <v>255.38168498168497</v>
      </c>
      <c r="BB42" s="245">
        <f>Model!BB37</f>
        <v>256.67659574468081</v>
      </c>
      <c r="BC42" s="245">
        <f>Model!BC37</f>
        <v>253.43567874911159</v>
      </c>
      <c r="BD42" s="690">
        <f>Model!BD37</f>
        <v>251.92810457516342</v>
      </c>
      <c r="BE42" s="245">
        <f>Model!BE37</f>
        <v>260.86709310589907</v>
      </c>
      <c r="BF42" s="245">
        <f>Model!BF37</f>
        <v>280.49579831932772</v>
      </c>
      <c r="BG42" s="245">
        <f>Model!BG37</f>
        <v>290.59619450317126</v>
      </c>
      <c r="BH42" s="245">
        <f>Model!BH37</f>
        <v>282.13888888888886</v>
      </c>
      <c r="BI42" s="690">
        <f>Model!BI37</f>
        <v>278.57815244116614</v>
      </c>
      <c r="BJ42" s="245">
        <f>Model!BJ37</f>
        <v>272.68678739101273</v>
      </c>
      <c r="BK42" s="245">
        <f>Model!BK37</f>
        <v>293.74835309617919</v>
      </c>
      <c r="BL42" s="393">
        <f>Model!BL37</f>
        <v>300.40711462450594</v>
      </c>
      <c r="BM42" s="245">
        <f>Model!BM37</f>
        <v>304.70999999999998</v>
      </c>
      <c r="BN42" s="690">
        <f>Model!BN37</f>
        <v>292.94720750867685</v>
      </c>
      <c r="BO42" s="245">
        <f>Model!BO37</f>
        <v>294.50173038229377</v>
      </c>
      <c r="BP42" s="245">
        <f>Model!BP37</f>
        <v>314.31073781291173</v>
      </c>
      <c r="BQ42" s="245">
        <f>Model!BQ37</f>
        <v>321.43561264822137</v>
      </c>
      <c r="BR42" s="245">
        <f>Model!BR37</f>
        <v>332.13389999999998</v>
      </c>
      <c r="BS42" s="690">
        <f>Model!BS37</f>
        <v>315.67966993916474</v>
      </c>
      <c r="BT42" s="690">
        <f>Model!BT37</f>
        <v>325.62357954224848</v>
      </c>
      <c r="BU42" s="690">
        <f>Model!BU37</f>
        <v>351.6102542828213</v>
      </c>
      <c r="BV42" s="690">
        <f>Model!BV37</f>
        <v>379.67081834376108</v>
      </c>
      <c r="BW42" s="245"/>
    </row>
    <row r="43" spans="1:75" s="451" customFormat="1">
      <c r="A43" s="284" t="str">
        <f>Model!A38</f>
        <v>Restaurants, Retail &amp; Other Revenue per Location per month, $/location</v>
      </c>
      <c r="B43" s="259"/>
      <c r="C43" s="692"/>
      <c r="D43" s="692"/>
      <c r="E43" s="692"/>
      <c r="F43" s="692"/>
      <c r="G43" s="260"/>
      <c r="H43" s="260"/>
      <c r="I43" s="260"/>
      <c r="J43" s="260"/>
      <c r="K43" s="692"/>
      <c r="L43" s="260"/>
      <c r="M43" s="260"/>
      <c r="N43" s="260"/>
      <c r="O43" s="260"/>
      <c r="P43" s="692"/>
      <c r="Q43" s="260"/>
      <c r="R43" s="260"/>
      <c r="S43" s="260"/>
      <c r="T43" s="260"/>
      <c r="U43" s="692"/>
      <c r="V43" s="260"/>
      <c r="W43" s="260"/>
      <c r="X43" s="260"/>
      <c r="Y43" s="260"/>
      <c r="Z43" s="692"/>
      <c r="AA43" s="260"/>
      <c r="AB43" s="260"/>
      <c r="AC43" s="260"/>
      <c r="AD43" s="260"/>
      <c r="AE43" s="692"/>
      <c r="AF43" s="260">
        <f>Model!AF38</f>
        <v>130.2472727272727</v>
      </c>
      <c r="AG43" s="260">
        <f>Model!AG38</f>
        <v>132.38095238095238</v>
      </c>
      <c r="AH43" s="260">
        <f>Model!AH38</f>
        <v>131.79389752446747</v>
      </c>
      <c r="AI43" s="260">
        <f>Model!AI38</f>
        <v>129.17523493642895</v>
      </c>
      <c r="AJ43" s="692">
        <f>Model!AJ38</f>
        <v>130.87725421756835</v>
      </c>
      <c r="AK43" s="260">
        <f>Model!AK38</f>
        <v>122.03085399449036</v>
      </c>
      <c r="AL43" s="260">
        <f>Model!AL38</f>
        <v>122.10842726784756</v>
      </c>
      <c r="AM43" s="260">
        <f>Model!AM38</f>
        <v>119.99797057331303</v>
      </c>
      <c r="AN43" s="260">
        <f>Model!AN38</f>
        <v>122.30715005035245</v>
      </c>
      <c r="AO43" s="692">
        <f>Model!AO38</f>
        <v>121.59685658153244</v>
      </c>
      <c r="AP43" s="260">
        <f>Model!AP38</f>
        <v>108.09191919191919</v>
      </c>
      <c r="AQ43" s="260">
        <f>Model!AQ38</f>
        <v>69.642857142857153</v>
      </c>
      <c r="AR43" s="260">
        <f>Model!AR38</f>
        <v>111.87904967602593</v>
      </c>
      <c r="AS43" s="260">
        <f>Model!AS38</f>
        <v>95.424501424501429</v>
      </c>
      <c r="AT43" s="692">
        <f>Model!AT38</f>
        <v>96.773960216998191</v>
      </c>
      <c r="AU43" s="260">
        <f>Model!AU38</f>
        <v>94.260869565217376</v>
      </c>
      <c r="AV43" s="260">
        <f>Model!AV38</f>
        <v>107.54973821989527</v>
      </c>
      <c r="AW43" s="260">
        <f>Model!AW38</f>
        <v>110.93756967670009</v>
      </c>
      <c r="AX43" s="260">
        <f>Model!AX38</f>
        <v>113.32789559543228</v>
      </c>
      <c r="AY43" s="692">
        <f>Model!AY38</f>
        <v>106.67090575102445</v>
      </c>
      <c r="AZ43" s="260">
        <f>Model!AZ38</f>
        <v>108.62236286919831</v>
      </c>
      <c r="BA43" s="260">
        <f>Model!BA38</f>
        <v>110.32323232323233</v>
      </c>
      <c r="BB43" s="260">
        <f>Model!BB38</f>
        <v>111.97913561847986</v>
      </c>
      <c r="BC43" s="260">
        <f>Model!BC38</f>
        <v>119.02469135802467</v>
      </c>
      <c r="BD43" s="692">
        <f>Model!BD38</f>
        <v>112.49661687731394</v>
      </c>
      <c r="BE43" s="260">
        <f>Model!BE38</f>
        <v>120.23597883597886</v>
      </c>
      <c r="BF43" s="260">
        <f>Model!BF38</f>
        <v>126.57098283931356</v>
      </c>
      <c r="BG43" s="260">
        <f>Model!BG38</f>
        <v>126.83461341525857</v>
      </c>
      <c r="BH43" s="260">
        <f>Model!BH38</f>
        <v>132.51306666666667</v>
      </c>
      <c r="BI43" s="692">
        <f>Model!BI38</f>
        <v>126.52951184399949</v>
      </c>
      <c r="BJ43" s="260">
        <f>Model!BJ38</f>
        <v>132.12016175621028</v>
      </c>
      <c r="BK43" s="260">
        <f>Model!BK38</f>
        <v>142.20180180180179</v>
      </c>
      <c r="BL43" s="418">
        <f>Model!BL38</f>
        <v>141.34426229508196</v>
      </c>
      <c r="BM43" s="260">
        <f>Model!BM38</f>
        <v>136.48845866666667</v>
      </c>
      <c r="BN43" s="692">
        <f>Model!BN38</f>
        <v>137.99708594681053</v>
      </c>
      <c r="BO43" s="260">
        <f>Model!BO38</f>
        <v>136.08376660889658</v>
      </c>
      <c r="BP43" s="260">
        <f>Model!BP38</f>
        <v>146.46785585585584</v>
      </c>
      <c r="BQ43" s="260">
        <f>Model!BQ38</f>
        <v>145.58459016393442</v>
      </c>
      <c r="BR43" s="260">
        <f>Model!BR38</f>
        <v>147.40753536000003</v>
      </c>
      <c r="BS43" s="692">
        <f>Model!BS38</f>
        <v>143.95886590084999</v>
      </c>
      <c r="BT43" s="692">
        <f>Model!BT38</f>
        <v>148.29530437128329</v>
      </c>
      <c r="BU43" s="692">
        <f>Model!BU38</f>
        <v>152.76236834011976</v>
      </c>
      <c r="BV43" s="692">
        <f>Model!BV38</f>
        <v>157.36399260799118</v>
      </c>
      <c r="BW43" s="245"/>
    </row>
    <row r="44" spans="1:75" s="451" customFormat="1">
      <c r="A44" s="267" t="str">
        <f>Model!A39</f>
        <v>Advertising Revenue per Location per month, $/location</v>
      </c>
      <c r="B44" s="244"/>
      <c r="C44" s="690"/>
      <c r="D44" s="690"/>
      <c r="E44" s="690"/>
      <c r="F44" s="690"/>
      <c r="G44" s="245"/>
      <c r="H44" s="245"/>
      <c r="I44" s="245"/>
      <c r="J44" s="245"/>
      <c r="K44" s="690"/>
      <c r="L44" s="245"/>
      <c r="M44" s="245"/>
      <c r="N44" s="245"/>
      <c r="O44" s="245"/>
      <c r="P44" s="690"/>
      <c r="Q44" s="245"/>
      <c r="R44" s="245"/>
      <c r="S44" s="245"/>
      <c r="T44" s="245"/>
      <c r="U44" s="690"/>
      <c r="V44" s="245"/>
      <c r="W44" s="245"/>
      <c r="X44" s="245"/>
      <c r="Y44" s="245"/>
      <c r="Z44" s="690"/>
      <c r="AA44" s="245"/>
      <c r="AB44" s="245"/>
      <c r="AC44" s="245"/>
      <c r="AD44" s="245"/>
      <c r="AE44" s="690"/>
      <c r="AF44" s="245">
        <f>Model!AF39</f>
        <v>144.72143340094658</v>
      </c>
      <c r="AG44" s="245">
        <f>Model!AG39</f>
        <v>147.10113821138211</v>
      </c>
      <c r="AH44" s="245">
        <f>Model!AH39</f>
        <v>148.89657380723665</v>
      </c>
      <c r="AI44" s="245">
        <f>Model!AI39</f>
        <v>146.96338028169015</v>
      </c>
      <c r="AJ44" s="690">
        <f>Model!AJ39</f>
        <v>146.94955874018297</v>
      </c>
      <c r="AK44" s="245">
        <f>Model!AK39</f>
        <v>141.45358255451711</v>
      </c>
      <c r="AL44" s="245">
        <f>Model!AL39</f>
        <v>147.08843537414967</v>
      </c>
      <c r="AM44" s="245">
        <f>Model!AM39</f>
        <v>151.73741007194243</v>
      </c>
      <c r="AN44" s="245">
        <f>Model!AN39</f>
        <v>153.04491725768321</v>
      </c>
      <c r="AO44" s="690">
        <f>Model!AO39</f>
        <v>148.42373138863567</v>
      </c>
      <c r="AP44" s="245">
        <f>Model!AP39</f>
        <v>142.02484472049687</v>
      </c>
      <c r="AQ44" s="245">
        <f>Model!AQ39</f>
        <v>115.18139865104723</v>
      </c>
      <c r="AR44" s="245">
        <f>Model!AR39</f>
        <v>159.25113122171948</v>
      </c>
      <c r="AS44" s="245">
        <f>Model!AS39</f>
        <v>144.51282051282047</v>
      </c>
      <c r="AT44" s="690">
        <f>Model!AT39</f>
        <v>140.15841086245914</v>
      </c>
      <c r="AU44" s="245">
        <f>Model!AU39</f>
        <v>144.66405995438254</v>
      </c>
      <c r="AV44" s="245">
        <f>Model!AV39</f>
        <v>158.39702554154542</v>
      </c>
      <c r="AW44" s="245">
        <f>Model!AW39</f>
        <v>161.07243650047036</v>
      </c>
      <c r="AX44" s="245">
        <f>Model!AX39</f>
        <v>163.96801505174037</v>
      </c>
      <c r="AY44" s="690">
        <f>Model!AY39</f>
        <v>157.13317384370018</v>
      </c>
      <c r="AZ44" s="245">
        <f>Model!AZ39</f>
        <v>163.3997517070143</v>
      </c>
      <c r="BA44" s="245">
        <f>Model!BA39</f>
        <v>169.51748878923766</v>
      </c>
      <c r="BB44" s="245">
        <f>Model!BB39</f>
        <v>171.58282208588957</v>
      </c>
      <c r="BC44" s="245">
        <f>Model!BC39</f>
        <v>175.46045956430916</v>
      </c>
      <c r="BD44" s="690">
        <f>Model!BD39</f>
        <v>170.06266396821826</v>
      </c>
      <c r="BE44" s="245">
        <f>Model!BE39</f>
        <v>180.25053078556263</v>
      </c>
      <c r="BF44" s="245">
        <f>Model!BF39</f>
        <v>192.16472694717993</v>
      </c>
      <c r="BG44" s="245">
        <f>Model!BG39</f>
        <v>195.74851720047448</v>
      </c>
      <c r="BH44" s="245">
        <f>Model!BH39</f>
        <v>197.50889894419308</v>
      </c>
      <c r="BI44" s="690">
        <f>Model!BI39</f>
        <v>191.45376827896516</v>
      </c>
      <c r="BJ44" s="245">
        <f>Model!BJ39</f>
        <v>197.1682184978275</v>
      </c>
      <c r="BK44" s="245">
        <f>Model!BK39</f>
        <v>214.4756519007226</v>
      </c>
      <c r="BL44" s="393">
        <f>Model!BL39</f>
        <v>217.63412322274883</v>
      </c>
      <c r="BM44" s="245">
        <f>Model!BM39</f>
        <v>219.23533342492462</v>
      </c>
      <c r="BN44" s="690">
        <f>Model!BN39</f>
        <v>212.00139112126257</v>
      </c>
      <c r="BO44" s="245">
        <f>Model!BO39</f>
        <v>214.11717337923139</v>
      </c>
      <c r="BP44" s="245">
        <f>Model!BP39</f>
        <v>227.12443418729893</v>
      </c>
      <c r="BQ44" s="245">
        <f>Model!BQ39</f>
        <v>230.03507327182146</v>
      </c>
      <c r="BR44" s="245">
        <f>Model!BR39</f>
        <v>238.81162749686828</v>
      </c>
      <c r="BS44" s="690">
        <f>Model!BS39</f>
        <v>227.58025563035937</v>
      </c>
      <c r="BT44" s="690">
        <f>Model!BT39</f>
        <v>238.34035246268652</v>
      </c>
      <c r="BU44" s="690">
        <f>Model!BU39</f>
        <v>253.48814250412329</v>
      </c>
      <c r="BV44" s="690">
        <f>Model!BV39</f>
        <v>270.52027043017284</v>
      </c>
      <c r="BW44" s="245"/>
    </row>
    <row r="45" spans="1:75" s="451" customFormat="1">
      <c r="A45" s="267"/>
      <c r="B45" s="244"/>
      <c r="C45" s="690"/>
      <c r="D45" s="690"/>
      <c r="E45" s="690"/>
      <c r="F45" s="690"/>
      <c r="G45" s="245"/>
      <c r="H45" s="245"/>
      <c r="I45" s="245"/>
      <c r="J45" s="245"/>
      <c r="K45" s="690"/>
      <c r="L45" s="245"/>
      <c r="M45" s="245"/>
      <c r="N45" s="245"/>
      <c r="O45" s="245"/>
      <c r="P45" s="690"/>
      <c r="Q45" s="245"/>
      <c r="R45" s="245"/>
      <c r="S45" s="245"/>
      <c r="T45" s="245"/>
      <c r="U45" s="690"/>
      <c r="V45" s="245"/>
      <c r="W45" s="245"/>
      <c r="X45" s="245"/>
      <c r="Y45" s="245"/>
      <c r="Z45" s="690"/>
      <c r="AA45" s="245"/>
      <c r="AB45" s="245"/>
      <c r="AC45" s="245"/>
      <c r="AD45" s="245"/>
      <c r="AE45" s="690"/>
      <c r="AF45" s="245"/>
      <c r="AG45" s="245"/>
      <c r="AH45" s="245"/>
      <c r="AI45" s="245"/>
      <c r="AJ45" s="690"/>
      <c r="AK45" s="245"/>
      <c r="AL45" s="245"/>
      <c r="AM45" s="245"/>
      <c r="AN45" s="245"/>
      <c r="AO45" s="690"/>
      <c r="AP45" s="245"/>
      <c r="AQ45" s="245"/>
      <c r="AR45" s="245"/>
      <c r="AS45" s="245"/>
      <c r="AT45" s="690"/>
      <c r="AU45" s="245"/>
      <c r="AV45" s="245"/>
      <c r="AW45" s="245"/>
      <c r="AX45" s="245"/>
      <c r="AY45" s="690"/>
      <c r="AZ45" s="245"/>
      <c r="BA45" s="245"/>
      <c r="BB45" s="245"/>
      <c r="BC45" s="245"/>
      <c r="BD45" s="690"/>
      <c r="BE45" s="245"/>
      <c r="BF45" s="245"/>
      <c r="BG45" s="245"/>
      <c r="BH45" s="245"/>
      <c r="BI45" s="690"/>
      <c r="BJ45" s="245"/>
      <c r="BK45" s="245"/>
      <c r="BL45" s="393"/>
      <c r="BM45" s="245"/>
      <c r="BN45" s="690"/>
      <c r="BO45" s="245"/>
      <c r="BP45" s="245"/>
      <c r="BQ45" s="245"/>
      <c r="BR45" s="245"/>
      <c r="BS45" s="690"/>
      <c r="BT45" s="690"/>
      <c r="BU45" s="690"/>
      <c r="BV45" s="690"/>
      <c r="BW45" s="245"/>
    </row>
    <row r="46" spans="1:75" s="443" customFormat="1">
      <c r="A46" s="255" t="str">
        <f>Model!A41</f>
        <v>Services Revenue per Location per month growth, %</v>
      </c>
      <c r="B46" s="252"/>
      <c r="C46" s="90"/>
      <c r="D46" s="90"/>
      <c r="E46" s="90"/>
      <c r="F46" s="90"/>
      <c r="G46" s="26"/>
      <c r="H46" s="26"/>
      <c r="I46" s="26"/>
      <c r="J46" s="26"/>
      <c r="K46" s="90"/>
      <c r="L46" s="26"/>
      <c r="M46" s="26"/>
      <c r="N46" s="26"/>
      <c r="O46" s="26"/>
      <c r="P46" s="90"/>
      <c r="Q46" s="26"/>
      <c r="R46" s="26"/>
      <c r="S46" s="26"/>
      <c r="T46" s="26"/>
      <c r="U46" s="90"/>
      <c r="V46" s="26"/>
      <c r="W46" s="26"/>
      <c r="X46" s="26"/>
      <c r="Y46" s="26"/>
      <c r="Z46" s="90"/>
      <c r="AA46" s="26"/>
      <c r="AB46" s="26"/>
      <c r="AC46" s="26"/>
      <c r="AD46" s="26"/>
      <c r="AE46" s="90"/>
      <c r="AF46" s="26">
        <f>Model!AF41</f>
        <v>0</v>
      </c>
      <c r="AG46" s="26">
        <f>Model!AG41</f>
        <v>0</v>
      </c>
      <c r="AH46" s="26">
        <f>Model!AH41</f>
        <v>0</v>
      </c>
      <c r="AI46" s="26">
        <f>Model!AI41</f>
        <v>0</v>
      </c>
      <c r="AJ46" s="90">
        <f>Model!AJ41</f>
        <v>0</v>
      </c>
      <c r="AK46" s="26">
        <f>Model!AK41</f>
        <v>9.571578680726911E-2</v>
      </c>
      <c r="AL46" s="26">
        <f>Model!AL41</f>
        <v>9.8309041412265596E-2</v>
      </c>
      <c r="AM46" s="26">
        <f>Model!AM41</f>
        <v>0.15990868728523244</v>
      </c>
      <c r="AN46" s="26">
        <f>Model!AN41</f>
        <v>0.15339523790201626</v>
      </c>
      <c r="AO46" s="90">
        <f>Model!AO41</f>
        <v>0.1279437985003451</v>
      </c>
      <c r="AP46" s="26">
        <f>Model!AP41</f>
        <v>0.13704603587391273</v>
      </c>
      <c r="AQ46" s="26">
        <f>Model!AQ41</f>
        <v>-7.4432462447184045E-2</v>
      </c>
      <c r="AR46" s="26">
        <f>Model!AR41</f>
        <v>6.7220356652293534E-2</v>
      </c>
      <c r="AS46" s="26">
        <f>Model!AS41</f>
        <v>6.4925895561565694E-2</v>
      </c>
      <c r="AT46" s="90">
        <f>Model!AT41</f>
        <v>4.7100689922870309E-2</v>
      </c>
      <c r="AU46" s="26">
        <f>Model!AU41</f>
        <v>0.10197950256769728</v>
      </c>
      <c r="AV46" s="26">
        <f>Model!AV41</f>
        <v>0.3249830331394834</v>
      </c>
      <c r="AW46" s="26">
        <f>Model!AW41</f>
        <v>6.9711775235648643E-2</v>
      </c>
      <c r="AX46" s="26">
        <f>Model!AX41</f>
        <v>0.11203054761544751</v>
      </c>
      <c r="AY46" s="90">
        <f>Model!AY41</f>
        <v>0.14509788258703504</v>
      </c>
      <c r="AZ46" s="26">
        <f>Model!AZ41</f>
        <v>0.15460928043887523</v>
      </c>
      <c r="BA46" s="26">
        <f>Model!BA41</f>
        <v>0.15030761190134911</v>
      </c>
      <c r="BB46" s="26">
        <f>Model!BB41</f>
        <v>0.13801845633340459</v>
      </c>
      <c r="BC46" s="26">
        <f>Model!BC41</f>
        <v>8.7935050149771099E-2</v>
      </c>
      <c r="BD46" s="90">
        <f>Model!BD41</f>
        <v>0.13224018567395368</v>
      </c>
      <c r="BE46" s="26">
        <f>Model!BE41</f>
        <v>7.919409176922354E-2</v>
      </c>
      <c r="BF46" s="26">
        <f>Model!BF41</f>
        <v>9.8339523993053124E-2</v>
      </c>
      <c r="BG46" s="26">
        <f>Model!BG41</f>
        <v>0.13214916872370663</v>
      </c>
      <c r="BH46" s="26">
        <f>Model!BH41</f>
        <v>0.11325639026615497</v>
      </c>
      <c r="BI46" s="90">
        <f>Model!BI41</f>
        <v>0.10578433839663814</v>
      </c>
      <c r="BJ46" s="26">
        <f>Model!BJ41</f>
        <v>4.5309257462823993E-2</v>
      </c>
      <c r="BK46" s="26">
        <f>Model!BK41</f>
        <v>4.724689231089374E-2</v>
      </c>
      <c r="BL46" s="398">
        <f>Model!BL41</f>
        <v>3.3761350998103401E-2</v>
      </c>
      <c r="BM46" s="26">
        <f>Model!BM41</f>
        <v>0.08</v>
      </c>
      <c r="BN46" s="90">
        <f>Model!BN41</f>
        <v>5.1579978334967747E-2</v>
      </c>
      <c r="BO46" s="26">
        <f>Model!BO41</f>
        <v>0.08</v>
      </c>
      <c r="BP46" s="26">
        <f>Model!BP41</f>
        <v>7.0000000000000007E-2</v>
      </c>
      <c r="BQ46" s="26">
        <f>Model!BQ41</f>
        <v>7.0000000000000007E-2</v>
      </c>
      <c r="BR46" s="26">
        <f>Model!BR41</f>
        <v>0.09</v>
      </c>
      <c r="BS46" s="90">
        <f>Model!BS41</f>
        <v>7.7599177762479821E-2</v>
      </c>
      <c r="BT46" s="90">
        <f>Model!BT41</f>
        <v>3.15E-2</v>
      </c>
      <c r="BU46" s="90">
        <f>Model!BU41</f>
        <v>7.9805875167590995E-2</v>
      </c>
      <c r="BV46" s="90">
        <f>Model!BV41</f>
        <v>7.9805875167590995E-2</v>
      </c>
      <c r="BW46" s="26"/>
    </row>
    <row r="47" spans="1:75" s="443" customFormat="1">
      <c r="A47" s="256" t="str">
        <f>Model!A42</f>
        <v>Restaurants, Retail &amp; Other Revenue per Location per month growth, %</v>
      </c>
      <c r="B47" s="253"/>
      <c r="C47" s="793"/>
      <c r="D47" s="793"/>
      <c r="E47" s="793"/>
      <c r="F47" s="793"/>
      <c r="G47" s="254"/>
      <c r="H47" s="254"/>
      <c r="I47" s="254"/>
      <c r="J47" s="254"/>
      <c r="K47" s="793"/>
      <c r="L47" s="254"/>
      <c r="M47" s="254"/>
      <c r="N47" s="254"/>
      <c r="O47" s="254"/>
      <c r="P47" s="793"/>
      <c r="Q47" s="254"/>
      <c r="R47" s="254"/>
      <c r="S47" s="254"/>
      <c r="T47" s="254"/>
      <c r="U47" s="793"/>
      <c r="V47" s="254"/>
      <c r="W47" s="254"/>
      <c r="X47" s="254"/>
      <c r="Y47" s="254"/>
      <c r="Z47" s="793"/>
      <c r="AA47" s="254"/>
      <c r="AB47" s="254"/>
      <c r="AC47" s="254"/>
      <c r="AD47" s="254"/>
      <c r="AE47" s="793"/>
      <c r="AF47" s="254">
        <f>Model!AF42</f>
        <v>0</v>
      </c>
      <c r="AG47" s="254">
        <f>Model!AG42</f>
        <v>0</v>
      </c>
      <c r="AH47" s="254">
        <f>Model!AH42</f>
        <v>0</v>
      </c>
      <c r="AI47" s="254">
        <f>Model!AI42</f>
        <v>0</v>
      </c>
      <c r="AJ47" s="793">
        <f>Model!AJ42</f>
        <v>0</v>
      </c>
      <c r="AK47" s="254">
        <f>Model!AK42</f>
        <v>-6.3083230540933233E-2</v>
      </c>
      <c r="AL47" s="254">
        <f>Model!AL42</f>
        <v>-7.7598211286043606E-2</v>
      </c>
      <c r="AM47" s="254">
        <f>Model!AM42</f>
        <v>-8.9502831107673542E-2</v>
      </c>
      <c r="AN47" s="254">
        <f>Model!AN42</f>
        <v>-5.3168743137618435E-2</v>
      </c>
      <c r="AO47" s="793">
        <f>Model!AO42</f>
        <v>-7.0909171280506222E-2</v>
      </c>
      <c r="AP47" s="254">
        <f>Model!AP42</f>
        <v>-0.11422467635275668</v>
      </c>
      <c r="AQ47" s="254">
        <f>Model!AQ42</f>
        <v>-0.42966379388300535</v>
      </c>
      <c r="AR47" s="254">
        <f>Model!AR42</f>
        <v>-6.7658818382489438E-2</v>
      </c>
      <c r="AS47" s="254">
        <f>Model!AS42</f>
        <v>-0.21979621481478184</v>
      </c>
      <c r="AT47" s="793">
        <f>Model!AT42</f>
        <v>-0.20414093803395428</v>
      </c>
      <c r="AU47" s="254">
        <f>Model!AU42</f>
        <v>-0.12795637019030559</v>
      </c>
      <c r="AV47" s="254">
        <f>Model!AV42</f>
        <v>0.54430393341388061</v>
      </c>
      <c r="AW47" s="254">
        <f>Model!AW42</f>
        <v>-8.4151590673332555E-3</v>
      </c>
      <c r="AX47" s="254">
        <f>Model!AX42</f>
        <v>0.18761841983629091</v>
      </c>
      <c r="AY47" s="793">
        <f>Model!AY42</f>
        <v>0.10226868376404297</v>
      </c>
      <c r="AZ47" s="254">
        <f>Model!AZ42</f>
        <v>0.15235901567876464</v>
      </c>
      <c r="BA47" s="254">
        <f>Model!BA42</f>
        <v>2.5788013520464226E-2</v>
      </c>
      <c r="BB47" s="254">
        <f>Model!BB42</f>
        <v>9.3887575220472641E-3</v>
      </c>
      <c r="BC47" s="254">
        <f>Model!BC42</f>
        <v>5.0268256837039393E-2</v>
      </c>
      <c r="BD47" s="793">
        <f>Model!BD42</f>
        <v>5.4613871376390177E-2</v>
      </c>
      <c r="BE47" s="254">
        <f>Model!BE42</f>
        <v>0.1069173571630504</v>
      </c>
      <c r="BF47" s="254">
        <f>Model!BF42</f>
        <v>0.14727406162717838</v>
      </c>
      <c r="BG47" s="254">
        <f>Model!BG42</f>
        <v>0.13266290827062899</v>
      </c>
      <c r="BH47" s="254">
        <f>Model!BH42</f>
        <v>0.1133241779898353</v>
      </c>
      <c r="BI47" s="793">
        <f>Model!BI42</f>
        <v>0.12474059537265436</v>
      </c>
      <c r="BJ47" s="254">
        <f>Model!BJ42</f>
        <v>9.8840488806128057E-2</v>
      </c>
      <c r="BK47" s="254">
        <f>Model!BK42</f>
        <v>0.12349448990478429</v>
      </c>
      <c r="BL47" s="415">
        <f>Model!BL42</f>
        <v>0.1143981795593807</v>
      </c>
      <c r="BM47" s="254">
        <f>Model!BM42</f>
        <v>0.03</v>
      </c>
      <c r="BN47" s="793">
        <f>Model!BN42</f>
        <v>9.0631615784225961E-2</v>
      </c>
      <c r="BO47" s="254">
        <f>Model!BO42</f>
        <v>0.03</v>
      </c>
      <c r="BP47" s="254">
        <f>Model!BP42</f>
        <v>0.03</v>
      </c>
      <c r="BQ47" s="254">
        <f>Model!BQ42</f>
        <v>0.03</v>
      </c>
      <c r="BR47" s="254">
        <f>Model!BR42</f>
        <v>0.08</v>
      </c>
      <c r="BS47" s="793">
        <f>Model!BS42</f>
        <v>4.3202216286924777E-2</v>
      </c>
      <c r="BT47" s="793">
        <f>Model!BT42</f>
        <v>3.0122760715689301E-2</v>
      </c>
      <c r="BU47" s="793">
        <f>Model!BU42</f>
        <v>3.0122760715689301E-2</v>
      </c>
      <c r="BV47" s="793">
        <f>Model!BV42</f>
        <v>3.0122760715689301E-2</v>
      </c>
      <c r="BW47" s="26"/>
    </row>
    <row r="48" spans="1:75" s="449" customFormat="1">
      <c r="A48" s="51" t="str">
        <f>Model!A43</f>
        <v>Advertising Revenue per Location per month growth, %</v>
      </c>
      <c r="B48" s="71"/>
      <c r="C48" s="685"/>
      <c r="D48" s="685"/>
      <c r="E48" s="685"/>
      <c r="F48" s="685"/>
      <c r="G48" s="54"/>
      <c r="H48" s="54"/>
      <c r="I48" s="54"/>
      <c r="J48" s="54"/>
      <c r="K48" s="685"/>
      <c r="L48" s="54"/>
      <c r="M48" s="54"/>
      <c r="N48" s="54"/>
      <c r="O48" s="54"/>
      <c r="P48" s="685"/>
      <c r="Q48" s="54"/>
      <c r="R48" s="54"/>
      <c r="S48" s="54"/>
      <c r="T48" s="54"/>
      <c r="U48" s="685"/>
      <c r="V48" s="54"/>
      <c r="W48" s="54"/>
      <c r="X48" s="54"/>
      <c r="Y48" s="54"/>
      <c r="Z48" s="685"/>
      <c r="AA48" s="54"/>
      <c r="AB48" s="54"/>
      <c r="AC48" s="54"/>
      <c r="AD48" s="54"/>
      <c r="AE48" s="685"/>
      <c r="AF48" s="54">
        <f>Model!AF43</f>
        <v>5.5514670251423315E-2</v>
      </c>
      <c r="AG48" s="54">
        <f>Model!AG43</f>
        <v>4.3987554000953555E-2</v>
      </c>
      <c r="AH48" s="54">
        <f>Model!AH43</f>
        <v>1.4788720848614378E-2</v>
      </c>
      <c r="AI48" s="54">
        <f>Model!AI43</f>
        <v>-1.0277961250586998E-2</v>
      </c>
      <c r="AJ48" s="685">
        <f>Model!AJ43</f>
        <v>2.4432482147926482E-2</v>
      </c>
      <c r="AK48" s="54">
        <f>Model!AK43</f>
        <v>-2.2580282475339941E-2</v>
      </c>
      <c r="AL48" s="54">
        <f>Model!AL43</f>
        <v>-8.6354445566483307E-5</v>
      </c>
      <c r="AM48" s="54">
        <f>Model!AM43</f>
        <v>1.9079258790625886E-2</v>
      </c>
      <c r="AN48" s="54">
        <f>Model!AN43</f>
        <v>4.1381308488797286E-2</v>
      </c>
      <c r="AO48" s="685">
        <f>Model!AO43</f>
        <v>1.0031827663117721E-2</v>
      </c>
      <c r="AP48" s="54">
        <f>Model!AP43</f>
        <v>4.038513239914554E-3</v>
      </c>
      <c r="AQ48" s="54">
        <f>Model!AQ43</f>
        <v>-0.21692416974822204</v>
      </c>
      <c r="AR48" s="54">
        <f>Model!AR43</f>
        <v>4.9517921428964717E-2</v>
      </c>
      <c r="AS48" s="54">
        <f>Model!AS43</f>
        <v>-5.5748971594379526E-2</v>
      </c>
      <c r="AT48" s="685">
        <f>Model!AT43</f>
        <v>-5.5687324721236497E-2</v>
      </c>
      <c r="AU48" s="54">
        <f>Model!AU43</f>
        <v>1.8582771479733751E-2</v>
      </c>
      <c r="AV48" s="54">
        <f>Model!AV43</f>
        <v>0.37519623304301031</v>
      </c>
      <c r="AW48" s="54">
        <f>Model!AW43</f>
        <v>1.143668660171171E-2</v>
      </c>
      <c r="AX48" s="54">
        <f>Model!AX43</f>
        <v>0.13462608002446341</v>
      </c>
      <c r="AY48" s="685">
        <f>Model!AY43</f>
        <v>0.12111126886205059</v>
      </c>
      <c r="AZ48" s="54">
        <f>Model!AZ43</f>
        <v>0.1295117236343275</v>
      </c>
      <c r="BA48" s="54">
        <f>Model!BA43</f>
        <v>7.0206263089046983E-2</v>
      </c>
      <c r="BB48" s="54">
        <f>Model!BB43</f>
        <v>6.5252539874434135E-2</v>
      </c>
      <c r="BC48" s="54">
        <f>Model!BC43</f>
        <v>7.0089550751360585E-2</v>
      </c>
      <c r="BD48" s="685">
        <f>Model!BD43</f>
        <v>8.2283643919641047E-2</v>
      </c>
      <c r="BE48" s="54">
        <f>Model!BE43</f>
        <v>0.10312609965750008</v>
      </c>
      <c r="BF48" s="54">
        <f>Model!BF43</f>
        <v>0.13359824003822851</v>
      </c>
      <c r="BG48" s="54">
        <f>Model!BG43</f>
        <v>0.14083982779166693</v>
      </c>
      <c r="BH48" s="54">
        <f>Model!BH43</f>
        <v>0.1256604447214662</v>
      </c>
      <c r="BI48" s="685">
        <f>Model!BI43</f>
        <v>0.12578366004395014</v>
      </c>
      <c r="BJ48" s="54">
        <f>Model!BJ43</f>
        <v>9.3856520913057517E-2</v>
      </c>
      <c r="BK48" s="54">
        <f>Model!BK43</f>
        <v>0.11610312312766569</v>
      </c>
      <c r="BL48" s="392">
        <f>Model!BL43</f>
        <v>0.11180470909958595</v>
      </c>
      <c r="BM48" s="54">
        <f>Model!BM43</f>
        <v>0.11000230671566058</v>
      </c>
      <c r="BN48" s="685">
        <f>Model!BN43</f>
        <v>0.10732420169634738</v>
      </c>
      <c r="BO48" s="54">
        <f>Model!BO43</f>
        <v>8.5961901012919339E-2</v>
      </c>
      <c r="BP48" s="54">
        <f>Model!BP43</f>
        <v>5.8975376339833963E-2</v>
      </c>
      <c r="BQ48" s="54">
        <f>Model!BQ43</f>
        <v>5.6980724646659597E-2</v>
      </c>
      <c r="BR48" s="54">
        <f>Model!BR43</f>
        <v>8.9293517455056648E-2</v>
      </c>
      <c r="BS48" s="685">
        <f>Model!BS43</f>
        <v>7.3484727749667744E-2</v>
      </c>
      <c r="BT48" s="685">
        <f>Model!BT43</f>
        <v>4.7280449714424799E-2</v>
      </c>
      <c r="BU48" s="685">
        <f>Model!BU43</f>
        <v>6.3555289253036662E-2</v>
      </c>
      <c r="BV48" s="685">
        <f>Model!BV43</f>
        <v>6.7191024234092067E-2</v>
      </c>
      <c r="BW48" s="54"/>
    </row>
    <row r="49" spans="1:75" s="482" customFormat="1" hidden="1" outlineLevel="1">
      <c r="A49" s="98"/>
      <c r="B49" s="99"/>
      <c r="C49" s="790"/>
      <c r="D49" s="790"/>
      <c r="E49" s="790"/>
      <c r="F49" s="790"/>
      <c r="G49" s="58"/>
      <c r="H49" s="58"/>
      <c r="I49" s="58"/>
      <c r="J49" s="58"/>
      <c r="K49" s="790"/>
      <c r="L49" s="58"/>
      <c r="M49" s="58"/>
      <c r="N49" s="58"/>
      <c r="O49" s="58"/>
      <c r="P49" s="790"/>
      <c r="Q49" s="58"/>
      <c r="R49" s="58"/>
      <c r="S49" s="58"/>
      <c r="T49" s="58"/>
      <c r="U49" s="790"/>
      <c r="V49" s="58"/>
      <c r="W49" s="58"/>
      <c r="X49" s="58"/>
      <c r="Y49" s="58"/>
      <c r="Z49" s="790"/>
      <c r="AA49" s="58"/>
      <c r="AB49" s="58"/>
      <c r="AC49" s="58"/>
      <c r="AD49" s="58"/>
      <c r="AE49" s="790"/>
      <c r="AF49" s="58"/>
      <c r="AG49" s="58"/>
      <c r="AH49" s="58"/>
      <c r="AI49" s="58"/>
      <c r="AJ49" s="790"/>
      <c r="AK49" s="58"/>
      <c r="AL49" s="58"/>
      <c r="AM49" s="58"/>
      <c r="AN49" s="58"/>
      <c r="AO49" s="790"/>
      <c r="AP49" s="58"/>
      <c r="AQ49" s="58"/>
      <c r="AR49" s="58"/>
      <c r="AS49" s="58"/>
      <c r="AT49" s="790"/>
      <c r="AU49" s="58"/>
      <c r="AV49" s="58"/>
      <c r="AW49" s="58"/>
      <c r="AX49" s="58"/>
      <c r="AY49" s="790"/>
      <c r="AZ49" s="58"/>
      <c r="BA49" s="58"/>
      <c r="BB49" s="58"/>
      <c r="BC49" s="58"/>
      <c r="BD49" s="790"/>
      <c r="BE49" s="58"/>
      <c r="BF49" s="58"/>
      <c r="BG49" s="58"/>
      <c r="BH49" s="58"/>
      <c r="BI49" s="790"/>
      <c r="BJ49" s="58"/>
      <c r="BK49" s="58"/>
      <c r="BL49" s="414"/>
      <c r="BM49" s="58"/>
      <c r="BN49" s="790"/>
      <c r="BO49" s="58"/>
      <c r="BP49" s="58"/>
      <c r="BQ49" s="58"/>
      <c r="BR49" s="58"/>
      <c r="BS49" s="790"/>
      <c r="BT49" s="790"/>
      <c r="BU49" s="790"/>
      <c r="BV49" s="790"/>
      <c r="BW49" s="102"/>
    </row>
    <row r="50" spans="1:75" s="444" customFormat="1" hidden="1" outlineLevel="1">
      <c r="A50" s="28" t="str">
        <f>Model!A46</f>
        <v>Reviews cumulative, mm reviews</v>
      </c>
      <c r="B50" s="30"/>
      <c r="C50" s="700">
        <f>Model!C46</f>
        <v>8.8339999999999996</v>
      </c>
      <c r="D50" s="700">
        <f>Model!D46</f>
        <v>15.115</v>
      </c>
      <c r="E50" s="700">
        <f>Model!E46</f>
        <v>24.817</v>
      </c>
      <c r="F50" s="700">
        <f>Model!F46</f>
        <v>35.959000000000003</v>
      </c>
      <c r="G50" s="523">
        <f>Model!G46</f>
        <v>39.103000000000002</v>
      </c>
      <c r="H50" s="523">
        <f>Model!H46</f>
        <v>42.526000000000003</v>
      </c>
      <c r="I50" s="523">
        <f>Model!I46</f>
        <v>47.322000000000003</v>
      </c>
      <c r="J50" s="523">
        <f>Model!J46</f>
        <v>52.756999999999998</v>
      </c>
      <c r="K50" s="700">
        <f>Model!K46</f>
        <v>52.756999999999998</v>
      </c>
      <c r="L50" s="523">
        <f>Model!L46</f>
        <v>56.905000000000001</v>
      </c>
      <c r="M50" s="523">
        <f>Model!M46</f>
        <v>61.341999999999999</v>
      </c>
      <c r="N50" s="523">
        <f>Model!N46</f>
        <v>66.591999999999999</v>
      </c>
      <c r="O50" s="523">
        <f>Model!O46</f>
        <v>71.231999999999999</v>
      </c>
      <c r="P50" s="700">
        <f>Model!P46</f>
        <v>71.231999999999999</v>
      </c>
      <c r="Q50" s="523">
        <f>Model!Q46</f>
        <v>77.346000000000004</v>
      </c>
      <c r="R50" s="523">
        <f>Model!R46</f>
        <v>83.102000000000004</v>
      </c>
      <c r="S50" s="523">
        <f>Model!S46</f>
        <v>89.635000000000005</v>
      </c>
      <c r="T50" s="523">
        <f>Model!T46</f>
        <v>95.21</v>
      </c>
      <c r="U50" s="700">
        <f>Model!U46</f>
        <v>95.21</v>
      </c>
      <c r="V50" s="523">
        <f>Model!V46</f>
        <v>101.56399999999999</v>
      </c>
      <c r="W50" s="523">
        <f>Model!W46</f>
        <v>108.251</v>
      </c>
      <c r="X50" s="523">
        <f>Model!X46</f>
        <v>115.259</v>
      </c>
      <c r="Y50" s="523">
        <f>Model!Y46</f>
        <v>121.02200000000001</v>
      </c>
      <c r="Z50" s="700">
        <f>Model!Z46</f>
        <v>121.02200000000001</v>
      </c>
      <c r="AA50" s="523">
        <f>Model!AA46</f>
        <v>127.47799999999999</v>
      </c>
      <c r="AB50" s="523">
        <f>Model!AB46</f>
        <v>134.59100000000001</v>
      </c>
      <c r="AC50" s="523">
        <f>Model!AC46</f>
        <v>142.036</v>
      </c>
      <c r="AD50" s="523">
        <f>Model!AD46</f>
        <v>148.298</v>
      </c>
      <c r="AE50" s="700">
        <f>Model!AE46</f>
        <v>148.298</v>
      </c>
      <c r="AF50" s="523">
        <f>Model!AF46</f>
        <v>155.328</v>
      </c>
      <c r="AG50" s="523">
        <f>Model!AG46</f>
        <v>162.96899999999999</v>
      </c>
      <c r="AH50" s="523">
        <f>Model!AH46</f>
        <v>170.86500000000001</v>
      </c>
      <c r="AI50" s="523">
        <f>Model!AI46</f>
        <v>177.38499999999999</v>
      </c>
      <c r="AJ50" s="700">
        <f>Model!AJ46</f>
        <v>177.38499999999999</v>
      </c>
      <c r="AK50" s="523">
        <f>Model!AK46</f>
        <v>184.386</v>
      </c>
      <c r="AL50" s="523">
        <f>Model!AL46</f>
        <v>191.73500000000001</v>
      </c>
      <c r="AM50" s="523">
        <f>Model!AM46</f>
        <v>199.309</v>
      </c>
      <c r="AN50" s="523">
        <f>Model!AN46</f>
        <v>205.38200000000001</v>
      </c>
      <c r="AO50" s="700">
        <f>Model!AO46</f>
        <v>205.38200000000001</v>
      </c>
      <c r="AP50" s="523">
        <f>Model!AP46</f>
        <v>210.828</v>
      </c>
      <c r="AQ50" s="523">
        <f>Model!AQ46</f>
        <v>214.376</v>
      </c>
      <c r="AR50" s="523">
        <f>Model!AR46</f>
        <v>219.65</v>
      </c>
      <c r="AS50" s="523">
        <f>Model!AS46</f>
        <v>224.16200000000001</v>
      </c>
      <c r="AT50" s="700">
        <f>Model!AT46</f>
        <v>224.16200000000001</v>
      </c>
      <c r="AU50" s="523">
        <f>Model!AU46</f>
        <v>0</v>
      </c>
      <c r="AV50" s="523">
        <f>Model!AV46</f>
        <v>0</v>
      </c>
      <c r="AW50" s="523">
        <f>Model!AW46</f>
        <v>0</v>
      </c>
      <c r="AX50" s="523">
        <f>Model!AX46</f>
        <v>0</v>
      </c>
      <c r="AY50" s="700">
        <f>Model!AY46</f>
        <v>244.435</v>
      </c>
      <c r="AZ50" s="523">
        <f>Model!AZ46</f>
        <v>0</v>
      </c>
      <c r="BA50" s="523">
        <f>Model!BA46</f>
        <v>0</v>
      </c>
      <c r="BB50" s="523">
        <f>Model!BB46</f>
        <v>0</v>
      </c>
      <c r="BC50" s="523">
        <f>Model!BC46</f>
        <v>0</v>
      </c>
      <c r="BD50" s="700">
        <f>Model!BD46</f>
        <v>265.28800000000001</v>
      </c>
      <c r="BE50" s="523">
        <f>Model!BE46</f>
        <v>0</v>
      </c>
      <c r="BF50" s="523">
        <f>Model!BF46</f>
        <v>0</v>
      </c>
      <c r="BG50" s="523">
        <f>Model!BG46</f>
        <v>0</v>
      </c>
      <c r="BH50" s="523">
        <f>Model!BH46</f>
        <v>0</v>
      </c>
      <c r="BI50" s="700">
        <f>Model!BI46</f>
        <v>287.36399999999998</v>
      </c>
      <c r="BJ50" s="523">
        <f>Model!BJ46</f>
        <v>0</v>
      </c>
      <c r="BK50" s="523">
        <f>Model!BK46</f>
        <v>0</v>
      </c>
      <c r="BL50" s="563">
        <f>Model!BL46</f>
        <v>0</v>
      </c>
      <c r="BM50" s="523">
        <f>Model!BM46</f>
        <v>0</v>
      </c>
      <c r="BN50" s="700">
        <f>Model!BN46</f>
        <v>0</v>
      </c>
      <c r="BO50" s="523">
        <f>Model!BO46</f>
        <v>0</v>
      </c>
      <c r="BP50" s="523">
        <f>Model!BP46</f>
        <v>0</v>
      </c>
      <c r="BQ50" s="523">
        <f>Model!BQ46</f>
        <v>0</v>
      </c>
      <c r="BR50" s="523">
        <f>Model!BR46</f>
        <v>0</v>
      </c>
      <c r="BS50" s="700">
        <f>Model!BS46</f>
        <v>0</v>
      </c>
      <c r="BT50" s="700">
        <f>Model!BT46</f>
        <v>0</v>
      </c>
      <c r="BU50" s="700">
        <f>Model!BU46</f>
        <v>0</v>
      </c>
      <c r="BV50" s="700">
        <f>Model!BV46</f>
        <v>0</v>
      </c>
      <c r="BW50" s="523"/>
    </row>
    <row r="51" spans="1:75" s="444" customFormat="1" hidden="1" outlineLevel="1">
      <c r="A51" s="40"/>
      <c r="B51" s="30"/>
      <c r="C51" s="700"/>
      <c r="D51" s="700"/>
      <c r="E51" s="700"/>
      <c r="F51" s="700"/>
      <c r="G51" s="523"/>
      <c r="H51" s="523"/>
      <c r="I51" s="523"/>
      <c r="J51" s="523"/>
      <c r="K51" s="700"/>
      <c r="L51" s="523"/>
      <c r="M51" s="523"/>
      <c r="N51" s="523"/>
      <c r="O51" s="523"/>
      <c r="P51" s="700"/>
      <c r="Q51" s="523"/>
      <c r="R51" s="523"/>
      <c r="S51" s="523"/>
      <c r="T51" s="523"/>
      <c r="U51" s="700"/>
      <c r="V51" s="523"/>
      <c r="W51" s="523"/>
      <c r="X51" s="523"/>
      <c r="Y51" s="523"/>
      <c r="Z51" s="700"/>
      <c r="AA51" s="523"/>
      <c r="AB51" s="523"/>
      <c r="AC51" s="523"/>
      <c r="AD51" s="523"/>
      <c r="AE51" s="700"/>
      <c r="AF51" s="523"/>
      <c r="AG51" s="523"/>
      <c r="AH51" s="523"/>
      <c r="AI51" s="523"/>
      <c r="AJ51" s="700"/>
      <c r="AK51" s="523"/>
      <c r="AL51" s="523"/>
      <c r="AM51" s="523"/>
      <c r="AN51" s="523"/>
      <c r="AO51" s="700"/>
      <c r="AP51" s="523"/>
      <c r="AQ51" s="523"/>
      <c r="AR51" s="523"/>
      <c r="AS51" s="523"/>
      <c r="AT51" s="700"/>
      <c r="AU51" s="523"/>
      <c r="AV51" s="523"/>
      <c r="AW51" s="523"/>
      <c r="AX51" s="523"/>
      <c r="AY51" s="700"/>
      <c r="AZ51" s="523"/>
      <c r="BA51" s="523"/>
      <c r="BB51" s="523"/>
      <c r="BC51" s="523"/>
      <c r="BD51" s="700"/>
      <c r="BE51" s="523"/>
      <c r="BF51" s="523"/>
      <c r="BG51" s="523"/>
      <c r="BH51" s="523"/>
      <c r="BI51" s="700"/>
      <c r="BJ51" s="523"/>
      <c r="BK51" s="523"/>
      <c r="BL51" s="563"/>
      <c r="BM51" s="523"/>
      <c r="BN51" s="700"/>
      <c r="BO51" s="523"/>
      <c r="BP51" s="523"/>
      <c r="BQ51" s="523"/>
      <c r="BR51" s="523"/>
      <c r="BS51" s="700"/>
      <c r="BT51" s="700"/>
      <c r="BU51" s="700"/>
      <c r="BV51" s="700"/>
      <c r="BW51" s="523"/>
    </row>
    <row r="52" spans="1:75" s="447" customFormat="1" hidden="1" outlineLevel="1">
      <c r="A52" s="20" t="str">
        <f>Model!A47</f>
        <v>Claimed Local Business Locations (Cumulative), 000s locations</v>
      </c>
      <c r="B52" s="70"/>
      <c r="C52" s="682">
        <f>Model!C47</f>
        <v>120</v>
      </c>
      <c r="D52" s="682">
        <f>Model!D47</f>
        <v>307</v>
      </c>
      <c r="E52" s="682">
        <f>Model!E47</f>
        <v>606</v>
      </c>
      <c r="F52" s="682">
        <f>Model!F47</f>
        <v>994</v>
      </c>
      <c r="G52" s="21">
        <f>Model!G47</f>
        <v>1103</v>
      </c>
      <c r="H52" s="21">
        <f>Model!H47</f>
        <v>1222</v>
      </c>
      <c r="I52" s="21">
        <f>Model!I47</f>
        <v>1344</v>
      </c>
      <c r="J52" s="21">
        <f>Model!J47</f>
        <v>1488</v>
      </c>
      <c r="K52" s="682">
        <f>Model!K47</f>
        <v>1488</v>
      </c>
      <c r="L52" s="21">
        <f>Model!L47</f>
        <v>1623</v>
      </c>
      <c r="M52" s="21">
        <f>Model!M47</f>
        <v>1751</v>
      </c>
      <c r="N52" s="21">
        <f>Model!N47</f>
        <v>1886</v>
      </c>
      <c r="O52" s="21">
        <f>Model!O47</f>
        <v>2029</v>
      </c>
      <c r="P52" s="682">
        <f>Model!P47</f>
        <v>2029</v>
      </c>
      <c r="Q52" s="21">
        <f>Model!Q47</f>
        <v>2193</v>
      </c>
      <c r="R52" s="21">
        <f>Model!R47</f>
        <v>2349</v>
      </c>
      <c r="S52" s="21">
        <f>Model!S47</f>
        <v>2503</v>
      </c>
      <c r="T52" s="21">
        <f>Model!T47</f>
        <v>2648</v>
      </c>
      <c r="U52" s="682">
        <f>Model!U47</f>
        <v>2648</v>
      </c>
      <c r="V52" s="21">
        <f>Model!V47</f>
        <v>2834</v>
      </c>
      <c r="W52" s="21">
        <f>Model!W47</f>
        <v>3010</v>
      </c>
      <c r="X52" s="21">
        <f>Model!X47</f>
        <v>3192</v>
      </c>
      <c r="Y52" s="21">
        <f>Model!Y47</f>
        <v>3363</v>
      </c>
      <c r="Z52" s="682">
        <f>Model!Z47</f>
        <v>3363</v>
      </c>
      <c r="AA52" s="21">
        <f>Model!AA47</f>
        <v>3559</v>
      </c>
      <c r="AB52" s="21">
        <f>Model!AB47</f>
        <v>3753</v>
      </c>
      <c r="AC52" s="21">
        <f>Model!AC47</f>
        <v>3963</v>
      </c>
      <c r="AD52" s="21">
        <f>Model!AD47</f>
        <v>4156</v>
      </c>
      <c r="AE52" s="682">
        <f>Model!AE47</f>
        <v>4156</v>
      </c>
      <c r="AF52" s="21">
        <f>Model!AF47</f>
        <v>4378</v>
      </c>
      <c r="AG52" s="21">
        <f>Model!AG47</f>
        <v>4593</v>
      </c>
      <c r="AH52" s="21">
        <f>Model!AH47</f>
        <v>4790</v>
      </c>
      <c r="AI52" s="21">
        <f>Model!AI47</f>
        <v>4979</v>
      </c>
      <c r="AJ52" s="682">
        <f>Model!AJ47</f>
        <v>4979</v>
      </c>
      <c r="AK52" s="21">
        <f>Model!AK47</f>
        <v>0</v>
      </c>
      <c r="AL52" s="21">
        <f>Model!AL47</f>
        <v>0</v>
      </c>
      <c r="AM52" s="21">
        <f>Model!AM47</f>
        <v>0</v>
      </c>
      <c r="AN52" s="21">
        <f>Model!AN47</f>
        <v>0</v>
      </c>
      <c r="AO52" s="682">
        <f>Model!AO47</f>
        <v>0</v>
      </c>
      <c r="AP52" s="21">
        <f>Model!AP47</f>
        <v>0</v>
      </c>
      <c r="AQ52" s="21">
        <f>Model!AQ47</f>
        <v>0</v>
      </c>
      <c r="AR52" s="21">
        <f>Model!AR47</f>
        <v>0</v>
      </c>
      <c r="AS52" s="21">
        <f>Model!AS47</f>
        <v>0</v>
      </c>
      <c r="AT52" s="682">
        <f>Model!AT47</f>
        <v>0</v>
      </c>
      <c r="AU52" s="21">
        <f>Model!AU47</f>
        <v>0</v>
      </c>
      <c r="AV52" s="21">
        <f>Model!AV47</f>
        <v>0</v>
      </c>
      <c r="AW52" s="21">
        <f>Model!AW47</f>
        <v>0</v>
      </c>
      <c r="AX52" s="21">
        <f>Model!AX47</f>
        <v>0</v>
      </c>
      <c r="AY52" s="682">
        <f>Model!AY47</f>
        <v>0</v>
      </c>
      <c r="AZ52" s="21">
        <f>Model!AZ47</f>
        <v>0</v>
      </c>
      <c r="BA52" s="21">
        <f>Model!BA47</f>
        <v>0</v>
      </c>
      <c r="BB52" s="21">
        <f>Model!BB47</f>
        <v>0</v>
      </c>
      <c r="BC52" s="21">
        <f>Model!BC47</f>
        <v>0</v>
      </c>
      <c r="BD52" s="682">
        <f>Model!BD47</f>
        <v>0</v>
      </c>
      <c r="BE52" s="21">
        <f>Model!BE47</f>
        <v>0</v>
      </c>
      <c r="BF52" s="21">
        <f>Model!BF47</f>
        <v>0</v>
      </c>
      <c r="BG52" s="21">
        <f>Model!BG47</f>
        <v>0</v>
      </c>
      <c r="BH52" s="21">
        <f>Model!BH47</f>
        <v>0</v>
      </c>
      <c r="BI52" s="682">
        <f>Model!BI47</f>
        <v>0</v>
      </c>
      <c r="BJ52" s="21">
        <f>Model!BJ47</f>
        <v>0</v>
      </c>
      <c r="BK52" s="21">
        <f>Model!BK47</f>
        <v>0</v>
      </c>
      <c r="BL52" s="186">
        <f>Model!BL47</f>
        <v>0</v>
      </c>
      <c r="BM52" s="21">
        <f>Model!BM47</f>
        <v>0</v>
      </c>
      <c r="BN52" s="682">
        <f>Model!BN47</f>
        <v>0</v>
      </c>
      <c r="BO52" s="21">
        <f>Model!BO47</f>
        <v>0</v>
      </c>
      <c r="BP52" s="21">
        <f>Model!BP47</f>
        <v>0</v>
      </c>
      <c r="BQ52" s="21">
        <f>Model!BQ47</f>
        <v>0</v>
      </c>
      <c r="BR52" s="21">
        <f>Model!BR47</f>
        <v>0</v>
      </c>
      <c r="BS52" s="682">
        <f>Model!BS47</f>
        <v>0</v>
      </c>
      <c r="BT52" s="682">
        <f>Model!BT47</f>
        <v>0</v>
      </c>
      <c r="BU52" s="682">
        <f>Model!BU47</f>
        <v>0</v>
      </c>
      <c r="BV52" s="682">
        <f>Model!BV47</f>
        <v>0</v>
      </c>
      <c r="BW52" s="21"/>
    </row>
    <row r="53" spans="1:75" s="447" customFormat="1" hidden="1" outlineLevel="1">
      <c r="A53" s="20" t="str">
        <f>Model!A49</f>
        <v>Paying Advertising Accounts, 000's accounts</v>
      </c>
      <c r="B53" s="70"/>
      <c r="C53" s="682">
        <f>Model!C49</f>
        <v>7</v>
      </c>
      <c r="D53" s="682">
        <f>Model!D49</f>
        <v>11</v>
      </c>
      <c r="E53" s="682">
        <f>Model!E49</f>
        <v>24</v>
      </c>
      <c r="F53" s="682">
        <f>Model!F49</f>
        <v>40</v>
      </c>
      <c r="G53" s="21">
        <f>Model!G49</f>
        <v>45</v>
      </c>
      <c r="H53" s="21">
        <f>Model!H49</f>
        <v>51</v>
      </c>
      <c r="I53" s="21">
        <f>Model!I49</f>
        <v>57</v>
      </c>
      <c r="J53" s="21">
        <f>Model!J49</f>
        <v>67</v>
      </c>
      <c r="K53" s="682">
        <f>Model!K49</f>
        <v>67</v>
      </c>
      <c r="L53" s="21">
        <f>Model!L49</f>
        <v>74</v>
      </c>
      <c r="M53" s="21">
        <f>Model!M49</f>
        <v>69</v>
      </c>
      <c r="N53" s="21">
        <f>Model!N49</f>
        <v>76</v>
      </c>
      <c r="O53" s="21">
        <f>Model!O49</f>
        <v>84</v>
      </c>
      <c r="P53" s="682">
        <f>Model!P49</f>
        <v>84</v>
      </c>
      <c r="Q53" s="21">
        <f>Model!Q49</f>
        <v>90</v>
      </c>
      <c r="R53" s="21">
        <f>Model!R49</f>
        <v>97</v>
      </c>
      <c r="S53" s="21">
        <f>Model!S49</f>
        <v>104</v>
      </c>
      <c r="T53" s="21">
        <f>Model!T49</f>
        <v>111</v>
      </c>
      <c r="U53" s="682">
        <f>Model!U49</f>
        <v>111</v>
      </c>
      <c r="V53" s="21">
        <f>Model!V49</f>
        <v>121</v>
      </c>
      <c r="W53" s="21">
        <f>Model!W49</f>
        <v>128</v>
      </c>
      <c r="X53" s="21">
        <f>Model!X49</f>
        <v>135</v>
      </c>
      <c r="Y53" s="21">
        <f>Model!Y49</f>
        <v>137.80000000000001</v>
      </c>
      <c r="Z53" s="682">
        <f>Model!Z49</f>
        <v>137.80000000000001</v>
      </c>
      <c r="AA53" s="21">
        <f>Model!AA49</f>
        <v>139</v>
      </c>
      <c r="AB53" s="21">
        <f>Model!AB49</f>
        <v>148</v>
      </c>
      <c r="AC53" s="21">
        <f>Model!AC49</f>
        <v>155</v>
      </c>
      <c r="AD53" s="21">
        <f>Model!AD49</f>
        <v>163</v>
      </c>
      <c r="AE53" s="682">
        <f>Model!AE49</f>
        <v>163</v>
      </c>
      <c r="AF53" s="21">
        <f>Model!AF49</f>
        <v>177</v>
      </c>
      <c r="AG53" s="21">
        <f>Model!AG49</f>
        <v>194</v>
      </c>
      <c r="AH53" s="21">
        <f>Model!AH49</f>
        <v>194</v>
      </c>
      <c r="AI53" s="21">
        <f>Model!AI49</f>
        <v>191</v>
      </c>
      <c r="AJ53" s="682">
        <f>Model!AJ49</f>
        <v>191</v>
      </c>
      <c r="AK53" s="21">
        <f>Model!AK49</f>
        <v>192</v>
      </c>
      <c r="AL53" s="21">
        <f>Model!AL49</f>
        <v>197</v>
      </c>
      <c r="AM53" s="21">
        <f>Model!AM49</f>
        <v>209</v>
      </c>
      <c r="AN53" s="21">
        <f>Model!AN49</f>
        <v>0</v>
      </c>
      <c r="AO53" s="682">
        <f>Model!AO49</f>
        <v>0</v>
      </c>
      <c r="AP53" s="21">
        <f>Model!AP49</f>
        <v>0</v>
      </c>
      <c r="AQ53" s="21">
        <f>Model!AQ49</f>
        <v>0</v>
      </c>
      <c r="AR53" s="21">
        <f>Model!AR49</f>
        <v>0</v>
      </c>
      <c r="AS53" s="21">
        <f>Model!AS49</f>
        <v>0</v>
      </c>
      <c r="AT53" s="682">
        <f>Model!AT49</f>
        <v>0</v>
      </c>
      <c r="AU53" s="21">
        <f>Model!AU49</f>
        <v>0</v>
      </c>
      <c r="AV53" s="21">
        <f>Model!AV49</f>
        <v>0</v>
      </c>
      <c r="AW53" s="21">
        <f>Model!AW49</f>
        <v>0</v>
      </c>
      <c r="AX53" s="21">
        <f>Model!AX49</f>
        <v>0</v>
      </c>
      <c r="AY53" s="682">
        <f>Model!AY49</f>
        <v>0</v>
      </c>
      <c r="AZ53" s="21">
        <f>Model!AZ49</f>
        <v>0</v>
      </c>
      <c r="BA53" s="21">
        <f>Model!BA49</f>
        <v>0</v>
      </c>
      <c r="BB53" s="21">
        <f>Model!BB49</f>
        <v>0</v>
      </c>
      <c r="BC53" s="21">
        <f>Model!BC49</f>
        <v>0</v>
      </c>
      <c r="BD53" s="682">
        <f>Model!BD49</f>
        <v>0</v>
      </c>
      <c r="BE53" s="21">
        <f>Model!BE49</f>
        <v>0</v>
      </c>
      <c r="BF53" s="21">
        <f>Model!BF49</f>
        <v>0</v>
      </c>
      <c r="BG53" s="21">
        <f>Model!BG49</f>
        <v>0</v>
      </c>
      <c r="BH53" s="21">
        <f>Model!BH49</f>
        <v>0</v>
      </c>
      <c r="BI53" s="682">
        <f>Model!BI49</f>
        <v>0</v>
      </c>
      <c r="BJ53" s="21">
        <f>Model!BJ49</f>
        <v>0</v>
      </c>
      <c r="BK53" s="21">
        <f>Model!BK49</f>
        <v>0</v>
      </c>
      <c r="BL53" s="186">
        <f>Model!BL49</f>
        <v>0</v>
      </c>
      <c r="BM53" s="21">
        <f>Model!BM49</f>
        <v>0</v>
      </c>
      <c r="BN53" s="682">
        <f>Model!BN49</f>
        <v>0</v>
      </c>
      <c r="BO53" s="21">
        <f>Model!BO49</f>
        <v>0</v>
      </c>
      <c r="BP53" s="21">
        <f>Model!BP49</f>
        <v>0</v>
      </c>
      <c r="BQ53" s="21">
        <f>Model!BQ49</f>
        <v>0</v>
      </c>
      <c r="BR53" s="21">
        <f>Model!BR49</f>
        <v>0</v>
      </c>
      <c r="BS53" s="682">
        <f>Model!BS49</f>
        <v>0</v>
      </c>
      <c r="BT53" s="682">
        <f>Model!BT49</f>
        <v>0</v>
      </c>
      <c r="BU53" s="682">
        <f>Model!BU49</f>
        <v>0</v>
      </c>
      <c r="BV53" s="682">
        <f>Model!BV49</f>
        <v>0</v>
      </c>
      <c r="BW53" s="21"/>
    </row>
    <row r="54" spans="1:75" s="444" customFormat="1" hidden="1" outlineLevel="1">
      <c r="A54" s="40"/>
      <c r="B54" s="30"/>
      <c r="C54" s="700"/>
      <c r="D54" s="700"/>
      <c r="E54" s="700"/>
      <c r="F54" s="700"/>
      <c r="G54" s="523"/>
      <c r="H54" s="523"/>
      <c r="I54" s="523"/>
      <c r="J54" s="523"/>
      <c r="K54" s="700"/>
      <c r="L54" s="523"/>
      <c r="M54" s="523"/>
      <c r="N54" s="523"/>
      <c r="O54" s="523"/>
      <c r="P54" s="700"/>
      <c r="Q54" s="523"/>
      <c r="R54" s="523"/>
      <c r="S54" s="523"/>
      <c r="T54" s="523"/>
      <c r="U54" s="700"/>
      <c r="V54" s="523"/>
      <c r="W54" s="523"/>
      <c r="X54" s="523"/>
      <c r="Y54" s="523"/>
      <c r="Z54" s="700"/>
      <c r="AA54" s="523"/>
      <c r="AB54" s="523"/>
      <c r="AC54" s="523"/>
      <c r="AD54" s="523"/>
      <c r="AE54" s="700"/>
      <c r="AF54" s="523"/>
      <c r="AG54" s="523"/>
      <c r="AH54" s="523"/>
      <c r="AI54" s="523"/>
      <c r="AJ54" s="700"/>
      <c r="AK54" s="523"/>
      <c r="AL54" s="523"/>
      <c r="AM54" s="523"/>
      <c r="AN54" s="523"/>
      <c r="AO54" s="700"/>
      <c r="AP54" s="523"/>
      <c r="AQ54" s="523"/>
      <c r="AR54" s="523"/>
      <c r="AS54" s="523"/>
      <c r="AT54" s="700"/>
      <c r="AU54" s="523"/>
      <c r="AV54" s="523"/>
      <c r="AW54" s="523"/>
      <c r="AX54" s="523"/>
      <c r="AY54" s="700"/>
      <c r="AZ54" s="523"/>
      <c r="BA54" s="523"/>
      <c r="BB54" s="523"/>
      <c r="BC54" s="523"/>
      <c r="BD54" s="700"/>
      <c r="BE54" s="523"/>
      <c r="BF54" s="523"/>
      <c r="BG54" s="523"/>
      <c r="BH54" s="523"/>
      <c r="BI54" s="700"/>
      <c r="BJ54" s="523"/>
      <c r="BK54" s="523"/>
      <c r="BL54" s="563"/>
      <c r="BM54" s="523"/>
      <c r="BN54" s="700"/>
      <c r="BO54" s="523"/>
      <c r="BP54" s="523"/>
      <c r="BQ54" s="523"/>
      <c r="BR54" s="523"/>
      <c r="BS54" s="700"/>
      <c r="BT54" s="700"/>
      <c r="BU54" s="700"/>
      <c r="BV54" s="700"/>
      <c r="BW54" s="523"/>
    </row>
    <row r="55" spans="1:75" s="439" customFormat="1" hidden="1" outlineLevel="1">
      <c r="A55" s="31" t="str">
        <f>Model!A51</f>
        <v>App unique devices, mm</v>
      </c>
      <c r="B55" s="53"/>
      <c r="C55" s="89"/>
      <c r="D55" s="89"/>
      <c r="E55" s="89"/>
      <c r="F55" s="89"/>
      <c r="G55" s="518"/>
      <c r="H55" s="518"/>
      <c r="I55" s="518"/>
      <c r="J55" s="518">
        <f>Model!J51</f>
        <v>10.613</v>
      </c>
      <c r="K55" s="89">
        <f>Model!K51</f>
        <v>10.613</v>
      </c>
      <c r="L55" s="518">
        <f>Model!L51</f>
        <v>10.941000000000001</v>
      </c>
      <c r="M55" s="518">
        <f>Model!M51</f>
        <v>12.009</v>
      </c>
      <c r="N55" s="518">
        <f>Model!N51</f>
        <v>14.491</v>
      </c>
      <c r="O55" s="518">
        <f>Model!O51</f>
        <v>14.541</v>
      </c>
      <c r="P55" s="89">
        <f>Model!P51</f>
        <v>12.9955</v>
      </c>
      <c r="Q55" s="518">
        <f>Model!Q51</f>
        <v>16.039000000000001</v>
      </c>
      <c r="R55" s="518">
        <f>Model!R51</f>
        <v>18.097000000000001</v>
      </c>
      <c r="S55" s="518">
        <f>Model!S51</f>
        <v>20.120999999999999</v>
      </c>
      <c r="T55" s="518">
        <f>Model!T51</f>
        <v>20.006</v>
      </c>
      <c r="U55" s="89">
        <f>Model!U51</f>
        <v>18.565750000000001</v>
      </c>
      <c r="V55" s="518">
        <f>Model!V51</f>
        <v>21.186</v>
      </c>
      <c r="W55" s="518">
        <f>Model!W51</f>
        <v>23.01</v>
      </c>
      <c r="X55" s="518">
        <f>Model!X51</f>
        <v>24.9</v>
      </c>
      <c r="Y55" s="518">
        <f>Model!Y51</f>
        <v>24.073</v>
      </c>
      <c r="Z55" s="89">
        <f>Model!Z51</f>
        <v>23.292250000000003</v>
      </c>
      <c r="AA55" s="518">
        <f>Model!AA51</f>
        <v>25.827000000000002</v>
      </c>
      <c r="AB55" s="518">
        <f>Model!AB51</f>
        <v>27.986999999999998</v>
      </c>
      <c r="AC55" s="518">
        <f>Model!AC51</f>
        <v>30.161999999999999</v>
      </c>
      <c r="AD55" s="518">
        <f>Model!AD51</f>
        <v>28.844999999999999</v>
      </c>
      <c r="AE55" s="89">
        <f>Model!AE51</f>
        <v>28.205249999999999</v>
      </c>
      <c r="AF55" s="518">
        <f>Model!AF51</f>
        <v>30.114999999999998</v>
      </c>
      <c r="AG55" s="518">
        <f>Model!AG51</f>
        <v>32.061999999999998</v>
      </c>
      <c r="AH55" s="518">
        <f>Model!AH51</f>
        <v>34.024999999999999</v>
      </c>
      <c r="AI55" s="518">
        <f>Model!AI51</f>
        <v>32.890999999999998</v>
      </c>
      <c r="AJ55" s="89">
        <f>Model!AJ51</f>
        <v>32.273249999999997</v>
      </c>
      <c r="AK55" s="518">
        <f>Model!AK51</f>
        <v>35.000999999999998</v>
      </c>
      <c r="AL55" s="518">
        <f>Model!AL51</f>
        <v>36.737000000000002</v>
      </c>
      <c r="AM55" s="518">
        <f>Model!AM51</f>
        <v>37.661999999999999</v>
      </c>
      <c r="AN55" s="518">
        <f>Model!AN51</f>
        <v>35.598999999999997</v>
      </c>
      <c r="AO55" s="89">
        <f>Model!AO51</f>
        <v>36.249749999999999</v>
      </c>
      <c r="AP55" s="518">
        <f>Model!AP51</f>
        <v>34.65</v>
      </c>
      <c r="AQ55" s="518">
        <f>Model!AQ51</f>
        <v>28.268999999999998</v>
      </c>
      <c r="AR55" s="518">
        <f>Model!AR51</f>
        <v>32</v>
      </c>
      <c r="AS55" s="518">
        <f>Model!AS51</f>
        <v>29.611000000000001</v>
      </c>
      <c r="AT55" s="89">
        <f>Model!AT51</f>
        <v>31.1325</v>
      </c>
      <c r="AU55" s="518">
        <f>Model!AU51</f>
        <v>32</v>
      </c>
      <c r="AV55" s="518">
        <f>Model!AV51</f>
        <v>0</v>
      </c>
      <c r="AW55" s="518">
        <f>Model!AW51</f>
        <v>0</v>
      </c>
      <c r="AX55" s="518">
        <f>Model!AX51</f>
        <v>0</v>
      </c>
      <c r="AY55" s="89">
        <f>Model!AY51</f>
        <v>33.085000000000001</v>
      </c>
      <c r="AZ55" s="518">
        <f>Model!AZ51</f>
        <v>0</v>
      </c>
      <c r="BA55" s="518">
        <f>Model!BA51</f>
        <v>0</v>
      </c>
      <c r="BB55" s="518">
        <f>Model!BB51</f>
        <v>0</v>
      </c>
      <c r="BC55" s="518">
        <f>Model!BC51</f>
        <v>0</v>
      </c>
      <c r="BD55" s="89">
        <f>Model!BD51</f>
        <v>33.026000000000003</v>
      </c>
      <c r="BE55" s="518">
        <f>Model!BE51</f>
        <v>0</v>
      </c>
      <c r="BF55" s="518">
        <f>Model!BF51</f>
        <v>0</v>
      </c>
      <c r="BG55" s="518">
        <f>Model!BG51</f>
        <v>0</v>
      </c>
      <c r="BH55" s="518">
        <f>Model!BH51</f>
        <v>0</v>
      </c>
      <c r="BI55" s="89">
        <f>Model!BI51</f>
        <v>31.908999999999999</v>
      </c>
      <c r="BJ55" s="518">
        <f>Model!BJ51</f>
        <v>0</v>
      </c>
      <c r="BK55" s="518">
        <f>Model!BK51</f>
        <v>0</v>
      </c>
      <c r="BL55" s="520">
        <f>Model!BL51</f>
        <v>0</v>
      </c>
      <c r="BM55" s="518">
        <f>Model!BM51</f>
        <v>0</v>
      </c>
      <c r="BN55" s="89">
        <f>Model!BN51</f>
        <v>0</v>
      </c>
      <c r="BO55" s="518">
        <f>Model!BO51</f>
        <v>0</v>
      </c>
      <c r="BP55" s="518">
        <f>Model!BP51</f>
        <v>0</v>
      </c>
      <c r="BQ55" s="518">
        <f>Model!BQ51</f>
        <v>0</v>
      </c>
      <c r="BR55" s="518">
        <f>Model!BR51</f>
        <v>0</v>
      </c>
      <c r="BS55" s="89">
        <f>Model!BS51</f>
        <v>0</v>
      </c>
      <c r="BT55" s="89">
        <f>Model!BT51</f>
        <v>0</v>
      </c>
      <c r="BU55" s="89">
        <f>Model!BU51</f>
        <v>0</v>
      </c>
      <c r="BV55" s="89">
        <f>Model!BV51</f>
        <v>0</v>
      </c>
      <c r="BW55" s="518"/>
    </row>
    <row r="56" spans="1:75" s="439" customFormat="1" hidden="1" outlineLevel="1">
      <c r="A56" s="31" t="str">
        <f>Model!A52</f>
        <v>Desktop unique visitors, mm</v>
      </c>
      <c r="B56" s="53"/>
      <c r="C56" s="89"/>
      <c r="D56" s="89"/>
      <c r="E56" s="89"/>
      <c r="F56" s="89"/>
      <c r="G56" s="518"/>
      <c r="H56" s="518"/>
      <c r="I56" s="518"/>
      <c r="J56" s="518">
        <f>Model!J52</f>
        <v>77.712999999999994</v>
      </c>
      <c r="K56" s="89">
        <f>Model!K52</f>
        <v>77.712999999999994</v>
      </c>
      <c r="L56" s="518">
        <f>Model!L52</f>
        <v>82.210999999999999</v>
      </c>
      <c r="M56" s="518">
        <f>Model!M52</f>
        <v>81.884</v>
      </c>
      <c r="N56" s="518">
        <f>Model!N52</f>
        <v>80.468000000000004</v>
      </c>
      <c r="O56" s="518">
        <f>Model!O52</f>
        <v>77.628</v>
      </c>
      <c r="P56" s="89">
        <f>Model!P52</f>
        <v>80.547749999999994</v>
      </c>
      <c r="Q56" s="518">
        <f>Model!Q52</f>
        <v>79.543000000000006</v>
      </c>
      <c r="R56" s="518">
        <f>Model!R52</f>
        <v>79.174999999999997</v>
      </c>
      <c r="S56" s="518">
        <f>Model!S52</f>
        <v>78.900999999999996</v>
      </c>
      <c r="T56" s="518">
        <f>Model!T52</f>
        <v>74.606999999999999</v>
      </c>
      <c r="U56" s="89">
        <f>Model!U52</f>
        <v>78.0565</v>
      </c>
      <c r="V56" s="518">
        <f>Model!V52</f>
        <v>77.433000000000007</v>
      </c>
      <c r="W56" s="518">
        <f>Model!W52</f>
        <v>73.406000000000006</v>
      </c>
      <c r="X56" s="518">
        <f>Model!X52</f>
        <v>71.409000000000006</v>
      </c>
      <c r="Y56" s="518">
        <f>Model!Y52</f>
        <v>67.888000000000005</v>
      </c>
      <c r="Z56" s="89">
        <f>Model!Z52</f>
        <v>72.533999999999992</v>
      </c>
      <c r="AA56" s="518">
        <f>Model!AA52</f>
        <v>78.167000000000002</v>
      </c>
      <c r="AB56" s="518">
        <f>Model!AB52</f>
        <v>82.998000000000005</v>
      </c>
      <c r="AC56" s="518">
        <f>Model!AC52</f>
        <v>83.591999999999999</v>
      </c>
      <c r="AD56" s="518">
        <f>Model!AD52</f>
        <v>76.748000000000005</v>
      </c>
      <c r="AE56" s="89">
        <f>Model!AE52</f>
        <v>80.376249999999999</v>
      </c>
      <c r="AF56" s="518">
        <f>Model!AF52</f>
        <v>73.668000000000006</v>
      </c>
      <c r="AG56" s="518">
        <f>Model!AG52</f>
        <v>73.938999999999993</v>
      </c>
      <c r="AH56" s="518">
        <f>Model!AH52</f>
        <v>68.807000000000002</v>
      </c>
      <c r="AI56" s="518">
        <f>Model!AI52</f>
        <v>62.14</v>
      </c>
      <c r="AJ56" s="89">
        <f>Model!AJ52</f>
        <v>69.638499999999993</v>
      </c>
      <c r="AK56" s="518">
        <f>Model!AK52</f>
        <v>62.779000000000003</v>
      </c>
      <c r="AL56" s="518">
        <f>Model!AL52</f>
        <v>61.796999999999997</v>
      </c>
      <c r="AM56" s="518">
        <f>Model!AM52</f>
        <v>62.427</v>
      </c>
      <c r="AN56" s="518">
        <f>Model!AN52</f>
        <v>54.006</v>
      </c>
      <c r="AO56" s="89">
        <f>Model!AO52</f>
        <v>60.252249999999997</v>
      </c>
      <c r="AP56" s="518">
        <f>Model!AP52</f>
        <v>52.252000000000002</v>
      </c>
      <c r="AQ56" s="518">
        <f>Model!AQ52</f>
        <v>37.533999999999999</v>
      </c>
      <c r="AR56" s="518">
        <f>Model!AR52</f>
        <v>43.401000000000003</v>
      </c>
      <c r="AS56" s="518">
        <f>Model!AS52</f>
        <v>41.555</v>
      </c>
      <c r="AT56" s="89">
        <f>Model!AT52</f>
        <v>43.685500000000005</v>
      </c>
      <c r="AU56" s="518">
        <f>Model!AU52</f>
        <v>0</v>
      </c>
      <c r="AV56" s="518">
        <f>Model!AV52</f>
        <v>0</v>
      </c>
      <c r="AW56" s="518">
        <f>Model!AW52</f>
        <v>0</v>
      </c>
      <c r="AX56" s="518">
        <f>Model!AX52</f>
        <v>0</v>
      </c>
      <c r="AY56" s="89">
        <f>Model!AY52</f>
        <v>45.99</v>
      </c>
      <c r="AZ56" s="518">
        <f>Model!AZ52</f>
        <v>0</v>
      </c>
      <c r="BA56" s="518">
        <f>Model!BA52</f>
        <v>0</v>
      </c>
      <c r="BB56" s="518">
        <f>Model!BB52</f>
        <v>0</v>
      </c>
      <c r="BC56" s="518">
        <f>Model!BC52</f>
        <v>0</v>
      </c>
      <c r="BD56" s="89">
        <f>Model!BD52</f>
        <v>38.045999999999999</v>
      </c>
      <c r="BE56" s="518">
        <f>Model!BE52</f>
        <v>0</v>
      </c>
      <c r="BF56" s="518">
        <f>Model!BF52</f>
        <v>0</v>
      </c>
      <c r="BG56" s="518">
        <f>Model!BG52</f>
        <v>0</v>
      </c>
      <c r="BH56" s="518">
        <f>Model!BH52</f>
        <v>0</v>
      </c>
      <c r="BI56" s="89">
        <f>Model!BI52</f>
        <v>36.301000000000002</v>
      </c>
      <c r="BJ56" s="518">
        <f>Model!BJ52</f>
        <v>0</v>
      </c>
      <c r="BK56" s="518">
        <f>Model!BK52</f>
        <v>0</v>
      </c>
      <c r="BL56" s="520">
        <f>Model!BL52</f>
        <v>0</v>
      </c>
      <c r="BM56" s="518">
        <f>Model!BM52</f>
        <v>0</v>
      </c>
      <c r="BN56" s="89">
        <f>Model!BN52</f>
        <v>0</v>
      </c>
      <c r="BO56" s="518">
        <f>Model!BO52</f>
        <v>0</v>
      </c>
      <c r="BP56" s="518">
        <f>Model!BP52</f>
        <v>0</v>
      </c>
      <c r="BQ56" s="518">
        <f>Model!BQ52</f>
        <v>0</v>
      </c>
      <c r="BR56" s="518">
        <f>Model!BR52</f>
        <v>0</v>
      </c>
      <c r="BS56" s="89">
        <f>Model!BS52</f>
        <v>0</v>
      </c>
      <c r="BT56" s="89">
        <f>Model!BT52</f>
        <v>0</v>
      </c>
      <c r="BU56" s="89">
        <f>Model!BU52</f>
        <v>0</v>
      </c>
      <c r="BV56" s="89">
        <f>Model!BV52</f>
        <v>0</v>
      </c>
      <c r="BW56" s="518"/>
    </row>
    <row r="57" spans="1:75" s="439" customFormat="1" hidden="1" outlineLevel="1">
      <c r="A57" s="31" t="str">
        <f>Model!A53</f>
        <v>Mobile website unique visitors, mm</v>
      </c>
      <c r="B57" s="53"/>
      <c r="C57" s="89"/>
      <c r="D57" s="89"/>
      <c r="E57" s="89"/>
      <c r="F57" s="89"/>
      <c r="G57" s="518"/>
      <c r="H57" s="518"/>
      <c r="I57" s="518"/>
      <c r="J57" s="518">
        <f>Model!J53</f>
        <v>42.292000000000002</v>
      </c>
      <c r="K57" s="89">
        <f>Model!K53</f>
        <v>42.292000000000002</v>
      </c>
      <c r="L57" s="518">
        <f>Model!L53</f>
        <v>50.249000000000002</v>
      </c>
      <c r="M57" s="518">
        <f>Model!M53</f>
        <v>55.877000000000002</v>
      </c>
      <c r="N57" s="518">
        <f>Model!N53</f>
        <v>58.948999999999998</v>
      </c>
      <c r="O57" s="518">
        <f>Model!O53</f>
        <v>57.77</v>
      </c>
      <c r="P57" s="89">
        <f>Model!P53</f>
        <v>55.71125</v>
      </c>
      <c r="Q57" s="518">
        <f>Model!Q53</f>
        <v>62.923000000000002</v>
      </c>
      <c r="R57" s="518">
        <f>Model!R53</f>
        <v>64.715000000000003</v>
      </c>
      <c r="S57" s="518">
        <f>Model!S53</f>
        <v>69.117000000000004</v>
      </c>
      <c r="T57" s="518">
        <f>Model!T53</f>
        <v>65.86</v>
      </c>
      <c r="U57" s="89">
        <f>Model!U53</f>
        <v>65.653750000000002</v>
      </c>
      <c r="V57" s="518">
        <f>Model!V53</f>
        <v>68.551000000000002</v>
      </c>
      <c r="W57" s="518">
        <f>Model!W53</f>
        <v>69.326999999999998</v>
      </c>
      <c r="X57" s="518">
        <f>Model!X53</f>
        <v>72.040000000000006</v>
      </c>
      <c r="Y57" s="518">
        <f>Model!Y53</f>
        <v>65.350999999999999</v>
      </c>
      <c r="Z57" s="89">
        <f>Model!Z53</f>
        <v>68.817250000000001</v>
      </c>
      <c r="AA57" s="518">
        <f>Model!AA53</f>
        <v>73.191999999999993</v>
      </c>
      <c r="AB57" s="518">
        <f>Model!AB53</f>
        <v>74.100999999999999</v>
      </c>
      <c r="AC57" s="518">
        <f>Model!AC53</f>
        <v>73.507999999999996</v>
      </c>
      <c r="AD57" s="518">
        <f>Model!AD53</f>
        <v>64.221000000000004</v>
      </c>
      <c r="AE57" s="89">
        <f>Model!AE53</f>
        <v>71.255499999999998</v>
      </c>
      <c r="AF57" s="518">
        <f>Model!AF53</f>
        <v>69.900999999999996</v>
      </c>
      <c r="AG57" s="518">
        <f>Model!AG53</f>
        <v>72.328000000000003</v>
      </c>
      <c r="AH57" s="518">
        <f>Model!AH53</f>
        <v>74.789000000000001</v>
      </c>
      <c r="AI57" s="518">
        <f>Model!AI53</f>
        <v>69.147999999999996</v>
      </c>
      <c r="AJ57" s="89">
        <f>Model!AJ53</f>
        <v>71.541499999999985</v>
      </c>
      <c r="AK57" s="518">
        <f>Model!AK53</f>
        <v>68.891000000000005</v>
      </c>
      <c r="AL57" s="518">
        <f>Model!AL53</f>
        <v>76.650000000000006</v>
      </c>
      <c r="AM57" s="518">
        <f>Model!AM53</f>
        <v>80.59</v>
      </c>
      <c r="AN57" s="518">
        <f>Model!AN53</f>
        <v>68.756</v>
      </c>
      <c r="AO57" s="89">
        <f>Model!AO53</f>
        <v>73.72175</v>
      </c>
      <c r="AP57" s="518">
        <f>Model!AP53</f>
        <v>62.701999999999998</v>
      </c>
      <c r="AQ57" s="518">
        <f>Model!AQ53</f>
        <v>44.819000000000003</v>
      </c>
      <c r="AR57" s="518">
        <f>Model!AR53</f>
        <v>54.813000000000002</v>
      </c>
      <c r="AS57" s="518">
        <f>Model!AS53</f>
        <v>48.844000000000001</v>
      </c>
      <c r="AT57" s="89">
        <f>Model!AT53</f>
        <v>52.794499999999999</v>
      </c>
      <c r="AU57" s="518">
        <f>Model!AU53</f>
        <v>0</v>
      </c>
      <c r="AV57" s="518">
        <f>Model!AV53</f>
        <v>0</v>
      </c>
      <c r="AW57" s="518">
        <f>Model!AW53</f>
        <v>0</v>
      </c>
      <c r="AX57" s="518">
        <f>Model!AX53</f>
        <v>0</v>
      </c>
      <c r="AY57" s="89">
        <f>Model!AY53</f>
        <v>56.667999999999999</v>
      </c>
      <c r="AZ57" s="518">
        <f>Model!AZ53</f>
        <v>0</v>
      </c>
      <c r="BA57" s="518">
        <f>Model!BA53</f>
        <v>0</v>
      </c>
      <c r="BB57" s="518">
        <f>Model!BB53</f>
        <v>0</v>
      </c>
      <c r="BC57" s="518">
        <f>Model!BC53</f>
        <v>0</v>
      </c>
      <c r="BD57" s="89">
        <f>Model!BD53</f>
        <v>59.171999999999997</v>
      </c>
      <c r="BE57" s="518">
        <f>Model!BE53</f>
        <v>0</v>
      </c>
      <c r="BF57" s="518">
        <f>Model!BF53</f>
        <v>0</v>
      </c>
      <c r="BG57" s="518">
        <f>Model!BG53</f>
        <v>0</v>
      </c>
      <c r="BH57" s="518">
        <f>Model!BH53</f>
        <v>0</v>
      </c>
      <c r="BI57" s="89">
        <f>Model!BI53</f>
        <v>60.281999999999996</v>
      </c>
      <c r="BJ57" s="518">
        <f>Model!BJ53</f>
        <v>0</v>
      </c>
      <c r="BK57" s="518">
        <f>Model!BK53</f>
        <v>0</v>
      </c>
      <c r="BL57" s="520">
        <f>Model!BL53</f>
        <v>0</v>
      </c>
      <c r="BM57" s="518">
        <f>Model!BM53</f>
        <v>0</v>
      </c>
      <c r="BN57" s="89">
        <f>Model!BN53</f>
        <v>0</v>
      </c>
      <c r="BO57" s="518">
        <f>Model!BO53</f>
        <v>0</v>
      </c>
      <c r="BP57" s="518">
        <f>Model!BP53</f>
        <v>0</v>
      </c>
      <c r="BQ57" s="518">
        <f>Model!BQ53</f>
        <v>0</v>
      </c>
      <c r="BR57" s="518">
        <f>Model!BR53</f>
        <v>0</v>
      </c>
      <c r="BS57" s="89">
        <f>Model!BS53</f>
        <v>0</v>
      </c>
      <c r="BT57" s="89">
        <f>Model!BT53</f>
        <v>0</v>
      </c>
      <c r="BU57" s="89">
        <f>Model!BU53</f>
        <v>0</v>
      </c>
      <c r="BV57" s="89">
        <f>Model!BV53</f>
        <v>0</v>
      </c>
      <c r="BW57" s="518"/>
    </row>
    <row r="58" spans="1:75" s="444" customFormat="1" hidden="1" outlineLevel="1">
      <c r="A58" s="22" t="str">
        <f>Model!A54</f>
        <v>Unique Traffic visitors, mm</v>
      </c>
      <c r="B58" s="49"/>
      <c r="C58" s="676">
        <f>Model!C54</f>
        <v>26.077000000000002</v>
      </c>
      <c r="D58" s="676">
        <f>Model!D54</f>
        <v>39.356000000000002</v>
      </c>
      <c r="E58" s="676">
        <f>Model!E54</f>
        <v>65.796000000000006</v>
      </c>
      <c r="F58" s="676">
        <f>Model!F54</f>
        <v>86.308000000000007</v>
      </c>
      <c r="G58" s="560">
        <f>Model!G54</f>
        <v>102.065</v>
      </c>
      <c r="H58" s="560">
        <f>Model!H54</f>
        <v>108.05800000000001</v>
      </c>
      <c r="I58" s="560">
        <f>Model!I54</f>
        <v>117.447</v>
      </c>
      <c r="J58" s="560">
        <f>Model!J54</f>
        <v>130.61799999999999</v>
      </c>
      <c r="K58" s="676">
        <f>Model!K54</f>
        <v>130.61799999999999</v>
      </c>
      <c r="L58" s="560">
        <f>Model!L54</f>
        <v>143.40100000000001</v>
      </c>
      <c r="M58" s="560">
        <f>Model!M54</f>
        <v>149.77000000000001</v>
      </c>
      <c r="N58" s="560">
        <f>Model!N54</f>
        <v>153.90800000000002</v>
      </c>
      <c r="O58" s="560">
        <f>Model!O54</f>
        <v>149.93899999999999</v>
      </c>
      <c r="P58" s="676">
        <f>Model!P54</f>
        <v>149.25450000000001</v>
      </c>
      <c r="Q58" s="560">
        <f>Model!Q54</f>
        <v>158.505</v>
      </c>
      <c r="R58" s="560">
        <f>Model!R54</f>
        <v>161.98699999999999</v>
      </c>
      <c r="S58" s="560">
        <f>Model!S54</f>
        <v>168.13900000000001</v>
      </c>
      <c r="T58" s="560">
        <f>Model!T54</f>
        <v>160.47300000000001</v>
      </c>
      <c r="U58" s="676">
        <f>Model!U54</f>
        <v>162.27600000000001</v>
      </c>
      <c r="V58" s="560">
        <f>Model!V54</f>
        <v>167.17000000000002</v>
      </c>
      <c r="W58" s="560">
        <f>Model!W54</f>
        <v>165.74299999999999</v>
      </c>
      <c r="X58" s="560">
        <f>Model!X54</f>
        <v>168.34899999999999</v>
      </c>
      <c r="Y58" s="560">
        <f>Model!Y54</f>
        <v>157.31200000000001</v>
      </c>
      <c r="Z58" s="676">
        <f>Model!Z54</f>
        <v>164.64349999999999</v>
      </c>
      <c r="AA58" s="560">
        <f>Model!AA54</f>
        <v>177.18599999999998</v>
      </c>
      <c r="AB58" s="560">
        <f>Model!AB54</f>
        <v>185.08600000000001</v>
      </c>
      <c r="AC58" s="560">
        <f>Model!AC54</f>
        <v>187.262</v>
      </c>
      <c r="AD58" s="560">
        <f>Model!AD54</f>
        <v>169.81400000000002</v>
      </c>
      <c r="AE58" s="676">
        <f>Model!AE54</f>
        <v>179.83699999999999</v>
      </c>
      <c r="AF58" s="560">
        <f>Model!AF54</f>
        <v>173.684</v>
      </c>
      <c r="AG58" s="560">
        <f>Model!AG54</f>
        <v>178.32900000000001</v>
      </c>
      <c r="AH58" s="560">
        <f>Model!AH54</f>
        <v>177.62099999999998</v>
      </c>
      <c r="AI58" s="560">
        <f>Model!AI54</f>
        <v>164.179</v>
      </c>
      <c r="AJ58" s="676">
        <f>Model!AJ54</f>
        <v>173.45324999999997</v>
      </c>
      <c r="AK58" s="560">
        <f>Model!AK54</f>
        <v>166.67099999999999</v>
      </c>
      <c r="AL58" s="560">
        <f>Model!AL54</f>
        <v>175.184</v>
      </c>
      <c r="AM58" s="560">
        <f>Model!AM54</f>
        <v>180.679</v>
      </c>
      <c r="AN58" s="560">
        <f>Model!AN54</f>
        <v>158.36099999999999</v>
      </c>
      <c r="AO58" s="676">
        <f>Model!AO54</f>
        <v>170.22375</v>
      </c>
      <c r="AP58" s="560">
        <f>Model!AP54</f>
        <v>149.60399999999998</v>
      </c>
      <c r="AQ58" s="560">
        <f>Model!AQ54</f>
        <v>110.622</v>
      </c>
      <c r="AR58" s="560">
        <f>Model!AR54</f>
        <v>130.214</v>
      </c>
      <c r="AS58" s="560">
        <f>Model!AS54</f>
        <v>120.00999999999999</v>
      </c>
      <c r="AT58" s="676">
        <f>Model!AT54</f>
        <v>127.61250000000001</v>
      </c>
      <c r="AU58" s="560">
        <f>Model!AU54</f>
        <v>0</v>
      </c>
      <c r="AV58" s="560">
        <f>Model!AV54</f>
        <v>0</v>
      </c>
      <c r="AW58" s="560">
        <f>Model!AW54</f>
        <v>0</v>
      </c>
      <c r="AX58" s="560">
        <f>Model!AX54</f>
        <v>0</v>
      </c>
      <c r="AY58" s="676">
        <f>Model!AY54</f>
        <v>135.74299999999999</v>
      </c>
      <c r="AZ58" s="560">
        <f>Model!AZ54</f>
        <v>0</v>
      </c>
      <c r="BA58" s="560">
        <f>Model!BA54</f>
        <v>0</v>
      </c>
      <c r="BB58" s="560">
        <f>Model!BB54</f>
        <v>0</v>
      </c>
      <c r="BC58" s="560">
        <f>Model!BC54</f>
        <v>0</v>
      </c>
      <c r="BD58" s="676">
        <f>Model!BD54</f>
        <v>130.244</v>
      </c>
      <c r="BE58" s="560">
        <f>Model!BE54</f>
        <v>0</v>
      </c>
      <c r="BF58" s="560">
        <f>Model!BF54</f>
        <v>0</v>
      </c>
      <c r="BG58" s="560">
        <f>Model!BG54</f>
        <v>0</v>
      </c>
      <c r="BH58" s="560">
        <f>Model!BH54</f>
        <v>0</v>
      </c>
      <c r="BI58" s="676">
        <f>Model!BI54</f>
        <v>128.49200000000002</v>
      </c>
      <c r="BJ58" s="560">
        <f>Model!BJ54</f>
        <v>0</v>
      </c>
      <c r="BK58" s="560">
        <f>Model!BK54</f>
        <v>0</v>
      </c>
      <c r="BL58" s="561">
        <f>Model!BL54</f>
        <v>0</v>
      </c>
      <c r="BM58" s="560">
        <f>Model!BM54</f>
        <v>0</v>
      </c>
      <c r="BN58" s="676">
        <f>Model!BN54</f>
        <v>0</v>
      </c>
      <c r="BO58" s="560">
        <f>Model!BO54</f>
        <v>0</v>
      </c>
      <c r="BP58" s="560">
        <f>Model!BP54</f>
        <v>0</v>
      </c>
      <c r="BQ58" s="560">
        <f>Model!BQ54</f>
        <v>0</v>
      </c>
      <c r="BR58" s="560">
        <f>Model!BR54</f>
        <v>0</v>
      </c>
      <c r="BS58" s="676">
        <f>Model!BS54</f>
        <v>0</v>
      </c>
      <c r="BT58" s="676">
        <f>Model!BT54</f>
        <v>0</v>
      </c>
      <c r="BU58" s="676">
        <f>Model!BU54</f>
        <v>0</v>
      </c>
      <c r="BV58" s="676">
        <f>Model!BV54</f>
        <v>0</v>
      </c>
      <c r="BW58" s="523"/>
    </row>
    <row r="59" spans="1:75" s="482" customFormat="1" collapsed="1">
      <c r="A59" s="98"/>
      <c r="B59" s="99"/>
      <c r="C59" s="790"/>
      <c r="D59" s="790"/>
      <c r="E59" s="790"/>
      <c r="F59" s="790"/>
      <c r="G59" s="58"/>
      <c r="H59" s="58"/>
      <c r="I59" s="58"/>
      <c r="J59" s="58"/>
      <c r="K59" s="790"/>
      <c r="L59" s="58"/>
      <c r="M59" s="58"/>
      <c r="N59" s="58"/>
      <c r="O59" s="58"/>
      <c r="P59" s="790"/>
      <c r="Q59" s="58"/>
      <c r="R59" s="58"/>
      <c r="S59" s="58"/>
      <c r="T59" s="58"/>
      <c r="U59" s="790"/>
      <c r="V59" s="58"/>
      <c r="W59" s="58"/>
      <c r="X59" s="58"/>
      <c r="Y59" s="58"/>
      <c r="Z59" s="790"/>
      <c r="AA59" s="58"/>
      <c r="AB59" s="58"/>
      <c r="AC59" s="58"/>
      <c r="AD59" s="58"/>
      <c r="AE59" s="790"/>
      <c r="AF59" s="58"/>
      <c r="AG59" s="58"/>
      <c r="AH59" s="58"/>
      <c r="AI59" s="58"/>
      <c r="AJ59" s="790"/>
      <c r="AK59" s="58"/>
      <c r="AL59" s="58"/>
      <c r="AM59" s="58"/>
      <c r="AN59" s="58"/>
      <c r="AO59" s="790"/>
      <c r="AP59" s="58"/>
      <c r="AQ59" s="58"/>
      <c r="AR59" s="58"/>
      <c r="AS59" s="58"/>
      <c r="AT59" s="790"/>
      <c r="AU59" s="58"/>
      <c r="AV59" s="58"/>
      <c r="AW59" s="58"/>
      <c r="AX59" s="58"/>
      <c r="AY59" s="790"/>
      <c r="AZ59" s="58"/>
      <c r="BA59" s="58"/>
      <c r="BB59" s="58"/>
      <c r="BC59" s="58"/>
      <c r="BD59" s="790"/>
      <c r="BE59" s="58"/>
      <c r="BF59" s="58"/>
      <c r="BG59" s="58"/>
      <c r="BH59" s="58"/>
      <c r="BI59" s="790"/>
      <c r="BJ59" s="58"/>
      <c r="BK59" s="58"/>
      <c r="BL59" s="414"/>
      <c r="BM59" s="58"/>
      <c r="BN59" s="790"/>
      <c r="BO59" s="58"/>
      <c r="BP59" s="58"/>
      <c r="BQ59" s="58"/>
      <c r="BR59" s="58"/>
      <c r="BS59" s="790"/>
      <c r="BT59" s="790"/>
      <c r="BU59" s="790"/>
      <c r="BV59" s="790"/>
      <c r="BW59" s="102"/>
    </row>
    <row r="60" spans="1:75" s="479" customFormat="1">
      <c r="A60" s="55" t="s">
        <v>639</v>
      </c>
      <c r="B60" s="553"/>
      <c r="C60" s="553"/>
      <c r="D60" s="553"/>
      <c r="E60" s="553"/>
      <c r="F60" s="553"/>
      <c r="G60" s="553"/>
      <c r="H60" s="553"/>
      <c r="I60" s="553"/>
      <c r="J60" s="553"/>
      <c r="K60" s="553"/>
      <c r="L60" s="553"/>
      <c r="M60" s="553"/>
      <c r="N60" s="553"/>
      <c r="O60" s="553"/>
      <c r="P60" s="553"/>
      <c r="Q60" s="553"/>
      <c r="R60" s="553"/>
      <c r="S60" s="553"/>
      <c r="T60" s="553"/>
      <c r="U60" s="553"/>
      <c r="V60" s="553"/>
      <c r="W60" s="553"/>
      <c r="X60" s="553"/>
      <c r="Y60" s="553"/>
      <c r="Z60" s="553"/>
      <c r="AA60" s="553"/>
      <c r="AB60" s="553"/>
      <c r="AC60" s="553"/>
      <c r="AD60" s="553"/>
      <c r="AE60" s="553"/>
      <c r="AF60" s="553"/>
      <c r="AG60" s="553"/>
      <c r="AH60" s="553"/>
      <c r="AI60" s="553"/>
      <c r="AJ60" s="553"/>
      <c r="AK60" s="553"/>
      <c r="AL60" s="553"/>
      <c r="AM60" s="553"/>
      <c r="AN60" s="553"/>
      <c r="AO60" s="553"/>
      <c r="AP60" s="553"/>
      <c r="AQ60" s="553"/>
      <c r="AR60" s="553"/>
      <c r="AS60" s="553"/>
      <c r="AT60" s="553"/>
      <c r="AU60" s="553"/>
      <c r="AV60" s="553"/>
      <c r="AW60" s="553"/>
      <c r="AX60" s="553"/>
      <c r="AY60" s="553"/>
      <c r="AZ60" s="553"/>
      <c r="BA60" s="553"/>
      <c r="BB60" s="553"/>
      <c r="BC60" s="553"/>
      <c r="BD60" s="553"/>
      <c r="BE60" s="553"/>
      <c r="BF60" s="553"/>
      <c r="BG60" s="553"/>
      <c r="BH60" s="553"/>
      <c r="BI60" s="553"/>
      <c r="BJ60" s="553"/>
      <c r="BK60" s="553"/>
      <c r="BL60" s="600"/>
      <c r="BM60" s="553"/>
      <c r="BN60" s="553"/>
      <c r="BO60" s="553"/>
      <c r="BP60" s="553"/>
      <c r="BQ60" s="553"/>
      <c r="BR60" s="553"/>
      <c r="BS60" s="553"/>
      <c r="BT60" s="553"/>
      <c r="BU60" s="553"/>
      <c r="BV60" s="553"/>
      <c r="BW60" s="551"/>
    </row>
    <row r="61" spans="1:75" s="478" customFormat="1">
      <c r="A61" s="92" t="str">
        <f>INDEX(MO_RIS_REV,0,COLUMN())</f>
        <v>Net Revenue</v>
      </c>
      <c r="B61" s="97"/>
      <c r="C61" s="787">
        <f t="shared" ref="C61:AH61" si="47">INDEX(MO_RIS_REV,0,COLUMN())</f>
        <v>25.808</v>
      </c>
      <c r="D61" s="787">
        <f t="shared" si="47"/>
        <v>47.731000000000002</v>
      </c>
      <c r="E61" s="787">
        <f t="shared" si="47"/>
        <v>83.284999999999997</v>
      </c>
      <c r="F61" s="787">
        <f t="shared" si="47"/>
        <v>137.56700000000001</v>
      </c>
      <c r="G61" s="551">
        <f t="shared" si="47"/>
        <v>46.133000000000003</v>
      </c>
      <c r="H61" s="551">
        <f t="shared" si="47"/>
        <v>55.023000000000003</v>
      </c>
      <c r="I61" s="551">
        <f t="shared" si="47"/>
        <v>61.180999999999997</v>
      </c>
      <c r="J61" s="551">
        <f t="shared" si="47"/>
        <v>70.650999999999996</v>
      </c>
      <c r="K61" s="787">
        <f t="shared" si="47"/>
        <v>232.988</v>
      </c>
      <c r="L61" s="551">
        <f t="shared" si="47"/>
        <v>76.406999999999996</v>
      </c>
      <c r="M61" s="551">
        <f t="shared" si="47"/>
        <v>88.787000000000006</v>
      </c>
      <c r="N61" s="551">
        <f t="shared" si="47"/>
        <v>102.455</v>
      </c>
      <c r="O61" s="551">
        <f t="shared" si="47"/>
        <v>109.887</v>
      </c>
      <c r="P61" s="787">
        <f t="shared" si="47"/>
        <v>377.536</v>
      </c>
      <c r="Q61" s="551">
        <f t="shared" si="47"/>
        <v>118.508</v>
      </c>
      <c r="R61" s="551">
        <f t="shared" si="47"/>
        <v>133.91300000000001</v>
      </c>
      <c r="S61" s="551">
        <f t="shared" si="47"/>
        <v>143.559</v>
      </c>
      <c r="T61" s="551">
        <f t="shared" si="47"/>
        <v>153.73099999999999</v>
      </c>
      <c r="U61" s="787">
        <f t="shared" si="47"/>
        <v>549.71100000000001</v>
      </c>
      <c r="V61" s="551">
        <f t="shared" si="47"/>
        <v>158.613</v>
      </c>
      <c r="W61" s="551">
        <f t="shared" si="47"/>
        <v>173.428</v>
      </c>
      <c r="X61" s="551">
        <f t="shared" si="47"/>
        <v>186.232</v>
      </c>
      <c r="Y61" s="551">
        <f t="shared" si="47"/>
        <v>194.79599999999994</v>
      </c>
      <c r="Z61" s="787">
        <f t="shared" si="47"/>
        <v>713.06899999999996</v>
      </c>
      <c r="AA61" s="551">
        <f t="shared" si="47"/>
        <v>198.17400000000001</v>
      </c>
      <c r="AB61" s="551">
        <f t="shared" si="47"/>
        <v>209.94499999999999</v>
      </c>
      <c r="AC61" s="551">
        <f t="shared" si="47"/>
        <v>223.28700000000001</v>
      </c>
      <c r="AD61" s="551">
        <f t="shared" si="47"/>
        <v>219.441</v>
      </c>
      <c r="AE61" s="787">
        <f t="shared" si="47"/>
        <v>850.84699999999998</v>
      </c>
      <c r="AF61" s="551">
        <f t="shared" si="47"/>
        <v>223.07400000000001</v>
      </c>
      <c r="AG61" s="551">
        <f t="shared" si="47"/>
        <v>234.863</v>
      </c>
      <c r="AH61" s="551">
        <f t="shared" si="47"/>
        <v>241.096</v>
      </c>
      <c r="AI61" s="551">
        <f t="shared" ref="AI61:BA61" si="48">INDEX(MO_RIS_REV,0,COLUMN())</f>
        <v>243.74</v>
      </c>
      <c r="AJ61" s="787">
        <f t="shared" si="48"/>
        <v>942.77300000000002</v>
      </c>
      <c r="AK61" s="551">
        <f t="shared" si="48"/>
        <v>235.94200000000001</v>
      </c>
      <c r="AL61" s="551">
        <f t="shared" si="48"/>
        <v>246.95500000000001</v>
      </c>
      <c r="AM61" s="551">
        <f t="shared" si="48"/>
        <v>262.47399999999999</v>
      </c>
      <c r="AN61" s="551">
        <f t="shared" si="48"/>
        <v>268.82299999999987</v>
      </c>
      <c r="AO61" s="787">
        <f t="shared" si="48"/>
        <v>1014.194</v>
      </c>
      <c r="AP61" s="551">
        <f t="shared" si="48"/>
        <v>249.90100000000001</v>
      </c>
      <c r="AQ61" s="551">
        <f t="shared" si="48"/>
        <v>169.03</v>
      </c>
      <c r="AR61" s="551">
        <f t="shared" si="48"/>
        <v>220.80699999999999</v>
      </c>
      <c r="AS61" s="551">
        <f t="shared" si="48"/>
        <v>233.19499999999999</v>
      </c>
      <c r="AT61" s="787">
        <f t="shared" si="48"/>
        <v>872.93299999999999</v>
      </c>
      <c r="AU61" s="551">
        <f t="shared" si="48"/>
        <v>232.096</v>
      </c>
      <c r="AV61" s="551">
        <f t="shared" si="48"/>
        <v>257.18799999999999</v>
      </c>
      <c r="AW61" s="551">
        <f t="shared" si="48"/>
        <v>269.15499999999997</v>
      </c>
      <c r="AX61" s="551">
        <f t="shared" si="48"/>
        <v>273.39999999999998</v>
      </c>
      <c r="AY61" s="787">
        <f t="shared" si="48"/>
        <v>1031.8389999999999</v>
      </c>
      <c r="AZ61" s="551">
        <f t="shared" si="48"/>
        <v>276.62799999999999</v>
      </c>
      <c r="BA61" s="551">
        <f t="shared" si="48"/>
        <v>298.88400000000001</v>
      </c>
      <c r="BB61" s="551">
        <f t="shared" ref="BB61:BG61" si="49">INDEX(MO_RIS_REV,0,COLUMN())</f>
        <v>308.89100000000002</v>
      </c>
      <c r="BC61" s="551">
        <f t="shared" si="49"/>
        <v>309.10300000000007</v>
      </c>
      <c r="BD61" s="787">
        <f t="shared" si="49"/>
        <v>1193.5060000000001</v>
      </c>
      <c r="BE61" s="551">
        <f t="shared" si="49"/>
        <v>312.43799999999999</v>
      </c>
      <c r="BF61" s="551">
        <f t="shared" si="49"/>
        <v>337.12599999999998</v>
      </c>
      <c r="BG61" s="551">
        <f t="shared" si="49"/>
        <v>345.12200000000001</v>
      </c>
      <c r="BH61" s="551">
        <f t="shared" ref="BH61:BN61" si="50">INDEX(MO_RIS_REV,0,COLUMN())</f>
        <v>342.37599999999998</v>
      </c>
      <c r="BI61" s="787">
        <f t="shared" si="50"/>
        <v>1337.0619999999999</v>
      </c>
      <c r="BJ61" s="551">
        <f t="shared" si="50"/>
        <v>332.75200000000001</v>
      </c>
      <c r="BK61" s="551">
        <f t="shared" si="50"/>
        <v>357.01600000000002</v>
      </c>
      <c r="BL61" s="596">
        <f>INDEX(MO_RIS_REV,0,COLUMN())</f>
        <v>360.34399999999999</v>
      </c>
      <c r="BM61" s="551">
        <f t="shared" si="50"/>
        <v>350.42607045483999</v>
      </c>
      <c r="BN61" s="787">
        <f t="shared" si="50"/>
        <v>1400.5380704548402</v>
      </c>
      <c r="BO61" s="551">
        <f t="shared" ref="BO61:BV61" si="51">INDEX(MO_RIS_REV,0,COLUMN())</f>
        <v>351.29535962813975</v>
      </c>
      <c r="BP61" s="551">
        <f t="shared" si="51"/>
        <v>386.39669271465016</v>
      </c>
      <c r="BQ61" s="551">
        <f t="shared" si="51"/>
        <v>387.44545045158424</v>
      </c>
      <c r="BR61" s="551">
        <f t="shared" si="51"/>
        <v>396.53923514089723</v>
      </c>
      <c r="BS61" s="787">
        <f t="shared" si="51"/>
        <v>1521.6767379352714</v>
      </c>
      <c r="BT61" s="787">
        <f t="shared" si="51"/>
        <v>1575.1508991092517</v>
      </c>
      <c r="BU61" s="787">
        <f t="shared" si="51"/>
        <v>1694.2308943360513</v>
      </c>
      <c r="BV61" s="787">
        <f t="shared" si="51"/>
        <v>1850.1634334635471</v>
      </c>
      <c r="BW61" s="551"/>
    </row>
    <row r="62" spans="1:75" s="481" customFormat="1">
      <c r="A62" s="93" t="str">
        <f>INDEX(MO_RIS_COGS,0,COLUMN())</f>
        <v>COGS</v>
      </c>
      <c r="B62" s="94"/>
      <c r="C62" s="788">
        <f t="shared" ref="C62:AH62" si="52">INDEX(MO_RIS_COGS,0,COLUMN())</f>
        <v>1.121</v>
      </c>
      <c r="D62" s="788">
        <f t="shared" si="52"/>
        <v>3.137</v>
      </c>
      <c r="E62" s="788">
        <f t="shared" si="52"/>
        <v>5.931</v>
      </c>
      <c r="F62" s="788">
        <f t="shared" si="52"/>
        <v>9.9280000000000008</v>
      </c>
      <c r="G62" s="552">
        <f t="shared" si="52"/>
        <v>3.34</v>
      </c>
      <c r="H62" s="552">
        <f t="shared" si="52"/>
        <v>4.0179999999999998</v>
      </c>
      <c r="I62" s="552">
        <f t="shared" si="52"/>
        <v>4.2770000000000001</v>
      </c>
      <c r="J62" s="552">
        <f t="shared" si="52"/>
        <v>4.9260000000000002</v>
      </c>
      <c r="K62" s="788">
        <f t="shared" si="52"/>
        <v>16.561</v>
      </c>
      <c r="L62" s="552">
        <f t="shared" si="52"/>
        <v>5.077</v>
      </c>
      <c r="M62" s="552">
        <f t="shared" si="52"/>
        <v>5.8449999999999998</v>
      </c>
      <c r="N62" s="552">
        <f t="shared" si="52"/>
        <v>6.1740000000000004</v>
      </c>
      <c r="O62" s="552">
        <f t="shared" si="52"/>
        <v>7.2859999999999996</v>
      </c>
      <c r="P62" s="788">
        <f t="shared" si="52"/>
        <v>24.382000000000001</v>
      </c>
      <c r="Q62" s="552">
        <f t="shared" si="52"/>
        <v>8.6989999999999998</v>
      </c>
      <c r="R62" s="552">
        <f t="shared" si="52"/>
        <v>13.057</v>
      </c>
      <c r="S62" s="552">
        <f t="shared" si="52"/>
        <v>14.259</v>
      </c>
      <c r="T62" s="552">
        <f t="shared" si="52"/>
        <v>15</v>
      </c>
      <c r="U62" s="788">
        <f t="shared" si="52"/>
        <v>51.015000000000001</v>
      </c>
      <c r="V62" s="552">
        <f t="shared" si="52"/>
        <v>15.077999999999999</v>
      </c>
      <c r="W62" s="552">
        <f t="shared" si="52"/>
        <v>15.087</v>
      </c>
      <c r="X62" s="552">
        <f t="shared" si="52"/>
        <v>14.593999999999999</v>
      </c>
      <c r="Y62" s="552">
        <f t="shared" si="52"/>
        <v>15.603999999999999</v>
      </c>
      <c r="Z62" s="788">
        <f t="shared" si="52"/>
        <v>60.363</v>
      </c>
      <c r="AA62" s="552">
        <f t="shared" si="52"/>
        <v>16.914000000000001</v>
      </c>
      <c r="AB62" s="552">
        <f t="shared" si="52"/>
        <v>18.056000000000001</v>
      </c>
      <c r="AC62" s="552">
        <f t="shared" si="52"/>
        <v>19.312000000000001</v>
      </c>
      <c r="AD62" s="552">
        <f t="shared" si="52"/>
        <v>16.236000000000001</v>
      </c>
      <c r="AE62" s="788">
        <f t="shared" si="52"/>
        <v>70.518000000000001</v>
      </c>
      <c r="AF62" s="552">
        <f t="shared" si="52"/>
        <v>14.731999999999999</v>
      </c>
      <c r="AG62" s="552">
        <f t="shared" si="52"/>
        <v>14.708</v>
      </c>
      <c r="AH62" s="552">
        <f t="shared" si="52"/>
        <v>14.177</v>
      </c>
      <c r="AI62" s="552">
        <f t="shared" ref="AI62:BA62" si="53">INDEX(MO_RIS_COGS,0,COLUMN())</f>
        <v>14.255000000000003</v>
      </c>
      <c r="AJ62" s="788">
        <f t="shared" si="53"/>
        <v>57.872</v>
      </c>
      <c r="AK62" s="552">
        <f t="shared" si="53"/>
        <v>14.265000000000001</v>
      </c>
      <c r="AL62" s="552">
        <f t="shared" si="53"/>
        <v>14.975</v>
      </c>
      <c r="AM62" s="552">
        <f t="shared" si="53"/>
        <v>16.513999999999999</v>
      </c>
      <c r="AN62" s="552">
        <f t="shared" si="53"/>
        <v>16.655999999999992</v>
      </c>
      <c r="AO62" s="788">
        <f t="shared" si="53"/>
        <v>62.41</v>
      </c>
      <c r="AP62" s="552">
        <f t="shared" si="53"/>
        <v>16.847000000000001</v>
      </c>
      <c r="AQ62" s="552">
        <f t="shared" si="53"/>
        <v>11.824999999999999</v>
      </c>
      <c r="AR62" s="552">
        <f t="shared" si="53"/>
        <v>13.193</v>
      </c>
      <c r="AS62" s="552">
        <f t="shared" si="53"/>
        <v>15.321</v>
      </c>
      <c r="AT62" s="788">
        <f t="shared" si="53"/>
        <v>57.186</v>
      </c>
      <c r="AU62" s="552">
        <f t="shared" si="53"/>
        <v>14.874000000000001</v>
      </c>
      <c r="AV62" s="552">
        <f t="shared" si="53"/>
        <v>17.992999999999999</v>
      </c>
      <c r="AW62" s="552">
        <f t="shared" si="53"/>
        <v>21.184999999999999</v>
      </c>
      <c r="AX62" s="552">
        <f t="shared" si="53"/>
        <v>24.045000000000002</v>
      </c>
      <c r="AY62" s="788">
        <f t="shared" si="53"/>
        <v>78.096999999999994</v>
      </c>
      <c r="AZ62" s="552">
        <f t="shared" si="53"/>
        <v>23.428999999999998</v>
      </c>
      <c r="BA62" s="552">
        <f t="shared" si="53"/>
        <v>26.988</v>
      </c>
      <c r="BB62" s="552">
        <f t="shared" ref="BB62:BG62" si="54">INDEX(MO_RIS_COGS,0,COLUMN())</f>
        <v>26.805</v>
      </c>
      <c r="BC62" s="552">
        <f t="shared" si="54"/>
        <v>28.48299999999999</v>
      </c>
      <c r="BD62" s="788">
        <f t="shared" si="54"/>
        <v>105.705</v>
      </c>
      <c r="BE62" s="552">
        <f t="shared" si="54"/>
        <v>26.059000000000001</v>
      </c>
      <c r="BF62" s="552">
        <f t="shared" si="54"/>
        <v>30.184000000000001</v>
      </c>
      <c r="BG62" s="552">
        <f t="shared" si="54"/>
        <v>28.37</v>
      </c>
      <c r="BH62" s="552">
        <f t="shared" ref="BH62:BN62" si="55">INDEX(MO_RIS_COGS,0,COLUMN())</f>
        <v>29.616</v>
      </c>
      <c r="BI62" s="788">
        <f t="shared" si="55"/>
        <v>114.229</v>
      </c>
      <c r="BJ62" s="552">
        <f t="shared" si="55"/>
        <v>27.355</v>
      </c>
      <c r="BK62" s="552">
        <f t="shared" si="55"/>
        <v>30.677</v>
      </c>
      <c r="BL62" s="597">
        <f>INDEX(MO_RIS_COGS,0,COLUMN())</f>
        <v>32.381999999999998</v>
      </c>
      <c r="BM62" s="552">
        <f t="shared" si="55"/>
        <v>37.4955895386679</v>
      </c>
      <c r="BN62" s="788">
        <f t="shared" si="55"/>
        <v>127.90958953866789</v>
      </c>
      <c r="BO62" s="552">
        <f t="shared" ref="BO62:BV62" si="56">INDEX(MO_RIS_COGS,0,COLUMN())</f>
        <v>31.616582366532555</v>
      </c>
      <c r="BP62" s="552">
        <f t="shared" si="56"/>
        <v>38.639669271464982</v>
      </c>
      <c r="BQ62" s="552">
        <f t="shared" si="56"/>
        <v>32.932863288384624</v>
      </c>
      <c r="BR62" s="552">
        <f t="shared" si="56"/>
        <v>39.65392351408974</v>
      </c>
      <c r="BS62" s="788">
        <f t="shared" si="56"/>
        <v>142.8430384404719</v>
      </c>
      <c r="BT62" s="788">
        <f t="shared" si="56"/>
        <v>126.01207192874017</v>
      </c>
      <c r="BU62" s="788">
        <f t="shared" si="56"/>
        <v>135.53847154688401</v>
      </c>
      <c r="BV62" s="788">
        <f t="shared" si="56"/>
        <v>148.01307467708375</v>
      </c>
      <c r="BW62" s="552"/>
    </row>
    <row r="63" spans="1:75" s="481" customFormat="1">
      <c r="A63" s="93" t="str">
        <f>INDEX(MO_RIS_RD,0,COLUMN())</f>
        <v>R&amp;D</v>
      </c>
      <c r="B63" s="94"/>
      <c r="C63" s="788">
        <f t="shared" ref="C63:AH63" si="57">INDEX(MO_RIS_RD,0,COLUMN())</f>
        <v>3.2429999999999999</v>
      </c>
      <c r="D63" s="788">
        <f t="shared" si="57"/>
        <v>6.56</v>
      </c>
      <c r="E63" s="788">
        <f t="shared" si="57"/>
        <v>11.586</v>
      </c>
      <c r="F63" s="788">
        <f t="shared" si="57"/>
        <v>20.472999999999999</v>
      </c>
      <c r="G63" s="552">
        <f t="shared" si="57"/>
        <v>7.2359999999999998</v>
      </c>
      <c r="H63" s="552">
        <f t="shared" si="57"/>
        <v>7.9969999999999999</v>
      </c>
      <c r="I63" s="552">
        <f t="shared" si="57"/>
        <v>11.208</v>
      </c>
      <c r="J63" s="552">
        <f t="shared" si="57"/>
        <v>11.802</v>
      </c>
      <c r="K63" s="788">
        <f t="shared" si="57"/>
        <v>38.243000000000002</v>
      </c>
      <c r="L63" s="552">
        <f t="shared" si="57"/>
        <v>13.981999999999999</v>
      </c>
      <c r="M63" s="552">
        <f t="shared" si="57"/>
        <v>14.726000000000001</v>
      </c>
      <c r="N63" s="552">
        <f t="shared" si="57"/>
        <v>17.396999999999998</v>
      </c>
      <c r="O63" s="552">
        <f t="shared" si="57"/>
        <v>19.076000000000001</v>
      </c>
      <c r="P63" s="788">
        <f t="shared" si="57"/>
        <v>65.180999999999997</v>
      </c>
      <c r="Q63" s="552">
        <f t="shared" si="57"/>
        <v>23.96</v>
      </c>
      <c r="R63" s="552">
        <f t="shared" si="57"/>
        <v>26.344999999999999</v>
      </c>
      <c r="S63" s="552">
        <f t="shared" si="57"/>
        <v>28.510999999999999</v>
      </c>
      <c r="T63" s="552">
        <f t="shared" si="57"/>
        <v>28.97</v>
      </c>
      <c r="U63" s="788">
        <f t="shared" si="57"/>
        <v>107.786</v>
      </c>
      <c r="V63" s="552">
        <f t="shared" si="57"/>
        <v>32.222000000000001</v>
      </c>
      <c r="W63" s="552">
        <f t="shared" si="57"/>
        <v>33.097999999999999</v>
      </c>
      <c r="X63" s="552">
        <f t="shared" si="57"/>
        <v>36.369</v>
      </c>
      <c r="Y63" s="552">
        <f t="shared" si="57"/>
        <v>36.860000000000014</v>
      </c>
      <c r="Z63" s="788">
        <f t="shared" si="57"/>
        <v>138.54900000000001</v>
      </c>
      <c r="AA63" s="552">
        <f t="shared" si="57"/>
        <v>39.871000000000002</v>
      </c>
      <c r="AB63" s="552">
        <f t="shared" si="57"/>
        <v>42.088000000000001</v>
      </c>
      <c r="AC63" s="552">
        <f t="shared" si="57"/>
        <v>45.834000000000003</v>
      </c>
      <c r="AD63" s="552">
        <f t="shared" si="57"/>
        <v>47.994</v>
      </c>
      <c r="AE63" s="788">
        <f t="shared" si="57"/>
        <v>175.78700000000001</v>
      </c>
      <c r="AF63" s="552">
        <f t="shared" si="57"/>
        <v>51.493000000000002</v>
      </c>
      <c r="AG63" s="552">
        <f t="shared" si="57"/>
        <v>52.789000000000001</v>
      </c>
      <c r="AH63" s="552">
        <f t="shared" si="57"/>
        <v>53.764000000000003</v>
      </c>
      <c r="AI63" s="552">
        <f t="shared" ref="AI63:BA63" si="58">INDEX(MO_RIS_RD,0,COLUMN())</f>
        <v>54.272999999999968</v>
      </c>
      <c r="AJ63" s="788">
        <f t="shared" si="58"/>
        <v>212.31899999999999</v>
      </c>
      <c r="AK63" s="552">
        <f t="shared" si="58"/>
        <v>58.075000000000003</v>
      </c>
      <c r="AL63" s="552">
        <f t="shared" si="58"/>
        <v>54.566000000000003</v>
      </c>
      <c r="AM63" s="552">
        <f t="shared" si="58"/>
        <v>56.661000000000001</v>
      </c>
      <c r="AN63" s="552">
        <f t="shared" si="58"/>
        <v>61.137999999999977</v>
      </c>
      <c r="AO63" s="788">
        <f t="shared" si="58"/>
        <v>230.44</v>
      </c>
      <c r="AP63" s="552">
        <f t="shared" si="58"/>
        <v>67.113</v>
      </c>
      <c r="AQ63" s="552">
        <f t="shared" si="58"/>
        <v>53.969000000000001</v>
      </c>
      <c r="AR63" s="552">
        <f t="shared" si="58"/>
        <v>53.021999999999998</v>
      </c>
      <c r="AS63" s="552">
        <f t="shared" si="58"/>
        <v>58.457000000000001</v>
      </c>
      <c r="AT63" s="788">
        <f t="shared" si="58"/>
        <v>232.56100000000001</v>
      </c>
      <c r="AU63" s="552">
        <f t="shared" si="58"/>
        <v>67.992000000000004</v>
      </c>
      <c r="AV63" s="552">
        <f t="shared" si="58"/>
        <v>68.694999999999993</v>
      </c>
      <c r="AW63" s="552">
        <f t="shared" si="58"/>
        <v>69.402000000000001</v>
      </c>
      <c r="AX63" s="552">
        <f t="shared" si="58"/>
        <v>70.384000000000015</v>
      </c>
      <c r="AY63" s="788">
        <f t="shared" si="58"/>
        <v>276.47300000000001</v>
      </c>
      <c r="AZ63" s="552">
        <f t="shared" si="58"/>
        <v>80.685000000000002</v>
      </c>
      <c r="BA63" s="552">
        <f t="shared" si="58"/>
        <v>76.847999999999999</v>
      </c>
      <c r="BB63" s="552">
        <f t="shared" ref="BB63:BG63" si="59">INDEX(MO_RIS_RD,0,COLUMN())</f>
        <v>75.802999999999997</v>
      </c>
      <c r="BC63" s="552">
        <f t="shared" si="59"/>
        <v>72.224999999999966</v>
      </c>
      <c r="BD63" s="788">
        <f t="shared" si="59"/>
        <v>305.56099999999998</v>
      </c>
      <c r="BE63" s="552">
        <f t="shared" si="59"/>
        <v>88.197000000000003</v>
      </c>
      <c r="BF63" s="552">
        <f t="shared" si="59"/>
        <v>85.03</v>
      </c>
      <c r="BG63" s="552">
        <f t="shared" si="59"/>
        <v>81.02</v>
      </c>
      <c r="BH63" s="552">
        <f t="shared" ref="BH63:BN63" si="60">INDEX(MO_RIS_RD,0,COLUMN())</f>
        <v>78.322999999999979</v>
      </c>
      <c r="BI63" s="788">
        <f t="shared" si="60"/>
        <v>332.57</v>
      </c>
      <c r="BJ63" s="552">
        <f t="shared" si="60"/>
        <v>91.227000000000004</v>
      </c>
      <c r="BK63" s="552">
        <f t="shared" si="60"/>
        <v>82.08</v>
      </c>
      <c r="BL63" s="597">
        <f>INDEX(MO_RIS_RD,0,COLUMN())</f>
        <v>77.748000000000005</v>
      </c>
      <c r="BM63" s="552">
        <f t="shared" si="60"/>
        <v>80.597996204613196</v>
      </c>
      <c r="BN63" s="788">
        <f t="shared" si="60"/>
        <v>331.6529962046132</v>
      </c>
      <c r="BO63" s="552">
        <f t="shared" ref="BO63:BV63" si="61">INDEX(MO_RIS_RD,0,COLUMN())</f>
        <v>84.310886310753531</v>
      </c>
      <c r="BP63" s="552">
        <f t="shared" si="61"/>
        <v>92.735206251516033</v>
      </c>
      <c r="BQ63" s="552">
        <f t="shared" si="61"/>
        <v>96.861362612896059</v>
      </c>
      <c r="BR63" s="552">
        <f t="shared" si="61"/>
        <v>99.134808785224308</v>
      </c>
      <c r="BS63" s="788">
        <f t="shared" si="61"/>
        <v>373.04226396038996</v>
      </c>
      <c r="BT63" s="788">
        <f t="shared" si="61"/>
        <v>393.78772477731292</v>
      </c>
      <c r="BU63" s="788">
        <f t="shared" si="61"/>
        <v>423.55772358401282</v>
      </c>
      <c r="BV63" s="788">
        <f t="shared" si="61"/>
        <v>462.54085836588678</v>
      </c>
      <c r="BW63" s="552"/>
    </row>
    <row r="64" spans="1:75" s="481" customFormat="1">
      <c r="A64" s="93" t="str">
        <f>INDEX(MO_RIS_SM,0,COLUMN())</f>
        <v>S&amp;M</v>
      </c>
      <c r="B64" s="94"/>
      <c r="C64" s="788">
        <f t="shared" ref="C64:AH64" si="62">INDEX(MO_RIS_SM,0,COLUMN())</f>
        <v>17.978999999999999</v>
      </c>
      <c r="D64" s="788">
        <f t="shared" si="62"/>
        <v>33.918999999999997</v>
      </c>
      <c r="E64" s="788">
        <f t="shared" si="62"/>
        <v>54.539000000000001</v>
      </c>
      <c r="F64" s="788">
        <f t="shared" si="62"/>
        <v>85.915000000000006</v>
      </c>
      <c r="G64" s="552">
        <f t="shared" si="62"/>
        <v>28.193999999999999</v>
      </c>
      <c r="H64" s="552">
        <f t="shared" si="62"/>
        <v>30.803000000000001</v>
      </c>
      <c r="I64" s="552">
        <f t="shared" si="62"/>
        <v>34.125999999999998</v>
      </c>
      <c r="J64" s="552">
        <f t="shared" si="62"/>
        <v>38.847000000000001</v>
      </c>
      <c r="K64" s="788">
        <f t="shared" si="62"/>
        <v>131.97</v>
      </c>
      <c r="L64" s="552">
        <f t="shared" si="62"/>
        <v>45.121000000000002</v>
      </c>
      <c r="M64" s="552">
        <f t="shared" si="62"/>
        <v>47.798000000000002</v>
      </c>
      <c r="N64" s="552">
        <f t="shared" si="62"/>
        <v>54.551000000000002</v>
      </c>
      <c r="O64" s="552">
        <f t="shared" si="62"/>
        <v>53.58</v>
      </c>
      <c r="P64" s="788">
        <f t="shared" si="62"/>
        <v>201.05</v>
      </c>
      <c r="Q64" s="552">
        <f t="shared" si="62"/>
        <v>63.265999999999998</v>
      </c>
      <c r="R64" s="552">
        <f t="shared" si="62"/>
        <v>68.013999999999996</v>
      </c>
      <c r="S64" s="552">
        <f t="shared" si="62"/>
        <v>82.948999999999998</v>
      </c>
      <c r="T64" s="552">
        <f t="shared" si="62"/>
        <v>87.534999999999997</v>
      </c>
      <c r="U64" s="788">
        <f t="shared" si="62"/>
        <v>301.76400000000001</v>
      </c>
      <c r="V64" s="552">
        <f t="shared" si="62"/>
        <v>95.628</v>
      </c>
      <c r="W64" s="552">
        <f t="shared" si="62"/>
        <v>94.402000000000001</v>
      </c>
      <c r="X64" s="552">
        <f t="shared" si="62"/>
        <v>99.274000000000001</v>
      </c>
      <c r="Y64" s="552">
        <f t="shared" si="62"/>
        <v>93.550000000000011</v>
      </c>
      <c r="Z64" s="788">
        <f t="shared" si="62"/>
        <v>382.85399999999998</v>
      </c>
      <c r="AA64" s="552">
        <f t="shared" si="62"/>
        <v>108.532</v>
      </c>
      <c r="AB64" s="552">
        <f t="shared" si="62"/>
        <v>104.92100000000001</v>
      </c>
      <c r="AC64" s="552">
        <f t="shared" si="62"/>
        <v>112.958</v>
      </c>
      <c r="AD64" s="552">
        <f t="shared" si="62"/>
        <v>111.01300000000001</v>
      </c>
      <c r="AE64" s="788">
        <f t="shared" si="62"/>
        <v>437.42399999999998</v>
      </c>
      <c r="AF64" s="552">
        <f t="shared" si="62"/>
        <v>119.64100000000001</v>
      </c>
      <c r="AG64" s="552">
        <f t="shared" si="62"/>
        <v>120.65300000000001</v>
      </c>
      <c r="AH64" s="552">
        <f t="shared" si="62"/>
        <v>121.759</v>
      </c>
      <c r="AI64" s="552">
        <f t="shared" ref="AI64:BA64" si="63">INDEX(MO_RIS_SM,0,COLUMN())</f>
        <v>121.25600000000003</v>
      </c>
      <c r="AJ64" s="788">
        <f t="shared" si="63"/>
        <v>483.30900000000003</v>
      </c>
      <c r="AK64" s="552">
        <f t="shared" si="63"/>
        <v>124.316</v>
      </c>
      <c r="AL64" s="552">
        <f t="shared" si="63"/>
        <v>122.045</v>
      </c>
      <c r="AM64" s="552">
        <f t="shared" si="63"/>
        <v>127.655</v>
      </c>
      <c r="AN64" s="552">
        <f t="shared" si="63"/>
        <v>126.37000000000006</v>
      </c>
      <c r="AO64" s="788">
        <f t="shared" si="63"/>
        <v>500.38600000000002</v>
      </c>
      <c r="AP64" s="552">
        <f t="shared" si="63"/>
        <v>137.297</v>
      </c>
      <c r="AQ64" s="552">
        <f t="shared" si="63"/>
        <v>96.289000000000001</v>
      </c>
      <c r="AR64" s="552">
        <f t="shared" si="63"/>
        <v>101.301</v>
      </c>
      <c r="AS64" s="552">
        <f t="shared" si="63"/>
        <v>102.173</v>
      </c>
      <c r="AT64" s="788">
        <f t="shared" si="63"/>
        <v>437.06</v>
      </c>
      <c r="AU64" s="552">
        <f t="shared" si="63"/>
        <v>112.90900000000001</v>
      </c>
      <c r="AV64" s="552">
        <f t="shared" si="63"/>
        <v>113.64100000000001</v>
      </c>
      <c r="AW64" s="552">
        <f t="shared" si="63"/>
        <v>114.295</v>
      </c>
      <c r="AX64" s="552">
        <f t="shared" si="63"/>
        <v>113.37899999999996</v>
      </c>
      <c r="AY64" s="788">
        <f t="shared" si="63"/>
        <v>454.22399999999999</v>
      </c>
      <c r="AZ64" s="552">
        <f t="shared" si="63"/>
        <v>126.09699999999999</v>
      </c>
      <c r="BA64" s="552">
        <f t="shared" si="63"/>
        <v>129.41200000000001</v>
      </c>
      <c r="BB64" s="552">
        <f t="shared" ref="BB64:BG64" si="64">INDEX(MO_RIS_SM,0,COLUMN())</f>
        <v>133.06100000000001</v>
      </c>
      <c r="BC64" s="552">
        <f t="shared" si="64"/>
        <v>126.35699999999997</v>
      </c>
      <c r="BD64" s="788">
        <f t="shared" si="64"/>
        <v>514.92700000000002</v>
      </c>
      <c r="BE64" s="552">
        <f t="shared" si="64"/>
        <v>147.45500000000001</v>
      </c>
      <c r="BF64" s="552">
        <f t="shared" si="64"/>
        <v>139.15</v>
      </c>
      <c r="BG64" s="552">
        <f t="shared" si="64"/>
        <v>137.703</v>
      </c>
      <c r="BH64" s="552">
        <f t="shared" ref="BH64:BN64" si="65">INDEX(MO_RIS_SM,0,COLUMN())</f>
        <v>132.29700000000003</v>
      </c>
      <c r="BI64" s="788">
        <f t="shared" si="65"/>
        <v>556.60500000000002</v>
      </c>
      <c r="BJ64" s="552">
        <f t="shared" si="65"/>
        <v>147.791</v>
      </c>
      <c r="BK64" s="552">
        <f t="shared" si="65"/>
        <v>150.29300000000001</v>
      </c>
      <c r="BL64" s="597">
        <f>INDEX(MO_RIS_SM,0,COLUMN())</f>
        <v>144.631</v>
      </c>
      <c r="BM64" s="552">
        <f t="shared" si="65"/>
        <v>147.17894959103279</v>
      </c>
      <c r="BN64" s="788">
        <f t="shared" si="65"/>
        <v>589.89394959103288</v>
      </c>
      <c r="BO64" s="552">
        <f t="shared" ref="BO64:BV64" si="66">INDEX(MO_RIS_SM,0,COLUMN())</f>
        <v>147.54405104381868</v>
      </c>
      <c r="BP64" s="552">
        <f t="shared" si="66"/>
        <v>158.42264401300656</v>
      </c>
      <c r="BQ64" s="552">
        <f t="shared" si="66"/>
        <v>158.85263468514952</v>
      </c>
      <c r="BR64" s="552">
        <f t="shared" si="66"/>
        <v>162.58108640776786</v>
      </c>
      <c r="BS64" s="788">
        <f t="shared" si="66"/>
        <v>627.40041614974268</v>
      </c>
      <c r="BT64" s="788">
        <f t="shared" si="66"/>
        <v>693.06639560807071</v>
      </c>
      <c r="BU64" s="788">
        <f t="shared" si="66"/>
        <v>694.63466667778096</v>
      </c>
      <c r="BV64" s="788">
        <f t="shared" si="66"/>
        <v>832.57354505859621</v>
      </c>
      <c r="BW64" s="552"/>
    </row>
    <row r="65" spans="1:75" s="481" customFormat="1">
      <c r="A65" s="93" t="str">
        <f>INDEX(MO_RIS_GA,0,COLUMN())</f>
        <v>G&amp;A</v>
      </c>
      <c r="B65" s="94"/>
      <c r="C65" s="788">
        <f t="shared" ref="C65:AH65" si="67">INDEX(MO_RIS_GA,0,COLUMN())</f>
        <v>4.5970000000000004</v>
      </c>
      <c r="D65" s="788">
        <f t="shared" si="67"/>
        <v>11.287000000000001</v>
      </c>
      <c r="E65" s="788">
        <f t="shared" si="67"/>
        <v>17.234000000000002</v>
      </c>
      <c r="F65" s="788">
        <f t="shared" si="67"/>
        <v>31.530999999999999</v>
      </c>
      <c r="G65" s="552">
        <f t="shared" si="67"/>
        <v>8.7639999999999993</v>
      </c>
      <c r="H65" s="552">
        <f t="shared" si="67"/>
        <v>10.148</v>
      </c>
      <c r="I65" s="552">
        <f t="shared" si="67"/>
        <v>10.535</v>
      </c>
      <c r="J65" s="552">
        <f t="shared" si="67"/>
        <v>13.46</v>
      </c>
      <c r="K65" s="788">
        <f t="shared" si="67"/>
        <v>42.906999999999996</v>
      </c>
      <c r="L65" s="552">
        <f t="shared" si="67"/>
        <v>13.17</v>
      </c>
      <c r="M65" s="552">
        <f t="shared" si="67"/>
        <v>13.257</v>
      </c>
      <c r="N65" s="552">
        <f t="shared" si="67"/>
        <v>15.185</v>
      </c>
      <c r="O65" s="552">
        <f t="shared" si="67"/>
        <v>16.661999999999999</v>
      </c>
      <c r="P65" s="788">
        <f t="shared" si="67"/>
        <v>58.274000000000001</v>
      </c>
      <c r="Q65" s="552">
        <f t="shared" si="67"/>
        <v>19.937000000000001</v>
      </c>
      <c r="R65" s="552">
        <f t="shared" si="67"/>
        <v>19.28</v>
      </c>
      <c r="S65" s="552">
        <f t="shared" si="67"/>
        <v>20.99</v>
      </c>
      <c r="T65" s="552">
        <f t="shared" si="67"/>
        <v>20.658999999999999</v>
      </c>
      <c r="U65" s="788">
        <f t="shared" si="67"/>
        <v>80.866</v>
      </c>
      <c r="V65" s="552">
        <f t="shared" si="67"/>
        <v>21.768999999999998</v>
      </c>
      <c r="W65" s="552">
        <f t="shared" si="67"/>
        <v>23.463999999999999</v>
      </c>
      <c r="X65" s="552">
        <f t="shared" si="67"/>
        <v>24.876000000000001</v>
      </c>
      <c r="Y65" s="552">
        <f t="shared" si="67"/>
        <v>27.372</v>
      </c>
      <c r="Z65" s="788">
        <f t="shared" si="67"/>
        <v>97.480999999999995</v>
      </c>
      <c r="AA65" s="552">
        <f t="shared" si="67"/>
        <v>27.166</v>
      </c>
      <c r="AB65" s="552">
        <f t="shared" si="67"/>
        <v>27.042000000000002</v>
      </c>
      <c r="AC65" s="552">
        <f t="shared" si="67"/>
        <v>27.600999999999999</v>
      </c>
      <c r="AD65" s="552">
        <f t="shared" si="67"/>
        <v>27.898</v>
      </c>
      <c r="AE65" s="788">
        <f t="shared" si="67"/>
        <v>109.70699999999999</v>
      </c>
      <c r="AF65" s="552">
        <f t="shared" si="67"/>
        <v>32.006999999999998</v>
      </c>
      <c r="AG65" s="552">
        <f t="shared" si="67"/>
        <v>28.582999999999998</v>
      </c>
      <c r="AH65" s="552">
        <f t="shared" si="67"/>
        <v>30.302</v>
      </c>
      <c r="AI65" s="552">
        <f t="shared" ref="AI65:BA65" si="68">INDEX(MO_RIS_GA,0,COLUMN())</f>
        <v>29.677000000000007</v>
      </c>
      <c r="AJ65" s="788">
        <f t="shared" si="68"/>
        <v>120.569</v>
      </c>
      <c r="AK65" s="552">
        <f t="shared" si="68"/>
        <v>31.292000000000002</v>
      </c>
      <c r="AL65" s="552">
        <f t="shared" si="68"/>
        <v>30.931999999999999</v>
      </c>
      <c r="AM65" s="552">
        <f t="shared" si="68"/>
        <v>39.703000000000003</v>
      </c>
      <c r="AN65" s="552">
        <f t="shared" si="68"/>
        <v>34.164000000000001</v>
      </c>
      <c r="AO65" s="788">
        <f t="shared" si="68"/>
        <v>136.09100000000001</v>
      </c>
      <c r="AP65" s="552">
        <f t="shared" si="68"/>
        <v>43.536000000000001</v>
      </c>
      <c r="AQ65" s="552">
        <f t="shared" si="68"/>
        <v>26.402000000000001</v>
      </c>
      <c r="AR65" s="552">
        <f t="shared" si="68"/>
        <v>30.887</v>
      </c>
      <c r="AS65" s="552">
        <f t="shared" si="68"/>
        <v>29.625</v>
      </c>
      <c r="AT65" s="788">
        <f t="shared" si="68"/>
        <v>130.44999999999999</v>
      </c>
      <c r="AU65" s="552">
        <f t="shared" si="68"/>
        <v>31.861000000000001</v>
      </c>
      <c r="AV65" s="552">
        <f t="shared" si="68"/>
        <v>45.094999999999999</v>
      </c>
      <c r="AW65" s="552">
        <f t="shared" si="68"/>
        <v>30.001000000000001</v>
      </c>
      <c r="AX65" s="552">
        <f t="shared" si="68"/>
        <v>28.858999999999995</v>
      </c>
      <c r="AY65" s="788">
        <f t="shared" si="68"/>
        <v>135.816</v>
      </c>
      <c r="AZ65" s="552">
        <f t="shared" si="68"/>
        <v>39.383000000000003</v>
      </c>
      <c r="BA65" s="552">
        <f t="shared" si="68"/>
        <v>38.377000000000002</v>
      </c>
      <c r="BB65" s="552">
        <f t="shared" ref="BB65:BG65" si="69">INDEX(MO_RIS_GA,0,COLUMN())</f>
        <v>48.381</v>
      </c>
      <c r="BC65" s="552">
        <f t="shared" si="69"/>
        <v>37.966999999999999</v>
      </c>
      <c r="BD65" s="788">
        <f t="shared" si="69"/>
        <v>164.108</v>
      </c>
      <c r="BE65" s="552">
        <f t="shared" si="69"/>
        <v>46.509</v>
      </c>
      <c r="BF65" s="552">
        <f t="shared" si="69"/>
        <v>53.405000000000001</v>
      </c>
      <c r="BG65" s="552">
        <f t="shared" si="69"/>
        <v>45.695</v>
      </c>
      <c r="BH65" s="552">
        <f t="shared" ref="BH65:BN65" si="70">INDEX(MO_RIS_GA,0,COLUMN())</f>
        <v>66.822000000000003</v>
      </c>
      <c r="BI65" s="788">
        <f t="shared" si="70"/>
        <v>212.43100000000001</v>
      </c>
      <c r="BJ65" s="552">
        <f t="shared" si="70"/>
        <v>45.231999999999999</v>
      </c>
      <c r="BK65" s="552">
        <f t="shared" si="70"/>
        <v>44.634</v>
      </c>
      <c r="BL65" s="597">
        <f>INDEX(MO_RIS_GA,0,COLUMN())</f>
        <v>49.604999999999997</v>
      </c>
      <c r="BM65" s="552">
        <f t="shared" si="70"/>
        <v>35.042607045483997</v>
      </c>
      <c r="BN65" s="788">
        <f t="shared" si="70"/>
        <v>174.51360704548401</v>
      </c>
      <c r="BO65" s="552">
        <f t="shared" ref="BO65:BV65" si="71">INDEX(MO_RIS_GA,0,COLUMN())</f>
        <v>59.72021113678376</v>
      </c>
      <c r="BP65" s="552">
        <f t="shared" si="71"/>
        <v>38.639669271465017</v>
      </c>
      <c r="BQ65" s="552">
        <f t="shared" si="71"/>
        <v>46.49345405419011</v>
      </c>
      <c r="BR65" s="552">
        <f t="shared" si="71"/>
        <v>39.653923514089726</v>
      </c>
      <c r="BS65" s="788">
        <f t="shared" si="71"/>
        <v>184.50725797652865</v>
      </c>
      <c r="BT65" s="788">
        <f t="shared" si="71"/>
        <v>157.51508991092518</v>
      </c>
      <c r="BU65" s="788">
        <f t="shared" si="71"/>
        <v>203.30770732032616</v>
      </c>
      <c r="BV65" s="788">
        <f t="shared" si="71"/>
        <v>222.01961201562565</v>
      </c>
      <c r="BW65" s="552"/>
    </row>
    <row r="66" spans="1:75" s="481" customFormat="1">
      <c r="A66" s="93" t="str">
        <f>INDEX(MO_RIS_DA_ISAR,0,COLUMN())</f>
        <v>D&amp;A</v>
      </c>
      <c r="B66" s="94"/>
      <c r="C66" s="788">
        <f t="shared" ref="C66:AH66" si="72">INDEX(MO_RIS_DA_ISAR,0,COLUMN())</f>
        <v>1.2010000000000001</v>
      </c>
      <c r="D66" s="788">
        <f t="shared" si="72"/>
        <v>2.3340000000000001</v>
      </c>
      <c r="E66" s="788">
        <f t="shared" si="72"/>
        <v>4.2380000000000004</v>
      </c>
      <c r="F66" s="788">
        <f t="shared" si="72"/>
        <v>7.2229999999999999</v>
      </c>
      <c r="G66" s="552">
        <f t="shared" si="72"/>
        <v>2.4780000000000002</v>
      </c>
      <c r="H66" s="552">
        <f t="shared" si="72"/>
        <v>2.637</v>
      </c>
      <c r="I66" s="552">
        <f t="shared" si="72"/>
        <v>2.8159999999999998</v>
      </c>
      <c r="J66" s="552">
        <f t="shared" si="72"/>
        <v>3.524</v>
      </c>
      <c r="K66" s="788">
        <f t="shared" si="72"/>
        <v>11.455</v>
      </c>
      <c r="L66" s="552">
        <f t="shared" si="72"/>
        <v>3.661</v>
      </c>
      <c r="M66" s="552">
        <f t="shared" si="72"/>
        <v>4.0339999999999998</v>
      </c>
      <c r="N66" s="552">
        <f t="shared" si="72"/>
        <v>4.6040000000000001</v>
      </c>
      <c r="O66" s="552">
        <f t="shared" si="72"/>
        <v>5.2910000000000004</v>
      </c>
      <c r="P66" s="788">
        <f t="shared" si="72"/>
        <v>17.59</v>
      </c>
      <c r="Q66" s="552">
        <f t="shared" si="72"/>
        <v>6.8949999999999996</v>
      </c>
      <c r="R66" s="552">
        <f t="shared" si="72"/>
        <v>7.1669999999999998</v>
      </c>
      <c r="S66" s="552">
        <f t="shared" si="72"/>
        <v>7.5620000000000003</v>
      </c>
      <c r="T66" s="552">
        <f t="shared" si="72"/>
        <v>7.98</v>
      </c>
      <c r="U66" s="788">
        <f t="shared" si="72"/>
        <v>29.603999999999999</v>
      </c>
      <c r="V66" s="552">
        <f t="shared" si="72"/>
        <v>8.1890000000000001</v>
      </c>
      <c r="W66" s="552">
        <f t="shared" si="72"/>
        <v>8.5640000000000001</v>
      </c>
      <c r="X66" s="552">
        <f t="shared" si="72"/>
        <v>9.1590000000000007</v>
      </c>
      <c r="Y66" s="552">
        <f t="shared" si="72"/>
        <v>9.4339999999999975</v>
      </c>
      <c r="Z66" s="788">
        <f t="shared" si="72"/>
        <v>35.345999999999997</v>
      </c>
      <c r="AA66" s="552">
        <f t="shared" si="72"/>
        <v>10.151</v>
      </c>
      <c r="AB66" s="552">
        <f t="shared" si="72"/>
        <v>10.662000000000001</v>
      </c>
      <c r="AC66" s="552">
        <f t="shared" si="72"/>
        <v>10.656000000000001</v>
      </c>
      <c r="AD66" s="552">
        <f t="shared" si="72"/>
        <v>9.7289999999999992</v>
      </c>
      <c r="AE66" s="788">
        <f t="shared" si="72"/>
        <v>41.198</v>
      </c>
      <c r="AF66" s="552">
        <f t="shared" si="72"/>
        <v>10.028</v>
      </c>
      <c r="AG66" s="552">
        <f t="shared" si="72"/>
        <v>10.509</v>
      </c>
      <c r="AH66" s="552">
        <f t="shared" si="72"/>
        <v>10.712999999999999</v>
      </c>
      <c r="AI66" s="552">
        <f t="shared" ref="AI66:BN66" si="73">INDEX(MO_RIS_DA_ISAR,0,COLUMN())</f>
        <v>11.557000000000002</v>
      </c>
      <c r="AJ66" s="788">
        <f t="shared" si="73"/>
        <v>42.807000000000002</v>
      </c>
      <c r="AK66" s="552">
        <f t="shared" si="73"/>
        <v>11.875999999999999</v>
      </c>
      <c r="AL66" s="552">
        <f t="shared" si="73"/>
        <v>12.24</v>
      </c>
      <c r="AM66" s="552">
        <f t="shared" si="73"/>
        <v>12.391</v>
      </c>
      <c r="AN66" s="552">
        <f t="shared" si="73"/>
        <v>12.849000000000004</v>
      </c>
      <c r="AO66" s="788">
        <f t="shared" si="73"/>
        <v>49.356000000000002</v>
      </c>
      <c r="AP66" s="552">
        <f t="shared" si="73"/>
        <v>12.358000000000001</v>
      </c>
      <c r="AQ66" s="552">
        <f t="shared" si="73"/>
        <v>12.582000000000001</v>
      </c>
      <c r="AR66" s="552">
        <f t="shared" si="73"/>
        <v>12.544</v>
      </c>
      <c r="AS66" s="552">
        <f t="shared" si="73"/>
        <v>13.125</v>
      </c>
      <c r="AT66" s="788">
        <f t="shared" si="73"/>
        <v>50.609000000000002</v>
      </c>
      <c r="AU66" s="552">
        <f t="shared" si="73"/>
        <v>13.083</v>
      </c>
      <c r="AV66" s="552">
        <f t="shared" si="73"/>
        <v>12.833</v>
      </c>
      <c r="AW66" s="552">
        <f t="shared" si="73"/>
        <v>12.627000000000001</v>
      </c>
      <c r="AX66" s="552">
        <f t="shared" si="73"/>
        <v>17.14</v>
      </c>
      <c r="AY66" s="788">
        <f t="shared" si="73"/>
        <v>55.683</v>
      </c>
      <c r="AZ66" s="552">
        <f t="shared" si="73"/>
        <v>11.49</v>
      </c>
      <c r="BA66" s="552">
        <f t="shared" si="73"/>
        <v>11.257999999999999</v>
      </c>
      <c r="BB66" s="552">
        <f t="shared" si="73"/>
        <v>11.417</v>
      </c>
      <c r="BC66" s="552">
        <f t="shared" si="73"/>
        <v>10.686999999999998</v>
      </c>
      <c r="BD66" s="788">
        <f t="shared" si="73"/>
        <v>44.851999999999997</v>
      </c>
      <c r="BE66" s="552">
        <f t="shared" si="73"/>
        <v>10.805</v>
      </c>
      <c r="BF66" s="552">
        <f t="shared" si="73"/>
        <v>10.615</v>
      </c>
      <c r="BG66" s="552">
        <f t="shared" si="73"/>
        <v>10.461</v>
      </c>
      <c r="BH66" s="552">
        <f>INDEX(MO_RIS_DA_ISAR,0,COLUMN())</f>
        <v>10.302999999999997</v>
      </c>
      <c r="BI66" s="788">
        <f>INDEX(MO_RIS_DA_ISAR,0,COLUMN())</f>
        <v>42.183999999999997</v>
      </c>
      <c r="BJ66" s="552">
        <f>INDEX(MO_RIS_DA_ISAR,0,COLUMN())</f>
        <v>9.93</v>
      </c>
      <c r="BK66" s="552">
        <f>INDEX(MO_RIS_DA_ISAR,0,COLUMN())</f>
        <v>9.5850000000000009</v>
      </c>
      <c r="BL66" s="597">
        <f>INDEX(MO_RIS_DA_ISAR,0,COLUMN())</f>
        <v>9.3260000000000005</v>
      </c>
      <c r="BM66" s="552">
        <f t="shared" si="73"/>
        <v>10.563070491803279</v>
      </c>
      <c r="BN66" s="788">
        <f t="shared" si="73"/>
        <v>39.404070491803282</v>
      </c>
      <c r="BO66" s="552">
        <f t="shared" ref="BO66:BV66" si="74">INDEX(MO_RIS_DA_ISAR,0,COLUMN())</f>
        <v>9.4503611183471818</v>
      </c>
      <c r="BP66" s="552">
        <f t="shared" si="74"/>
        <v>9.644228431546944</v>
      </c>
      <c r="BQ66" s="552">
        <f t="shared" si="74"/>
        <v>9.8150754784294971</v>
      </c>
      <c r="BR66" s="552">
        <f t="shared" si="74"/>
        <v>9.8578734077809695</v>
      </c>
      <c r="BS66" s="788">
        <f t="shared" si="74"/>
        <v>38.767538436104594</v>
      </c>
      <c r="BT66" s="788">
        <f t="shared" si="74"/>
        <v>39.255514549488026</v>
      </c>
      <c r="BU66" s="788">
        <f t="shared" si="74"/>
        <v>39.911809422727721</v>
      </c>
      <c r="BV66" s="788">
        <f t="shared" si="74"/>
        <v>40.197349037150012</v>
      </c>
      <c r="BW66" s="552"/>
    </row>
    <row r="67" spans="1:75" s="481" customFormat="1">
      <c r="A67" s="93" t="str">
        <f>INDEX(MO_RIS_OI_Operating,0,COLUMN())</f>
        <v>Other</v>
      </c>
      <c r="B67" s="94"/>
      <c r="C67" s="788">
        <f t="shared" ref="C67:AH67" si="75">INDEX(MO_RIS_OI_Operating,0,COLUMN())</f>
        <v>0</v>
      </c>
      <c r="D67" s="788">
        <f t="shared" si="75"/>
        <v>0</v>
      </c>
      <c r="E67" s="788">
        <f t="shared" si="75"/>
        <v>5.9279999999999999</v>
      </c>
      <c r="F67" s="788">
        <f t="shared" si="75"/>
        <v>1.262</v>
      </c>
      <c r="G67" s="552">
        <f t="shared" si="75"/>
        <v>0.67500000000000004</v>
      </c>
      <c r="H67" s="552">
        <f t="shared" si="75"/>
        <v>0</v>
      </c>
      <c r="I67" s="552">
        <f t="shared" si="75"/>
        <v>0</v>
      </c>
      <c r="J67" s="552">
        <f t="shared" si="75"/>
        <v>0</v>
      </c>
      <c r="K67" s="788">
        <f t="shared" si="75"/>
        <v>0.67500000000000004</v>
      </c>
      <c r="L67" s="552">
        <f t="shared" si="75"/>
        <v>0</v>
      </c>
      <c r="M67" s="552">
        <f t="shared" si="75"/>
        <v>0</v>
      </c>
      <c r="N67" s="552">
        <f t="shared" si="75"/>
        <v>0</v>
      </c>
      <c r="O67" s="552">
        <f t="shared" si="75"/>
        <v>0</v>
      </c>
      <c r="P67" s="788">
        <f t="shared" si="75"/>
        <v>0</v>
      </c>
      <c r="Q67" s="552">
        <f t="shared" si="75"/>
        <v>0</v>
      </c>
      <c r="R67" s="552">
        <f t="shared" si="75"/>
        <v>0</v>
      </c>
      <c r="S67" s="552">
        <f t="shared" si="75"/>
        <v>0</v>
      </c>
      <c r="T67" s="552">
        <f t="shared" si="75"/>
        <v>0</v>
      </c>
      <c r="U67" s="788">
        <f t="shared" si="75"/>
        <v>0</v>
      </c>
      <c r="V67" s="552">
        <f t="shared" si="75"/>
        <v>0</v>
      </c>
      <c r="W67" s="552">
        <f t="shared" si="75"/>
        <v>0</v>
      </c>
      <c r="X67" s="552">
        <f t="shared" si="75"/>
        <v>0</v>
      </c>
      <c r="Y67" s="552">
        <f t="shared" si="75"/>
        <v>3.4550000000000001</v>
      </c>
      <c r="Z67" s="788">
        <f t="shared" si="75"/>
        <v>3.4550000000000001</v>
      </c>
      <c r="AA67" s="552">
        <f t="shared" si="75"/>
        <v>0.23100000000000001</v>
      </c>
      <c r="AB67" s="552">
        <f t="shared" si="75"/>
        <v>2.1000000000000001E-2</v>
      </c>
      <c r="AC67" s="552">
        <f t="shared" si="75"/>
        <v>3.5000000000000003E-2</v>
      </c>
      <c r="AD67" s="552">
        <f t="shared" si="75"/>
        <v>-163.696</v>
      </c>
      <c r="AE67" s="788">
        <f t="shared" si="75"/>
        <v>-163.40899999999999</v>
      </c>
      <c r="AF67" s="552">
        <f t="shared" si="75"/>
        <v>0</v>
      </c>
      <c r="AG67" s="552">
        <f t="shared" si="75"/>
        <v>0</v>
      </c>
      <c r="AH67" s="552">
        <f t="shared" si="75"/>
        <v>0</v>
      </c>
      <c r="AI67" s="552">
        <f t="shared" ref="AI67:BN67" si="76">INDEX(MO_RIS_OI_Operating,0,COLUMN())</f>
        <v>0</v>
      </c>
      <c r="AJ67" s="788">
        <f t="shared" si="76"/>
        <v>0</v>
      </c>
      <c r="AK67" s="552">
        <f t="shared" si="76"/>
        <v>0</v>
      </c>
      <c r="AL67" s="552">
        <f t="shared" si="76"/>
        <v>0</v>
      </c>
      <c r="AM67" s="552">
        <f t="shared" si="76"/>
        <v>0</v>
      </c>
      <c r="AN67" s="552">
        <f t="shared" si="76"/>
        <v>0</v>
      </c>
      <c r="AO67" s="788">
        <f t="shared" si="76"/>
        <v>0</v>
      </c>
      <c r="AP67" s="552">
        <f t="shared" si="76"/>
        <v>0</v>
      </c>
      <c r="AQ67" s="552">
        <f t="shared" si="76"/>
        <v>3.3119999999999998</v>
      </c>
      <c r="AR67" s="552">
        <f t="shared" si="76"/>
        <v>0.53500000000000003</v>
      </c>
      <c r="AS67" s="552">
        <f t="shared" si="76"/>
        <v>1.4999999999999999E-2</v>
      </c>
      <c r="AT67" s="788">
        <f t="shared" si="76"/>
        <v>3.8620000000000001</v>
      </c>
      <c r="AU67" s="552">
        <f t="shared" si="76"/>
        <v>0.02</v>
      </c>
      <c r="AV67" s="552">
        <f t="shared" si="76"/>
        <v>1.2E-2</v>
      </c>
      <c r="AW67" s="552">
        <f t="shared" si="76"/>
        <v>0</v>
      </c>
      <c r="AX67" s="552">
        <f t="shared" si="76"/>
        <v>0</v>
      </c>
      <c r="AY67" s="788">
        <f t="shared" si="76"/>
        <v>3.2000000000000001E-2</v>
      </c>
      <c r="AZ67" s="552">
        <f t="shared" si="76"/>
        <v>0</v>
      </c>
      <c r="BA67" s="552">
        <f t="shared" si="76"/>
        <v>0</v>
      </c>
      <c r="BB67" s="552">
        <f t="shared" si="76"/>
        <v>0</v>
      </c>
      <c r="BC67" s="552">
        <f t="shared" si="76"/>
        <v>0</v>
      </c>
      <c r="BD67" s="788">
        <f t="shared" si="76"/>
        <v>0</v>
      </c>
      <c r="BE67" s="552">
        <f t="shared" si="76"/>
        <v>0</v>
      </c>
      <c r="BF67" s="552">
        <f t="shared" si="76"/>
        <v>0</v>
      </c>
      <c r="BG67" s="552">
        <f t="shared" si="76"/>
        <v>0</v>
      </c>
      <c r="BH67" s="552">
        <f>INDEX(MO_RIS_OI_Operating,0,COLUMN())</f>
        <v>0</v>
      </c>
      <c r="BI67" s="788">
        <f>INDEX(MO_RIS_OI_Operating,0,COLUMN())</f>
        <v>0</v>
      </c>
      <c r="BJ67" s="552">
        <f>INDEX(MO_RIS_OI_Operating,0,COLUMN())</f>
        <v>0</v>
      </c>
      <c r="BK67" s="552">
        <f>INDEX(MO_RIS_OI_Operating,0,COLUMN())</f>
        <v>0</v>
      </c>
      <c r="BL67" s="597">
        <f>INDEX(MO_RIS_OI_Operating,0,COLUMN())</f>
        <v>0</v>
      </c>
      <c r="BM67" s="552">
        <f t="shared" si="76"/>
        <v>0</v>
      </c>
      <c r="BN67" s="788">
        <f t="shared" si="76"/>
        <v>0</v>
      </c>
      <c r="BO67" s="552">
        <f t="shared" ref="BO67:BV67" si="77">INDEX(MO_RIS_OI_Operating,0,COLUMN())</f>
        <v>0</v>
      </c>
      <c r="BP67" s="552">
        <f t="shared" si="77"/>
        <v>0</v>
      </c>
      <c r="BQ67" s="552">
        <f t="shared" si="77"/>
        <v>0</v>
      </c>
      <c r="BR67" s="552">
        <f t="shared" si="77"/>
        <v>0</v>
      </c>
      <c r="BS67" s="788">
        <f t="shared" si="77"/>
        <v>0</v>
      </c>
      <c r="BT67" s="788">
        <f t="shared" si="77"/>
        <v>0</v>
      </c>
      <c r="BU67" s="788">
        <f t="shared" si="77"/>
        <v>0</v>
      </c>
      <c r="BV67" s="788">
        <f t="shared" si="77"/>
        <v>0</v>
      </c>
      <c r="BW67" s="552"/>
    </row>
    <row r="68" spans="1:75" s="478" customFormat="1">
      <c r="A68" s="95" t="str">
        <f>INDEX(MO_RIS_EBIT,0,COLUMN())</f>
        <v>EBIT</v>
      </c>
      <c r="B68" s="96"/>
      <c r="C68" s="789">
        <f t="shared" ref="C68:AH68" si="78">IFERROR(INDEX(SP_GF_Rev,0,COLUMN()),0)-IFERROR(INDEX(SP_GF_COGS,0,COLUMN()),0)-IFERROR(INDEX(SP_GF_SM,0,COLUMN()),0)-IFERROR(INDEX(SP_GF_OI_Operating,0,COLUMN()),0)-IFERROR(INDEX(SP_GF_DA_ISAR,0,COLUMN()),0)-IFERROR(INDEX(SP_GF_GA,0,COLUMN()),0)-IFERROR(INDEX(SP_GF_RD,0,COLUMN()),0)</f>
        <v>-2.3329999999999989</v>
      </c>
      <c r="D68" s="789">
        <f t="shared" si="78"/>
        <v>-9.5059999999999967</v>
      </c>
      <c r="E68" s="789">
        <f t="shared" si="78"/>
        <v>-16.171000000000006</v>
      </c>
      <c r="F68" s="789">
        <f t="shared" si="78"/>
        <v>-18.764999999999993</v>
      </c>
      <c r="G68" s="598">
        <f t="shared" si="78"/>
        <v>-4.5539999999999923</v>
      </c>
      <c r="H68" s="598">
        <f t="shared" si="78"/>
        <v>-0.57999999999999829</v>
      </c>
      <c r="I68" s="598">
        <f t="shared" si="78"/>
        <v>-1.7810000000000006</v>
      </c>
      <c r="J68" s="598">
        <f t="shared" si="78"/>
        <v>-1.9080000000000084</v>
      </c>
      <c r="K68" s="789">
        <f t="shared" si="78"/>
        <v>-8.8230000000000004</v>
      </c>
      <c r="L68" s="598">
        <f t="shared" si="78"/>
        <v>-4.6040000000000045</v>
      </c>
      <c r="M68" s="598">
        <f t="shared" si="78"/>
        <v>3.1270000000000078</v>
      </c>
      <c r="N68" s="598">
        <f t="shared" si="78"/>
        <v>4.5439999999999898</v>
      </c>
      <c r="O68" s="598">
        <f t="shared" si="78"/>
        <v>7.9920000000000044</v>
      </c>
      <c r="P68" s="789">
        <f t="shared" si="78"/>
        <v>11.058999999999983</v>
      </c>
      <c r="Q68" s="598">
        <f t="shared" si="78"/>
        <v>-4.2490000000000059</v>
      </c>
      <c r="R68" s="598">
        <f t="shared" si="78"/>
        <v>5.0000000000011369E-2</v>
      </c>
      <c r="S68" s="598">
        <f t="shared" si="78"/>
        <v>-10.711999999999982</v>
      </c>
      <c r="T68" s="598">
        <f t="shared" si="78"/>
        <v>-6.4130000000000038</v>
      </c>
      <c r="U68" s="789">
        <f t="shared" si="78"/>
        <v>-21.32399999999997</v>
      </c>
      <c r="V68" s="598">
        <f t="shared" si="78"/>
        <v>-14.273000000000003</v>
      </c>
      <c r="W68" s="598">
        <f t="shared" si="78"/>
        <v>-1.1869999999999905</v>
      </c>
      <c r="X68" s="598">
        <f t="shared" si="78"/>
        <v>1.960000000000008</v>
      </c>
      <c r="Y68" s="598">
        <f t="shared" si="78"/>
        <v>8.5209999999999297</v>
      </c>
      <c r="Z68" s="789">
        <f t="shared" si="78"/>
        <v>-4.9790000000000703</v>
      </c>
      <c r="AA68" s="598">
        <f t="shared" si="78"/>
        <v>-4.6909999999999954</v>
      </c>
      <c r="AB68" s="598">
        <f t="shared" si="78"/>
        <v>7.1549999999999656</v>
      </c>
      <c r="AC68" s="598">
        <f t="shared" si="78"/>
        <v>6.8909999999999911</v>
      </c>
      <c r="AD68" s="598">
        <f t="shared" si="78"/>
        <v>170.267</v>
      </c>
      <c r="AE68" s="789">
        <f t="shared" si="78"/>
        <v>179.62199999999999</v>
      </c>
      <c r="AF68" s="598">
        <f t="shared" si="78"/>
        <v>-4.8269999999999982</v>
      </c>
      <c r="AG68" s="598">
        <f t="shared" si="78"/>
        <v>7.6209999999999951</v>
      </c>
      <c r="AH68" s="598">
        <f t="shared" si="78"/>
        <v>10.381000000000007</v>
      </c>
      <c r="AI68" s="598">
        <f t="shared" ref="AI68:BN68" si="79">IFERROR(INDEX(SP_GF_Rev,0,COLUMN()),0)-IFERROR(INDEX(SP_GF_COGS,0,COLUMN()),0)-IFERROR(INDEX(SP_GF_SM,0,COLUMN()),0)-IFERROR(INDEX(SP_GF_OI_Operating,0,COLUMN()),0)-IFERROR(INDEX(SP_GF_DA_ISAR,0,COLUMN()),0)-IFERROR(INDEX(SP_GF_GA,0,COLUMN()),0)-IFERROR(INDEX(SP_GF_RD,0,COLUMN()),0)</f>
        <v>12.722000000000008</v>
      </c>
      <c r="AJ68" s="789">
        <f t="shared" si="79"/>
        <v>25.89700000000002</v>
      </c>
      <c r="AK68" s="598">
        <f t="shared" si="79"/>
        <v>-3.8819999999999908</v>
      </c>
      <c r="AL68" s="598">
        <f t="shared" si="79"/>
        <v>12.197000000000017</v>
      </c>
      <c r="AM68" s="598">
        <f t="shared" si="79"/>
        <v>9.5499999999999687</v>
      </c>
      <c r="AN68" s="598">
        <f t="shared" si="79"/>
        <v>17.645999999999816</v>
      </c>
      <c r="AO68" s="789">
        <f t="shared" si="79"/>
        <v>35.510999999999967</v>
      </c>
      <c r="AP68" s="598">
        <f t="shared" si="79"/>
        <v>-27.25</v>
      </c>
      <c r="AQ68" s="598">
        <f t="shared" si="79"/>
        <v>-35.34899999999999</v>
      </c>
      <c r="AR68" s="598">
        <f t="shared" si="79"/>
        <v>9.3249999999999815</v>
      </c>
      <c r="AS68" s="598">
        <f t="shared" si="79"/>
        <v>14.478999999999992</v>
      </c>
      <c r="AT68" s="789">
        <f t="shared" si="79"/>
        <v>-38.795000000000044</v>
      </c>
      <c r="AU68" s="598">
        <f t="shared" si="79"/>
        <v>-8.6430000000000007</v>
      </c>
      <c r="AV68" s="598">
        <f t="shared" si="79"/>
        <v>-1.0810000000000031</v>
      </c>
      <c r="AW68" s="598">
        <f t="shared" si="79"/>
        <v>21.644999999999953</v>
      </c>
      <c r="AX68" s="598">
        <f t="shared" si="79"/>
        <v>19.592999999999989</v>
      </c>
      <c r="AY68" s="789">
        <f t="shared" si="79"/>
        <v>31.513999999999953</v>
      </c>
      <c r="AZ68" s="598">
        <f t="shared" si="79"/>
        <v>-4.4560000000000173</v>
      </c>
      <c r="BA68" s="598">
        <f t="shared" si="79"/>
        <v>16.000999999999991</v>
      </c>
      <c r="BB68" s="598">
        <f t="shared" si="79"/>
        <v>13.424000000000007</v>
      </c>
      <c r="BC68" s="598">
        <f t="shared" si="79"/>
        <v>33.384000000000114</v>
      </c>
      <c r="BD68" s="789">
        <f t="shared" si="79"/>
        <v>58.353000000000179</v>
      </c>
      <c r="BE68" s="598">
        <f t="shared" si="79"/>
        <v>-6.5870000000000601</v>
      </c>
      <c r="BF68" s="598">
        <f t="shared" si="79"/>
        <v>18.741999999999933</v>
      </c>
      <c r="BG68" s="598">
        <f t="shared" si="79"/>
        <v>41.873000000000005</v>
      </c>
      <c r="BH68" s="598">
        <f>IFERROR(INDEX(SP_GF_Rev,0,COLUMN()),0)-IFERROR(INDEX(SP_GF_COGS,0,COLUMN()),0)-IFERROR(INDEX(SP_GF_SM,0,COLUMN()),0)-IFERROR(INDEX(SP_GF_OI_Operating,0,COLUMN()),0)-IFERROR(INDEX(SP_GF_DA_ISAR,0,COLUMN()),0)-IFERROR(INDEX(SP_GF_GA,0,COLUMN()),0)-IFERROR(INDEX(SP_GF_RD,0,COLUMN()),0)</f>
        <v>25.014999999999986</v>
      </c>
      <c r="BI68" s="789">
        <f>IFERROR(INDEX(SP_GF_Rev,0,COLUMN()),0)-IFERROR(INDEX(SP_GF_COGS,0,COLUMN()),0)-IFERROR(INDEX(SP_GF_SM,0,COLUMN()),0)-IFERROR(INDEX(SP_GF_OI_Operating,0,COLUMN()),0)-IFERROR(INDEX(SP_GF_DA_ISAR,0,COLUMN()),0)-IFERROR(INDEX(SP_GF_GA,0,COLUMN()),0)-IFERROR(INDEX(SP_GF_RD,0,COLUMN()),0)</f>
        <v>79.042999999999836</v>
      </c>
      <c r="BJ68" s="598">
        <f>IFERROR(INDEX(SP_GF_Rev,0,COLUMN()),0)-IFERROR(INDEX(SP_GF_COGS,0,COLUMN()),0)-IFERROR(INDEX(SP_GF_SM,0,COLUMN()),0)-IFERROR(INDEX(SP_GF_OI_Operating,0,COLUMN()),0)-IFERROR(INDEX(SP_GF_DA_ISAR,0,COLUMN()),0)-IFERROR(INDEX(SP_GF_GA,0,COLUMN()),0)-IFERROR(INDEX(SP_GF_RD,0,COLUMN()),0)</f>
        <v>11.216999999999985</v>
      </c>
      <c r="BK68" s="598">
        <f>IFERROR(INDEX(SP_GF_Rev,0,COLUMN()),0)-IFERROR(INDEX(SP_GF_COGS,0,COLUMN()),0)-IFERROR(INDEX(SP_GF_SM,0,COLUMN()),0)-IFERROR(INDEX(SP_GF_OI_Operating,0,COLUMN()),0)-IFERROR(INDEX(SP_GF_DA_ISAR,0,COLUMN()),0)-IFERROR(INDEX(SP_GF_GA,0,COLUMN()),0)-IFERROR(INDEX(SP_GF_RD,0,COLUMN()),0)</f>
        <v>39.746999999999986</v>
      </c>
      <c r="BL68" s="599">
        <f>IFERROR(INDEX(SP_GF_Rev,0,COLUMN()),0)-IFERROR(INDEX(SP_GF_COGS,0,COLUMN()),0)-IFERROR(INDEX(SP_GF_SM,0,COLUMN()),0)-IFERROR(INDEX(SP_GF_OI_Operating,0,COLUMN()),0)-IFERROR(INDEX(SP_GF_DA_ISAR,0,COLUMN()),0)-IFERROR(INDEX(SP_GF_GA,0,COLUMN()),0)-IFERROR(INDEX(SP_GF_RD,0,COLUMN()),0)</f>
        <v>46.652000000000001</v>
      </c>
      <c r="BM68" s="598">
        <f t="shared" si="79"/>
        <v>39.547857583238823</v>
      </c>
      <c r="BN68" s="789">
        <f t="shared" si="79"/>
        <v>137.16385758323889</v>
      </c>
      <c r="BO68" s="598">
        <f t="shared" ref="BO68:BV68" si="80">IFERROR(INDEX(SP_GF_Rev,0,COLUMN()),0)-IFERROR(INDEX(SP_GF_COGS,0,COLUMN()),0)-IFERROR(INDEX(SP_GF_SM,0,COLUMN()),0)-IFERROR(INDEX(SP_GF_OI_Operating,0,COLUMN()),0)-IFERROR(INDEX(SP_GF_DA_ISAR,0,COLUMN()),0)-IFERROR(INDEX(SP_GF_GA,0,COLUMN()),0)-IFERROR(INDEX(SP_GF_RD,0,COLUMN()),0)</f>
        <v>18.653267651904031</v>
      </c>
      <c r="BP68" s="598">
        <f t="shared" si="80"/>
        <v>48.315275475650637</v>
      </c>
      <c r="BQ68" s="598">
        <f t="shared" si="80"/>
        <v>42.490060332534441</v>
      </c>
      <c r="BR68" s="598">
        <f t="shared" si="80"/>
        <v>45.657619511944645</v>
      </c>
      <c r="BS68" s="789">
        <f t="shared" si="80"/>
        <v>155.1162229720336</v>
      </c>
      <c r="BT68" s="789">
        <f t="shared" si="80"/>
        <v>165.51410233471466</v>
      </c>
      <c r="BU68" s="789">
        <f t="shared" si="80"/>
        <v>197.28051578431962</v>
      </c>
      <c r="BV68" s="789">
        <f t="shared" si="80"/>
        <v>144.8189943092047</v>
      </c>
      <c r="BW68" s="551"/>
    </row>
    <row r="69" spans="1:75" s="481" customFormat="1">
      <c r="A69" s="93" t="str">
        <f>INDEX(MO_RIS_IE,0,COLUMN())</f>
        <v>Interest expense, net</v>
      </c>
      <c r="B69" s="94"/>
      <c r="C69" s="788">
        <f>IFERROR(INDEX(MO_RIS_IE_Net,0,COLUMN()),INDEX(MO_RIS_IE,0,COLUMN())+INDEX(MO_RIS_II,0,COLUMN()))</f>
        <v>0</v>
      </c>
      <c r="D69" s="788">
        <f>IFERROR(INDEX(MO_RIS_IE_Net,0,COLUMN()),INDEX(MO_RIS_IE,0,COLUMN())+INDEX(MO_RIS_II,0,COLUMN()))</f>
        <v>0</v>
      </c>
      <c r="E69" s="788">
        <f>IFERROR(INDEX(MO_RIS_IE_Net,0,COLUMN()),INDEX(MO_RIS_IE,0,COLUMN())+INDEX(MO_RIS_II,0,COLUMN()))</f>
        <v>0</v>
      </c>
      <c r="F69" s="788">
        <f>IFERROR(INDEX(MO_RIS_IE_Net,0,COLUMN()),INDEX(MO_RIS_IE,0,COLUMN())+INDEX(MO_RIS_II,0,COLUMN()))</f>
        <v>0</v>
      </c>
      <c r="G69" s="552">
        <f>IFERROR(INDEX(MO_RIS_IE_Net,0,COLUMN()),INDEX(MO_RIS_IE,0,COLUMN())+INDEX(MO_RIS_II,0,COLUMN()))</f>
        <v>0</v>
      </c>
      <c r="H69" s="552">
        <f>IFERROR(INDEX(MO_RIS_IE_Net,0,COLUMN()),INDEX(MO_RIS_IE,0,COLUMN())+INDEX(MO_RIS_II,0,COLUMN()))</f>
        <v>0</v>
      </c>
      <c r="I69" s="552">
        <f>IFERROR(INDEX(MO_RIS_IE_Net,0,COLUMN()),INDEX(MO_RIS_IE,0,COLUMN())+INDEX(MO_RIS_II,0,COLUMN()))</f>
        <v>0</v>
      </c>
      <c r="J69" s="552">
        <f>IFERROR(INDEX(MO_RIS_IE_Net,0,COLUMN()),INDEX(MO_RIS_IE,0,COLUMN())+INDEX(MO_RIS_II,0,COLUMN()))</f>
        <v>0</v>
      </c>
      <c r="K69" s="788">
        <f>IFERROR(INDEX(MO_RIS_IE_Net,0,COLUMN()),INDEX(MO_RIS_IE,0,COLUMN())+INDEX(MO_RIS_II,0,COLUMN()))</f>
        <v>0</v>
      </c>
      <c r="L69" s="552">
        <f>IFERROR(INDEX(MO_RIS_IE_Net,0,COLUMN()),INDEX(MO_RIS_IE,0,COLUMN())+INDEX(MO_RIS_II,0,COLUMN()))</f>
        <v>-3.4000000000000002E-2</v>
      </c>
      <c r="M69" s="552">
        <f>IFERROR(INDEX(MO_RIS_IE_Net,0,COLUMN()),INDEX(MO_RIS_IE,0,COLUMN())+INDEX(MO_RIS_II,0,COLUMN()))</f>
        <v>-0.20200000000000001</v>
      </c>
      <c r="N69" s="552">
        <f>IFERROR(INDEX(MO_RIS_IE_Net,0,COLUMN()),INDEX(MO_RIS_IE,0,COLUMN())+INDEX(MO_RIS_II,0,COLUMN()))</f>
        <v>-0.222</v>
      </c>
      <c r="O69" s="552">
        <f>IFERROR(INDEX(MO_RIS_IE_Net,0,COLUMN()),INDEX(MO_RIS_IE,0,COLUMN())+INDEX(MO_RIS_II,0,COLUMN()))</f>
        <v>8.3000000000000018E-2</v>
      </c>
      <c r="P69" s="788">
        <f>IFERROR(INDEX(MO_RIS_IE_Net,0,COLUMN()),INDEX(MO_RIS_IE,0,COLUMN())+INDEX(MO_RIS_II,0,COLUMN()))</f>
        <v>-0.375</v>
      </c>
      <c r="Q69" s="552">
        <f>IFERROR(INDEX(MO_RIS_IE_Net,0,COLUMN()),INDEX(MO_RIS_IE,0,COLUMN())+INDEX(MO_RIS_II,0,COLUMN()))</f>
        <v>-0.13200000000000001</v>
      </c>
      <c r="R69" s="552">
        <f>IFERROR(INDEX(MO_RIS_IE_Net,0,COLUMN()),INDEX(MO_RIS_IE,0,COLUMN())+INDEX(MO_RIS_II,0,COLUMN()))</f>
        <v>-0.13100000000000001</v>
      </c>
      <c r="S69" s="552">
        <f>IFERROR(INDEX(MO_RIS_IE_Net,0,COLUMN()),INDEX(MO_RIS_IE,0,COLUMN())+INDEX(MO_RIS_II,0,COLUMN()))</f>
        <v>-0.47199999999999998</v>
      </c>
      <c r="T69" s="552">
        <f>IFERROR(INDEX(MO_RIS_IE_Net,0,COLUMN()),INDEX(MO_RIS_IE,0,COLUMN())+INDEX(MO_RIS_II,0,COLUMN()))</f>
        <v>0.11299999999999999</v>
      </c>
      <c r="U69" s="788">
        <f>IFERROR(INDEX(MO_RIS_IE_Net,0,COLUMN()),INDEX(MO_RIS_IE,0,COLUMN())+INDEX(MO_RIS_II,0,COLUMN()))</f>
        <v>-0.622</v>
      </c>
      <c r="V69" s="552">
        <f>IFERROR(INDEX(MO_RIS_IE_Net,0,COLUMN()),INDEX(MO_RIS_IE,0,COLUMN())+INDEX(MO_RIS_II,0,COLUMN()))</f>
        <v>-0.311</v>
      </c>
      <c r="W69" s="552">
        <f>IFERROR(INDEX(MO_RIS_IE_Net,0,COLUMN()),INDEX(MO_RIS_IE,0,COLUMN())+INDEX(MO_RIS_II,0,COLUMN()))</f>
        <v>-0.41399999999999998</v>
      </c>
      <c r="X69" s="552">
        <f>IFERROR(INDEX(MO_RIS_IE_Net,0,COLUMN()),INDEX(MO_RIS_IE,0,COLUMN())+INDEX(MO_RIS_II,0,COLUMN()))</f>
        <v>-0.47799999999999998</v>
      </c>
      <c r="Y69" s="552">
        <f>IFERROR(INDEX(MO_RIS_IE_Net,0,COLUMN()),INDEX(MO_RIS_IE,0,COLUMN())+INDEX(MO_RIS_II,0,COLUMN()))</f>
        <v>-0.52100000000000013</v>
      </c>
      <c r="Z69" s="788">
        <f>IFERROR(INDEX(MO_RIS_IE_Net,0,COLUMN()),INDEX(MO_RIS_IE,0,COLUMN())+INDEX(MO_RIS_II,0,COLUMN()))</f>
        <v>-1.724</v>
      </c>
      <c r="AA69" s="552">
        <f>IFERROR(INDEX(MO_RIS_IE_Net,0,COLUMN()),INDEX(MO_RIS_IE,0,COLUMN())+INDEX(MO_RIS_II,0,COLUMN()))</f>
        <v>-0.68</v>
      </c>
      <c r="AB69" s="552">
        <f>IFERROR(INDEX(MO_RIS_IE_Net,0,COLUMN()),INDEX(MO_RIS_IE,0,COLUMN())+INDEX(MO_RIS_II,0,COLUMN()))</f>
        <v>-0.79400000000000004</v>
      </c>
      <c r="AC69" s="552">
        <f>IFERROR(INDEX(MO_RIS_IE_Net,0,COLUMN()),INDEX(MO_RIS_IE,0,COLUMN())+INDEX(MO_RIS_II,0,COLUMN()))</f>
        <v>-0.99099999999999999</v>
      </c>
      <c r="AD69" s="552">
        <f>IFERROR(INDEX(MO_RIS_IE_Net,0,COLUMN()),INDEX(MO_RIS_IE,0,COLUMN())+INDEX(MO_RIS_II,0,COLUMN()))</f>
        <v>-1.7239999999999998</v>
      </c>
      <c r="AE69" s="788">
        <f>IFERROR(INDEX(MO_RIS_IE_Net,0,COLUMN()),INDEX(MO_RIS_IE,0,COLUMN())+INDEX(MO_RIS_II,0,COLUMN()))</f>
        <v>-4.1890000000000001</v>
      </c>
      <c r="AF69" s="552">
        <f>IFERROR(INDEX(MO_RIS_IE_Net,0,COLUMN()),INDEX(MO_RIS_IE,0,COLUMN())+INDEX(MO_RIS_II,0,COLUMN()))</f>
        <v>-2.6240000000000001</v>
      </c>
      <c r="AG69" s="552">
        <f>IFERROR(INDEX(MO_RIS_IE_Net,0,COLUMN()),INDEX(MO_RIS_IE,0,COLUMN())+INDEX(MO_RIS_II,0,COLUMN()))</f>
        <v>-3.2770000000000001</v>
      </c>
      <c r="AH69" s="552">
        <f>IFERROR(INDEX(MO_RIS_IE_Net,0,COLUMN()),INDEX(MO_RIS_IE,0,COLUMN())+INDEX(MO_RIS_II,0,COLUMN()))</f>
        <v>-3.7050000000000001</v>
      </c>
      <c r="AI69" s="552">
        <f>IFERROR(INDEX(MO_RIS_IE_Net,0,COLUMN()),INDEX(MO_RIS_IE,0,COLUMN())+INDEX(MO_RIS_II,0,COLUMN()))</f>
        <v>-4.1980000000000004</v>
      </c>
      <c r="AJ69" s="788">
        <f>IFERROR(INDEX(MO_RIS_IE_Net,0,COLUMN()),INDEX(MO_RIS_IE,0,COLUMN())+INDEX(MO_RIS_II,0,COLUMN()))</f>
        <v>-13.804</v>
      </c>
      <c r="AK69" s="552">
        <f>IFERROR(INDEX(MO_RIS_IE_Net,0,COLUMN()),INDEX(MO_RIS_IE,0,COLUMN())+INDEX(MO_RIS_II,0,COLUMN()))</f>
        <v>-4.3739999999999997</v>
      </c>
      <c r="AL69" s="552">
        <f>IFERROR(INDEX(MO_RIS_IE_Net,0,COLUMN()),INDEX(MO_RIS_IE,0,COLUMN())+INDEX(MO_RIS_II,0,COLUMN()))</f>
        <v>-3.7429999999999999</v>
      </c>
      <c r="AM69" s="552">
        <f>IFERROR(INDEX(MO_RIS_IE_Net,0,COLUMN()),INDEX(MO_RIS_IE,0,COLUMN())+INDEX(MO_RIS_II,0,COLUMN()))</f>
        <v>-2.83</v>
      </c>
      <c r="AN69" s="552">
        <f>IFERROR(INDEX(MO_RIS_IE_Net,0,COLUMN()),INDEX(MO_RIS_IE,0,COLUMN())+INDEX(MO_RIS_II,0,COLUMN()))</f>
        <v>-2.3810000000000002</v>
      </c>
      <c r="AO69" s="788">
        <f>IFERROR(INDEX(MO_RIS_IE_Net,0,COLUMN()),INDEX(MO_RIS_IE,0,COLUMN())+INDEX(MO_RIS_II,0,COLUMN()))</f>
        <v>-13.327999999999999</v>
      </c>
      <c r="AP69" s="552">
        <f>IFERROR(INDEX(MO_RIS_IE_Net,0,COLUMN()),INDEX(MO_RIS_IE,0,COLUMN())+INDEX(MO_RIS_II,0,COLUMN()))</f>
        <v>-2.1059999999999999</v>
      </c>
      <c r="AQ69" s="552">
        <f>IFERROR(INDEX(MO_RIS_IE_Net,0,COLUMN()),INDEX(MO_RIS_IE,0,COLUMN())+INDEX(MO_RIS_II,0,COLUMN()))</f>
        <v>-0.191</v>
      </c>
      <c r="AR69" s="552">
        <f>IFERROR(INDEX(MO_RIS_IE_Net,0,COLUMN()),INDEX(MO_RIS_IE,0,COLUMN())+INDEX(MO_RIS_II,0,COLUMN()))</f>
        <v>-7.0000000000000001E-3</v>
      </c>
      <c r="AS69" s="552">
        <f>IFERROR(INDEX(MO_RIS_IE_Net,0,COLUMN()),INDEX(MO_RIS_IE,0,COLUMN())+INDEX(MO_RIS_II,0,COLUMN()))</f>
        <v>3.0999999999999694E-2</v>
      </c>
      <c r="AT69" s="788">
        <f>IFERROR(INDEX(MO_RIS_IE_Net,0,COLUMN()),INDEX(MO_RIS_IE,0,COLUMN())+INDEX(MO_RIS_II,0,COLUMN()))</f>
        <v>-2.2730000000000001</v>
      </c>
      <c r="AU69" s="552">
        <f>IFERROR(INDEX(MO_RIS_IE_Net,0,COLUMN()),INDEX(MO_RIS_IE,0,COLUMN())+INDEX(MO_RIS_II,0,COLUMN()))</f>
        <v>1.7999999999999999E-2</v>
      </c>
      <c r="AV69" s="552">
        <f>IFERROR(INDEX(MO_RIS_IE_Net,0,COLUMN()),INDEX(MO_RIS_IE,0,COLUMN())+INDEX(MO_RIS_II,0,COLUMN()))</f>
        <v>3.4000000000000002E-2</v>
      </c>
      <c r="AW69" s="552">
        <f>IFERROR(INDEX(MO_RIS_IE_Net,0,COLUMN()),INDEX(MO_RIS_IE,0,COLUMN())+INDEX(MO_RIS_II,0,COLUMN()))</f>
        <v>3.1E-2</v>
      </c>
      <c r="AX69" s="552">
        <f>IFERROR(INDEX(MO_RIS_IE_Net,0,COLUMN()),INDEX(MO_RIS_IE,0,COLUMN())+INDEX(MO_RIS_II,0,COLUMN()))</f>
        <v>3.3000000000000002E-2</v>
      </c>
      <c r="AY69" s="788">
        <f>IFERROR(INDEX(MO_RIS_IE_Net,0,COLUMN()),INDEX(MO_RIS_IE,0,COLUMN())+INDEX(MO_RIS_II,0,COLUMN()))</f>
        <v>0.11600000000000001</v>
      </c>
      <c r="AZ69" s="552">
        <f>IFERROR(INDEX(MO_RIS_IE_Net,0,COLUMN()),INDEX(MO_RIS_IE,0,COLUMN())+INDEX(MO_RIS_II,0,COLUMN()))</f>
        <v>-2.1999999999999999E-2</v>
      </c>
      <c r="BA69" s="552">
        <f>IFERROR(INDEX(MO_RIS_IE_Net,0,COLUMN()),INDEX(MO_RIS_IE,0,COLUMN())+INDEX(MO_RIS_II,0,COLUMN()))</f>
        <v>-0.52900000000000003</v>
      </c>
      <c r="BB69" s="552">
        <f>IFERROR(INDEX(MO_RIS_IE_Net,0,COLUMN()),INDEX(MO_RIS_IE,0,COLUMN())+INDEX(MO_RIS_II,0,COLUMN()))</f>
        <v>-2.0070000000000001</v>
      </c>
      <c r="BC69" s="552">
        <f>IFERROR(INDEX(MO_RIS_IE_Net,0,COLUMN()),INDEX(MO_RIS_IE,0,COLUMN())+INDEX(MO_RIS_II,0,COLUMN()))</f>
        <v>-3.2039999999999993</v>
      </c>
      <c r="BD69" s="788">
        <f>IFERROR(INDEX(MO_RIS_IE_Net,0,COLUMN()),INDEX(MO_RIS_IE,0,COLUMN())+INDEX(MO_RIS_II,0,COLUMN()))</f>
        <v>-5.7619999999999996</v>
      </c>
      <c r="BE69" s="552">
        <f>IFERROR(INDEX(MO_RIS_IE_Net,0,COLUMN()),INDEX(MO_RIS_IE,0,COLUMN())+INDEX(MO_RIS_II,0,COLUMN()))</f>
        <v>-4.0069999999999997</v>
      </c>
      <c r="BF69" s="552">
        <f>IFERROR(INDEX(MO_RIS_IE_Net,0,COLUMN()),INDEX(MO_RIS_IE,0,COLUMN())+INDEX(MO_RIS_II,0,COLUMN()))</f>
        <v>-4.6559999999999997</v>
      </c>
      <c r="BG69" s="552">
        <f>IFERROR(INDEX(MO_RIS_IE_Net,0,COLUMN()),INDEX(MO_RIS_IE,0,COLUMN())+INDEX(MO_RIS_II,0,COLUMN()))</f>
        <v>-5.1870000000000003</v>
      </c>
      <c r="BH69" s="552">
        <f>IFERROR(INDEX(MO_RIS_IE_Net,0,COLUMN()),INDEX(MO_RIS_IE,0,COLUMN())+INDEX(MO_RIS_II,0,COLUMN()))</f>
        <v>-5.7210000000000001</v>
      </c>
      <c r="BI69" s="788">
        <f>IFERROR(INDEX(MO_RIS_IE_Net,0,COLUMN()),INDEX(MO_RIS_IE,0,COLUMN())+INDEX(MO_RIS_II,0,COLUMN()))</f>
        <v>-19.571000000000002</v>
      </c>
      <c r="BJ69" s="552">
        <f>IFERROR(INDEX(MO_RIS_IE_Net,0,COLUMN()),INDEX(MO_RIS_IE,0,COLUMN())+INDEX(MO_RIS_II,0,COLUMN()))</f>
        <v>-5.6639999999999997</v>
      </c>
      <c r="BK69" s="552">
        <f>IFERROR(INDEX(MO_RIS_IE_Net,0,COLUMN()),INDEX(MO_RIS_IE,0,COLUMN())+INDEX(MO_RIS_II,0,COLUMN()))</f>
        <v>-5.4240000000000004</v>
      </c>
      <c r="BL69" s="597">
        <f>IFERROR(INDEX(MO_RIS_IE_Net,0,COLUMN()),INDEX(MO_RIS_IE,0,COLUMN())+INDEX(MO_RIS_II,0,COLUMN()))</f>
        <v>-5.3079999999999998</v>
      </c>
      <c r="BM69" s="552">
        <f>IFERROR(INDEX(MO_RIS_IE_Net,0,COLUMN()),INDEX(MO_RIS_IE,0,COLUMN())+INDEX(MO_RIS_II,0,COLUMN()))</f>
        <v>-4.9946825136612025</v>
      </c>
      <c r="BN69" s="788">
        <f>IFERROR(INDEX(MO_RIS_IE_Net,0,COLUMN()),INDEX(MO_RIS_IE,0,COLUMN())+INDEX(MO_RIS_II,0,COLUMN()))</f>
        <v>-21.390682513661204</v>
      </c>
      <c r="BO69" s="552" t="str">
        <f>IFERROR(INDEX(MO_RIS_IE_Net,0,COLUMN()),INDEX(MO_RIS_IE,0,COLUMN())+INDEX(MO_RIS_II,0,COLUMN()))</f>
        <v>n/a</v>
      </c>
      <c r="BP69" s="552" t="str">
        <f>IFERROR(INDEX(MO_RIS_IE_Net,0,COLUMN()),INDEX(MO_RIS_IE,0,COLUMN())+INDEX(MO_RIS_II,0,COLUMN()))</f>
        <v>n/a</v>
      </c>
      <c r="BQ69" s="552" t="str">
        <f>IFERROR(INDEX(MO_RIS_IE_Net,0,COLUMN()),INDEX(MO_RIS_IE,0,COLUMN())+INDEX(MO_RIS_II,0,COLUMN()))</f>
        <v>n/a</v>
      </c>
      <c r="BR69" s="552" t="str">
        <f>IFERROR(INDEX(MO_RIS_IE_Net,0,COLUMN()),INDEX(MO_RIS_IE,0,COLUMN())+INDEX(MO_RIS_II,0,COLUMN()))</f>
        <v>n/a</v>
      </c>
      <c r="BS69" s="788">
        <f>IFERROR(INDEX(MO_RIS_IE_Net,0,COLUMN()),INDEX(MO_RIS_IE,0,COLUMN())+INDEX(MO_RIS_II,0,COLUMN()))</f>
        <v>0</v>
      </c>
      <c r="BT69" s="788" t="str">
        <f>IFERROR(INDEX(MO_RIS_IE_Net,0,COLUMN()),INDEX(MO_RIS_IE,0,COLUMN())+INDEX(MO_RIS_II,0,COLUMN()))</f>
        <v>n/a</v>
      </c>
      <c r="BU69" s="788" t="str">
        <f>IFERROR(INDEX(MO_RIS_IE_Net,0,COLUMN()),INDEX(MO_RIS_IE,0,COLUMN())+INDEX(MO_RIS_II,0,COLUMN()))</f>
        <v>n/a</v>
      </c>
      <c r="BV69" s="788" t="str">
        <f>IFERROR(INDEX(MO_RIS_IE_Net,0,COLUMN()),INDEX(MO_RIS_IE,0,COLUMN())+INDEX(MO_RIS_II,0,COLUMN()))</f>
        <v>n/a</v>
      </c>
      <c r="BW69" s="552"/>
    </row>
    <row r="70" spans="1:75" s="481" customFormat="1">
      <c r="A70" s="93" t="s">
        <v>640</v>
      </c>
      <c r="B70" s="94"/>
      <c r="C70" s="788">
        <f t="shared" ref="C70:AH70" si="81">INDEX(MO_RIS_OI,0,COLUMN())+INDEX(MO_RIS_OTI,0,COLUMN())</f>
        <v>-3.3000000000000002E-2</v>
      </c>
      <c r="D70" s="788">
        <f t="shared" si="81"/>
        <v>-1.4999999999999999E-2</v>
      </c>
      <c r="E70" s="788">
        <f t="shared" si="81"/>
        <v>0.39500000000000002</v>
      </c>
      <c r="F70" s="788">
        <f t="shared" si="81"/>
        <v>0.22600000000000001</v>
      </c>
      <c r="G70" s="552">
        <f t="shared" si="81"/>
        <v>0.20100000000000001</v>
      </c>
      <c r="H70" s="552">
        <f t="shared" si="81"/>
        <v>6.6000000000000003E-2</v>
      </c>
      <c r="I70" s="552">
        <f t="shared" si="81"/>
        <v>3.1E-2</v>
      </c>
      <c r="J70" s="552">
        <f t="shared" si="81"/>
        <v>0.109</v>
      </c>
      <c r="K70" s="788">
        <f t="shared" si="81"/>
        <v>0.40699999999999997</v>
      </c>
      <c r="L70" s="552">
        <f t="shared" si="81"/>
        <v>3.6000000000000004E-2</v>
      </c>
      <c r="M70" s="552">
        <f t="shared" si="81"/>
        <v>0.217</v>
      </c>
      <c r="N70" s="552">
        <f t="shared" si="81"/>
        <v>2.1999999999999992E-2</v>
      </c>
      <c r="O70" s="552">
        <f t="shared" si="81"/>
        <v>-0.121</v>
      </c>
      <c r="P70" s="788">
        <f t="shared" si="81"/>
        <v>0.154</v>
      </c>
      <c r="Q70" s="552">
        <f t="shared" si="81"/>
        <v>-0.42999999999999994</v>
      </c>
      <c r="R70" s="552">
        <f t="shared" si="81"/>
        <v>-0.19800000000000001</v>
      </c>
      <c r="S70" s="552">
        <f t="shared" si="81"/>
        <v>1.0169999999999999</v>
      </c>
      <c r="T70" s="552">
        <f t="shared" si="81"/>
        <v>-0.15299999999999991</v>
      </c>
      <c r="U70" s="788">
        <f t="shared" si="81"/>
        <v>0.23600000000000004</v>
      </c>
      <c r="V70" s="552">
        <f t="shared" si="81"/>
        <v>5.2999999999999992E-2</v>
      </c>
      <c r="W70" s="552">
        <f t="shared" si="81"/>
        <v>4.7E-2</v>
      </c>
      <c r="X70" s="552">
        <f t="shared" si="81"/>
        <v>0.151</v>
      </c>
      <c r="Y70" s="552">
        <f t="shared" si="81"/>
        <v>-0.22099999999999997</v>
      </c>
      <c r="Z70" s="788">
        <f t="shared" si="81"/>
        <v>0.03</v>
      </c>
      <c r="AA70" s="552">
        <f t="shared" si="81"/>
        <v>-5.1999999999999998E-2</v>
      </c>
      <c r="AB70" s="552">
        <f t="shared" si="81"/>
        <v>-7.0000000000000007E-2</v>
      </c>
      <c r="AC70" s="552">
        <f t="shared" si="81"/>
        <v>-0.38</v>
      </c>
      <c r="AD70" s="552">
        <f t="shared" si="81"/>
        <v>-0.17299999999999999</v>
      </c>
      <c r="AE70" s="788">
        <f t="shared" si="81"/>
        <v>-0.67500000000000004</v>
      </c>
      <c r="AF70" s="552">
        <f t="shared" si="81"/>
        <v>1.9999999999999997E-2</v>
      </c>
      <c r="AG70" s="552">
        <f t="shared" si="81"/>
        <v>-0.14699999999999999</v>
      </c>
      <c r="AH70" s="552">
        <f t="shared" si="81"/>
        <v>-0.21599999999999997</v>
      </c>
      <c r="AI70" s="552">
        <f t="shared" ref="AI70:BA70" si="82">INDEX(MO_RIS_OI,0,COLUMN())+INDEX(MO_RIS_OTI,0,COLUMN())</f>
        <v>3.8000000000000006E-2</v>
      </c>
      <c r="AJ70" s="788">
        <f t="shared" si="82"/>
        <v>-0.30499999999999999</v>
      </c>
      <c r="AK70" s="552">
        <f t="shared" si="82"/>
        <v>-0.317</v>
      </c>
      <c r="AL70" s="552">
        <f t="shared" si="82"/>
        <v>-0.14799999999999999</v>
      </c>
      <c r="AM70" s="552">
        <f t="shared" si="82"/>
        <v>-0.23300000000000001</v>
      </c>
      <c r="AN70" s="552">
        <f t="shared" si="82"/>
        <v>-0.23000000000000004</v>
      </c>
      <c r="AO70" s="788">
        <f t="shared" si="82"/>
        <v>-0.92800000000000005</v>
      </c>
      <c r="AP70" s="552">
        <f t="shared" si="82"/>
        <v>-0.27699999999999997</v>
      </c>
      <c r="AQ70" s="552">
        <f t="shared" si="82"/>
        <v>-0.30399999999999999</v>
      </c>
      <c r="AR70" s="552">
        <f t="shared" si="82"/>
        <v>-0.39200000000000002</v>
      </c>
      <c r="AS70" s="552">
        <f t="shared" si="82"/>
        <v>-0.4240000000000001</v>
      </c>
      <c r="AT70" s="788">
        <f t="shared" si="82"/>
        <v>-1.397</v>
      </c>
      <c r="AU70" s="552">
        <f t="shared" si="82"/>
        <v>-0.72300000000000009</v>
      </c>
      <c r="AV70" s="552">
        <f t="shared" si="82"/>
        <v>-0.57599999999999996</v>
      </c>
      <c r="AW70" s="552">
        <f t="shared" si="82"/>
        <v>-0.36199999999999999</v>
      </c>
      <c r="AX70" s="552">
        <f t="shared" si="82"/>
        <v>-0.65900000000000014</v>
      </c>
      <c r="AY70" s="788">
        <f t="shared" si="82"/>
        <v>-2.3199999999999998</v>
      </c>
      <c r="AZ70" s="552">
        <f t="shared" si="82"/>
        <v>-0.90699999999999992</v>
      </c>
      <c r="BA70" s="552">
        <f t="shared" si="82"/>
        <v>-0.79800000000000004</v>
      </c>
      <c r="BB70" s="552">
        <f t="shared" ref="BB70:BG70" si="83">INDEX(MO_RIS_OI,0,COLUMN())+INDEX(MO_RIS_OTI,0,COLUMN())</f>
        <v>-0.68400000000000005</v>
      </c>
      <c r="BC70" s="552">
        <f t="shared" si="83"/>
        <v>-0.27400000000000013</v>
      </c>
      <c r="BD70" s="788">
        <f t="shared" si="83"/>
        <v>-2.6630000000000003</v>
      </c>
      <c r="BE70" s="552">
        <f t="shared" si="83"/>
        <v>-1.2049999999999998</v>
      </c>
      <c r="BF70" s="552">
        <f t="shared" si="83"/>
        <v>-1.242</v>
      </c>
      <c r="BG70" s="552">
        <f t="shared" si="83"/>
        <v>-0.96699999999999997</v>
      </c>
      <c r="BH70" s="552">
        <f t="shared" ref="BH70:BN70" si="84">INDEX(MO_RIS_OI,0,COLUMN())+INDEX(MO_RIS_OTI,0,COLUMN())</f>
        <v>-3.0539999999999998</v>
      </c>
      <c r="BI70" s="788">
        <f t="shared" si="84"/>
        <v>-6.468</v>
      </c>
      <c r="BJ70" s="552">
        <f t="shared" si="84"/>
        <v>-2.06</v>
      </c>
      <c r="BK70" s="552">
        <f t="shared" si="84"/>
        <v>-4.8979999999999997</v>
      </c>
      <c r="BL70" s="597">
        <f>INDEX(MO_RIS_OI,0,COLUMN())+INDEX(MO_RIS_OTI,0,COLUMN())</f>
        <v>-1.923</v>
      </c>
      <c r="BM70" s="552">
        <f t="shared" si="84"/>
        <v>-25</v>
      </c>
      <c r="BN70" s="788">
        <f t="shared" si="84"/>
        <v>-33.881</v>
      </c>
      <c r="BO70" s="552">
        <f t="shared" ref="BO70:BV70" si="85">INDEX(MO_RIS_OI,0,COLUMN())+INDEX(MO_RIS_OTI,0,COLUMN())</f>
        <v>-25.5</v>
      </c>
      <c r="BP70" s="552">
        <f t="shared" si="85"/>
        <v>-20</v>
      </c>
      <c r="BQ70" s="552">
        <f t="shared" si="85"/>
        <v>-19</v>
      </c>
      <c r="BR70" s="552">
        <f t="shared" si="85"/>
        <v>-8</v>
      </c>
      <c r="BS70" s="788">
        <f t="shared" si="85"/>
        <v>-72.5</v>
      </c>
      <c r="BT70" s="788">
        <f t="shared" si="85"/>
        <v>-62</v>
      </c>
      <c r="BU70" s="788">
        <f t="shared" si="85"/>
        <v>-39</v>
      </c>
      <c r="BV70" s="788">
        <f t="shared" si="85"/>
        <v>-25</v>
      </c>
      <c r="BW70" s="552"/>
    </row>
    <row r="71" spans="1:75" s="478" customFormat="1">
      <c r="A71" s="95" t="str">
        <f>INDEX(MO_RIS_EBT,0,COLUMN())</f>
        <v>EBT</v>
      </c>
      <c r="B71" s="96"/>
      <c r="C71" s="789">
        <f ca="1">IFERROR(INDEX(SP_GF_EBIT,0,COLUMN()),0)-IFERROR(INDEX(SP_GF_IE,0,COLUMN()),0)-IFERROR(INDEX(SP_GF_EI,0,COLUMN()),0)-IFERROR(INDEX(SP_GF_OI,0,COLUMN()),0)</f>
        <v>-2.2999999999999989</v>
      </c>
      <c r="D71" s="789">
        <f ca="1">IFERROR(INDEX(SP_GF_EBIT,0,COLUMN()),0)-IFERROR(INDEX(SP_GF_IE,0,COLUMN()),0)-IFERROR(INDEX(SP_GF_EI,0,COLUMN()),0)-IFERROR(INDEX(SP_GF_OI,0,COLUMN()),0)</f>
        <v>-9.4909999999999961</v>
      </c>
      <c r="E71" s="789">
        <f ca="1">IFERROR(INDEX(SP_GF_EBIT,0,COLUMN()),0)-IFERROR(INDEX(SP_GF_IE,0,COLUMN()),0)-IFERROR(INDEX(SP_GF_EI,0,COLUMN()),0)-IFERROR(INDEX(SP_GF_OI,0,COLUMN()),0)</f>
        <v>-16.566000000000006</v>
      </c>
      <c r="F71" s="789">
        <f ca="1">IFERROR(INDEX(SP_GF_EBIT,0,COLUMN()),0)-IFERROR(INDEX(SP_GF_IE,0,COLUMN()),0)-IFERROR(INDEX(SP_GF_EI,0,COLUMN()),0)-IFERROR(INDEX(SP_GF_OI,0,COLUMN()),0)</f>
        <v>-18.990999999999993</v>
      </c>
      <c r="G71" s="598">
        <f ca="1">IFERROR(INDEX(SP_GF_EBIT,0,COLUMN()),0)-IFERROR(INDEX(SP_GF_IE,0,COLUMN()),0)-IFERROR(INDEX(SP_GF_EI,0,COLUMN()),0)-IFERROR(INDEX(SP_GF_OI,0,COLUMN()),0)</f>
        <v>-4.7549999999999919</v>
      </c>
      <c r="H71" s="598">
        <f ca="1">IFERROR(INDEX(SP_GF_EBIT,0,COLUMN()),0)-IFERROR(INDEX(SP_GF_IE,0,COLUMN()),0)-IFERROR(INDEX(SP_GF_EI,0,COLUMN()),0)-IFERROR(INDEX(SP_GF_OI,0,COLUMN()),0)</f>
        <v>-0.64599999999999835</v>
      </c>
      <c r="I71" s="598">
        <f ca="1">IFERROR(INDEX(SP_GF_EBIT,0,COLUMN()),0)-IFERROR(INDEX(SP_GF_IE,0,COLUMN()),0)-IFERROR(INDEX(SP_GF_EI,0,COLUMN()),0)-IFERROR(INDEX(SP_GF_OI,0,COLUMN()),0)</f>
        <v>-1.8120000000000005</v>
      </c>
      <c r="J71" s="598">
        <f ca="1">IFERROR(INDEX(SP_GF_EBIT,0,COLUMN()),0)-IFERROR(INDEX(SP_GF_IE,0,COLUMN()),0)-IFERROR(INDEX(SP_GF_EI,0,COLUMN()),0)-IFERROR(INDEX(SP_GF_OI,0,COLUMN()),0)</f>
        <v>-2.0170000000000083</v>
      </c>
      <c r="K71" s="789">
        <f ca="1">IFERROR(INDEX(SP_GF_EBIT,0,COLUMN()),0)-IFERROR(INDEX(SP_GF_IE,0,COLUMN()),0)-IFERROR(INDEX(SP_GF_EI,0,COLUMN()),0)-IFERROR(INDEX(SP_GF_OI,0,COLUMN()),0)</f>
        <v>-9.23</v>
      </c>
      <c r="L71" s="598">
        <f ca="1">IFERROR(INDEX(SP_GF_EBIT,0,COLUMN()),0)-IFERROR(INDEX(SP_GF_IE,0,COLUMN()),0)-IFERROR(INDEX(SP_GF_EI,0,COLUMN()),0)-IFERROR(INDEX(SP_GF_OI,0,COLUMN()),0)</f>
        <v>-4.6060000000000043</v>
      </c>
      <c r="M71" s="598">
        <f ca="1">IFERROR(INDEX(SP_GF_EBIT,0,COLUMN()),0)-IFERROR(INDEX(SP_GF_IE,0,COLUMN()),0)-IFERROR(INDEX(SP_GF_EI,0,COLUMN()),0)-IFERROR(INDEX(SP_GF_OI,0,COLUMN()),0)</f>
        <v>3.1120000000000076</v>
      </c>
      <c r="N71" s="598">
        <f ca="1">IFERROR(INDEX(SP_GF_EBIT,0,COLUMN()),0)-IFERROR(INDEX(SP_GF_IE,0,COLUMN()),0)-IFERROR(INDEX(SP_GF_EI,0,COLUMN()),0)-IFERROR(INDEX(SP_GF_OI,0,COLUMN()),0)</f>
        <v>4.74399999999999</v>
      </c>
      <c r="O71" s="598">
        <f ca="1">IFERROR(INDEX(SP_GF_EBIT,0,COLUMN()),0)-IFERROR(INDEX(SP_GF_IE,0,COLUMN()),0)-IFERROR(INDEX(SP_GF_EI,0,COLUMN()),0)-IFERROR(INDEX(SP_GF_OI,0,COLUMN()),0)</f>
        <v>8.0300000000000047</v>
      </c>
      <c r="P71" s="789">
        <f ca="1">IFERROR(INDEX(SP_GF_EBIT,0,COLUMN()),0)-IFERROR(INDEX(SP_GF_IE,0,COLUMN()),0)-IFERROR(INDEX(SP_GF_EI,0,COLUMN()),0)-IFERROR(INDEX(SP_GF_OI,0,COLUMN()),0)</f>
        <v>11.279999999999983</v>
      </c>
      <c r="Q71" s="598">
        <f ca="1">IFERROR(INDEX(SP_GF_EBIT,0,COLUMN()),0)-IFERROR(INDEX(SP_GF_IE,0,COLUMN()),0)-IFERROR(INDEX(SP_GF_EI,0,COLUMN()),0)-IFERROR(INDEX(SP_GF_OI,0,COLUMN()),0)</f>
        <v>-3.6870000000000065</v>
      </c>
      <c r="R71" s="598">
        <f ca="1">IFERROR(INDEX(SP_GF_EBIT,0,COLUMN()),0)-IFERROR(INDEX(SP_GF_IE,0,COLUMN()),0)-IFERROR(INDEX(SP_GF_EI,0,COLUMN()),0)-IFERROR(INDEX(SP_GF_OI,0,COLUMN()),0)</f>
        <v>0.37900000000001138</v>
      </c>
      <c r="S71" s="598">
        <f ca="1">IFERROR(INDEX(SP_GF_EBIT,0,COLUMN()),0)-IFERROR(INDEX(SP_GF_IE,0,COLUMN()),0)-IFERROR(INDEX(SP_GF_EI,0,COLUMN()),0)-IFERROR(INDEX(SP_GF_OI,0,COLUMN()),0)</f>
        <v>-11.256999999999982</v>
      </c>
      <c r="T71" s="598">
        <f ca="1">IFERROR(INDEX(SP_GF_EBIT,0,COLUMN()),0)-IFERROR(INDEX(SP_GF_IE,0,COLUMN()),0)-IFERROR(INDEX(SP_GF_EI,0,COLUMN()),0)-IFERROR(INDEX(SP_GF_OI,0,COLUMN()),0)</f>
        <v>-6.3730000000000038</v>
      </c>
      <c r="U71" s="789">
        <f ca="1">IFERROR(INDEX(SP_GF_EBIT,0,COLUMN()),0)-IFERROR(INDEX(SP_GF_IE,0,COLUMN()),0)-IFERROR(INDEX(SP_GF_EI,0,COLUMN()),0)-IFERROR(INDEX(SP_GF_OI,0,COLUMN()),0)</f>
        <v>-20.93799999999997</v>
      </c>
      <c r="V71" s="598">
        <f ca="1">IFERROR(INDEX(SP_GF_EBIT,0,COLUMN()),0)-IFERROR(INDEX(SP_GF_IE,0,COLUMN()),0)-IFERROR(INDEX(SP_GF_EI,0,COLUMN()),0)-IFERROR(INDEX(SP_GF_OI,0,COLUMN()),0)</f>
        <v>-14.015000000000004</v>
      </c>
      <c r="W71" s="598">
        <f ca="1">IFERROR(INDEX(SP_GF_EBIT,0,COLUMN()),0)-IFERROR(INDEX(SP_GF_IE,0,COLUMN()),0)-IFERROR(INDEX(SP_GF_EI,0,COLUMN()),0)-IFERROR(INDEX(SP_GF_OI,0,COLUMN()),0)</f>
        <v>-0.81999999999999063</v>
      </c>
      <c r="X71" s="598">
        <f ca="1">IFERROR(INDEX(SP_GF_EBIT,0,COLUMN()),0)-IFERROR(INDEX(SP_GF_IE,0,COLUMN()),0)-IFERROR(INDEX(SP_GF_EI,0,COLUMN()),0)-IFERROR(INDEX(SP_GF_OI,0,COLUMN()),0)</f>
        <v>2.2870000000000079</v>
      </c>
      <c r="Y71" s="598">
        <f ca="1">IFERROR(INDEX(SP_GF_EBIT,0,COLUMN()),0)-IFERROR(INDEX(SP_GF_IE,0,COLUMN()),0)-IFERROR(INDEX(SP_GF_EI,0,COLUMN()),0)-IFERROR(INDEX(SP_GF_OI,0,COLUMN()),0)</f>
        <v>9.2629999999999306</v>
      </c>
      <c r="Z71" s="789">
        <f ca="1">IFERROR(INDEX(SP_GF_EBIT,0,COLUMN()),0)-IFERROR(INDEX(SP_GF_IE,0,COLUMN()),0)-IFERROR(INDEX(SP_GF_EI,0,COLUMN()),0)-IFERROR(INDEX(SP_GF_OI,0,COLUMN()),0)</f>
        <v>-3.2850000000000699</v>
      </c>
      <c r="AA71" s="598">
        <f ca="1">IFERROR(INDEX(SP_GF_EBIT,0,COLUMN()),0)-IFERROR(INDEX(SP_GF_IE,0,COLUMN()),0)-IFERROR(INDEX(SP_GF_EI,0,COLUMN()),0)-IFERROR(INDEX(SP_GF_OI,0,COLUMN()),0)</f>
        <v>-3.9589999999999956</v>
      </c>
      <c r="AB71" s="598">
        <f ca="1">IFERROR(INDEX(SP_GF_EBIT,0,COLUMN()),0)-IFERROR(INDEX(SP_GF_IE,0,COLUMN()),0)-IFERROR(INDEX(SP_GF_EI,0,COLUMN()),0)-IFERROR(INDEX(SP_GF_OI,0,COLUMN()),0)</f>
        <v>8.0189999999999664</v>
      </c>
      <c r="AC71" s="598">
        <f ca="1">IFERROR(INDEX(SP_GF_EBIT,0,COLUMN()),0)-IFERROR(INDEX(SP_GF_IE,0,COLUMN()),0)-IFERROR(INDEX(SP_GF_EI,0,COLUMN()),0)-IFERROR(INDEX(SP_GF_OI,0,COLUMN()),0)</f>
        <v>8.2619999999999916</v>
      </c>
      <c r="AD71" s="598">
        <f ca="1">IFERROR(INDEX(SP_GF_EBIT,0,COLUMN()),0)-IFERROR(INDEX(SP_GF_IE,0,COLUMN()),0)-IFERROR(INDEX(SP_GF_EI,0,COLUMN()),0)-IFERROR(INDEX(SP_GF_OI,0,COLUMN()),0)</f>
        <v>172.16399999999999</v>
      </c>
      <c r="AE71" s="789">
        <f ca="1">IFERROR(INDEX(SP_GF_EBIT,0,COLUMN()),0)-IFERROR(INDEX(SP_GF_IE,0,COLUMN()),0)-IFERROR(INDEX(SP_GF_EI,0,COLUMN()),0)-IFERROR(INDEX(SP_GF_OI,0,COLUMN()),0)</f>
        <v>184.48599999999999</v>
      </c>
      <c r="AF71" s="598">
        <f ca="1">IFERROR(INDEX(SP_GF_EBIT,0,COLUMN()),0)-IFERROR(INDEX(SP_GF_IE,0,COLUMN()),0)-IFERROR(INDEX(SP_GF_EI,0,COLUMN()),0)-IFERROR(INDEX(SP_GF_OI,0,COLUMN()),0)</f>
        <v>-2.2229999999999981</v>
      </c>
      <c r="AG71" s="598">
        <f ca="1">IFERROR(INDEX(SP_GF_EBIT,0,COLUMN()),0)-IFERROR(INDEX(SP_GF_IE,0,COLUMN()),0)-IFERROR(INDEX(SP_GF_EI,0,COLUMN()),0)-IFERROR(INDEX(SP_GF_OI,0,COLUMN()),0)</f>
        <v>11.044999999999996</v>
      </c>
      <c r="AH71" s="598">
        <f ca="1">IFERROR(INDEX(SP_GF_EBIT,0,COLUMN()),0)-IFERROR(INDEX(SP_GF_IE,0,COLUMN()),0)-IFERROR(INDEX(SP_GF_EI,0,COLUMN()),0)-IFERROR(INDEX(SP_GF_OI,0,COLUMN()),0)</f>
        <v>14.302000000000007</v>
      </c>
      <c r="AI71" s="598">
        <f ca="1">IFERROR(INDEX(SP_GF_EBIT,0,COLUMN()),0)-IFERROR(INDEX(SP_GF_IE,0,COLUMN()),0)-IFERROR(INDEX(SP_GF_EI,0,COLUMN()),0)-IFERROR(INDEX(SP_GF_OI,0,COLUMN()),0)</f>
        <v>16.882000000000009</v>
      </c>
      <c r="AJ71" s="789">
        <f ca="1">IFERROR(INDEX(SP_GF_EBIT,0,COLUMN()),0)-IFERROR(INDEX(SP_GF_IE,0,COLUMN()),0)-IFERROR(INDEX(SP_GF_EI,0,COLUMN()),0)-IFERROR(INDEX(SP_GF_OI,0,COLUMN()),0)</f>
        <v>40.006000000000022</v>
      </c>
      <c r="AK71" s="598">
        <f ca="1">IFERROR(INDEX(SP_GF_EBIT,0,COLUMN()),0)-IFERROR(INDEX(SP_GF_IE,0,COLUMN()),0)-IFERROR(INDEX(SP_GF_EI,0,COLUMN()),0)-IFERROR(INDEX(SP_GF_OI,0,COLUMN()),0)</f>
        <v>0.80900000000000882</v>
      </c>
      <c r="AL71" s="598">
        <f ca="1">IFERROR(INDEX(SP_GF_EBIT,0,COLUMN()),0)-IFERROR(INDEX(SP_GF_IE,0,COLUMN()),0)-IFERROR(INDEX(SP_GF_EI,0,COLUMN()),0)-IFERROR(INDEX(SP_GF_OI,0,COLUMN()),0)</f>
        <v>16.088000000000019</v>
      </c>
      <c r="AM71" s="598">
        <f ca="1">IFERROR(INDEX(SP_GF_EBIT,0,COLUMN()),0)-IFERROR(INDEX(SP_GF_IE,0,COLUMN()),0)-IFERROR(INDEX(SP_GF_EI,0,COLUMN()),0)-IFERROR(INDEX(SP_GF_OI,0,COLUMN()),0)</f>
        <v>12.612999999999969</v>
      </c>
      <c r="AN71" s="598">
        <f ca="1">IFERROR(INDEX(SP_GF_EBIT,0,COLUMN()),0)-IFERROR(INDEX(SP_GF_IE,0,COLUMN()),0)-IFERROR(INDEX(SP_GF_EI,0,COLUMN()),0)-IFERROR(INDEX(SP_GF_OI,0,COLUMN()),0)</f>
        <v>20.256999999999817</v>
      </c>
      <c r="AO71" s="789">
        <f ca="1">IFERROR(INDEX(SP_GF_EBIT,0,COLUMN()),0)-IFERROR(INDEX(SP_GF_IE,0,COLUMN()),0)-IFERROR(INDEX(SP_GF_EI,0,COLUMN()),0)-IFERROR(INDEX(SP_GF_OI,0,COLUMN()),0)</f>
        <v>49.766999999999967</v>
      </c>
      <c r="AP71" s="598">
        <f ca="1">IFERROR(INDEX(SP_GF_EBIT,0,COLUMN()),0)-IFERROR(INDEX(SP_GF_IE,0,COLUMN()),0)-IFERROR(INDEX(SP_GF_EI,0,COLUMN()),0)-IFERROR(INDEX(SP_GF_OI,0,COLUMN()),0)</f>
        <v>-24.866999999999997</v>
      </c>
      <c r="AQ71" s="598">
        <f ca="1">IFERROR(INDEX(SP_GF_EBIT,0,COLUMN()),0)-IFERROR(INDEX(SP_GF_IE,0,COLUMN()),0)-IFERROR(INDEX(SP_GF_EI,0,COLUMN()),0)-IFERROR(INDEX(SP_GF_OI,0,COLUMN()),0)</f>
        <v>-34.853999999999985</v>
      </c>
      <c r="AR71" s="598">
        <f ca="1">IFERROR(INDEX(SP_GF_EBIT,0,COLUMN()),0)-IFERROR(INDEX(SP_GF_IE,0,COLUMN()),0)-IFERROR(INDEX(SP_GF_EI,0,COLUMN()),0)-IFERROR(INDEX(SP_GF_OI,0,COLUMN()),0)</f>
        <v>9.7239999999999807</v>
      </c>
      <c r="AS71" s="598">
        <f ca="1">IFERROR(INDEX(SP_GF_EBIT,0,COLUMN()),0)-IFERROR(INDEX(SP_GF_IE,0,COLUMN()),0)-IFERROR(INDEX(SP_GF_EI,0,COLUMN()),0)-IFERROR(INDEX(SP_GF_OI,0,COLUMN()),0)</f>
        <v>14.871999999999993</v>
      </c>
      <c r="AT71" s="789">
        <f ca="1">IFERROR(INDEX(SP_GF_EBIT,0,COLUMN()),0)-IFERROR(INDEX(SP_GF_IE,0,COLUMN()),0)-IFERROR(INDEX(SP_GF_EI,0,COLUMN()),0)-IFERROR(INDEX(SP_GF_OI,0,COLUMN()),0)</f>
        <v>-35.125000000000043</v>
      </c>
      <c r="AU71" s="598">
        <f ca="1">IFERROR(INDEX(SP_GF_EBIT,0,COLUMN()),0)-IFERROR(INDEX(SP_GF_IE,0,COLUMN()),0)-IFERROR(INDEX(SP_GF_EI,0,COLUMN()),0)-IFERROR(INDEX(SP_GF_OI,0,COLUMN()),0)</f>
        <v>-7.9380000000000015</v>
      </c>
      <c r="AV71" s="598">
        <f ca="1">IFERROR(INDEX(SP_GF_EBIT,0,COLUMN()),0)-IFERROR(INDEX(SP_GF_IE,0,COLUMN()),0)-IFERROR(INDEX(SP_GF_EI,0,COLUMN()),0)-IFERROR(INDEX(SP_GF_OI,0,COLUMN()),0)</f>
        <v>-0.53900000000000314</v>
      </c>
      <c r="AW71" s="598">
        <f ca="1">IFERROR(INDEX(SP_GF_EBIT,0,COLUMN()),0)-IFERROR(INDEX(SP_GF_IE,0,COLUMN()),0)-IFERROR(INDEX(SP_GF_EI,0,COLUMN()),0)-IFERROR(INDEX(SP_GF_OI,0,COLUMN()),0)</f>
        <v>21.975999999999953</v>
      </c>
      <c r="AX71" s="598">
        <f ca="1">IFERROR(INDEX(SP_GF_EBIT,0,COLUMN()),0)-IFERROR(INDEX(SP_GF_IE,0,COLUMN()),0)-IFERROR(INDEX(SP_GF_EI,0,COLUMN()),0)-IFERROR(INDEX(SP_GF_OI,0,COLUMN()),0)</f>
        <v>20.218999999999987</v>
      </c>
      <c r="AY71" s="789">
        <f ca="1">IFERROR(INDEX(SP_GF_EBIT,0,COLUMN()),0)-IFERROR(INDEX(SP_GF_IE,0,COLUMN()),0)-IFERROR(INDEX(SP_GF_EI,0,COLUMN()),0)-IFERROR(INDEX(SP_GF_OI,0,COLUMN()),0)</f>
        <v>33.717999999999954</v>
      </c>
      <c r="AZ71" s="598">
        <f ca="1">IFERROR(INDEX(SP_GF_EBIT,0,COLUMN()),0)-IFERROR(INDEX(SP_GF_IE,0,COLUMN()),0)-IFERROR(INDEX(SP_GF_EI,0,COLUMN()),0)-IFERROR(INDEX(SP_GF_OI,0,COLUMN()),0)</f>
        <v>-3.527000000000017</v>
      </c>
      <c r="BA71" s="598">
        <f ca="1">IFERROR(INDEX(SP_GF_EBIT,0,COLUMN()),0)-IFERROR(INDEX(SP_GF_IE,0,COLUMN()),0)-IFERROR(INDEX(SP_GF_EI,0,COLUMN()),0)-IFERROR(INDEX(SP_GF_OI,0,COLUMN()),0)</f>
        <v>17.327999999999989</v>
      </c>
      <c r="BB71" s="598">
        <f ca="1">IFERROR(INDEX(SP_GF_EBIT,0,COLUMN()),0)-IFERROR(INDEX(SP_GF_IE,0,COLUMN()),0)-IFERROR(INDEX(SP_GF_EI,0,COLUMN()),0)-IFERROR(INDEX(SP_GF_OI,0,COLUMN()),0)</f>
        <v>16.115000000000006</v>
      </c>
      <c r="BC71" s="598">
        <f ca="1">IFERROR(INDEX(SP_GF_EBIT,0,COLUMN()),0)-IFERROR(INDEX(SP_GF_IE,0,COLUMN()),0)-IFERROR(INDEX(SP_GF_EI,0,COLUMN()),0)-IFERROR(INDEX(SP_GF_OI,0,COLUMN()),0)</f>
        <v>36.862000000000116</v>
      </c>
      <c r="BD71" s="789">
        <f ca="1">IFERROR(INDEX(SP_GF_EBIT,0,COLUMN()),0)-IFERROR(INDEX(SP_GF_IE,0,COLUMN()),0)-IFERROR(INDEX(SP_GF_EI,0,COLUMN()),0)-IFERROR(INDEX(SP_GF_OI,0,COLUMN()),0)</f>
        <v>66.778000000000176</v>
      </c>
      <c r="BE71" s="598">
        <f ca="1">IFERROR(INDEX(SP_GF_EBIT,0,COLUMN()),0)-IFERROR(INDEX(SP_GF_IE,0,COLUMN()),0)-IFERROR(INDEX(SP_GF_EI,0,COLUMN()),0)-IFERROR(INDEX(SP_GF_OI,0,COLUMN()),0)</f>
        <v>-1.3750000000000606</v>
      </c>
      <c r="BF71" s="598">
        <f ca="1">IFERROR(INDEX(SP_GF_EBIT,0,COLUMN()),0)-IFERROR(INDEX(SP_GF_IE,0,COLUMN()),0)-IFERROR(INDEX(SP_GF_EI,0,COLUMN()),0)-IFERROR(INDEX(SP_GF_OI,0,COLUMN()),0)</f>
        <v>24.639999999999933</v>
      </c>
      <c r="BG71" s="598">
        <f ca="1">IFERROR(INDEX(SP_GF_EBIT,0,COLUMN()),0)-IFERROR(INDEX(SP_GF_IE,0,COLUMN()),0)-IFERROR(INDEX(SP_GF_EI,0,COLUMN()),0)-IFERROR(INDEX(SP_GF_OI,0,COLUMN()),0)</f>
        <v>48.027000000000001</v>
      </c>
      <c r="BH71" s="598">
        <f ca="1">IFERROR(INDEX(SP_GF_EBIT,0,COLUMN()),0)-IFERROR(INDEX(SP_GF_IE,0,COLUMN()),0)-IFERROR(INDEX(SP_GF_EI,0,COLUMN()),0)-IFERROR(INDEX(SP_GF_OI,0,COLUMN()),0)</f>
        <v>33.789999999999985</v>
      </c>
      <c r="BI71" s="789">
        <f ca="1">IFERROR(INDEX(SP_GF_EBIT,0,COLUMN()),0)-IFERROR(INDEX(SP_GF_IE,0,COLUMN()),0)-IFERROR(INDEX(SP_GF_EI,0,COLUMN()),0)-IFERROR(INDEX(SP_GF_OI,0,COLUMN()),0)</f>
        <v>105.08199999999984</v>
      </c>
      <c r="BJ71" s="598">
        <f ca="1">IFERROR(INDEX(SP_GF_EBIT,0,COLUMN()),0)-IFERROR(INDEX(SP_GF_IE,0,COLUMN()),0)-IFERROR(INDEX(SP_GF_EI,0,COLUMN()),0)-IFERROR(INDEX(SP_GF_OI,0,COLUMN()),0)</f>
        <v>18.940999999999985</v>
      </c>
      <c r="BK71" s="598">
        <f ca="1">IFERROR(INDEX(SP_GF_EBIT,0,COLUMN()),0)-IFERROR(INDEX(SP_GF_IE,0,COLUMN()),0)-IFERROR(INDEX(SP_GF_EI,0,COLUMN()),0)-IFERROR(INDEX(SP_GF_OI,0,COLUMN()),0)</f>
        <v>50.068999999999988</v>
      </c>
      <c r="BL71" s="599">
        <f ca="1">IFERROR(INDEX(SP_GF_EBIT,0,COLUMN()),0)-IFERROR(INDEX(SP_GF_IE,0,COLUMN()),0)-IFERROR(INDEX(SP_GF_EI,0,COLUMN()),0)-IFERROR(INDEX(SP_GF_OI,0,COLUMN()),0)</f>
        <v>53.883000000000003</v>
      </c>
      <c r="BM71" s="598">
        <f ca="1">IFERROR(INDEX(SP_GF_EBIT,0,COLUMN()),0)-IFERROR(INDEX(SP_GF_IE,0,COLUMN()),0)-IFERROR(INDEX(SP_GF_EI,0,COLUMN()),0)-IFERROR(INDEX(SP_GF_OI,0,COLUMN()),0)</f>
        <v>69.542540096900026</v>
      </c>
      <c r="BN71" s="789">
        <f ca="1">IFERROR(INDEX(SP_GF_EBIT,0,COLUMN()),0)-IFERROR(INDEX(SP_GF_IE,0,COLUMN()),0)-IFERROR(INDEX(SP_GF_EI,0,COLUMN()),0)-IFERROR(INDEX(SP_GF_OI,0,COLUMN()),0)</f>
        <v>192.4355400969001</v>
      </c>
      <c r="BO71" s="598" t="e">
        <f ca="1">IFERROR(INDEX(SP_GF_EBIT,0,COLUMN()),0)-IFERROR(INDEX(SP_GF_IE,0,COLUMN()),0)-IFERROR(INDEX(SP_GF_EI,0,COLUMN()),0)-IFERROR(INDEX(SP_GF_OI,0,COLUMN()),0)</f>
        <v>#VALUE!</v>
      </c>
      <c r="BP71" s="598" t="e">
        <f ca="1">IFERROR(INDEX(SP_GF_EBIT,0,COLUMN()),0)-IFERROR(INDEX(SP_GF_IE,0,COLUMN()),0)-IFERROR(INDEX(SP_GF_EI,0,COLUMN()),0)-IFERROR(INDEX(SP_GF_OI,0,COLUMN()),0)</f>
        <v>#VALUE!</v>
      </c>
      <c r="BQ71" s="598" t="e">
        <f ca="1">IFERROR(INDEX(SP_GF_EBIT,0,COLUMN()),0)-IFERROR(INDEX(SP_GF_IE,0,COLUMN()),0)-IFERROR(INDEX(SP_GF_EI,0,COLUMN()),0)-IFERROR(INDEX(SP_GF_OI,0,COLUMN()),0)</f>
        <v>#VALUE!</v>
      </c>
      <c r="BR71" s="598" t="e">
        <f ca="1">IFERROR(INDEX(SP_GF_EBIT,0,COLUMN()),0)-IFERROR(INDEX(SP_GF_IE,0,COLUMN()),0)-IFERROR(INDEX(SP_GF_EI,0,COLUMN()),0)-IFERROR(INDEX(SP_GF_OI,0,COLUMN()),0)</f>
        <v>#VALUE!</v>
      </c>
      <c r="BS71" s="789">
        <f ca="1">IFERROR(INDEX(SP_GF_EBIT,0,COLUMN()),0)-IFERROR(INDEX(SP_GF_IE,0,COLUMN()),0)-IFERROR(INDEX(SP_GF_EI,0,COLUMN()),0)-IFERROR(INDEX(SP_GF_OI,0,COLUMN()),0)</f>
        <v>227.6162229720336</v>
      </c>
      <c r="BT71" s="789" t="e">
        <f ca="1">IFERROR(INDEX(SP_GF_EBIT,0,COLUMN()),0)-IFERROR(INDEX(SP_GF_IE,0,COLUMN()),0)-IFERROR(INDEX(SP_GF_EI,0,COLUMN()),0)-IFERROR(INDEX(SP_GF_OI,0,COLUMN()),0)</f>
        <v>#VALUE!</v>
      </c>
      <c r="BU71" s="789" t="e">
        <f ca="1">IFERROR(INDEX(SP_GF_EBIT,0,COLUMN()),0)-IFERROR(INDEX(SP_GF_IE,0,COLUMN()),0)-IFERROR(INDEX(SP_GF_EI,0,COLUMN()),0)-IFERROR(INDEX(SP_GF_OI,0,COLUMN()),0)</f>
        <v>#VALUE!</v>
      </c>
      <c r="BV71" s="789" t="e">
        <f ca="1">IFERROR(INDEX(SP_GF_EBIT,0,COLUMN()),0)-IFERROR(INDEX(SP_GF_IE,0,COLUMN()),0)-IFERROR(INDEX(SP_GF_EI,0,COLUMN()),0)-IFERROR(INDEX(SP_GF_OI,0,COLUMN()),0)</f>
        <v>#VALUE!</v>
      </c>
      <c r="BW71" s="551"/>
    </row>
    <row r="72" spans="1:75" s="481" customFormat="1">
      <c r="A72" s="93" t="s">
        <v>641</v>
      </c>
      <c r="B72" s="94"/>
      <c r="C72" s="788">
        <f t="shared" ref="C72:AH72" si="86">INDEX(MO_RIS_Tax_Current,0,COLUMN())+INDEX(MO_RIS_Tax_Deferred,0,COLUMN())</f>
        <v>8.0000000000000002E-3</v>
      </c>
      <c r="D72" s="788">
        <f t="shared" si="86"/>
        <v>7.4999999999999997E-2</v>
      </c>
      <c r="E72" s="788">
        <f t="shared" si="86"/>
        <v>0.10200000000000001</v>
      </c>
      <c r="F72" s="788">
        <f t="shared" si="86"/>
        <v>0.12200000000000001</v>
      </c>
      <c r="G72" s="552">
        <f t="shared" si="86"/>
        <v>4.3999999999999997E-2</v>
      </c>
      <c r="H72" s="552">
        <f t="shared" si="86"/>
        <v>0.23200000000000001</v>
      </c>
      <c r="I72" s="552">
        <f t="shared" si="86"/>
        <v>0.51</v>
      </c>
      <c r="J72" s="552">
        <f t="shared" si="86"/>
        <v>5.1999999999999998E-2</v>
      </c>
      <c r="K72" s="788">
        <f t="shared" si="86"/>
        <v>0.83800000000000008</v>
      </c>
      <c r="L72" s="552">
        <f t="shared" si="86"/>
        <v>-1.9710000000000001</v>
      </c>
      <c r="M72" s="552">
        <f t="shared" si="86"/>
        <v>0.36899999999999999</v>
      </c>
      <c r="N72" s="552">
        <f t="shared" si="86"/>
        <v>1.107</v>
      </c>
      <c r="O72" s="552">
        <f t="shared" si="86"/>
        <v>-24.698</v>
      </c>
      <c r="P72" s="788">
        <f t="shared" si="86"/>
        <v>-25.193000000000001</v>
      </c>
      <c r="Q72" s="552">
        <f t="shared" si="86"/>
        <v>-2.403</v>
      </c>
      <c r="R72" s="552">
        <f t="shared" si="86"/>
        <v>1.6839999999999999</v>
      </c>
      <c r="S72" s="552">
        <f t="shared" si="86"/>
        <v>-3.1749999999999998</v>
      </c>
      <c r="T72" s="552">
        <f t="shared" si="86"/>
        <v>15.856</v>
      </c>
      <c r="U72" s="788">
        <f t="shared" si="86"/>
        <v>11.962</v>
      </c>
      <c r="V72" s="552">
        <f t="shared" si="86"/>
        <v>1.4370000000000001</v>
      </c>
      <c r="W72" s="552">
        <f t="shared" si="86"/>
        <v>-1.2689999999999999</v>
      </c>
      <c r="X72" s="552">
        <f t="shared" si="86"/>
        <v>0.217</v>
      </c>
      <c r="Y72" s="552">
        <f t="shared" si="86"/>
        <v>0.99999999999999989</v>
      </c>
      <c r="Z72" s="788">
        <f t="shared" si="86"/>
        <v>1.385</v>
      </c>
      <c r="AA72" s="552">
        <f t="shared" si="86"/>
        <v>6.7000000000000004E-2</v>
      </c>
      <c r="AB72" s="552">
        <f t="shared" si="86"/>
        <v>0.11799999999999999</v>
      </c>
      <c r="AC72" s="552">
        <f t="shared" si="86"/>
        <v>0.23200000000000001</v>
      </c>
      <c r="AD72" s="552">
        <f t="shared" si="86"/>
        <v>31.074000000000002</v>
      </c>
      <c r="AE72" s="788">
        <f t="shared" si="86"/>
        <v>31.491</v>
      </c>
      <c r="AF72" s="552">
        <f t="shared" si="86"/>
        <v>6.3E-2</v>
      </c>
      <c r="AG72" s="552">
        <f t="shared" si="86"/>
        <v>0.34100000000000003</v>
      </c>
      <c r="AH72" s="552">
        <f t="shared" si="86"/>
        <v>-0.68400000000000005</v>
      </c>
      <c r="AI72" s="552">
        <f t="shared" ref="AI72:BA72" si="87">INDEX(MO_RIS_Tax_Current,0,COLUMN())+INDEX(MO_RIS_Tax_Deferred,0,COLUMN())</f>
        <v>-15.064</v>
      </c>
      <c r="AJ72" s="788">
        <f t="shared" si="87"/>
        <v>-15.343999999999999</v>
      </c>
      <c r="AK72" s="552">
        <f t="shared" si="87"/>
        <v>-0.55600000000000005</v>
      </c>
      <c r="AL72" s="552">
        <f t="shared" si="87"/>
        <v>3.7850000000000006</v>
      </c>
      <c r="AM72" s="552">
        <f t="shared" si="87"/>
        <v>2.552</v>
      </c>
      <c r="AN72" s="552">
        <f t="shared" si="87"/>
        <v>3.1049999999999982</v>
      </c>
      <c r="AO72" s="788">
        <f t="shared" si="87"/>
        <v>8.8859999999999992</v>
      </c>
      <c r="AP72" s="552">
        <f t="shared" si="87"/>
        <v>-9.3640000000000008</v>
      </c>
      <c r="AQ72" s="552">
        <f t="shared" si="87"/>
        <v>-10.864000000000001</v>
      </c>
      <c r="AR72" s="552">
        <f t="shared" si="87"/>
        <v>10.744</v>
      </c>
      <c r="AS72" s="552">
        <f t="shared" si="87"/>
        <v>-6.2169999999999996</v>
      </c>
      <c r="AT72" s="788">
        <f t="shared" si="87"/>
        <v>-15.701000000000001</v>
      </c>
      <c r="AU72" s="552">
        <f t="shared" si="87"/>
        <v>-2.1419999999999999</v>
      </c>
      <c r="AV72" s="552">
        <f t="shared" si="87"/>
        <v>-4.7510000000000003</v>
      </c>
      <c r="AW72" s="552">
        <f t="shared" si="87"/>
        <v>3.911</v>
      </c>
      <c r="AX72" s="552">
        <f t="shared" si="87"/>
        <v>-2.9709999999999996</v>
      </c>
      <c r="AY72" s="788">
        <f t="shared" si="87"/>
        <v>-5.9530000000000003</v>
      </c>
      <c r="AZ72" s="552">
        <f t="shared" si="87"/>
        <v>-2.6120000000000001</v>
      </c>
      <c r="BA72" s="552">
        <f t="shared" si="87"/>
        <v>9.3190000000000008</v>
      </c>
      <c r="BB72" s="552">
        <f t="shared" ref="BB72:BG72" si="88">INDEX(MO_RIS_Tax_Current,0,COLUMN())+INDEX(MO_RIS_Tax_Deferred,0,COLUMN())</f>
        <v>7.0070000000000014</v>
      </c>
      <c r="BC72" s="552">
        <f t="shared" si="88"/>
        <v>16.716999999999999</v>
      </c>
      <c r="BD72" s="788">
        <f t="shared" si="88"/>
        <v>30.431000000000004</v>
      </c>
      <c r="BE72" s="552">
        <f t="shared" si="88"/>
        <v>-0.19699999999999918</v>
      </c>
      <c r="BF72" s="552">
        <f t="shared" si="88"/>
        <v>9.9109999999999978</v>
      </c>
      <c r="BG72" s="552">
        <f t="shared" si="88"/>
        <v>-10.189</v>
      </c>
      <c r="BH72" s="552">
        <f t="shared" ref="BH72:BN72" si="89">INDEX(MO_RIS_Tax_Current,0,COLUMN())+INDEX(MO_RIS_Tax_Deferred,0,COLUMN())</f>
        <v>6.3839999999999986</v>
      </c>
      <c r="BI72" s="788">
        <f t="shared" si="89"/>
        <v>5.9089999999999989</v>
      </c>
      <c r="BJ72" s="552">
        <f t="shared" si="89"/>
        <v>4.7869999999999999</v>
      </c>
      <c r="BK72" s="552">
        <f t="shared" si="89"/>
        <v>12.033000000000001</v>
      </c>
      <c r="BL72" s="597">
        <f>INDEX(MO_RIS_Tax_Current,0,COLUMN())+INDEX(MO_RIS_Tax_Deferred,0,COLUMN())</f>
        <v>15.443</v>
      </c>
      <c r="BM72" s="552">
        <f t="shared" si="89"/>
        <v>-6.9542540096900041</v>
      </c>
      <c r="BN72" s="788">
        <f t="shared" si="89"/>
        <v>25.308745990310001</v>
      </c>
      <c r="BO72" s="552">
        <f t="shared" ref="BO72:BV72" si="90">INDEX(MO_RIS_Tax_Current,0,COLUMN())+INDEX(MO_RIS_Tax_Deferred,0,COLUMN())</f>
        <v>0</v>
      </c>
      <c r="BP72" s="552">
        <f t="shared" si="90"/>
        <v>0</v>
      </c>
      <c r="BQ72" s="552">
        <f t="shared" si="90"/>
        <v>-3.0745030166267213</v>
      </c>
      <c r="BR72" s="552">
        <f t="shared" si="90"/>
        <v>-4.8291857560750175</v>
      </c>
      <c r="BS72" s="788">
        <f t="shared" si="90"/>
        <v>-7.9036887727017398</v>
      </c>
      <c r="BT72" s="788">
        <f t="shared" si="90"/>
        <v>-11.375705116735743</v>
      </c>
      <c r="BU72" s="788">
        <f t="shared" si="90"/>
        <v>-23.628051578431972</v>
      </c>
      <c r="BV72" s="788">
        <f t="shared" si="90"/>
        <v>8.4909497154602374</v>
      </c>
      <c r="BW72" s="552"/>
    </row>
    <row r="73" spans="1:75" s="481" customFormat="1">
      <c r="A73" s="93" t="str">
        <f>INDEX(MO_RIS_DisCont,0,COLUMN())</f>
        <v>Discontinued Operations</v>
      </c>
      <c r="B73" s="94"/>
      <c r="C73" s="788">
        <f t="shared" ref="C73:AH73" si="91">INDEX(MO_RIS_DisCont,0,COLUMN())</f>
        <v>0</v>
      </c>
      <c r="D73" s="788">
        <f t="shared" si="91"/>
        <v>0</v>
      </c>
      <c r="E73" s="788">
        <f t="shared" si="91"/>
        <v>0</v>
      </c>
      <c r="F73" s="788">
        <f t="shared" si="91"/>
        <v>0</v>
      </c>
      <c r="G73" s="552">
        <f t="shared" si="91"/>
        <v>0</v>
      </c>
      <c r="H73" s="552">
        <f t="shared" si="91"/>
        <v>0</v>
      </c>
      <c r="I73" s="552">
        <f t="shared" si="91"/>
        <v>0</v>
      </c>
      <c r="J73" s="552">
        <f t="shared" si="91"/>
        <v>0</v>
      </c>
      <c r="K73" s="788">
        <f t="shared" si="91"/>
        <v>0</v>
      </c>
      <c r="L73" s="552">
        <f t="shared" si="91"/>
        <v>0</v>
      </c>
      <c r="M73" s="552">
        <f t="shared" si="91"/>
        <v>0</v>
      </c>
      <c r="N73" s="552">
        <f t="shared" si="91"/>
        <v>0</v>
      </c>
      <c r="O73" s="552">
        <f t="shared" si="91"/>
        <v>0</v>
      </c>
      <c r="P73" s="788">
        <f t="shared" si="91"/>
        <v>0</v>
      </c>
      <c r="Q73" s="552">
        <f t="shared" si="91"/>
        <v>0</v>
      </c>
      <c r="R73" s="552">
        <f t="shared" si="91"/>
        <v>0</v>
      </c>
      <c r="S73" s="552">
        <f t="shared" si="91"/>
        <v>0</v>
      </c>
      <c r="T73" s="552">
        <f t="shared" si="91"/>
        <v>0</v>
      </c>
      <c r="U73" s="788">
        <f t="shared" si="91"/>
        <v>0</v>
      </c>
      <c r="V73" s="552">
        <f t="shared" si="91"/>
        <v>0</v>
      </c>
      <c r="W73" s="552">
        <f t="shared" si="91"/>
        <v>0</v>
      </c>
      <c r="X73" s="552">
        <f t="shared" si="91"/>
        <v>0</v>
      </c>
      <c r="Y73" s="552">
        <f t="shared" si="91"/>
        <v>0</v>
      </c>
      <c r="Z73" s="788">
        <f t="shared" si="91"/>
        <v>0</v>
      </c>
      <c r="AA73" s="552">
        <f t="shared" si="91"/>
        <v>0</v>
      </c>
      <c r="AB73" s="552">
        <f t="shared" si="91"/>
        <v>0</v>
      </c>
      <c r="AC73" s="552">
        <f t="shared" si="91"/>
        <v>0</v>
      </c>
      <c r="AD73" s="552">
        <f t="shared" si="91"/>
        <v>0</v>
      </c>
      <c r="AE73" s="788">
        <f t="shared" si="91"/>
        <v>0</v>
      </c>
      <c r="AF73" s="552">
        <f t="shared" si="91"/>
        <v>0</v>
      </c>
      <c r="AG73" s="552">
        <f t="shared" si="91"/>
        <v>0</v>
      </c>
      <c r="AH73" s="552">
        <f t="shared" si="91"/>
        <v>0</v>
      </c>
      <c r="AI73" s="552">
        <f t="shared" ref="AI73:BA73" si="92">INDEX(MO_RIS_DisCont,0,COLUMN())</f>
        <v>0</v>
      </c>
      <c r="AJ73" s="788">
        <f t="shared" si="92"/>
        <v>0</v>
      </c>
      <c r="AK73" s="552">
        <f t="shared" si="92"/>
        <v>0</v>
      </c>
      <c r="AL73" s="552">
        <f t="shared" si="92"/>
        <v>0</v>
      </c>
      <c r="AM73" s="552">
        <f t="shared" si="92"/>
        <v>0</v>
      </c>
      <c r="AN73" s="552">
        <f t="shared" si="92"/>
        <v>0</v>
      </c>
      <c r="AO73" s="788">
        <f t="shared" si="92"/>
        <v>0</v>
      </c>
      <c r="AP73" s="552">
        <f t="shared" si="92"/>
        <v>0</v>
      </c>
      <c r="AQ73" s="552">
        <f t="shared" si="92"/>
        <v>0</v>
      </c>
      <c r="AR73" s="552">
        <f t="shared" si="92"/>
        <v>0</v>
      </c>
      <c r="AS73" s="552">
        <f t="shared" si="92"/>
        <v>0</v>
      </c>
      <c r="AT73" s="788">
        <f t="shared" si="92"/>
        <v>0</v>
      </c>
      <c r="AU73" s="552">
        <f t="shared" si="92"/>
        <v>0</v>
      </c>
      <c r="AV73" s="552">
        <f t="shared" si="92"/>
        <v>0</v>
      </c>
      <c r="AW73" s="552">
        <f t="shared" si="92"/>
        <v>0</v>
      </c>
      <c r="AX73" s="552">
        <f t="shared" si="92"/>
        <v>0</v>
      </c>
      <c r="AY73" s="788">
        <f t="shared" si="92"/>
        <v>0</v>
      </c>
      <c r="AZ73" s="552">
        <f t="shared" si="92"/>
        <v>0</v>
      </c>
      <c r="BA73" s="552">
        <f t="shared" si="92"/>
        <v>0</v>
      </c>
      <c r="BB73" s="552">
        <f t="shared" ref="BB73:BG73" si="93">INDEX(MO_RIS_DisCont,0,COLUMN())</f>
        <v>0</v>
      </c>
      <c r="BC73" s="552">
        <f t="shared" si="93"/>
        <v>0</v>
      </c>
      <c r="BD73" s="788">
        <f t="shared" si="93"/>
        <v>0</v>
      </c>
      <c r="BE73" s="552">
        <f t="shared" si="93"/>
        <v>0</v>
      </c>
      <c r="BF73" s="552">
        <f t="shared" si="93"/>
        <v>0</v>
      </c>
      <c r="BG73" s="552">
        <f t="shared" si="93"/>
        <v>0</v>
      </c>
      <c r="BH73" s="552">
        <f t="shared" ref="BH73:BN73" si="94">INDEX(MO_RIS_DisCont,0,COLUMN())</f>
        <v>0</v>
      </c>
      <c r="BI73" s="788">
        <f t="shared" si="94"/>
        <v>0</v>
      </c>
      <c r="BJ73" s="552">
        <f t="shared" si="94"/>
        <v>0</v>
      </c>
      <c r="BK73" s="552">
        <f t="shared" si="94"/>
        <v>0</v>
      </c>
      <c r="BL73" s="597">
        <f>INDEX(MO_RIS_DisCont,0,COLUMN())</f>
        <v>0</v>
      </c>
      <c r="BM73" s="552">
        <f t="shared" si="94"/>
        <v>0</v>
      </c>
      <c r="BN73" s="788">
        <f t="shared" si="94"/>
        <v>0</v>
      </c>
      <c r="BO73" s="552">
        <f t="shared" ref="BO73:BV73" si="95">INDEX(MO_RIS_DisCont,0,COLUMN())</f>
        <v>0</v>
      </c>
      <c r="BP73" s="552">
        <f t="shared" si="95"/>
        <v>0</v>
      </c>
      <c r="BQ73" s="552">
        <f t="shared" si="95"/>
        <v>0</v>
      </c>
      <c r="BR73" s="552">
        <f t="shared" si="95"/>
        <v>0</v>
      </c>
      <c r="BS73" s="788">
        <f t="shared" si="95"/>
        <v>0</v>
      </c>
      <c r="BT73" s="788">
        <f t="shared" si="95"/>
        <v>0</v>
      </c>
      <c r="BU73" s="788">
        <f t="shared" si="95"/>
        <v>0</v>
      </c>
      <c r="BV73" s="788">
        <f t="shared" si="95"/>
        <v>0</v>
      </c>
      <c r="BW73" s="552"/>
    </row>
    <row r="74" spans="1:75" s="481" customFormat="1">
      <c r="A74" s="93" t="str">
        <f>INDEX(MO_RIS_NCI,0,COLUMN())</f>
        <v>Net Income to NCI</v>
      </c>
      <c r="B74" s="94"/>
      <c r="C74" s="788">
        <f t="shared" ref="C74:AH74" si="96">INDEX(MO_RIS_NCI,0,COLUMN())</f>
        <v>0</v>
      </c>
      <c r="D74" s="788">
        <f t="shared" si="96"/>
        <v>0</v>
      </c>
      <c r="E74" s="788">
        <f t="shared" si="96"/>
        <v>0</v>
      </c>
      <c r="F74" s="788">
        <f t="shared" si="96"/>
        <v>0</v>
      </c>
      <c r="G74" s="552">
        <f t="shared" si="96"/>
        <v>0</v>
      </c>
      <c r="H74" s="552">
        <f t="shared" si="96"/>
        <v>0</v>
      </c>
      <c r="I74" s="552">
        <f t="shared" si="96"/>
        <v>0</v>
      </c>
      <c r="J74" s="552">
        <f t="shared" si="96"/>
        <v>0</v>
      </c>
      <c r="K74" s="788">
        <f t="shared" si="96"/>
        <v>0</v>
      </c>
      <c r="L74" s="552">
        <f t="shared" si="96"/>
        <v>0</v>
      </c>
      <c r="M74" s="552">
        <f t="shared" si="96"/>
        <v>0</v>
      </c>
      <c r="N74" s="552">
        <f t="shared" si="96"/>
        <v>0</v>
      </c>
      <c r="O74" s="552">
        <f t="shared" si="96"/>
        <v>0</v>
      </c>
      <c r="P74" s="788">
        <f t="shared" si="96"/>
        <v>0</v>
      </c>
      <c r="Q74" s="552">
        <f t="shared" si="96"/>
        <v>0</v>
      </c>
      <c r="R74" s="552">
        <f t="shared" si="96"/>
        <v>0</v>
      </c>
      <c r="S74" s="552">
        <f t="shared" si="96"/>
        <v>0</v>
      </c>
      <c r="T74" s="552">
        <f t="shared" si="96"/>
        <v>0</v>
      </c>
      <c r="U74" s="788">
        <f t="shared" si="96"/>
        <v>0</v>
      </c>
      <c r="V74" s="552">
        <f t="shared" si="96"/>
        <v>0</v>
      </c>
      <c r="W74" s="552">
        <f t="shared" si="96"/>
        <v>0</v>
      </c>
      <c r="X74" s="552">
        <f t="shared" si="96"/>
        <v>0</v>
      </c>
      <c r="Y74" s="552">
        <f t="shared" si="96"/>
        <v>0</v>
      </c>
      <c r="Z74" s="788">
        <f t="shared" si="96"/>
        <v>0</v>
      </c>
      <c r="AA74" s="552">
        <f t="shared" si="96"/>
        <v>0</v>
      </c>
      <c r="AB74" s="552">
        <f t="shared" si="96"/>
        <v>0</v>
      </c>
      <c r="AC74" s="552">
        <f t="shared" si="96"/>
        <v>0</v>
      </c>
      <c r="AD74" s="552">
        <f t="shared" si="96"/>
        <v>0</v>
      </c>
      <c r="AE74" s="788">
        <f t="shared" si="96"/>
        <v>0</v>
      </c>
      <c r="AF74" s="552">
        <f t="shared" si="96"/>
        <v>0</v>
      </c>
      <c r="AG74" s="552">
        <f t="shared" si="96"/>
        <v>0</v>
      </c>
      <c r="AH74" s="552">
        <f t="shared" si="96"/>
        <v>0</v>
      </c>
      <c r="AI74" s="552">
        <f t="shared" ref="AI74:BA74" si="97">INDEX(MO_RIS_NCI,0,COLUMN())</f>
        <v>0</v>
      </c>
      <c r="AJ74" s="788">
        <f t="shared" si="97"/>
        <v>0</v>
      </c>
      <c r="AK74" s="552">
        <f t="shared" si="97"/>
        <v>0</v>
      </c>
      <c r="AL74" s="552">
        <f t="shared" si="97"/>
        <v>0</v>
      </c>
      <c r="AM74" s="552">
        <f t="shared" si="97"/>
        <v>0</v>
      </c>
      <c r="AN74" s="552">
        <f t="shared" si="97"/>
        <v>0</v>
      </c>
      <c r="AO74" s="788">
        <f t="shared" si="97"/>
        <v>0</v>
      </c>
      <c r="AP74" s="552">
        <f t="shared" si="97"/>
        <v>0</v>
      </c>
      <c r="AQ74" s="552">
        <f t="shared" si="97"/>
        <v>0</v>
      </c>
      <c r="AR74" s="552">
        <f t="shared" si="97"/>
        <v>0</v>
      </c>
      <c r="AS74" s="552">
        <f t="shared" si="97"/>
        <v>0</v>
      </c>
      <c r="AT74" s="788">
        <f t="shared" si="97"/>
        <v>0</v>
      </c>
      <c r="AU74" s="552">
        <f t="shared" si="97"/>
        <v>0</v>
      </c>
      <c r="AV74" s="552">
        <f t="shared" si="97"/>
        <v>0</v>
      </c>
      <c r="AW74" s="552">
        <f t="shared" si="97"/>
        <v>0</v>
      </c>
      <c r="AX74" s="552">
        <f t="shared" si="97"/>
        <v>0</v>
      </c>
      <c r="AY74" s="788">
        <f t="shared" si="97"/>
        <v>0</v>
      </c>
      <c r="AZ74" s="552">
        <f t="shared" si="97"/>
        <v>0</v>
      </c>
      <c r="BA74" s="552">
        <f t="shared" si="97"/>
        <v>0</v>
      </c>
      <c r="BB74" s="552">
        <f t="shared" ref="BB74:BG74" si="98">INDEX(MO_RIS_NCI,0,COLUMN())</f>
        <v>0</v>
      </c>
      <c r="BC74" s="552">
        <f t="shared" si="98"/>
        <v>0</v>
      </c>
      <c r="BD74" s="788">
        <f t="shared" si="98"/>
        <v>0</v>
      </c>
      <c r="BE74" s="552">
        <f t="shared" si="98"/>
        <v>0</v>
      </c>
      <c r="BF74" s="552">
        <f t="shared" si="98"/>
        <v>0</v>
      </c>
      <c r="BG74" s="552">
        <f t="shared" si="98"/>
        <v>0</v>
      </c>
      <c r="BH74" s="552">
        <f t="shared" ref="BH74:BN74" si="99">INDEX(MO_RIS_NCI,0,COLUMN())</f>
        <v>0</v>
      </c>
      <c r="BI74" s="788">
        <f t="shared" si="99"/>
        <v>0</v>
      </c>
      <c r="BJ74" s="552">
        <f t="shared" si="99"/>
        <v>0</v>
      </c>
      <c r="BK74" s="552">
        <f t="shared" si="99"/>
        <v>0</v>
      </c>
      <c r="BL74" s="597">
        <f>INDEX(MO_RIS_NCI,0,COLUMN())</f>
        <v>0</v>
      </c>
      <c r="BM74" s="552">
        <f t="shared" si="99"/>
        <v>0</v>
      </c>
      <c r="BN74" s="788">
        <f t="shared" si="99"/>
        <v>0</v>
      </c>
      <c r="BO74" s="552">
        <f t="shared" ref="BO74:BV74" si="100">INDEX(MO_RIS_NCI,0,COLUMN())</f>
        <v>0</v>
      </c>
      <c r="BP74" s="552">
        <f t="shared" si="100"/>
        <v>0</v>
      </c>
      <c r="BQ74" s="552">
        <f t="shared" si="100"/>
        <v>0</v>
      </c>
      <c r="BR74" s="552">
        <f t="shared" si="100"/>
        <v>0</v>
      </c>
      <c r="BS74" s="788">
        <f t="shared" si="100"/>
        <v>0</v>
      </c>
      <c r="BT74" s="788">
        <f t="shared" si="100"/>
        <v>0</v>
      </c>
      <c r="BU74" s="788">
        <f t="shared" si="100"/>
        <v>0</v>
      </c>
      <c r="BV74" s="788">
        <f t="shared" si="100"/>
        <v>0</v>
      </c>
      <c r="BW74" s="552"/>
    </row>
    <row r="75" spans="1:75" s="481" customFormat="1">
      <c r="A75" s="93" t="str">
        <f>INDEX(MO_RIS_Dividend_Prefs,0,COLUMN())</f>
        <v>Preferred stock dividends</v>
      </c>
      <c r="B75" s="94"/>
      <c r="C75" s="788">
        <f t="shared" ref="C75:AH75" si="101">INDEX(MO_RIS_Dividend_Prefs,0,COLUMN())</f>
        <v>-3.2000000000000001E-2</v>
      </c>
      <c r="D75" s="788">
        <f t="shared" si="101"/>
        <v>0.17499999999999999</v>
      </c>
      <c r="E75" s="788">
        <f t="shared" si="101"/>
        <v>-0.189</v>
      </c>
      <c r="F75" s="788">
        <f t="shared" si="101"/>
        <v>-3.2000000000000001E-2</v>
      </c>
      <c r="G75" s="552">
        <f t="shared" si="101"/>
        <v>0</v>
      </c>
      <c r="H75" s="552">
        <f t="shared" si="101"/>
        <v>0</v>
      </c>
      <c r="I75" s="552">
        <f t="shared" si="101"/>
        <v>0</v>
      </c>
      <c r="J75" s="552">
        <f t="shared" si="101"/>
        <v>0</v>
      </c>
      <c r="K75" s="788">
        <f t="shared" si="101"/>
        <v>0</v>
      </c>
      <c r="L75" s="552">
        <f t="shared" si="101"/>
        <v>0</v>
      </c>
      <c r="M75" s="552">
        <f t="shared" si="101"/>
        <v>0</v>
      </c>
      <c r="N75" s="552">
        <f t="shared" si="101"/>
        <v>0</v>
      </c>
      <c r="O75" s="552">
        <f t="shared" si="101"/>
        <v>0</v>
      </c>
      <c r="P75" s="788">
        <f t="shared" si="101"/>
        <v>0</v>
      </c>
      <c r="Q75" s="552">
        <f t="shared" si="101"/>
        <v>0</v>
      </c>
      <c r="R75" s="552">
        <f t="shared" si="101"/>
        <v>0</v>
      </c>
      <c r="S75" s="552">
        <f t="shared" si="101"/>
        <v>0</v>
      </c>
      <c r="T75" s="552">
        <f t="shared" si="101"/>
        <v>0</v>
      </c>
      <c r="U75" s="788">
        <f t="shared" si="101"/>
        <v>0</v>
      </c>
      <c r="V75" s="552">
        <f t="shared" si="101"/>
        <v>0</v>
      </c>
      <c r="W75" s="552">
        <f t="shared" si="101"/>
        <v>0</v>
      </c>
      <c r="X75" s="552">
        <f t="shared" si="101"/>
        <v>0</v>
      </c>
      <c r="Y75" s="552">
        <f t="shared" si="101"/>
        <v>0</v>
      </c>
      <c r="Z75" s="788">
        <f t="shared" si="101"/>
        <v>0</v>
      </c>
      <c r="AA75" s="552">
        <f t="shared" si="101"/>
        <v>0</v>
      </c>
      <c r="AB75" s="552">
        <f t="shared" si="101"/>
        <v>0</v>
      </c>
      <c r="AC75" s="552">
        <f t="shared" si="101"/>
        <v>0</v>
      </c>
      <c r="AD75" s="552">
        <f t="shared" si="101"/>
        <v>0</v>
      </c>
      <c r="AE75" s="788">
        <f t="shared" si="101"/>
        <v>0</v>
      </c>
      <c r="AF75" s="552">
        <f t="shared" si="101"/>
        <v>0</v>
      </c>
      <c r="AG75" s="552">
        <f t="shared" si="101"/>
        <v>0</v>
      </c>
      <c r="AH75" s="552">
        <f t="shared" si="101"/>
        <v>0</v>
      </c>
      <c r="AI75" s="552">
        <f t="shared" ref="AI75:BA75" si="102">INDEX(MO_RIS_Dividend_Prefs,0,COLUMN())</f>
        <v>0</v>
      </c>
      <c r="AJ75" s="788">
        <f t="shared" si="102"/>
        <v>0</v>
      </c>
      <c r="AK75" s="552">
        <f t="shared" si="102"/>
        <v>0</v>
      </c>
      <c r="AL75" s="552">
        <f t="shared" si="102"/>
        <v>0</v>
      </c>
      <c r="AM75" s="552">
        <f t="shared" si="102"/>
        <v>0</v>
      </c>
      <c r="AN75" s="552">
        <f t="shared" si="102"/>
        <v>0</v>
      </c>
      <c r="AO75" s="788">
        <f t="shared" si="102"/>
        <v>0</v>
      </c>
      <c r="AP75" s="552">
        <f t="shared" si="102"/>
        <v>0</v>
      </c>
      <c r="AQ75" s="552">
        <f t="shared" si="102"/>
        <v>0</v>
      </c>
      <c r="AR75" s="552">
        <f t="shared" si="102"/>
        <v>0</v>
      </c>
      <c r="AS75" s="552">
        <f t="shared" si="102"/>
        <v>0</v>
      </c>
      <c r="AT75" s="788">
        <f t="shared" si="102"/>
        <v>0</v>
      </c>
      <c r="AU75" s="552">
        <f t="shared" si="102"/>
        <v>0</v>
      </c>
      <c r="AV75" s="552">
        <f t="shared" si="102"/>
        <v>0</v>
      </c>
      <c r="AW75" s="552">
        <f t="shared" si="102"/>
        <v>0</v>
      </c>
      <c r="AX75" s="552">
        <f t="shared" si="102"/>
        <v>0</v>
      </c>
      <c r="AY75" s="788">
        <f t="shared" si="102"/>
        <v>0</v>
      </c>
      <c r="AZ75" s="552">
        <f t="shared" si="102"/>
        <v>0</v>
      </c>
      <c r="BA75" s="552">
        <f t="shared" si="102"/>
        <v>0</v>
      </c>
      <c r="BB75" s="552">
        <f t="shared" ref="BB75:BG75" si="103">INDEX(MO_RIS_Dividend_Prefs,0,COLUMN())</f>
        <v>0</v>
      </c>
      <c r="BC75" s="552">
        <f t="shared" si="103"/>
        <v>0</v>
      </c>
      <c r="BD75" s="788">
        <f t="shared" si="103"/>
        <v>0</v>
      </c>
      <c r="BE75" s="552">
        <f t="shared" si="103"/>
        <v>0</v>
      </c>
      <c r="BF75" s="552">
        <f t="shared" si="103"/>
        <v>0</v>
      </c>
      <c r="BG75" s="552">
        <f t="shared" si="103"/>
        <v>0</v>
      </c>
      <c r="BH75" s="552">
        <f t="shared" ref="BH75:BN75" si="104">INDEX(MO_RIS_Dividend_Prefs,0,COLUMN())</f>
        <v>0</v>
      </c>
      <c r="BI75" s="788">
        <f t="shared" si="104"/>
        <v>0</v>
      </c>
      <c r="BJ75" s="552">
        <f t="shared" si="104"/>
        <v>0</v>
      </c>
      <c r="BK75" s="552">
        <f t="shared" si="104"/>
        <v>0</v>
      </c>
      <c r="BL75" s="597">
        <f>INDEX(MO_RIS_Dividend_Prefs,0,COLUMN())</f>
        <v>0</v>
      </c>
      <c r="BM75" s="552">
        <f t="shared" si="104"/>
        <v>0</v>
      </c>
      <c r="BN75" s="788">
        <f t="shared" si="104"/>
        <v>0</v>
      </c>
      <c r="BO75" s="552">
        <f t="shared" ref="BO75:BV75" si="105">INDEX(MO_RIS_Dividend_Prefs,0,COLUMN())</f>
        <v>0</v>
      </c>
      <c r="BP75" s="552">
        <f t="shared" si="105"/>
        <v>0</v>
      </c>
      <c r="BQ75" s="552">
        <f t="shared" si="105"/>
        <v>0</v>
      </c>
      <c r="BR75" s="552">
        <f t="shared" si="105"/>
        <v>0</v>
      </c>
      <c r="BS75" s="788">
        <f t="shared" si="105"/>
        <v>0</v>
      </c>
      <c r="BT75" s="788">
        <f t="shared" si="105"/>
        <v>0</v>
      </c>
      <c r="BU75" s="788">
        <f t="shared" si="105"/>
        <v>0</v>
      </c>
      <c r="BV75" s="788">
        <f t="shared" si="105"/>
        <v>0</v>
      </c>
      <c r="BW75" s="552"/>
    </row>
    <row r="76" spans="1:75" s="478" customFormat="1">
      <c r="A76" s="95" t="str">
        <f>INDEX(MO_RIS_NI_GAAP_Basic,0,COLUMN())</f>
        <v>Net Income to Common Shareholders</v>
      </c>
      <c r="B76" s="96"/>
      <c r="C76" s="789">
        <f t="shared" ref="C76:AH76" si="106">INDEX(MO_RIS_NI_GAAP_Basic,0,COLUMN())</f>
        <v>-2.2759999999999985</v>
      </c>
      <c r="D76" s="789">
        <f t="shared" si="106"/>
        <v>-9.7409999999999997</v>
      </c>
      <c r="E76" s="789">
        <f t="shared" si="106"/>
        <v>-16.479000000000006</v>
      </c>
      <c r="F76" s="789">
        <f t="shared" si="106"/>
        <v>-19.081000000000014</v>
      </c>
      <c r="G76" s="598">
        <f t="shared" si="106"/>
        <v>-4.7989999999999942</v>
      </c>
      <c r="H76" s="598">
        <f t="shared" si="106"/>
        <v>-0.87799999999999123</v>
      </c>
      <c r="I76" s="598">
        <f t="shared" si="106"/>
        <v>-2.3220000000000058</v>
      </c>
      <c r="J76" s="598">
        <f t="shared" si="106"/>
        <v>-2.0690000000000155</v>
      </c>
      <c r="K76" s="789">
        <f t="shared" si="106"/>
        <v>-10.068000000000037</v>
      </c>
      <c r="L76" s="598">
        <f t="shared" si="106"/>
        <v>-2.6349999999999989</v>
      </c>
      <c r="M76" s="598">
        <f t="shared" si="106"/>
        <v>2.742999999999995</v>
      </c>
      <c r="N76" s="598">
        <f t="shared" si="106"/>
        <v>3.6369999999999827</v>
      </c>
      <c r="O76" s="598">
        <f t="shared" si="106"/>
        <v>32.727999999999994</v>
      </c>
      <c r="P76" s="789">
        <f t="shared" si="106"/>
        <v>36.473000000000027</v>
      </c>
      <c r="Q76" s="598">
        <f t="shared" si="106"/>
        <v>-1.2839999999999954</v>
      </c>
      <c r="R76" s="598">
        <f t="shared" si="106"/>
        <v>-1.3049999999999886</v>
      </c>
      <c r="S76" s="598">
        <f t="shared" si="106"/>
        <v>-8.0819999999999901</v>
      </c>
      <c r="T76" s="598">
        <f t="shared" si="106"/>
        <v>-22.228999999999981</v>
      </c>
      <c r="U76" s="789">
        <f t="shared" si="106"/>
        <v>-32.899999999999956</v>
      </c>
      <c r="V76" s="598">
        <f t="shared" si="106"/>
        <v>-15.451999999999996</v>
      </c>
      <c r="W76" s="598">
        <f t="shared" si="106"/>
        <v>0.4490000000000165</v>
      </c>
      <c r="X76" s="598">
        <f t="shared" si="106"/>
        <v>2.0700000000000078</v>
      </c>
      <c r="Y76" s="598">
        <f t="shared" si="106"/>
        <v>8.2629999999999022</v>
      </c>
      <c r="Z76" s="789">
        <f t="shared" si="106"/>
        <v>-4.6700000000001554</v>
      </c>
      <c r="AA76" s="598">
        <f t="shared" si="106"/>
        <v>-4.0260000000000025</v>
      </c>
      <c r="AB76" s="598">
        <f t="shared" si="106"/>
        <v>7.9009999999999732</v>
      </c>
      <c r="AC76" s="598">
        <f t="shared" si="106"/>
        <v>8.0299999999999923</v>
      </c>
      <c r="AD76" s="598">
        <f t="shared" si="106"/>
        <v>141.08999999999997</v>
      </c>
      <c r="AE76" s="789">
        <f t="shared" si="106"/>
        <v>152.99499999999995</v>
      </c>
      <c r="AF76" s="598">
        <f t="shared" si="106"/>
        <v>-2.2859999999999983</v>
      </c>
      <c r="AG76" s="598">
        <f t="shared" si="106"/>
        <v>10.70400000000001</v>
      </c>
      <c r="AH76" s="598">
        <f t="shared" si="106"/>
        <v>14.986000000000027</v>
      </c>
      <c r="AI76" s="598">
        <f t="shared" ref="AI76:BA76" si="107">INDEX(MO_RIS_NI_GAAP_Basic,0,COLUMN())</f>
        <v>31.94599999999998</v>
      </c>
      <c r="AJ76" s="789">
        <f t="shared" si="107"/>
        <v>55.350000000000051</v>
      </c>
      <c r="AK76" s="598">
        <f t="shared" si="107"/>
        <v>1.3649999999999949</v>
      </c>
      <c r="AL76" s="598">
        <f t="shared" si="107"/>
        <v>12.303000000000029</v>
      </c>
      <c r="AM76" s="598">
        <f t="shared" si="107"/>
        <v>10.060999999999984</v>
      </c>
      <c r="AN76" s="598">
        <f t="shared" si="107"/>
        <v>17.151999999999848</v>
      </c>
      <c r="AO76" s="789">
        <f t="shared" si="107"/>
        <v>40.880999999999972</v>
      </c>
      <c r="AP76" s="598">
        <f t="shared" si="107"/>
        <v>-15.502999999999972</v>
      </c>
      <c r="AQ76" s="598">
        <f t="shared" si="107"/>
        <v>-23.99000000000002</v>
      </c>
      <c r="AR76" s="598">
        <f t="shared" si="107"/>
        <v>-1.0200000000000387</v>
      </c>
      <c r="AS76" s="598">
        <f t="shared" si="107"/>
        <v>21.089000000000013</v>
      </c>
      <c r="AT76" s="789">
        <f t="shared" si="107"/>
        <v>-19.423999999999957</v>
      </c>
      <c r="AU76" s="598">
        <f t="shared" si="107"/>
        <v>-5.7960000000000012</v>
      </c>
      <c r="AV76" s="598">
        <f t="shared" si="107"/>
        <v>4.2119999999999829</v>
      </c>
      <c r="AW76" s="598">
        <f t="shared" si="107"/>
        <v>18.064999999999952</v>
      </c>
      <c r="AX76" s="598">
        <f t="shared" si="107"/>
        <v>23.190000000000019</v>
      </c>
      <c r="AY76" s="789">
        <f t="shared" si="107"/>
        <v>39.6709999999999</v>
      </c>
      <c r="AZ76" s="598">
        <f t="shared" si="107"/>
        <v>-0.91499999999998893</v>
      </c>
      <c r="BA76" s="598">
        <f t="shared" si="107"/>
        <v>8.0090000000000021</v>
      </c>
      <c r="BB76" s="598">
        <f t="shared" ref="BB76:BG76" si="108">INDEX(MO_RIS_NI_GAAP_Basic,0,COLUMN())</f>
        <v>9.1080000000000325</v>
      </c>
      <c r="BC76" s="598">
        <f t="shared" si="108"/>
        <v>20.145000000000131</v>
      </c>
      <c r="BD76" s="789">
        <f t="shared" si="108"/>
        <v>36.347000000000058</v>
      </c>
      <c r="BE76" s="598">
        <f t="shared" si="108"/>
        <v>-1.178000000000047</v>
      </c>
      <c r="BF76" s="598">
        <f t="shared" si="108"/>
        <v>14.728999999999907</v>
      </c>
      <c r="BG76" s="598">
        <f t="shared" si="108"/>
        <v>58.215999999999987</v>
      </c>
      <c r="BH76" s="598">
        <f t="shared" ref="BH76:BN76" si="109">INDEX(MO_RIS_NI_GAAP_Basic,0,COLUMN())</f>
        <v>27.405999999999985</v>
      </c>
      <c r="BI76" s="789">
        <f t="shared" si="109"/>
        <v>99.172999999999888</v>
      </c>
      <c r="BJ76" s="598">
        <f t="shared" si="109"/>
        <v>14.153999999999986</v>
      </c>
      <c r="BK76" s="598">
        <f t="shared" si="109"/>
        <v>38.036000000000016</v>
      </c>
      <c r="BL76" s="599">
        <f>INDEX(MO_RIS_NI_GAAP_Basic,0,COLUMN())</f>
        <v>38.439999999999934</v>
      </c>
      <c r="BM76" s="598">
        <f t="shared" si="109"/>
        <v>76.496794106590059</v>
      </c>
      <c r="BN76" s="789">
        <f t="shared" si="109"/>
        <v>167.12679410659038</v>
      </c>
      <c r="BO76" s="598">
        <f t="shared" ref="BO76:BV76" si="110">INDEX(MO_RIS_NI_GAAP_Basic,0,COLUMN())</f>
        <v>44.153267651904059</v>
      </c>
      <c r="BP76" s="598">
        <f t="shared" si="110"/>
        <v>68.315275475650594</v>
      </c>
      <c r="BQ76" s="598">
        <f t="shared" si="110"/>
        <v>64.564563349161148</v>
      </c>
      <c r="BR76" s="598">
        <f t="shared" si="110"/>
        <v>58.486805268019651</v>
      </c>
      <c r="BS76" s="789">
        <f t="shared" si="110"/>
        <v>235.51991174473523</v>
      </c>
      <c r="BT76" s="789">
        <f t="shared" si="110"/>
        <v>238.88980745145057</v>
      </c>
      <c r="BU76" s="789">
        <f t="shared" si="110"/>
        <v>259.90856736275168</v>
      </c>
      <c r="BV76" s="789">
        <f t="shared" si="110"/>
        <v>161.32804459374452</v>
      </c>
      <c r="BW76" s="551"/>
    </row>
    <row r="77" spans="1:75" s="478" customFormat="1">
      <c r="A77" s="93" t="str">
        <f>INDEX(MO_RIS_Adjustments_Dilution_GAAP,0,COLUMN())</f>
        <v>Adjustments for Convertible Securities</v>
      </c>
      <c r="B77" s="94"/>
      <c r="C77" s="788">
        <f t="shared" ref="C77:AH77" si="111">INDEX(MO_RIS_Adjustments_Dilution_GAAP,0,COLUMN())</f>
        <v>0</v>
      </c>
      <c r="D77" s="788">
        <f t="shared" si="111"/>
        <v>0</v>
      </c>
      <c r="E77" s="788">
        <f t="shared" si="111"/>
        <v>0</v>
      </c>
      <c r="F77" s="788">
        <f t="shared" si="111"/>
        <v>0</v>
      </c>
      <c r="G77" s="552">
        <f t="shared" si="111"/>
        <v>0</v>
      </c>
      <c r="H77" s="552">
        <f t="shared" si="111"/>
        <v>0</v>
      </c>
      <c r="I77" s="552">
        <f t="shared" si="111"/>
        <v>0</v>
      </c>
      <c r="J77" s="552">
        <f t="shared" si="111"/>
        <v>0</v>
      </c>
      <c r="K77" s="788">
        <f t="shared" si="111"/>
        <v>0</v>
      </c>
      <c r="L77" s="552">
        <f t="shared" si="111"/>
        <v>0</v>
      </c>
      <c r="M77" s="552">
        <f t="shared" si="111"/>
        <v>0</v>
      </c>
      <c r="N77" s="552">
        <f t="shared" si="111"/>
        <v>0</v>
      </c>
      <c r="O77" s="552">
        <f t="shared" si="111"/>
        <v>0</v>
      </c>
      <c r="P77" s="788">
        <f t="shared" si="111"/>
        <v>0</v>
      </c>
      <c r="Q77" s="552">
        <f t="shared" si="111"/>
        <v>0</v>
      </c>
      <c r="R77" s="552">
        <f t="shared" si="111"/>
        <v>0</v>
      </c>
      <c r="S77" s="552">
        <f t="shared" si="111"/>
        <v>0</v>
      </c>
      <c r="T77" s="552">
        <f t="shared" si="111"/>
        <v>0</v>
      </c>
      <c r="U77" s="788">
        <f t="shared" si="111"/>
        <v>0</v>
      </c>
      <c r="V77" s="552">
        <f t="shared" si="111"/>
        <v>0</v>
      </c>
      <c r="W77" s="552">
        <f t="shared" si="111"/>
        <v>0</v>
      </c>
      <c r="X77" s="552">
        <f t="shared" si="111"/>
        <v>0</v>
      </c>
      <c r="Y77" s="552">
        <f t="shared" si="111"/>
        <v>0</v>
      </c>
      <c r="Z77" s="788">
        <f t="shared" si="111"/>
        <v>0</v>
      </c>
      <c r="AA77" s="552">
        <f t="shared" si="111"/>
        <v>0</v>
      </c>
      <c r="AB77" s="552">
        <f t="shared" si="111"/>
        <v>0</v>
      </c>
      <c r="AC77" s="552">
        <f t="shared" si="111"/>
        <v>0</v>
      </c>
      <c r="AD77" s="552">
        <f t="shared" si="111"/>
        <v>0</v>
      </c>
      <c r="AE77" s="788">
        <f t="shared" si="111"/>
        <v>0</v>
      </c>
      <c r="AF77" s="552">
        <f t="shared" si="111"/>
        <v>0</v>
      </c>
      <c r="AG77" s="552">
        <f t="shared" si="111"/>
        <v>0</v>
      </c>
      <c r="AH77" s="552">
        <f t="shared" si="111"/>
        <v>0</v>
      </c>
      <c r="AI77" s="552">
        <f t="shared" ref="AI77:BA77" si="112">INDEX(MO_RIS_Adjustments_Dilution_GAAP,0,COLUMN())</f>
        <v>0</v>
      </c>
      <c r="AJ77" s="788">
        <f t="shared" si="112"/>
        <v>0</v>
      </c>
      <c r="AK77" s="552">
        <f t="shared" si="112"/>
        <v>0</v>
      </c>
      <c r="AL77" s="552">
        <f t="shared" si="112"/>
        <v>0</v>
      </c>
      <c r="AM77" s="552">
        <f t="shared" si="112"/>
        <v>0</v>
      </c>
      <c r="AN77" s="552">
        <f t="shared" si="112"/>
        <v>0</v>
      </c>
      <c r="AO77" s="788">
        <f t="shared" si="112"/>
        <v>0</v>
      </c>
      <c r="AP77" s="552">
        <f t="shared" si="112"/>
        <v>0</v>
      </c>
      <c r="AQ77" s="552">
        <f t="shared" si="112"/>
        <v>0</v>
      </c>
      <c r="AR77" s="552">
        <f t="shared" si="112"/>
        <v>0</v>
      </c>
      <c r="AS77" s="552">
        <f t="shared" si="112"/>
        <v>0</v>
      </c>
      <c r="AT77" s="788">
        <f t="shared" si="112"/>
        <v>0</v>
      </c>
      <c r="AU77" s="552">
        <f t="shared" si="112"/>
        <v>0</v>
      </c>
      <c r="AV77" s="552">
        <f t="shared" si="112"/>
        <v>0</v>
      </c>
      <c r="AW77" s="552">
        <f t="shared" si="112"/>
        <v>0</v>
      </c>
      <c r="AX77" s="552">
        <f t="shared" si="112"/>
        <v>0</v>
      </c>
      <c r="AY77" s="788">
        <f t="shared" si="112"/>
        <v>0</v>
      </c>
      <c r="AZ77" s="552">
        <f t="shared" si="112"/>
        <v>0</v>
      </c>
      <c r="BA77" s="552">
        <f t="shared" si="112"/>
        <v>0</v>
      </c>
      <c r="BB77" s="552">
        <f t="shared" ref="BB77:BG77" si="113">INDEX(MO_RIS_Adjustments_Dilution_GAAP,0,COLUMN())</f>
        <v>0</v>
      </c>
      <c r="BC77" s="552">
        <f t="shared" si="113"/>
        <v>0</v>
      </c>
      <c r="BD77" s="788">
        <f t="shared" si="113"/>
        <v>0</v>
      </c>
      <c r="BE77" s="552">
        <f t="shared" si="113"/>
        <v>0</v>
      </c>
      <c r="BF77" s="552">
        <f t="shared" si="113"/>
        <v>0</v>
      </c>
      <c r="BG77" s="552">
        <f t="shared" si="113"/>
        <v>0</v>
      </c>
      <c r="BH77" s="552">
        <f t="shared" ref="BH77:BN77" si="114">INDEX(MO_RIS_Adjustments_Dilution_GAAP,0,COLUMN())</f>
        <v>0</v>
      </c>
      <c r="BI77" s="788">
        <f t="shared" si="114"/>
        <v>0</v>
      </c>
      <c r="BJ77" s="552">
        <f t="shared" si="114"/>
        <v>0</v>
      </c>
      <c r="BK77" s="552">
        <f t="shared" si="114"/>
        <v>0</v>
      </c>
      <c r="BL77" s="597">
        <f>INDEX(MO_RIS_Adjustments_Dilution_GAAP,0,COLUMN())</f>
        <v>0</v>
      </c>
      <c r="BM77" s="552">
        <f t="shared" si="114"/>
        <v>0</v>
      </c>
      <c r="BN77" s="788">
        <f t="shared" si="114"/>
        <v>0</v>
      </c>
      <c r="BO77" s="552">
        <f t="shared" ref="BO77:BV77" si="115">INDEX(MO_RIS_Adjustments_Dilution_GAAP,0,COLUMN())</f>
        <v>0</v>
      </c>
      <c r="BP77" s="552">
        <f t="shared" si="115"/>
        <v>0</v>
      </c>
      <c r="BQ77" s="552">
        <f t="shared" si="115"/>
        <v>0</v>
      </c>
      <c r="BR77" s="552">
        <f t="shared" si="115"/>
        <v>0</v>
      </c>
      <c r="BS77" s="788">
        <f t="shared" si="115"/>
        <v>0</v>
      </c>
      <c r="BT77" s="788">
        <f t="shared" si="115"/>
        <v>0</v>
      </c>
      <c r="BU77" s="788">
        <f t="shared" si="115"/>
        <v>0</v>
      </c>
      <c r="BV77" s="788">
        <f t="shared" si="115"/>
        <v>0</v>
      </c>
      <c r="BW77" s="551"/>
    </row>
    <row r="78" spans="1:75" s="478" customFormat="1">
      <c r="A78" s="95" t="str">
        <f>INDEX(MO_RIS_NI_GAAP_Diluted,0,COLUMN())</f>
        <v>Diluted Net Income to Common Shareholders</v>
      </c>
      <c r="B78" s="96"/>
      <c r="C78" s="789">
        <f t="shared" ref="C78:AH78" si="116">INDEX(MO_RIS_NI_GAAP_Diluted,0,COLUMN())</f>
        <v>-2.2759999999999985</v>
      </c>
      <c r="D78" s="789">
        <f t="shared" si="116"/>
        <v>-9.7409999999999997</v>
      </c>
      <c r="E78" s="789">
        <f t="shared" si="116"/>
        <v>-16.479000000000006</v>
      </c>
      <c r="F78" s="789">
        <f t="shared" si="116"/>
        <v>-19.081000000000014</v>
      </c>
      <c r="G78" s="598">
        <f t="shared" si="116"/>
        <v>-4.7989999999999942</v>
      </c>
      <c r="H78" s="598">
        <f t="shared" si="116"/>
        <v>-0.87799999999999123</v>
      </c>
      <c r="I78" s="598">
        <f t="shared" si="116"/>
        <v>-2.3220000000000058</v>
      </c>
      <c r="J78" s="598">
        <f t="shared" si="116"/>
        <v>-2.0690000000000155</v>
      </c>
      <c r="K78" s="789">
        <f t="shared" si="116"/>
        <v>-10.068000000000037</v>
      </c>
      <c r="L78" s="598">
        <f t="shared" si="116"/>
        <v>-2.6349999999999989</v>
      </c>
      <c r="M78" s="598">
        <f t="shared" si="116"/>
        <v>2.742999999999995</v>
      </c>
      <c r="N78" s="598">
        <f t="shared" si="116"/>
        <v>3.6369999999999827</v>
      </c>
      <c r="O78" s="598">
        <f t="shared" si="116"/>
        <v>32.727999999999994</v>
      </c>
      <c r="P78" s="789">
        <f t="shared" si="116"/>
        <v>36.473000000000027</v>
      </c>
      <c r="Q78" s="598">
        <f t="shared" si="116"/>
        <v>-1.2839999999999954</v>
      </c>
      <c r="R78" s="598">
        <f t="shared" si="116"/>
        <v>-1.3049999999999886</v>
      </c>
      <c r="S78" s="598">
        <f t="shared" si="116"/>
        <v>-8.0819999999999901</v>
      </c>
      <c r="T78" s="598">
        <f t="shared" si="116"/>
        <v>-22.228999999999981</v>
      </c>
      <c r="U78" s="789">
        <f t="shared" si="116"/>
        <v>-32.899999999999956</v>
      </c>
      <c r="V78" s="598">
        <f t="shared" si="116"/>
        <v>-15.451999999999996</v>
      </c>
      <c r="W78" s="598">
        <f t="shared" si="116"/>
        <v>0.4490000000000165</v>
      </c>
      <c r="X78" s="598">
        <f t="shared" si="116"/>
        <v>2.0700000000000078</v>
      </c>
      <c r="Y78" s="598">
        <f t="shared" si="116"/>
        <v>8.2629999999999022</v>
      </c>
      <c r="Z78" s="789">
        <f t="shared" si="116"/>
        <v>-4.6700000000001554</v>
      </c>
      <c r="AA78" s="598">
        <f t="shared" si="116"/>
        <v>-4.0260000000000025</v>
      </c>
      <c r="AB78" s="598">
        <f t="shared" si="116"/>
        <v>7.9009999999999732</v>
      </c>
      <c r="AC78" s="598">
        <f t="shared" si="116"/>
        <v>8.0299999999999923</v>
      </c>
      <c r="AD78" s="598">
        <f t="shared" si="116"/>
        <v>141.08999999999997</v>
      </c>
      <c r="AE78" s="789">
        <f t="shared" si="116"/>
        <v>152.99499999999995</v>
      </c>
      <c r="AF78" s="598">
        <f t="shared" si="116"/>
        <v>-2.2859999999999983</v>
      </c>
      <c r="AG78" s="598">
        <f t="shared" si="116"/>
        <v>10.70400000000001</v>
      </c>
      <c r="AH78" s="598">
        <f t="shared" si="116"/>
        <v>14.986000000000027</v>
      </c>
      <c r="AI78" s="598">
        <f t="shared" ref="AI78:BA78" si="117">INDEX(MO_RIS_NI_GAAP_Diluted,0,COLUMN())</f>
        <v>31.94599999999998</v>
      </c>
      <c r="AJ78" s="789">
        <f t="shared" si="117"/>
        <v>55.350000000000051</v>
      </c>
      <c r="AK78" s="598">
        <f t="shared" si="117"/>
        <v>1.3649999999999949</v>
      </c>
      <c r="AL78" s="598">
        <f t="shared" si="117"/>
        <v>12.303000000000029</v>
      </c>
      <c r="AM78" s="598">
        <f t="shared" si="117"/>
        <v>10.060999999999984</v>
      </c>
      <c r="AN78" s="598">
        <f t="shared" si="117"/>
        <v>17.151999999999848</v>
      </c>
      <c r="AO78" s="789">
        <f t="shared" si="117"/>
        <v>40.880999999999972</v>
      </c>
      <c r="AP78" s="598">
        <f t="shared" si="117"/>
        <v>-15.502999999999972</v>
      </c>
      <c r="AQ78" s="598">
        <f t="shared" si="117"/>
        <v>-23.99000000000002</v>
      </c>
      <c r="AR78" s="598">
        <f t="shared" si="117"/>
        <v>-1.0200000000000387</v>
      </c>
      <c r="AS78" s="598">
        <f t="shared" si="117"/>
        <v>21.089000000000013</v>
      </c>
      <c r="AT78" s="789">
        <f t="shared" si="117"/>
        <v>-19.423999999999957</v>
      </c>
      <c r="AU78" s="598">
        <f t="shared" si="117"/>
        <v>-5.7960000000000012</v>
      </c>
      <c r="AV78" s="598">
        <f t="shared" si="117"/>
        <v>4.2119999999999829</v>
      </c>
      <c r="AW78" s="598">
        <f t="shared" si="117"/>
        <v>18.064999999999952</v>
      </c>
      <c r="AX78" s="598">
        <f t="shared" si="117"/>
        <v>23.190000000000019</v>
      </c>
      <c r="AY78" s="789">
        <f t="shared" si="117"/>
        <v>39.6709999999999</v>
      </c>
      <c r="AZ78" s="598">
        <f t="shared" si="117"/>
        <v>-0.91499999999998893</v>
      </c>
      <c r="BA78" s="598">
        <f t="shared" si="117"/>
        <v>8.0090000000000021</v>
      </c>
      <c r="BB78" s="598">
        <f t="shared" ref="BB78:BG78" si="118">INDEX(MO_RIS_NI_GAAP_Diluted,0,COLUMN())</f>
        <v>9.1080000000000325</v>
      </c>
      <c r="BC78" s="598">
        <f t="shared" si="118"/>
        <v>20.145000000000131</v>
      </c>
      <c r="BD78" s="789">
        <f t="shared" si="118"/>
        <v>36.347000000000058</v>
      </c>
      <c r="BE78" s="598">
        <f t="shared" si="118"/>
        <v>-1.178000000000047</v>
      </c>
      <c r="BF78" s="598">
        <f t="shared" si="118"/>
        <v>14.728999999999907</v>
      </c>
      <c r="BG78" s="598">
        <f t="shared" si="118"/>
        <v>58.215999999999987</v>
      </c>
      <c r="BH78" s="598">
        <f t="shared" ref="BH78:BN78" si="119">INDEX(MO_RIS_NI_GAAP_Diluted,0,COLUMN())</f>
        <v>27.405999999999985</v>
      </c>
      <c r="BI78" s="789">
        <f t="shared" si="119"/>
        <v>99.172999999999888</v>
      </c>
      <c r="BJ78" s="598">
        <f t="shared" si="119"/>
        <v>14.153999999999986</v>
      </c>
      <c r="BK78" s="598">
        <f t="shared" si="119"/>
        <v>38.036000000000016</v>
      </c>
      <c r="BL78" s="599">
        <f>INDEX(MO_RIS_NI_GAAP_Diluted,0,COLUMN())</f>
        <v>38.439999999999934</v>
      </c>
      <c r="BM78" s="598">
        <f t="shared" si="119"/>
        <v>76.496794106590059</v>
      </c>
      <c r="BN78" s="789">
        <f t="shared" si="119"/>
        <v>167.12679410659038</v>
      </c>
      <c r="BO78" s="598">
        <f t="shared" ref="BO78:BV78" si="120">INDEX(MO_RIS_NI_GAAP_Diluted,0,COLUMN())</f>
        <v>44.153267651904059</v>
      </c>
      <c r="BP78" s="598">
        <f t="shared" si="120"/>
        <v>68.315275475650594</v>
      </c>
      <c r="BQ78" s="598">
        <f t="shared" si="120"/>
        <v>64.564563349161148</v>
      </c>
      <c r="BR78" s="598">
        <f t="shared" si="120"/>
        <v>58.486805268019651</v>
      </c>
      <c r="BS78" s="789">
        <f t="shared" si="120"/>
        <v>235.51991174473523</v>
      </c>
      <c r="BT78" s="789">
        <f t="shared" si="120"/>
        <v>238.88980745145057</v>
      </c>
      <c r="BU78" s="789">
        <f t="shared" si="120"/>
        <v>259.90856736275168</v>
      </c>
      <c r="BV78" s="789">
        <f t="shared" si="120"/>
        <v>161.32804459374452</v>
      </c>
      <c r="BW78" s="551"/>
    </row>
    <row r="79" spans="1:75" s="480" customFormat="1">
      <c r="A79" s="100" t="str">
        <f>INDEX(MO_RIS_EPS_WAD,0,COLUMN())</f>
        <v>Earnings Per Share - WAD</v>
      </c>
      <c r="B79" s="101"/>
      <c r="C79" s="796">
        <f t="shared" ref="C79:AH79" si="121">INDEX(MO_RIS_EPS_WAD,0,COLUMN())</f>
        <v>-0.18438107582631227</v>
      </c>
      <c r="D79" s="796">
        <f t="shared" si="121"/>
        <v>-0.70720197473500801</v>
      </c>
      <c r="E79" s="796">
        <f t="shared" si="121"/>
        <v>-1.0776927604473223</v>
      </c>
      <c r="F79" s="796">
        <f t="shared" si="121"/>
        <v>-0.35237954532863053</v>
      </c>
      <c r="G79" s="59">
        <f t="shared" si="121"/>
        <v>-7.5298510975475727E-2</v>
      </c>
      <c r="H79" s="59">
        <f t="shared" si="121"/>
        <v>-1.3596382556986981E-2</v>
      </c>
      <c r="I79" s="59">
        <f t="shared" si="121"/>
        <v>-3.5434152296658104E-2</v>
      </c>
      <c r="J79" s="59">
        <f t="shared" si="121"/>
        <v>-3.0052144610513396E-2</v>
      </c>
      <c r="K79" s="796">
        <f t="shared" si="121"/>
        <v>-0.15332368841848831</v>
      </c>
      <c r="L79" s="59">
        <f t="shared" si="121"/>
        <v>-3.7023506765396001E-2</v>
      </c>
      <c r="M79" s="59">
        <f t="shared" si="121"/>
        <v>3.5597487541528174E-2</v>
      </c>
      <c r="N79" s="59">
        <f t="shared" si="121"/>
        <v>4.7052887600910559E-2</v>
      </c>
      <c r="O79" s="59">
        <f t="shared" si="121"/>
        <v>0.43822556672870655</v>
      </c>
      <c r="P79" s="796">
        <f t="shared" si="121"/>
        <v>0.47545364480133517</v>
      </c>
      <c r="Q79" s="59">
        <f t="shared" si="121"/>
        <v>-1.7425764073611575E-2</v>
      </c>
      <c r="R79" s="59">
        <f t="shared" si="121"/>
        <v>-1.7486031273867275E-2</v>
      </c>
      <c r="S79" s="59">
        <f t="shared" si="121"/>
        <v>-0.10773270771404564</v>
      </c>
      <c r="T79" s="59">
        <f t="shared" si="121"/>
        <v>-0.2949238443984501</v>
      </c>
      <c r="U79" s="796">
        <f t="shared" si="121"/>
        <v>-0.44052863436123285</v>
      </c>
      <c r="V79" s="59">
        <f t="shared" si="121"/>
        <v>-0.20362658795002894</v>
      </c>
      <c r="W79" s="59">
        <f t="shared" si="121"/>
        <v>5.6634712411707429E-3</v>
      </c>
      <c r="X79" s="59">
        <f t="shared" si="121"/>
        <v>2.4964723759904578E-2</v>
      </c>
      <c r="Y79" s="59">
        <f t="shared" si="121"/>
        <v>9.7944620928356901E-2</v>
      </c>
      <c r="Z79" s="796">
        <f t="shared" si="121"/>
        <v>-6.0503200062189448E-2</v>
      </c>
      <c r="AA79" s="59">
        <f t="shared" si="121"/>
        <v>-5.0423957015643228E-2</v>
      </c>
      <c r="AB79" s="59">
        <f t="shared" si="121"/>
        <v>9.3106292717416606E-2</v>
      </c>
      <c r="AC79" s="59">
        <f t="shared" si="121"/>
        <v>9.1841753113812763E-2</v>
      </c>
      <c r="AD79" s="59">
        <f t="shared" si="121"/>
        <v>1.5841417407706817</v>
      </c>
      <c r="AE79" s="796">
        <f t="shared" si="121"/>
        <v>1.7551336468968675</v>
      </c>
      <c r="AF79" s="59">
        <f t="shared" si="121"/>
        <v>-2.7284120069224781E-2</v>
      </c>
      <c r="AG79" s="59">
        <f t="shared" si="121"/>
        <v>0.12074313882528127</v>
      </c>
      <c r="AH79" s="59">
        <f t="shared" si="121"/>
        <v>0.16890582029665058</v>
      </c>
      <c r="AI79" s="59">
        <f t="shared" ref="AI79:BA79" si="122">INDEX(MO_RIS_EPS_WAD,0,COLUMN())</f>
        <v>0.37022958267178113</v>
      </c>
      <c r="AJ79" s="796">
        <f t="shared" si="122"/>
        <v>0.6239502192562203</v>
      </c>
      <c r="AK79" s="59">
        <f t="shared" si="122"/>
        <v>1.6042403657432921E-2</v>
      </c>
      <c r="AL79" s="59">
        <f t="shared" si="122"/>
        <v>0.15666624220043332</v>
      </c>
      <c r="AM79" s="59">
        <f t="shared" si="122"/>
        <v>0.1364906663772518</v>
      </c>
      <c r="AN79" s="59">
        <f t="shared" si="122"/>
        <v>0.23500075355885089</v>
      </c>
      <c r="AO79" s="796">
        <f t="shared" si="122"/>
        <v>0.52432376970334327</v>
      </c>
      <c r="AP79" s="59">
        <f t="shared" si="122"/>
        <v>-0.21667971152233426</v>
      </c>
      <c r="AQ79" s="59">
        <f t="shared" si="122"/>
        <v>-0.33129410464971787</v>
      </c>
      <c r="AR79" s="59">
        <f t="shared" si="122"/>
        <v>-1.3874908180755213E-2</v>
      </c>
      <c r="AS79" s="59">
        <f t="shared" si="122"/>
        <v>0.27398630653103134</v>
      </c>
      <c r="AT79" s="796">
        <f t="shared" si="122"/>
        <v>-0.26606396822135414</v>
      </c>
      <c r="AU79" s="59">
        <f t="shared" si="122"/>
        <v>-7.7028373978337436E-2</v>
      </c>
      <c r="AV79" s="59">
        <f t="shared" si="122"/>
        <v>5.3327931326994198E-2</v>
      </c>
      <c r="AW79" s="59">
        <f t="shared" si="122"/>
        <v>0.23333161116995108</v>
      </c>
      <c r="AX79" s="59">
        <f t="shared" si="122"/>
        <v>0.30491492886633204</v>
      </c>
      <c r="AY79" s="796">
        <f t="shared" si="122"/>
        <v>0.50461738068586415</v>
      </c>
      <c r="AZ79" s="59">
        <f t="shared" si="122"/>
        <v>-1.2772372590348679E-2</v>
      </c>
      <c r="BA79" s="59">
        <f t="shared" si="122"/>
        <v>0.10996087046063023</v>
      </c>
      <c r="BB79" s="59">
        <f t="shared" ref="BB79:BG79" si="123">INDEX(MO_RIS_EPS_WAD,0,COLUMN())</f>
        <v>0.12535440006606338</v>
      </c>
      <c r="BC79" s="59">
        <f t="shared" si="123"/>
        <v>0.28132724454313307</v>
      </c>
      <c r="BD79" s="796">
        <f t="shared" si="123"/>
        <v>0.49517724312689104</v>
      </c>
      <c r="BE79" s="59">
        <f t="shared" si="123"/>
        <v>-1.6871714813595437E-2</v>
      </c>
      <c r="BF79" s="59">
        <f t="shared" si="123"/>
        <v>0.20675762935511816</v>
      </c>
      <c r="BG79" s="59">
        <f t="shared" si="123"/>
        <v>0.79134382731152952</v>
      </c>
      <c r="BH79" s="59">
        <f t="shared" ref="BH79:BN79" si="124">INDEX(MO_RIS_EPS_WAD,0,COLUMN())</f>
        <v>0.374608728932872</v>
      </c>
      <c r="BI79" s="796">
        <f t="shared" si="124"/>
        <v>1.3475324745910089</v>
      </c>
      <c r="BJ79" s="59">
        <f t="shared" si="124"/>
        <v>0.19591124890998915</v>
      </c>
      <c r="BK79" s="59">
        <f t="shared" si="124"/>
        <v>0.53994662426892304</v>
      </c>
      <c r="BL79" s="419">
        <f>INDEX(MO_RIS_EPS_WAD,0,COLUMN())</f>
        <v>0.55578849963130483</v>
      </c>
      <c r="BM79" s="59" t="e">
        <f t="shared" si="124"/>
        <v>#REF!</v>
      </c>
      <c r="BN79" s="796" t="e">
        <f t="shared" si="124"/>
        <v>#REF!</v>
      </c>
      <c r="BO79" s="59" t="e">
        <f t="shared" ref="BO79:BV79" si="125">INDEX(MO_RIS_EPS_WAD,0,COLUMN())</f>
        <v>#REF!</v>
      </c>
      <c r="BP79" s="59" t="e">
        <f t="shared" si="125"/>
        <v>#REF!</v>
      </c>
      <c r="BQ79" s="59" t="e">
        <f t="shared" si="125"/>
        <v>#REF!</v>
      </c>
      <c r="BR79" s="59" t="e">
        <f t="shared" si="125"/>
        <v>#REF!</v>
      </c>
      <c r="BS79" s="796" t="e">
        <f t="shared" si="125"/>
        <v>#REF!</v>
      </c>
      <c r="BT79" s="796" t="e">
        <f t="shared" si="125"/>
        <v>#REF!</v>
      </c>
      <c r="BU79" s="796" t="e">
        <f t="shared" si="125"/>
        <v>#REF!</v>
      </c>
      <c r="BV79" s="796" t="e">
        <f t="shared" si="125"/>
        <v>#REF!</v>
      </c>
      <c r="BW79" s="59"/>
    </row>
    <row r="80" spans="1:75" s="481" customFormat="1">
      <c r="A80" s="353" t="str">
        <f>INDEX(MO_RIS_ShareCount_WAD_Adj,0,COLUMN())</f>
        <v>Adjusted Shares Outstanding - WAD</v>
      </c>
      <c r="B80" s="94"/>
      <c r="C80" s="788"/>
      <c r="D80" s="788"/>
      <c r="E80" s="788"/>
      <c r="F80" s="788">
        <f t="shared" ref="F80:AK80" si="126">INDEX(MO_RIS_ShareCount_WAD_Adj,0,COLUMN())</f>
        <v>54.149000000000001</v>
      </c>
      <c r="G80" s="552">
        <f t="shared" si="126"/>
        <v>63.732999999999997</v>
      </c>
      <c r="H80" s="552">
        <f t="shared" si="126"/>
        <v>64.575999999999993</v>
      </c>
      <c r="I80" s="552">
        <f t="shared" si="126"/>
        <v>65.53</v>
      </c>
      <c r="J80" s="552">
        <f t="shared" si="126"/>
        <v>68.846999999999994</v>
      </c>
      <c r="K80" s="788">
        <f t="shared" si="126"/>
        <v>65.665000000000006</v>
      </c>
      <c r="L80" s="552">
        <f t="shared" si="126"/>
        <v>71.171000000000006</v>
      </c>
      <c r="M80" s="552">
        <f t="shared" si="126"/>
        <v>77.055999999999997</v>
      </c>
      <c r="N80" s="552">
        <f t="shared" si="126"/>
        <v>77.296000000000006</v>
      </c>
      <c r="O80" s="552">
        <f t="shared" si="126"/>
        <v>77.210999999999999</v>
      </c>
      <c r="P80" s="788">
        <f t="shared" si="126"/>
        <v>76.712000000000003</v>
      </c>
      <c r="Q80" s="552">
        <f t="shared" si="126"/>
        <v>77.899000000000001</v>
      </c>
      <c r="R80" s="552">
        <f t="shared" si="126"/>
        <v>78.748999999999995</v>
      </c>
      <c r="S80" s="552">
        <f t="shared" si="126"/>
        <v>77.703999999999994</v>
      </c>
      <c r="T80" s="552">
        <f t="shared" si="126"/>
        <v>78.165999999999997</v>
      </c>
      <c r="U80" s="788">
        <f t="shared" si="126"/>
        <v>78.078000000000003</v>
      </c>
      <c r="V80" s="552">
        <f t="shared" si="126"/>
        <v>77.881</v>
      </c>
      <c r="W80" s="552">
        <f t="shared" si="126"/>
        <v>79.28</v>
      </c>
      <c r="X80" s="552">
        <f t="shared" si="126"/>
        <v>82.917000000000002</v>
      </c>
      <c r="Y80" s="552">
        <f t="shared" si="126"/>
        <v>84.364000000000004</v>
      </c>
      <c r="Z80" s="788">
        <f t="shared" si="126"/>
        <v>81.200999999999993</v>
      </c>
      <c r="AA80" s="552">
        <f t="shared" si="126"/>
        <v>85.11</v>
      </c>
      <c r="AB80" s="552">
        <f t="shared" si="126"/>
        <v>84.86</v>
      </c>
      <c r="AC80" s="552">
        <f t="shared" si="126"/>
        <v>87.433000000000007</v>
      </c>
      <c r="AD80" s="552">
        <f t="shared" si="126"/>
        <v>89.063999999999993</v>
      </c>
      <c r="AE80" s="788">
        <f t="shared" si="126"/>
        <v>87.17</v>
      </c>
      <c r="AF80" s="552">
        <f t="shared" si="126"/>
        <v>83.784999999999997</v>
      </c>
      <c r="AG80" s="552">
        <f t="shared" si="126"/>
        <v>88.650999999999996</v>
      </c>
      <c r="AH80" s="552">
        <f t="shared" si="126"/>
        <v>88.724000000000004</v>
      </c>
      <c r="AI80" s="552">
        <f t="shared" si="126"/>
        <v>86.287000000000006</v>
      </c>
      <c r="AJ80" s="788">
        <f t="shared" si="126"/>
        <v>88.709000000000003</v>
      </c>
      <c r="AK80" s="552">
        <f t="shared" si="126"/>
        <v>85.087000000000003</v>
      </c>
      <c r="AL80" s="552">
        <f t="shared" ref="AL80:BA80" si="127">INDEX(MO_RIS_ShareCount_WAD_Adj,0,COLUMN())</f>
        <v>78.53</v>
      </c>
      <c r="AM80" s="552">
        <f t="shared" si="127"/>
        <v>73.712000000000003</v>
      </c>
      <c r="AN80" s="552">
        <f t="shared" si="127"/>
        <v>72.986999999999995</v>
      </c>
      <c r="AO80" s="788">
        <f t="shared" si="127"/>
        <v>77.968999999999994</v>
      </c>
      <c r="AP80" s="552">
        <f t="shared" si="127"/>
        <v>71.548000000000002</v>
      </c>
      <c r="AQ80" s="552">
        <f t="shared" si="127"/>
        <v>72.412999999999997</v>
      </c>
      <c r="AR80" s="552">
        <f t="shared" si="127"/>
        <v>73.513999999999996</v>
      </c>
      <c r="AS80" s="552">
        <f t="shared" si="127"/>
        <v>76.971000000000004</v>
      </c>
      <c r="AT80" s="788">
        <f t="shared" si="127"/>
        <v>73.004999999999995</v>
      </c>
      <c r="AU80" s="552">
        <f t="shared" si="127"/>
        <v>75.245000000000005</v>
      </c>
      <c r="AV80" s="552">
        <f t="shared" si="127"/>
        <v>78.983000000000004</v>
      </c>
      <c r="AW80" s="552">
        <f t="shared" si="127"/>
        <v>77.421999999999997</v>
      </c>
      <c r="AX80" s="552">
        <f t="shared" si="127"/>
        <v>76.054000000000002</v>
      </c>
      <c r="AY80" s="788">
        <f t="shared" si="127"/>
        <v>78.616</v>
      </c>
      <c r="AZ80" s="552">
        <f t="shared" si="127"/>
        <v>71.638999999999996</v>
      </c>
      <c r="BA80" s="552">
        <f t="shared" si="127"/>
        <v>72.834999999999994</v>
      </c>
      <c r="BB80" s="552">
        <f t="shared" ref="BB80:BG80" si="128">INDEX(MO_RIS_ShareCount_WAD_Adj,0,COLUMN())</f>
        <v>72.658000000000001</v>
      </c>
      <c r="BC80" s="552">
        <f t="shared" si="128"/>
        <v>71.606999999999999</v>
      </c>
      <c r="BD80" s="788">
        <f t="shared" si="128"/>
        <v>73.402000000000001</v>
      </c>
      <c r="BE80" s="552">
        <f t="shared" si="128"/>
        <v>69.820999999999998</v>
      </c>
      <c r="BF80" s="552">
        <f t="shared" si="128"/>
        <v>71.238</v>
      </c>
      <c r="BG80" s="552">
        <f t="shared" si="128"/>
        <v>73.566000000000003</v>
      </c>
      <c r="BH80" s="552">
        <f t="shared" ref="BH80:BN80" si="129">INDEX(MO_RIS_ShareCount_WAD_Adj,0,COLUMN())</f>
        <v>73.159000000000006</v>
      </c>
      <c r="BI80" s="788">
        <f t="shared" si="129"/>
        <v>73.596000000000004</v>
      </c>
      <c r="BJ80" s="552">
        <f t="shared" si="129"/>
        <v>72.247</v>
      </c>
      <c r="BK80" s="552">
        <f t="shared" si="129"/>
        <v>70.444000000000003</v>
      </c>
      <c r="BL80" s="597">
        <f>INDEX(MO_RIS_ShareCount_WAD_Adj,0,COLUMN())</f>
        <v>69.162999999999997</v>
      </c>
      <c r="BM80" s="552" t="e">
        <f t="shared" si="129"/>
        <v>#REF!</v>
      </c>
      <c r="BN80" s="788" t="e">
        <f t="shared" si="129"/>
        <v>#REF!</v>
      </c>
      <c r="BO80" s="552" t="e">
        <f t="shared" ref="BO80:BV80" si="130">INDEX(MO_RIS_ShareCount_WAD_Adj,0,COLUMN())</f>
        <v>#REF!</v>
      </c>
      <c r="BP80" s="552" t="e">
        <f t="shared" si="130"/>
        <v>#REF!</v>
      </c>
      <c r="BQ80" s="552" t="e">
        <f t="shared" si="130"/>
        <v>#REF!</v>
      </c>
      <c r="BR80" s="552" t="e">
        <f t="shared" si="130"/>
        <v>#REF!</v>
      </c>
      <c r="BS80" s="788" t="e">
        <f t="shared" si="130"/>
        <v>#REF!</v>
      </c>
      <c r="BT80" s="788" t="e">
        <f t="shared" si="130"/>
        <v>#REF!</v>
      </c>
      <c r="BU80" s="788" t="e">
        <f t="shared" si="130"/>
        <v>#REF!</v>
      </c>
      <c r="BV80" s="788" t="e">
        <f t="shared" si="130"/>
        <v>#REF!</v>
      </c>
      <c r="BW80" s="552"/>
    </row>
    <row r="81" spans="1:75" s="481" customFormat="1">
      <c r="A81" s="93"/>
      <c r="B81" s="94"/>
      <c r="C81" s="788"/>
      <c r="D81" s="788"/>
      <c r="E81" s="788"/>
      <c r="F81" s="788"/>
      <c r="G81" s="552"/>
      <c r="H81" s="552"/>
      <c r="I81" s="552"/>
      <c r="J81" s="552"/>
      <c r="K81" s="788"/>
      <c r="L81" s="552"/>
      <c r="M81" s="552"/>
      <c r="N81" s="552"/>
      <c r="O81" s="552"/>
      <c r="P81" s="788"/>
      <c r="Q81" s="552"/>
      <c r="R81" s="552"/>
      <c r="S81" s="552"/>
      <c r="T81" s="552"/>
      <c r="U81" s="788"/>
      <c r="V81" s="552"/>
      <c r="W81" s="552"/>
      <c r="X81" s="552"/>
      <c r="Y81" s="552"/>
      <c r="Z81" s="788"/>
      <c r="AA81" s="552"/>
      <c r="AB81" s="552"/>
      <c r="AC81" s="552"/>
      <c r="AD81" s="552"/>
      <c r="AE81" s="788"/>
      <c r="AF81" s="552"/>
      <c r="AG81" s="552"/>
      <c r="AH81" s="552"/>
      <c r="AI81" s="552"/>
      <c r="AJ81" s="788"/>
      <c r="AK81" s="552"/>
      <c r="AL81" s="552"/>
      <c r="AM81" s="552"/>
      <c r="AN81" s="552"/>
      <c r="AO81" s="788"/>
      <c r="AP81" s="552"/>
      <c r="AQ81" s="552"/>
      <c r="AR81" s="552"/>
      <c r="AS81" s="552"/>
      <c r="AT81" s="788"/>
      <c r="AU81" s="552"/>
      <c r="AV81" s="552"/>
      <c r="AW81" s="552"/>
      <c r="AX81" s="552"/>
      <c r="AY81" s="788"/>
      <c r="AZ81" s="552"/>
      <c r="BA81" s="552"/>
      <c r="BB81" s="552"/>
      <c r="BC81" s="552"/>
      <c r="BD81" s="788"/>
      <c r="BE81" s="552"/>
      <c r="BF81" s="552"/>
      <c r="BG81" s="552"/>
      <c r="BH81" s="552"/>
      <c r="BI81" s="788"/>
      <c r="BJ81" s="552"/>
      <c r="BK81" s="552"/>
      <c r="BL81" s="597"/>
      <c r="BM81" s="552"/>
      <c r="BN81" s="788"/>
      <c r="BO81" s="552"/>
      <c r="BP81" s="552"/>
      <c r="BQ81" s="552"/>
      <c r="BR81" s="552"/>
      <c r="BS81" s="788"/>
      <c r="BT81" s="788"/>
      <c r="BU81" s="788"/>
      <c r="BV81" s="788"/>
      <c r="BW81" s="552"/>
    </row>
    <row r="82" spans="1:75" s="479" customFormat="1">
      <c r="A82" s="56" t="s">
        <v>642</v>
      </c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56"/>
      <c r="AS82" s="56"/>
      <c r="AT82" s="56"/>
      <c r="AU82" s="56"/>
      <c r="AV82" s="56"/>
      <c r="AW82" s="56"/>
      <c r="AX82" s="56"/>
      <c r="AY82" s="56"/>
      <c r="AZ82" s="56"/>
      <c r="BA82" s="56"/>
      <c r="BB82" s="56"/>
      <c r="BC82" s="56"/>
      <c r="BD82" s="56"/>
      <c r="BE82" s="56"/>
      <c r="BF82" s="56"/>
      <c r="BG82" s="56"/>
      <c r="BH82" s="56"/>
      <c r="BI82" s="56"/>
      <c r="BJ82" s="56"/>
      <c r="BK82" s="56"/>
      <c r="BL82" s="188"/>
      <c r="BM82" s="56"/>
      <c r="BN82" s="56"/>
      <c r="BO82" s="56"/>
      <c r="BP82" s="56"/>
      <c r="BQ82" s="56"/>
      <c r="BR82" s="56"/>
      <c r="BS82" s="56"/>
      <c r="BT82" s="56"/>
      <c r="BU82" s="56"/>
      <c r="BV82" s="56"/>
      <c r="BW82" s="146"/>
    </row>
    <row r="83" spans="1:75" s="478" customFormat="1">
      <c r="A83" s="92" t="e">
        <f>INDEX(MO_RIS_EBITDA_Adj,0,COLUMN())</f>
        <v>#VALUE!</v>
      </c>
      <c r="B83" s="97"/>
      <c r="C83" s="787">
        <f t="shared" ref="C83:AH83" si="131">INDEX(MO_RIS_EBITDA_Adj,0,COLUMN())</f>
        <v>-0.57499999999999962</v>
      </c>
      <c r="D83" s="787">
        <f t="shared" si="131"/>
        <v>-5.7410000000000023</v>
      </c>
      <c r="E83" s="787">
        <f t="shared" si="131"/>
        <v>-1.1280000000000054</v>
      </c>
      <c r="F83" s="787">
        <f t="shared" si="131"/>
        <v>4.5980000000000132</v>
      </c>
      <c r="G83" s="551">
        <f t="shared" si="131"/>
        <v>3.2040000000000064</v>
      </c>
      <c r="H83" s="551">
        <f t="shared" si="131"/>
        <v>7.7700000000000014</v>
      </c>
      <c r="I83" s="551">
        <f t="shared" si="131"/>
        <v>8.0499999999999989</v>
      </c>
      <c r="J83" s="551">
        <f t="shared" si="131"/>
        <v>10.404999999999998</v>
      </c>
      <c r="K83" s="787">
        <f t="shared" si="131"/>
        <v>29.428999999999991</v>
      </c>
      <c r="L83" s="551">
        <f t="shared" si="131"/>
        <v>8.5129999999999999</v>
      </c>
      <c r="M83" s="551">
        <f t="shared" si="131"/>
        <v>17.51400000000001</v>
      </c>
      <c r="N83" s="551">
        <f t="shared" si="131"/>
        <v>20.065999999999995</v>
      </c>
      <c r="O83" s="551">
        <f t="shared" si="131"/>
        <v>25.099000000000011</v>
      </c>
      <c r="P83" s="787">
        <f t="shared" si="131"/>
        <v>70.922000000000025</v>
      </c>
      <c r="Q83" s="551">
        <f t="shared" si="131"/>
        <v>16.31699999999999</v>
      </c>
      <c r="R83" s="551">
        <f t="shared" si="131"/>
        <v>22.733000000000011</v>
      </c>
      <c r="S83" s="551">
        <f t="shared" si="131"/>
        <v>12.533000000000008</v>
      </c>
      <c r="T83" s="551">
        <f t="shared" si="131"/>
        <v>17.538999999999991</v>
      </c>
      <c r="U83" s="787">
        <f t="shared" si="131"/>
        <v>69.122000000000043</v>
      </c>
      <c r="V83" s="551">
        <f t="shared" si="131"/>
        <v>13.026000000000003</v>
      </c>
      <c r="W83" s="551">
        <f t="shared" si="131"/>
        <v>28.103000000000002</v>
      </c>
      <c r="X83" s="551">
        <f t="shared" si="131"/>
        <v>33.679000000000002</v>
      </c>
      <c r="Y83" s="551">
        <f t="shared" si="131"/>
        <v>45.274000000000001</v>
      </c>
      <c r="Z83" s="787">
        <f t="shared" si="131"/>
        <v>120.083</v>
      </c>
      <c r="AA83" s="551">
        <f t="shared" si="131"/>
        <v>30.024999999999999</v>
      </c>
      <c r="AB83" s="551">
        <f t="shared" si="131"/>
        <v>43.203000000000003</v>
      </c>
      <c r="AC83" s="551">
        <f t="shared" si="131"/>
        <v>42.890999999999991</v>
      </c>
      <c r="AD83" s="551">
        <f t="shared" si="131"/>
        <v>41.706999999999987</v>
      </c>
      <c r="AE83" s="787">
        <f t="shared" si="131"/>
        <v>157.82600000000002</v>
      </c>
      <c r="AF83" s="551">
        <f t="shared" si="131"/>
        <v>32.935000000000031</v>
      </c>
      <c r="AG83" s="551">
        <f t="shared" si="131"/>
        <v>46.934999999999981</v>
      </c>
      <c r="AH83" s="551">
        <f t="shared" si="131"/>
        <v>50.287999999999997</v>
      </c>
      <c r="AI83" s="551">
        <f t="shared" ref="AI83:BA83" si="132">INDEX(MO_RIS_EBITDA_Adj,0,COLUMN())</f>
        <v>52.931999999999974</v>
      </c>
      <c r="AJ83" s="787">
        <f t="shared" si="132"/>
        <v>183.08999999999997</v>
      </c>
      <c r="AK83" s="551">
        <f t="shared" si="132"/>
        <v>39.312999999999995</v>
      </c>
      <c r="AL83" s="551">
        <f t="shared" si="132"/>
        <v>54.889000000000003</v>
      </c>
      <c r="AM83" s="551">
        <f t="shared" si="132"/>
        <v>58.292999999999978</v>
      </c>
      <c r="AN83" s="551">
        <f t="shared" si="132"/>
        <v>60.999999999999844</v>
      </c>
      <c r="AO83" s="787">
        <f t="shared" si="132"/>
        <v>213.49499999999983</v>
      </c>
      <c r="AP83" s="551">
        <f t="shared" si="132"/>
        <v>16.858000000000001</v>
      </c>
      <c r="AQ83" s="551">
        <f t="shared" si="132"/>
        <v>11.129999999999983</v>
      </c>
      <c r="AR83" s="551">
        <f t="shared" si="132"/>
        <v>52.658999999999985</v>
      </c>
      <c r="AS83" s="551">
        <f t="shared" si="132"/>
        <v>59.603000000000009</v>
      </c>
      <c r="AT83" s="787">
        <f t="shared" si="132"/>
        <v>140.24999999999997</v>
      </c>
      <c r="AU83" s="551">
        <f t="shared" si="132"/>
        <v>43.704999999999998</v>
      </c>
      <c r="AV83" s="551">
        <f t="shared" si="132"/>
        <v>63.786999999999985</v>
      </c>
      <c r="AW83" s="551">
        <f t="shared" si="132"/>
        <v>70.713999999999956</v>
      </c>
      <c r="AX83" s="551">
        <f t="shared" si="132"/>
        <v>68.118000000000023</v>
      </c>
      <c r="AY83" s="787">
        <f t="shared" si="132"/>
        <v>246.32399999999996</v>
      </c>
      <c r="AZ83" s="551">
        <f t="shared" si="132"/>
        <v>48.093999999999987</v>
      </c>
      <c r="BA83" s="551">
        <f t="shared" si="132"/>
        <v>67.320000000000036</v>
      </c>
      <c r="BB83" s="551">
        <f t="shared" ref="BB83:BG83" si="133">INDEX(MO_RIS_EBITDA_Adj,0,COLUMN())</f>
        <v>73.93700000000004</v>
      </c>
      <c r="BC83" s="551">
        <f t="shared" si="133"/>
        <v>80.408000000000115</v>
      </c>
      <c r="BD83" s="787">
        <f t="shared" si="133"/>
        <v>269.75900000000019</v>
      </c>
      <c r="BE83" s="551">
        <f t="shared" si="133"/>
        <v>54.029999999999951</v>
      </c>
      <c r="BF83" s="551">
        <f t="shared" si="133"/>
        <v>83.936999999999955</v>
      </c>
      <c r="BG83" s="551">
        <f t="shared" si="133"/>
        <v>96.471999999999994</v>
      </c>
      <c r="BH83" s="551">
        <f t="shared" ref="BH83:BN83" si="134">INDEX(MO_RIS_EBITDA_Adj,0,COLUMN())</f>
        <v>96.054000000000002</v>
      </c>
      <c r="BI83" s="787">
        <f t="shared" si="134"/>
        <v>330.49299999999988</v>
      </c>
      <c r="BJ83" s="551">
        <f t="shared" si="134"/>
        <v>64.455999999999989</v>
      </c>
      <c r="BK83" s="551">
        <f t="shared" si="134"/>
        <v>91.115000000000023</v>
      </c>
      <c r="BL83" s="596">
        <f>INDEX(MO_RIS_EBITDA_Adj,0,COLUMN())</f>
        <v>101.36399999999993</v>
      </c>
      <c r="BM83" s="551">
        <f t="shared" si="134"/>
        <v>86.610928075042125</v>
      </c>
      <c r="BN83" s="787">
        <f t="shared" si="134"/>
        <v>343.54592807504207</v>
      </c>
      <c r="BO83" s="551" t="e">
        <f t="shared" ref="BO83:BV83" si="135">INDEX(MO_RIS_EBITDA_Adj,0,COLUMN())</f>
        <v>#VALUE!</v>
      </c>
      <c r="BP83" s="551" t="e">
        <f t="shared" si="135"/>
        <v>#VALUE!</v>
      </c>
      <c r="BQ83" s="551" t="e">
        <f t="shared" si="135"/>
        <v>#VALUE!</v>
      </c>
      <c r="BR83" s="551" t="e">
        <f t="shared" si="135"/>
        <v>#VALUE!</v>
      </c>
      <c r="BS83" s="787" t="e">
        <f t="shared" si="135"/>
        <v>#VALUE!</v>
      </c>
      <c r="BT83" s="787" t="e">
        <f t="shared" si="135"/>
        <v>#VALUE!</v>
      </c>
      <c r="BU83" s="787" t="e">
        <f t="shared" si="135"/>
        <v>#VALUE!</v>
      </c>
      <c r="BV83" s="787" t="e">
        <f t="shared" si="135"/>
        <v>#VALUE!</v>
      </c>
      <c r="BW83" s="551"/>
    </row>
    <row r="84" spans="1:75" s="478" customFormat="1">
      <c r="A84" s="92" t="str">
        <f>INDEX(MO_RIS_EBIT_Adj,0,COLUMN())</f>
        <v>Adjusted EBIT (No Adjustments)</v>
      </c>
      <c r="B84" s="97"/>
      <c r="C84" s="787">
        <f t="shared" ref="C84:AH84" si="136">INDEX(MO_RIS_EBIT_Adj,0,COLUMN())</f>
        <v>-2.3329999999999984</v>
      </c>
      <c r="D84" s="787">
        <f t="shared" si="136"/>
        <v>-9.5060000000000002</v>
      </c>
      <c r="E84" s="787">
        <f t="shared" si="136"/>
        <v>-16.171000000000006</v>
      </c>
      <c r="F84" s="787">
        <f t="shared" si="136"/>
        <v>-18.765000000000015</v>
      </c>
      <c r="G84" s="551">
        <f t="shared" si="136"/>
        <v>-4.5539999999999949</v>
      </c>
      <c r="H84" s="551">
        <f t="shared" si="136"/>
        <v>-0.57999999999999119</v>
      </c>
      <c r="I84" s="551">
        <f t="shared" si="136"/>
        <v>-1.7810000000000059</v>
      </c>
      <c r="J84" s="551">
        <f t="shared" si="136"/>
        <v>-1.9080000000000155</v>
      </c>
      <c r="K84" s="787">
        <f t="shared" si="136"/>
        <v>-8.8230000000000359</v>
      </c>
      <c r="L84" s="551">
        <f t="shared" si="136"/>
        <v>-4.6039999999999992</v>
      </c>
      <c r="M84" s="551">
        <f t="shared" si="136"/>
        <v>3.1269999999999953</v>
      </c>
      <c r="N84" s="551">
        <f t="shared" si="136"/>
        <v>4.5439999999999827</v>
      </c>
      <c r="O84" s="551">
        <f t="shared" si="136"/>
        <v>7.9919999999999902</v>
      </c>
      <c r="P84" s="787">
        <f t="shared" si="136"/>
        <v>11.059000000000026</v>
      </c>
      <c r="Q84" s="551">
        <f t="shared" si="136"/>
        <v>-4.2489999999999952</v>
      </c>
      <c r="R84" s="551">
        <f t="shared" si="136"/>
        <v>5.0000000000011369E-2</v>
      </c>
      <c r="S84" s="551">
        <f t="shared" si="136"/>
        <v>-10.711999999999989</v>
      </c>
      <c r="T84" s="551">
        <f t="shared" si="136"/>
        <v>-6.4129999999999825</v>
      </c>
      <c r="U84" s="787">
        <f t="shared" si="136"/>
        <v>-21.323999999999955</v>
      </c>
      <c r="V84" s="551">
        <f t="shared" si="136"/>
        <v>-14.272999999999996</v>
      </c>
      <c r="W84" s="551">
        <f t="shared" si="136"/>
        <v>-1.1869999999999834</v>
      </c>
      <c r="X84" s="551">
        <f t="shared" si="136"/>
        <v>1.960000000000008</v>
      </c>
      <c r="Y84" s="551">
        <f t="shared" si="136"/>
        <v>8.5209999999999013</v>
      </c>
      <c r="Z84" s="787">
        <f t="shared" si="136"/>
        <v>-4.9790000000001555</v>
      </c>
      <c r="AA84" s="551">
        <f t="shared" si="136"/>
        <v>-4.6910000000000025</v>
      </c>
      <c r="AB84" s="551">
        <f t="shared" si="136"/>
        <v>7.1549999999999727</v>
      </c>
      <c r="AC84" s="551">
        <f t="shared" si="136"/>
        <v>6.8909999999999911</v>
      </c>
      <c r="AD84" s="551">
        <f t="shared" si="136"/>
        <v>170.267</v>
      </c>
      <c r="AE84" s="787">
        <f t="shared" si="136"/>
        <v>179.62199999999996</v>
      </c>
      <c r="AF84" s="551">
        <f t="shared" si="136"/>
        <v>-4.8269999999999982</v>
      </c>
      <c r="AG84" s="551">
        <f t="shared" si="136"/>
        <v>7.6210000000000093</v>
      </c>
      <c r="AH84" s="551">
        <f t="shared" si="136"/>
        <v>10.381000000000029</v>
      </c>
      <c r="AI84" s="551">
        <f t="shared" ref="AI84:BN84" si="137">INDEX(MO_RIS_EBIT_Adj,0,COLUMN())</f>
        <v>12.72199999999998</v>
      </c>
      <c r="AJ84" s="787">
        <f t="shared" si="137"/>
        <v>25.897000000000048</v>
      </c>
      <c r="AK84" s="551">
        <f t="shared" si="137"/>
        <v>-3.882000000000005</v>
      </c>
      <c r="AL84" s="551">
        <f t="shared" si="137"/>
        <v>12.197000000000031</v>
      </c>
      <c r="AM84" s="551">
        <f t="shared" si="137"/>
        <v>9.5499999999999829</v>
      </c>
      <c r="AN84" s="551">
        <f t="shared" si="137"/>
        <v>17.645999999999844</v>
      </c>
      <c r="AO84" s="787">
        <f t="shared" si="137"/>
        <v>35.510999999999967</v>
      </c>
      <c r="AP84" s="551">
        <f t="shared" si="137"/>
        <v>-27.249999999999972</v>
      </c>
      <c r="AQ84" s="551">
        <f t="shared" si="137"/>
        <v>-35.349000000000018</v>
      </c>
      <c r="AR84" s="551">
        <f t="shared" si="137"/>
        <v>9.3249999999999602</v>
      </c>
      <c r="AS84" s="551">
        <f t="shared" si="137"/>
        <v>14.479000000000013</v>
      </c>
      <c r="AT84" s="787">
        <f t="shared" si="137"/>
        <v>-38.794999999999959</v>
      </c>
      <c r="AU84" s="551">
        <f t="shared" si="137"/>
        <v>-8.6430000000000007</v>
      </c>
      <c r="AV84" s="551">
        <f t="shared" si="137"/>
        <v>-1.0810000000000173</v>
      </c>
      <c r="AW84" s="551">
        <f t="shared" si="137"/>
        <v>21.644999999999953</v>
      </c>
      <c r="AX84" s="551">
        <f t="shared" si="137"/>
        <v>19.593000000000018</v>
      </c>
      <c r="AY84" s="787">
        <f t="shared" si="137"/>
        <v>31.513999999999896</v>
      </c>
      <c r="AZ84" s="551">
        <f t="shared" si="137"/>
        <v>-4.4559999999999889</v>
      </c>
      <c r="BA84" s="551">
        <f t="shared" si="137"/>
        <v>16.001000000000005</v>
      </c>
      <c r="BB84" s="551">
        <f t="shared" si="137"/>
        <v>13.424000000000035</v>
      </c>
      <c r="BC84" s="551">
        <f t="shared" si="137"/>
        <v>33.384000000000128</v>
      </c>
      <c r="BD84" s="787">
        <f t="shared" si="137"/>
        <v>58.353000000000065</v>
      </c>
      <c r="BE84" s="551">
        <f t="shared" si="137"/>
        <v>-6.5870000000000459</v>
      </c>
      <c r="BF84" s="551">
        <f t="shared" si="137"/>
        <v>18.741999999999905</v>
      </c>
      <c r="BG84" s="551">
        <f t="shared" si="137"/>
        <v>41.87299999999999</v>
      </c>
      <c r="BH84" s="551">
        <f>INDEX(MO_RIS_EBIT_Adj,0,COLUMN())</f>
        <v>25.014999999999986</v>
      </c>
      <c r="BI84" s="787">
        <f>INDEX(MO_RIS_EBIT_Adj,0,COLUMN())</f>
        <v>79.042999999999893</v>
      </c>
      <c r="BJ84" s="551">
        <f>INDEX(MO_RIS_EBIT_Adj,0,COLUMN())</f>
        <v>11.216999999999985</v>
      </c>
      <c r="BK84" s="551">
        <f>INDEX(MO_RIS_EBIT_Adj,0,COLUMN())</f>
        <v>39.747000000000014</v>
      </c>
      <c r="BL84" s="596">
        <f>INDEX(MO_RIS_EBIT_Adj,0,COLUMN())</f>
        <v>46.65199999999993</v>
      </c>
      <c r="BM84" s="551">
        <f t="shared" si="137"/>
        <v>39.547857583238851</v>
      </c>
      <c r="BN84" s="787">
        <f t="shared" si="137"/>
        <v>137.16385758323878</v>
      </c>
      <c r="BO84" s="551">
        <f t="shared" ref="BO84:BV84" si="138">INDEX(MO_RIS_EBIT_Adj,0,COLUMN())</f>
        <v>18.653267651904059</v>
      </c>
      <c r="BP84" s="551">
        <f t="shared" si="138"/>
        <v>48.315275475650594</v>
      </c>
      <c r="BQ84" s="551">
        <f t="shared" si="138"/>
        <v>42.490060332534426</v>
      </c>
      <c r="BR84" s="551">
        <f t="shared" si="138"/>
        <v>45.657619511944631</v>
      </c>
      <c r="BS84" s="787">
        <f t="shared" si="138"/>
        <v>155.11622297203371</v>
      </c>
      <c r="BT84" s="787">
        <f t="shared" si="138"/>
        <v>165.51410233471483</v>
      </c>
      <c r="BU84" s="787">
        <f t="shared" si="138"/>
        <v>197.28051578431973</v>
      </c>
      <c r="BV84" s="787">
        <f t="shared" si="138"/>
        <v>144.81899430920475</v>
      </c>
      <c r="BW84" s="551"/>
    </row>
    <row r="85" spans="1:75" s="478" customFormat="1" ht="15" customHeight="1">
      <c r="A85" s="92" t="str">
        <f>INDEX(MO_RIS_NI_NONGAAP_Diluted,0,COLUMN())</f>
        <v>Adjusted Net Income</v>
      </c>
      <c r="B85" s="97"/>
      <c r="C85" s="787">
        <f t="shared" ref="C85:AH85" si="139">INDEX(MO_RIS_NI_NONGAAP_Diluted,0,COLUMN())</f>
        <v>-2.2759999999999985</v>
      </c>
      <c r="D85" s="787">
        <f t="shared" si="139"/>
        <v>-9.7409999999999997</v>
      </c>
      <c r="E85" s="787">
        <f t="shared" si="139"/>
        <v>-16.479000000000006</v>
      </c>
      <c r="F85" s="787">
        <f t="shared" si="139"/>
        <v>-19.081000000000014</v>
      </c>
      <c r="G85" s="551">
        <f t="shared" si="139"/>
        <v>-4.7989999999999942</v>
      </c>
      <c r="H85" s="551">
        <f t="shared" si="139"/>
        <v>-0.87799999999999123</v>
      </c>
      <c r="I85" s="551">
        <f t="shared" si="139"/>
        <v>-2.3220000000000058</v>
      </c>
      <c r="J85" s="551">
        <f t="shared" si="139"/>
        <v>7.3399999999999839</v>
      </c>
      <c r="K85" s="787">
        <f t="shared" si="139"/>
        <v>18.313999999999961</v>
      </c>
      <c r="L85" s="551">
        <f t="shared" si="139"/>
        <v>-2.6349999999999989</v>
      </c>
      <c r="M85" s="551">
        <f t="shared" si="139"/>
        <v>2.742999999999995</v>
      </c>
      <c r="N85" s="551">
        <f t="shared" si="139"/>
        <v>3.6369999999999827</v>
      </c>
      <c r="O85" s="551">
        <f t="shared" si="139"/>
        <v>18.896999999999998</v>
      </c>
      <c r="P85" s="787">
        <f t="shared" si="139"/>
        <v>52.997000000000028</v>
      </c>
      <c r="Q85" s="551">
        <f t="shared" si="139"/>
        <v>7.9020000000000046</v>
      </c>
      <c r="R85" s="551">
        <f t="shared" si="139"/>
        <v>9.3540000000000099</v>
      </c>
      <c r="S85" s="551">
        <f t="shared" si="139"/>
        <v>2.6740000000000084</v>
      </c>
      <c r="T85" s="551">
        <f t="shared" si="139"/>
        <v>8.9750000000000192</v>
      </c>
      <c r="U85" s="787">
        <f t="shared" si="139"/>
        <v>28.905000000000037</v>
      </c>
      <c r="V85" s="551">
        <f t="shared" si="139"/>
        <v>5.9630000000000027</v>
      </c>
      <c r="W85" s="551">
        <f t="shared" si="139"/>
        <v>12.516000000000016</v>
      </c>
      <c r="X85" s="551">
        <f t="shared" si="139"/>
        <v>18.409000000000006</v>
      </c>
      <c r="Y85" s="551">
        <f t="shared" si="139"/>
        <v>22.550999999999902</v>
      </c>
      <c r="Z85" s="787">
        <f t="shared" si="139"/>
        <v>59.439999999999841</v>
      </c>
      <c r="AA85" s="551">
        <f t="shared" si="139"/>
        <v>17.027999999999999</v>
      </c>
      <c r="AB85" s="551">
        <f t="shared" si="139"/>
        <v>21.947999999999972</v>
      </c>
      <c r="AC85" s="551">
        <f t="shared" si="139"/>
        <v>25.487999999999992</v>
      </c>
      <c r="AD85" s="551">
        <f t="shared" si="139"/>
        <v>15.837999999999994</v>
      </c>
      <c r="AE85" s="787">
        <f t="shared" si="139"/>
        <v>80.302999999999955</v>
      </c>
      <c r="AF85" s="551">
        <f t="shared" si="139"/>
        <v>-2.2859999999999983</v>
      </c>
      <c r="AG85" s="551">
        <f t="shared" si="139"/>
        <v>10.70400000000001</v>
      </c>
      <c r="AH85" s="551">
        <f t="shared" si="139"/>
        <v>14.986000000000027</v>
      </c>
      <c r="AI85" s="551">
        <f t="shared" ref="AI85:BA85" si="140">INDEX(MO_RIS_NI_NONGAAP_Diluted,0,COLUMN())</f>
        <v>31.94599999999998</v>
      </c>
      <c r="AJ85" s="787">
        <f t="shared" si="140"/>
        <v>55.350000000000051</v>
      </c>
      <c r="AK85" s="551">
        <f t="shared" si="140"/>
        <v>1.3649999999999949</v>
      </c>
      <c r="AL85" s="551">
        <f t="shared" si="140"/>
        <v>12.303000000000029</v>
      </c>
      <c r="AM85" s="551">
        <f t="shared" si="140"/>
        <v>10.060999999999984</v>
      </c>
      <c r="AN85" s="551">
        <f t="shared" si="140"/>
        <v>17.151999999999848</v>
      </c>
      <c r="AO85" s="787">
        <f t="shared" si="140"/>
        <v>40.880999999999972</v>
      </c>
      <c r="AP85" s="551">
        <f t="shared" si="140"/>
        <v>-15.502999999999972</v>
      </c>
      <c r="AQ85" s="551">
        <f t="shared" si="140"/>
        <v>-23.99000000000002</v>
      </c>
      <c r="AR85" s="551">
        <f t="shared" si="140"/>
        <v>-1.0200000000000387</v>
      </c>
      <c r="AS85" s="551">
        <f t="shared" si="140"/>
        <v>21.089000000000013</v>
      </c>
      <c r="AT85" s="787">
        <f t="shared" si="140"/>
        <v>-19.423999999999957</v>
      </c>
      <c r="AU85" s="551">
        <f t="shared" si="140"/>
        <v>-5.7960000000000012</v>
      </c>
      <c r="AV85" s="551">
        <f t="shared" si="140"/>
        <v>4.2119999999999829</v>
      </c>
      <c r="AW85" s="551">
        <f t="shared" si="140"/>
        <v>18.064999999999952</v>
      </c>
      <c r="AX85" s="551">
        <f t="shared" si="140"/>
        <v>23.190000000000019</v>
      </c>
      <c r="AY85" s="787">
        <f t="shared" si="140"/>
        <v>39.6709999999999</v>
      </c>
      <c r="AZ85" s="551">
        <f t="shared" si="140"/>
        <v>-0.91499999999998893</v>
      </c>
      <c r="BA85" s="551">
        <f t="shared" si="140"/>
        <v>8.0090000000000021</v>
      </c>
      <c r="BB85" s="551">
        <f t="shared" ref="BB85:BG85" si="141">INDEX(MO_RIS_NI_NONGAAP_Diluted,0,COLUMN())</f>
        <v>9.1080000000000325</v>
      </c>
      <c r="BC85" s="551">
        <f t="shared" si="141"/>
        <v>20.145000000000131</v>
      </c>
      <c r="BD85" s="787">
        <f t="shared" si="141"/>
        <v>36.347000000000058</v>
      </c>
      <c r="BE85" s="551">
        <f t="shared" si="141"/>
        <v>-1.178000000000047</v>
      </c>
      <c r="BF85" s="551">
        <f t="shared" si="141"/>
        <v>14.728999999999907</v>
      </c>
      <c r="BG85" s="551">
        <f t="shared" si="141"/>
        <v>58.215999999999987</v>
      </c>
      <c r="BH85" s="551">
        <f t="shared" ref="BH85:BN85" si="142">INDEX(MO_RIS_NI_NONGAAP_Diluted,0,COLUMN())</f>
        <v>27.405999999999985</v>
      </c>
      <c r="BI85" s="787">
        <f t="shared" si="142"/>
        <v>99.172999999999888</v>
      </c>
      <c r="BJ85" s="551">
        <f t="shared" si="142"/>
        <v>14.153999999999986</v>
      </c>
      <c r="BK85" s="551">
        <f t="shared" si="142"/>
        <v>38.036000000000016</v>
      </c>
      <c r="BL85" s="596">
        <f>INDEX(MO_RIS_NI_NONGAAP_Diluted,0,COLUMN())</f>
        <v>38.439999999999934</v>
      </c>
      <c r="BM85" s="551">
        <f t="shared" si="142"/>
        <v>76.496794106590059</v>
      </c>
      <c r="BN85" s="787">
        <f t="shared" si="142"/>
        <v>167.12679410659038</v>
      </c>
      <c r="BO85" s="551">
        <f t="shared" ref="BO85:BV85" si="143">INDEX(MO_RIS_NI_NONGAAP_Diluted,0,COLUMN())</f>
        <v>44.153267651904059</v>
      </c>
      <c r="BP85" s="551">
        <f t="shared" si="143"/>
        <v>68.315275475650594</v>
      </c>
      <c r="BQ85" s="551">
        <f t="shared" si="143"/>
        <v>64.564563349161148</v>
      </c>
      <c r="BR85" s="551">
        <f t="shared" si="143"/>
        <v>58.486805268019651</v>
      </c>
      <c r="BS85" s="787">
        <f t="shared" si="143"/>
        <v>235.51991174473523</v>
      </c>
      <c r="BT85" s="787">
        <f t="shared" si="143"/>
        <v>238.88980745145057</v>
      </c>
      <c r="BU85" s="787">
        <f t="shared" si="143"/>
        <v>259.90856736275168</v>
      </c>
      <c r="BV85" s="787">
        <f t="shared" si="143"/>
        <v>161.32804459374452</v>
      </c>
      <c r="BW85" s="551"/>
    </row>
    <row r="86" spans="1:75" s="480" customFormat="1" ht="15" customHeight="1">
      <c r="A86" s="100" t="str">
        <f>INDEX(MO_RIS_EPS_WAD_Adj,0,COLUMN())</f>
        <v>Adjusted Earnings Per Share - WAD</v>
      </c>
      <c r="B86" s="101"/>
      <c r="C86" s="796">
        <f t="shared" ref="C86:AH86" si="144">INDEX(MO_RIS_EPS_WAD_Adj,0,COLUMN())</f>
        <v>-0.18438107582631227</v>
      </c>
      <c r="D86" s="796">
        <f t="shared" si="144"/>
        <v>-0.70720197473500801</v>
      </c>
      <c r="E86" s="796">
        <f t="shared" si="144"/>
        <v>-1.0776927604473223</v>
      </c>
      <c r="F86" s="796">
        <f t="shared" si="144"/>
        <v>-0.35237954532863053</v>
      </c>
      <c r="G86" s="59">
        <f t="shared" si="144"/>
        <v>-7.5298510975475727E-2</v>
      </c>
      <c r="H86" s="59">
        <f t="shared" si="144"/>
        <v>-1.3596382556986981E-2</v>
      </c>
      <c r="I86" s="59">
        <f t="shared" si="144"/>
        <v>-3.5434152296658104E-2</v>
      </c>
      <c r="J86" s="59">
        <f t="shared" si="144"/>
        <v>0.10661321480965016</v>
      </c>
      <c r="K86" s="796">
        <f t="shared" si="144"/>
        <v>0.27890047970760617</v>
      </c>
      <c r="L86" s="59">
        <f t="shared" si="144"/>
        <v>-3.7023506765396001E-2</v>
      </c>
      <c r="M86" s="59">
        <f t="shared" si="144"/>
        <v>3.5597487541528174E-2</v>
      </c>
      <c r="N86" s="59">
        <f t="shared" si="144"/>
        <v>4.7052887600910559E-2</v>
      </c>
      <c r="O86" s="59">
        <f t="shared" si="144"/>
        <v>0.2447449197653184</v>
      </c>
      <c r="P86" s="796">
        <f t="shared" si="144"/>
        <v>0.69085671081447531</v>
      </c>
      <c r="Q86" s="59">
        <f t="shared" si="144"/>
        <v>0.1014390428631947</v>
      </c>
      <c r="R86" s="59">
        <f t="shared" si="144"/>
        <v>0.11878246072966019</v>
      </c>
      <c r="S86" s="59">
        <f t="shared" si="144"/>
        <v>3.4412642849789052E-2</v>
      </c>
      <c r="T86" s="59">
        <f t="shared" si="144"/>
        <v>0.11481974259908426</v>
      </c>
      <c r="U86" s="796">
        <f t="shared" si="144"/>
        <v>0.37020671636056296</v>
      </c>
      <c r="V86" s="59">
        <f t="shared" si="144"/>
        <v>7.6565529461614545E-2</v>
      </c>
      <c r="W86" s="59">
        <f t="shared" si="144"/>
        <v>0.15787083753784076</v>
      </c>
      <c r="X86" s="59">
        <f t="shared" si="144"/>
        <v>0.22201719792081245</v>
      </c>
      <c r="Y86" s="59">
        <f t="shared" si="144"/>
        <v>0.26730595988810274</v>
      </c>
      <c r="Z86" s="796">
        <f t="shared" si="144"/>
        <v>0.7320106895235261</v>
      </c>
      <c r="AA86" s="59">
        <f t="shared" si="144"/>
        <v>0.20007049700387733</v>
      </c>
      <c r="AB86" s="59">
        <f t="shared" si="144"/>
        <v>0.2586377563045012</v>
      </c>
      <c r="AC86" s="59">
        <f t="shared" si="144"/>
        <v>0.29151464549998274</v>
      </c>
      <c r="AD86" s="59">
        <f t="shared" si="144"/>
        <v>0.17782718045450457</v>
      </c>
      <c r="AE86" s="796">
        <f t="shared" si="144"/>
        <v>0.92122289778593502</v>
      </c>
      <c r="AF86" s="59">
        <f t="shared" si="144"/>
        <v>-2.7284120069224781E-2</v>
      </c>
      <c r="AG86" s="59">
        <f t="shared" si="144"/>
        <v>0.12074313882528127</v>
      </c>
      <c r="AH86" s="59">
        <f t="shared" si="144"/>
        <v>0.16890582029665058</v>
      </c>
      <c r="AI86" s="59">
        <f t="shared" ref="AI86:BA86" si="145">INDEX(MO_RIS_EPS_WAD_Adj,0,COLUMN())</f>
        <v>0.37022958267178113</v>
      </c>
      <c r="AJ86" s="796">
        <f t="shared" si="145"/>
        <v>0.6239502192562203</v>
      </c>
      <c r="AK86" s="59">
        <f t="shared" si="145"/>
        <v>1.6042403657432921E-2</v>
      </c>
      <c r="AL86" s="59">
        <f t="shared" si="145"/>
        <v>0.15666624220043332</v>
      </c>
      <c r="AM86" s="59">
        <f t="shared" si="145"/>
        <v>0.1364906663772518</v>
      </c>
      <c r="AN86" s="59">
        <f t="shared" si="145"/>
        <v>0.23500075355885089</v>
      </c>
      <c r="AO86" s="796">
        <f t="shared" si="145"/>
        <v>0.52432376970334327</v>
      </c>
      <c r="AP86" s="59">
        <f t="shared" si="145"/>
        <v>-0.21667971152233426</v>
      </c>
      <c r="AQ86" s="59">
        <f t="shared" si="145"/>
        <v>-0.33129410464971787</v>
      </c>
      <c r="AR86" s="59">
        <f t="shared" si="145"/>
        <v>-1.3874908180755213E-2</v>
      </c>
      <c r="AS86" s="59">
        <f t="shared" si="145"/>
        <v>0.27398630653103134</v>
      </c>
      <c r="AT86" s="796">
        <f t="shared" si="145"/>
        <v>-0.26606396822135414</v>
      </c>
      <c r="AU86" s="59">
        <f t="shared" si="145"/>
        <v>-7.7028373978337436E-2</v>
      </c>
      <c r="AV86" s="59">
        <f t="shared" si="145"/>
        <v>5.3327931326994198E-2</v>
      </c>
      <c r="AW86" s="59">
        <f t="shared" si="145"/>
        <v>0.23333161116995108</v>
      </c>
      <c r="AX86" s="59">
        <f t="shared" si="145"/>
        <v>0.30491492886633204</v>
      </c>
      <c r="AY86" s="796">
        <f t="shared" si="145"/>
        <v>0.50461738068586415</v>
      </c>
      <c r="AZ86" s="59">
        <f t="shared" si="145"/>
        <v>-1.2772372590348679E-2</v>
      </c>
      <c r="BA86" s="59">
        <f t="shared" si="145"/>
        <v>0.10996087046063023</v>
      </c>
      <c r="BB86" s="59">
        <f t="shared" ref="BB86:BG86" si="146">INDEX(MO_RIS_EPS_WAD_Adj,0,COLUMN())</f>
        <v>0.12535440006606338</v>
      </c>
      <c r="BC86" s="59">
        <f t="shared" si="146"/>
        <v>0.28132724454313307</v>
      </c>
      <c r="BD86" s="796">
        <f t="shared" si="146"/>
        <v>0.49517724312689104</v>
      </c>
      <c r="BE86" s="59">
        <f t="shared" si="146"/>
        <v>-1.6871714813595437E-2</v>
      </c>
      <c r="BF86" s="59">
        <f t="shared" si="146"/>
        <v>0.20675762935511816</v>
      </c>
      <c r="BG86" s="59">
        <f t="shared" si="146"/>
        <v>0.79134382731152952</v>
      </c>
      <c r="BH86" s="59">
        <f t="shared" ref="BH86:BN86" si="147">INDEX(MO_RIS_EPS_WAD_Adj,0,COLUMN())</f>
        <v>0.374608728932872</v>
      </c>
      <c r="BI86" s="796">
        <f t="shared" si="147"/>
        <v>1.3475324745910089</v>
      </c>
      <c r="BJ86" s="59">
        <f t="shared" si="147"/>
        <v>0.19591124890998915</v>
      </c>
      <c r="BK86" s="59">
        <f t="shared" si="147"/>
        <v>0.53994662426892304</v>
      </c>
      <c r="BL86" s="419">
        <f>INDEX(MO_RIS_EPS_WAD_Adj,0,COLUMN())</f>
        <v>0.55578849963130483</v>
      </c>
      <c r="BM86" s="59" t="e">
        <f t="shared" si="147"/>
        <v>#REF!</v>
      </c>
      <c r="BN86" s="796" t="e">
        <f t="shared" si="147"/>
        <v>#REF!</v>
      </c>
      <c r="BO86" s="59" t="e">
        <f t="shared" ref="BO86:BV86" si="148">INDEX(MO_RIS_EPS_WAD_Adj,0,COLUMN())</f>
        <v>#REF!</v>
      </c>
      <c r="BP86" s="59" t="e">
        <f t="shared" si="148"/>
        <v>#REF!</v>
      </c>
      <c r="BQ86" s="59" t="e">
        <f t="shared" si="148"/>
        <v>#REF!</v>
      </c>
      <c r="BR86" s="59" t="e">
        <f t="shared" si="148"/>
        <v>#REF!</v>
      </c>
      <c r="BS86" s="796" t="e">
        <f t="shared" si="148"/>
        <v>#REF!</v>
      </c>
      <c r="BT86" s="796" t="e">
        <f t="shared" si="148"/>
        <v>#REF!</v>
      </c>
      <c r="BU86" s="796" t="e">
        <f t="shared" si="148"/>
        <v>#REF!</v>
      </c>
      <c r="BV86" s="796" t="e">
        <f t="shared" si="148"/>
        <v>#REF!</v>
      </c>
      <c r="BW86" s="59"/>
    </row>
    <row r="87" spans="1:75" ht="15" customHeight="1">
      <c r="A87" s="102"/>
      <c r="B87" s="99"/>
      <c r="C87" s="797"/>
      <c r="D87" s="797"/>
      <c r="E87" s="797"/>
      <c r="F87" s="797"/>
      <c r="G87" s="60"/>
      <c r="H87" s="60"/>
      <c r="I87" s="60"/>
      <c r="J87" s="60"/>
      <c r="K87" s="797"/>
      <c r="L87" s="60"/>
      <c r="M87" s="60"/>
      <c r="N87" s="60"/>
      <c r="O87" s="60"/>
      <c r="P87" s="797"/>
      <c r="Q87" s="60"/>
      <c r="R87" s="60"/>
      <c r="S87" s="60"/>
      <c r="T87" s="60"/>
      <c r="U87" s="797"/>
      <c r="V87" s="60"/>
      <c r="W87" s="60"/>
      <c r="X87" s="60"/>
      <c r="Y87" s="60"/>
      <c r="Z87" s="798"/>
      <c r="AA87" s="60"/>
      <c r="AB87" s="60"/>
      <c r="AC87" s="60"/>
      <c r="AD87" s="60"/>
      <c r="AE87" s="798"/>
      <c r="AF87" s="60"/>
      <c r="AG87" s="60"/>
      <c r="AH87" s="60"/>
      <c r="AI87" s="60"/>
      <c r="AJ87" s="798"/>
      <c r="AK87" s="60"/>
      <c r="AL87" s="60"/>
      <c r="AM87" s="60"/>
      <c r="AN87" s="60"/>
      <c r="AO87" s="798"/>
      <c r="AP87" s="60"/>
      <c r="AQ87" s="60"/>
      <c r="AR87" s="60"/>
      <c r="AS87" s="60"/>
      <c r="AT87" s="798"/>
      <c r="AU87" s="60"/>
      <c r="AV87" s="60"/>
      <c r="AW87" s="60"/>
      <c r="AX87" s="60"/>
      <c r="AY87" s="798"/>
      <c r="AZ87" s="60"/>
      <c r="BA87" s="60"/>
      <c r="BB87" s="60"/>
      <c r="BC87" s="60"/>
      <c r="BD87" s="798"/>
      <c r="BE87" s="60"/>
      <c r="BF87" s="60"/>
      <c r="BG87" s="60"/>
      <c r="BH87" s="60"/>
      <c r="BI87" s="798"/>
      <c r="BJ87" s="60"/>
      <c r="BK87" s="60"/>
      <c r="BL87" s="420"/>
      <c r="BM87" s="60"/>
      <c r="BN87" s="798"/>
      <c r="BO87" s="60"/>
      <c r="BP87" s="60"/>
      <c r="BQ87" s="60"/>
      <c r="BR87" s="60"/>
      <c r="BS87" s="798"/>
      <c r="BT87" s="798"/>
      <c r="BU87" s="798"/>
      <c r="BV87" s="798"/>
      <c r="BW87" s="102"/>
    </row>
    <row r="88" spans="1:75" s="479" customFormat="1" ht="15" customHeight="1">
      <c r="A88" s="553" t="s">
        <v>214</v>
      </c>
      <c r="B88" s="553"/>
      <c r="C88" s="553"/>
      <c r="D88" s="553"/>
      <c r="E88" s="553"/>
      <c r="F88" s="553"/>
      <c r="G88" s="553"/>
      <c r="H88" s="553"/>
      <c r="I88" s="553"/>
      <c r="J88" s="553"/>
      <c r="K88" s="553"/>
      <c r="L88" s="553"/>
      <c r="M88" s="553"/>
      <c r="N88" s="553"/>
      <c r="O88" s="553"/>
      <c r="P88" s="553"/>
      <c r="Q88" s="553"/>
      <c r="R88" s="553"/>
      <c r="S88" s="553"/>
      <c r="T88" s="553"/>
      <c r="U88" s="553"/>
      <c r="V88" s="553"/>
      <c r="W88" s="553"/>
      <c r="X88" s="553"/>
      <c r="Y88" s="553"/>
      <c r="Z88" s="553"/>
      <c r="AA88" s="553"/>
      <c r="AB88" s="553"/>
      <c r="AC88" s="553"/>
      <c r="AD88" s="553"/>
      <c r="AE88" s="553"/>
      <c r="AF88" s="553"/>
      <c r="AG88" s="553"/>
      <c r="AH88" s="553"/>
      <c r="AI88" s="553"/>
      <c r="AJ88" s="553"/>
      <c r="AK88" s="553"/>
      <c r="AL88" s="553"/>
      <c r="AM88" s="553"/>
      <c r="AN88" s="553"/>
      <c r="AO88" s="553"/>
      <c r="AP88" s="553"/>
      <c r="AQ88" s="553"/>
      <c r="AR88" s="553"/>
      <c r="AS88" s="553"/>
      <c r="AT88" s="553"/>
      <c r="AU88" s="553"/>
      <c r="AV88" s="553"/>
      <c r="AW88" s="553"/>
      <c r="AX88" s="553"/>
      <c r="AY88" s="553"/>
      <c r="AZ88" s="553"/>
      <c r="BA88" s="553"/>
      <c r="BB88" s="553"/>
      <c r="BC88" s="553"/>
      <c r="BD88" s="553"/>
      <c r="BE88" s="553"/>
      <c r="BF88" s="553"/>
      <c r="BG88" s="553"/>
      <c r="BH88" s="553"/>
      <c r="BI88" s="553"/>
      <c r="BJ88" s="553"/>
      <c r="BK88" s="553"/>
      <c r="BL88" s="600"/>
      <c r="BM88" s="553"/>
      <c r="BN88" s="553"/>
      <c r="BO88" s="553"/>
      <c r="BP88" s="553"/>
      <c r="BQ88" s="553"/>
      <c r="BR88" s="553"/>
      <c r="BS88" s="553"/>
      <c r="BT88" s="553"/>
      <c r="BU88" s="553"/>
      <c r="BV88" s="553"/>
      <c r="BW88" s="551"/>
    </row>
    <row r="89" spans="1:75" s="482" customFormat="1" ht="15" customHeight="1">
      <c r="A89" s="103" t="str">
        <f>INDEX(MO_MA_COGS,0,COLUMN())</f>
        <v>COGS Margin, %</v>
      </c>
      <c r="B89" s="99"/>
      <c r="C89" s="790">
        <f t="shared" ref="C89:AH89" si="149">INDEX(SP_GF_COGS,0,COLUMN())/INDEX(SP_GF_Rev,0,COLUMN())</f>
        <v>4.3436143831370115E-2</v>
      </c>
      <c r="D89" s="790">
        <f t="shared" si="149"/>
        <v>6.5722486434392741E-2</v>
      </c>
      <c r="E89" s="790">
        <f t="shared" si="149"/>
        <v>7.1213303716155377E-2</v>
      </c>
      <c r="F89" s="790">
        <f t="shared" si="149"/>
        <v>7.21684706361264E-2</v>
      </c>
      <c r="G89" s="58">
        <f t="shared" si="149"/>
        <v>7.2399367047449759E-2</v>
      </c>
      <c r="H89" s="58">
        <f t="shared" si="149"/>
        <v>7.3024008142049679E-2</v>
      </c>
      <c r="I89" s="58">
        <f t="shared" si="149"/>
        <v>6.9907324169268245E-2</v>
      </c>
      <c r="J89" s="58">
        <f t="shared" si="149"/>
        <v>6.9723004628384599E-2</v>
      </c>
      <c r="K89" s="790">
        <f t="shared" si="149"/>
        <v>7.1080914038491247E-2</v>
      </c>
      <c r="L89" s="58">
        <f t="shared" si="149"/>
        <v>6.6446791524336773E-2</v>
      </c>
      <c r="M89" s="58">
        <f t="shared" si="149"/>
        <v>6.5831709597125698E-2</v>
      </c>
      <c r="N89" s="58">
        <f t="shared" si="149"/>
        <v>6.0260602215606855E-2</v>
      </c>
      <c r="O89" s="58">
        <f t="shared" si="149"/>
        <v>6.6304476416682592E-2</v>
      </c>
      <c r="P89" s="790">
        <f t="shared" si="149"/>
        <v>6.4581920664519413E-2</v>
      </c>
      <c r="Q89" s="58">
        <f t="shared" si="149"/>
        <v>7.3404327134033151E-2</v>
      </c>
      <c r="R89" s="58">
        <f t="shared" si="149"/>
        <v>9.7503603085585408E-2</v>
      </c>
      <c r="S89" s="58">
        <f t="shared" si="149"/>
        <v>9.9325016195431853E-2</v>
      </c>
      <c r="T89" s="58">
        <f t="shared" si="149"/>
        <v>9.7573033415511518E-2</v>
      </c>
      <c r="U89" s="790">
        <f t="shared" si="149"/>
        <v>9.2803309375289925E-2</v>
      </c>
      <c r="V89" s="58">
        <f t="shared" si="149"/>
        <v>9.5061564941083004E-2</v>
      </c>
      <c r="W89" s="58">
        <f t="shared" si="149"/>
        <v>8.6992873123140441E-2</v>
      </c>
      <c r="X89" s="58">
        <f t="shared" si="149"/>
        <v>7.8364620473388033E-2</v>
      </c>
      <c r="Y89" s="58">
        <f t="shared" si="149"/>
        <v>8.0104314256966291E-2</v>
      </c>
      <c r="Z89" s="790">
        <f t="shared" si="149"/>
        <v>8.4652396892867313E-2</v>
      </c>
      <c r="AA89" s="58">
        <f t="shared" si="149"/>
        <v>8.5349238547942727E-2</v>
      </c>
      <c r="AB89" s="58">
        <f t="shared" si="149"/>
        <v>8.6003477101145545E-2</v>
      </c>
      <c r="AC89" s="58">
        <f t="shared" si="149"/>
        <v>8.6489585152740647E-2</v>
      </c>
      <c r="AD89" s="58">
        <f t="shared" si="149"/>
        <v>7.3987996773620252E-2</v>
      </c>
      <c r="AE89" s="790">
        <f t="shared" si="149"/>
        <v>8.2879765692304264E-2</v>
      </c>
      <c r="AF89" s="58">
        <f t="shared" si="149"/>
        <v>6.6040865363063375E-2</v>
      </c>
      <c r="AG89" s="58">
        <f t="shared" si="149"/>
        <v>6.2623742351924319E-2</v>
      </c>
      <c r="AH89" s="58">
        <f t="shared" si="149"/>
        <v>5.8802302817135083E-2</v>
      </c>
      <c r="AI89" s="58">
        <f t="shared" ref="AI89:BA89" si="150">INDEX(SP_GF_COGS,0,COLUMN())/INDEX(SP_GF_Rev,0,COLUMN())</f>
        <v>5.8484450644129E-2</v>
      </c>
      <c r="AJ89" s="790">
        <f t="shared" si="150"/>
        <v>6.1384872074189648E-2</v>
      </c>
      <c r="AK89" s="58">
        <f t="shared" si="150"/>
        <v>6.0459774012257252E-2</v>
      </c>
      <c r="AL89" s="58">
        <f t="shared" si="150"/>
        <v>6.0638577878560869E-2</v>
      </c>
      <c r="AM89" s="58">
        <f t="shared" si="150"/>
        <v>6.291670794059602E-2</v>
      </c>
      <c r="AN89" s="58">
        <f t="shared" si="150"/>
        <v>6.1958984164301414E-2</v>
      </c>
      <c r="AO89" s="790">
        <f t="shared" si="150"/>
        <v>6.153655020637077E-2</v>
      </c>
      <c r="AP89" s="58">
        <f t="shared" si="150"/>
        <v>6.7414696219703002E-2</v>
      </c>
      <c r="AQ89" s="58">
        <f t="shared" si="150"/>
        <v>6.9957995622078911E-2</v>
      </c>
      <c r="AR89" s="58">
        <f t="shared" si="150"/>
        <v>5.9749011580248819E-2</v>
      </c>
      <c r="AS89" s="58">
        <f t="shared" si="150"/>
        <v>6.5700379510709922E-2</v>
      </c>
      <c r="AT89" s="790">
        <f t="shared" si="150"/>
        <v>6.551018233930897E-2</v>
      </c>
      <c r="AU89" s="58">
        <f t="shared" si="150"/>
        <v>6.4085550806562808E-2</v>
      </c>
      <c r="AV89" s="58">
        <f t="shared" si="150"/>
        <v>6.9960495824066438E-2</v>
      </c>
      <c r="AW89" s="58">
        <f t="shared" si="150"/>
        <v>7.8709293901283645E-2</v>
      </c>
      <c r="AX89" s="58">
        <f t="shared" si="150"/>
        <v>8.794806144842722E-2</v>
      </c>
      <c r="AY89" s="790">
        <f t="shared" si="150"/>
        <v>7.5687195386101899E-2</v>
      </c>
      <c r="AZ89" s="58">
        <f t="shared" si="150"/>
        <v>8.4694969417412558E-2</v>
      </c>
      <c r="BA89" s="58">
        <f t="shared" si="150"/>
        <v>9.029590075079294E-2</v>
      </c>
      <c r="BB89" s="58">
        <f t="shared" ref="BB89:BG89" si="151">INDEX(SP_GF_COGS,0,COLUMN())/INDEX(SP_GF_Rev,0,COLUMN())</f>
        <v>8.6778183890110092E-2</v>
      </c>
      <c r="BC89" s="58">
        <f t="shared" si="151"/>
        <v>9.2147277768251948E-2</v>
      </c>
      <c r="BD89" s="790">
        <f t="shared" si="151"/>
        <v>8.856679396668303E-2</v>
      </c>
      <c r="BE89" s="58">
        <f t="shared" si="151"/>
        <v>8.3405347620968004E-2</v>
      </c>
      <c r="BF89" s="58">
        <f t="shared" si="151"/>
        <v>8.9533290223833231E-2</v>
      </c>
      <c r="BG89" s="58">
        <f t="shared" si="151"/>
        <v>8.2202815236351201E-2</v>
      </c>
      <c r="BH89" s="58">
        <f t="shared" ref="BH89:BN89" si="152">INDEX(SP_GF_COGS,0,COLUMN())/INDEX(SP_GF_Rev,0,COLUMN())</f>
        <v>8.6501390284365737E-2</v>
      </c>
      <c r="BI89" s="790">
        <f t="shared" si="152"/>
        <v>8.5432837071130585E-2</v>
      </c>
      <c r="BJ89" s="58">
        <f t="shared" si="152"/>
        <v>8.2208371399721106E-2</v>
      </c>
      <c r="BK89" s="58">
        <f t="shared" si="152"/>
        <v>8.5926120958164334E-2</v>
      </c>
      <c r="BL89" s="414">
        <f>INDEX(SP_GF_COGS,0,COLUMN())/INDEX(SP_GF_Rev,0,COLUMN())</f>
        <v>8.9864129831494347E-2</v>
      </c>
      <c r="BM89" s="58">
        <f t="shared" si="152"/>
        <v>0.10700000000000007</v>
      </c>
      <c r="BN89" s="798">
        <f t="shared" si="152"/>
        <v>9.1328891543182286E-2</v>
      </c>
      <c r="BO89" s="58">
        <f t="shared" ref="BO89:BV89" si="153">INDEX(SP_GF_COGS,0,COLUMN())/INDEX(SP_GF_Rev,0,COLUMN())</f>
        <v>8.9999999999999941E-2</v>
      </c>
      <c r="BP89" s="58">
        <f t="shared" si="153"/>
        <v>9.9999999999999908E-2</v>
      </c>
      <c r="BQ89" s="58">
        <f t="shared" si="153"/>
        <v>8.4999999999999909E-2</v>
      </c>
      <c r="BR89" s="58">
        <f t="shared" si="153"/>
        <v>0.10000000000000005</v>
      </c>
      <c r="BS89" s="798">
        <f t="shared" si="153"/>
        <v>9.3872131234845835E-2</v>
      </c>
      <c r="BT89" s="798">
        <f t="shared" si="153"/>
        <v>8.0000000000000029E-2</v>
      </c>
      <c r="BU89" s="798">
        <f t="shared" si="153"/>
        <v>7.9999999999999946E-2</v>
      </c>
      <c r="BV89" s="798">
        <f t="shared" si="153"/>
        <v>7.9999999999999988E-2</v>
      </c>
      <c r="BW89" s="102"/>
    </row>
    <row r="90" spans="1:75" s="482" customFormat="1">
      <c r="A90" s="103" t="str">
        <f>INDEX(MO_MA_RD,0,COLUMN())</f>
        <v>R&amp;D Margin, %</v>
      </c>
      <c r="B90" s="99"/>
      <c r="C90" s="790">
        <f t="shared" ref="C90:AH90" si="154">INDEX(SP_GF_RD,0,COLUMN())/INDEX(SP_GF_Rev,0,COLUMN())</f>
        <v>0.12565871047737134</v>
      </c>
      <c r="D90" s="790">
        <f t="shared" si="154"/>
        <v>0.13743688588129307</v>
      </c>
      <c r="E90" s="790">
        <f t="shared" si="154"/>
        <v>0.13911268535750737</v>
      </c>
      <c r="F90" s="790">
        <f t="shared" si="154"/>
        <v>0.14882202853882107</v>
      </c>
      <c r="G90" s="58">
        <f t="shared" si="154"/>
        <v>0.15685084429800791</v>
      </c>
      <c r="H90" s="58">
        <f t="shared" si="154"/>
        <v>0.1453392217799829</v>
      </c>
      <c r="I90" s="58">
        <f t="shared" si="154"/>
        <v>0.18319412889622597</v>
      </c>
      <c r="J90" s="58">
        <f t="shared" si="154"/>
        <v>0.16704646784900426</v>
      </c>
      <c r="K90" s="790">
        <f t="shared" si="154"/>
        <v>0.16414150084982917</v>
      </c>
      <c r="L90" s="58">
        <f t="shared" si="154"/>
        <v>0.18299370476527019</v>
      </c>
      <c r="M90" s="58">
        <f t="shared" si="154"/>
        <v>0.16585761429038035</v>
      </c>
      <c r="N90" s="58">
        <f t="shared" si="154"/>
        <v>0.16980137621394759</v>
      </c>
      <c r="O90" s="58">
        <f t="shared" si="154"/>
        <v>0.17359651278131172</v>
      </c>
      <c r="P90" s="790">
        <f t="shared" si="154"/>
        <v>0.17264843617562298</v>
      </c>
      <c r="Q90" s="58">
        <f t="shared" si="154"/>
        <v>0.2021804435143619</v>
      </c>
      <c r="R90" s="58">
        <f t="shared" si="154"/>
        <v>0.19673220673123593</v>
      </c>
      <c r="S90" s="58">
        <f t="shared" si="154"/>
        <v>0.19860127195090521</v>
      </c>
      <c r="T90" s="58">
        <f t="shared" si="154"/>
        <v>0.18844605186982458</v>
      </c>
      <c r="U90" s="790">
        <f t="shared" si="154"/>
        <v>0.19607757530775261</v>
      </c>
      <c r="V90" s="58">
        <f t="shared" si="154"/>
        <v>0.20314854394028234</v>
      </c>
      <c r="W90" s="58">
        <f t="shared" si="154"/>
        <v>0.19084576884932075</v>
      </c>
      <c r="X90" s="58">
        <f t="shared" si="154"/>
        <v>0.19528867219382276</v>
      </c>
      <c r="Y90" s="58">
        <f t="shared" si="154"/>
        <v>0.18922359802049338</v>
      </c>
      <c r="Z90" s="790">
        <f t="shared" si="154"/>
        <v>0.19429956988734612</v>
      </c>
      <c r="AA90" s="58">
        <f t="shared" si="154"/>
        <v>0.20119188188157883</v>
      </c>
      <c r="AB90" s="58">
        <f t="shared" si="154"/>
        <v>0.20047155207316203</v>
      </c>
      <c r="AC90" s="58">
        <f t="shared" si="154"/>
        <v>0.20526945142350428</v>
      </c>
      <c r="AD90" s="58">
        <f t="shared" si="154"/>
        <v>0.21871026836370597</v>
      </c>
      <c r="AE90" s="790">
        <f t="shared" si="154"/>
        <v>0.20660236211680832</v>
      </c>
      <c r="AF90" s="58">
        <f t="shared" si="154"/>
        <v>0.23083371437280903</v>
      </c>
      <c r="AG90" s="58">
        <f t="shared" si="154"/>
        <v>0.22476507581015315</v>
      </c>
      <c r="AH90" s="58">
        <f t="shared" si="154"/>
        <v>0.22299830772804194</v>
      </c>
      <c r="AI90" s="58">
        <f t="shared" ref="AI90:BA90" si="155">INDEX(SP_GF_RD,0,COLUMN())/INDEX(SP_GF_Rev,0,COLUMN())</f>
        <v>0.22266759661934835</v>
      </c>
      <c r="AJ90" s="790">
        <f t="shared" si="155"/>
        <v>0.22520691619297539</v>
      </c>
      <c r="AK90" s="58">
        <f t="shared" si="155"/>
        <v>0.24614100075442269</v>
      </c>
      <c r="AL90" s="58">
        <f t="shared" si="155"/>
        <v>0.22095523475936912</v>
      </c>
      <c r="AM90" s="58">
        <f t="shared" si="155"/>
        <v>0.21587281025930188</v>
      </c>
      <c r="AN90" s="58">
        <f t="shared" si="155"/>
        <v>0.22742845664247482</v>
      </c>
      <c r="AO90" s="790">
        <f t="shared" si="155"/>
        <v>0.22721491154552287</v>
      </c>
      <c r="AP90" s="58">
        <f t="shared" si="155"/>
        <v>0.26855834910624604</v>
      </c>
      <c r="AQ90" s="58">
        <f t="shared" si="155"/>
        <v>0.3192865171862983</v>
      </c>
      <c r="AR90" s="58">
        <f t="shared" si="155"/>
        <v>0.24012825680345279</v>
      </c>
      <c r="AS90" s="58">
        <f t="shared" si="155"/>
        <v>0.25067861660841784</v>
      </c>
      <c r="AT90" s="790">
        <f t="shared" si="155"/>
        <v>0.26641334443766018</v>
      </c>
      <c r="AU90" s="58">
        <f t="shared" si="155"/>
        <v>0.29294774576037502</v>
      </c>
      <c r="AV90" s="58">
        <f t="shared" si="155"/>
        <v>0.26710033127517613</v>
      </c>
      <c r="AW90" s="58">
        <f t="shared" si="155"/>
        <v>0.25785142390072635</v>
      </c>
      <c r="AX90" s="58">
        <f t="shared" si="155"/>
        <v>0.2574396488661303</v>
      </c>
      <c r="AY90" s="790">
        <f t="shared" si="155"/>
        <v>0.26794199482671233</v>
      </c>
      <c r="AZ90" s="58">
        <f t="shared" si="155"/>
        <v>0.29167329409893433</v>
      </c>
      <c r="BA90" s="58">
        <f t="shared" si="155"/>
        <v>0.25711647328060383</v>
      </c>
      <c r="BB90" s="58">
        <f t="shared" ref="BB90:BG90" si="156">INDEX(SP_GF_RD,0,COLUMN())/INDEX(SP_GF_Rev,0,COLUMN())</f>
        <v>0.24540371846379463</v>
      </c>
      <c r="BC90" s="58">
        <f t="shared" si="156"/>
        <v>0.23365997741853023</v>
      </c>
      <c r="BD90" s="790">
        <f t="shared" si="156"/>
        <v>0.2560196597252129</v>
      </c>
      <c r="BE90" s="58">
        <f t="shared" si="156"/>
        <v>0.2822864056228756</v>
      </c>
      <c r="BF90" s="58">
        <f t="shared" si="156"/>
        <v>0.25222023813055061</v>
      </c>
      <c r="BG90" s="58">
        <f t="shared" si="156"/>
        <v>0.23475756399186373</v>
      </c>
      <c r="BH90" s="58">
        <f t="shared" ref="BH90:BN90" si="157">INDEX(SP_GF_RD,0,COLUMN())/INDEX(SP_GF_Rev,0,COLUMN())</f>
        <v>0.22876311423697918</v>
      </c>
      <c r="BI90" s="790">
        <f t="shared" si="157"/>
        <v>0.24873192118241338</v>
      </c>
      <c r="BJ90" s="58">
        <f t="shared" si="157"/>
        <v>0.27415913352887439</v>
      </c>
      <c r="BK90" s="58">
        <f t="shared" si="157"/>
        <v>0.22990566249131689</v>
      </c>
      <c r="BL90" s="414">
        <f>INDEX(SP_GF_RD,0,COLUMN())/INDEX(SP_GF_Rev,0,COLUMN())</f>
        <v>0.21576049552649693</v>
      </c>
      <c r="BM90" s="58">
        <f t="shared" si="157"/>
        <v>0.23</v>
      </c>
      <c r="BN90" s="798">
        <f t="shared" si="157"/>
        <v>0.23680398498336089</v>
      </c>
      <c r="BO90" s="58">
        <f t="shared" ref="BO90:BV90" si="158">INDEX(SP_GF_RD,0,COLUMN())/INDEX(SP_GF_Rev,0,COLUMN())</f>
        <v>0.23999999999999996</v>
      </c>
      <c r="BP90" s="58">
        <f t="shared" si="158"/>
        <v>0.24</v>
      </c>
      <c r="BQ90" s="58">
        <f t="shared" si="158"/>
        <v>0.25</v>
      </c>
      <c r="BR90" s="58">
        <f t="shared" si="158"/>
        <v>0.25</v>
      </c>
      <c r="BS90" s="798">
        <f t="shared" si="158"/>
        <v>0.24515211060304604</v>
      </c>
      <c r="BT90" s="798">
        <f t="shared" si="158"/>
        <v>0.25</v>
      </c>
      <c r="BU90" s="798">
        <f t="shared" si="158"/>
        <v>0.25</v>
      </c>
      <c r="BV90" s="798">
        <f t="shared" si="158"/>
        <v>0.25</v>
      </c>
      <c r="BW90" s="102"/>
    </row>
    <row r="91" spans="1:75" s="482" customFormat="1" ht="15" customHeight="1">
      <c r="A91" s="103" t="str">
        <f>INDEX(MO_MA_SM,0,COLUMN())</f>
        <v>S&amp;M Margin, %</v>
      </c>
      <c r="B91" s="99"/>
      <c r="C91" s="790">
        <f t="shared" ref="C91:AH91" si="159">INDEX(SP_GF_SM,0,COLUMN())/INDEX(SP_GF_Rev,0,COLUMN())</f>
        <v>0.69664445133291997</v>
      </c>
      <c r="D91" s="790">
        <f t="shared" si="159"/>
        <v>0.71062831283652128</v>
      </c>
      <c r="E91" s="790">
        <f t="shared" si="159"/>
        <v>0.65484781173080386</v>
      </c>
      <c r="F91" s="790">
        <f t="shared" si="159"/>
        <v>0.62453204620294112</v>
      </c>
      <c r="G91" s="58">
        <f t="shared" si="159"/>
        <v>0.61114603429215519</v>
      </c>
      <c r="H91" s="58">
        <f t="shared" si="159"/>
        <v>0.55982043872562381</v>
      </c>
      <c r="I91" s="58">
        <f t="shared" si="159"/>
        <v>0.55778754842189571</v>
      </c>
      <c r="J91" s="58">
        <f t="shared" si="159"/>
        <v>0.54984359740131072</v>
      </c>
      <c r="K91" s="790">
        <f t="shared" si="159"/>
        <v>0.56642402183803453</v>
      </c>
      <c r="L91" s="58">
        <f t="shared" si="159"/>
        <v>0.59053489863494191</v>
      </c>
      <c r="M91" s="58">
        <f t="shared" si="159"/>
        <v>0.53834457747192721</v>
      </c>
      <c r="N91" s="58">
        <f t="shared" si="159"/>
        <v>0.53243863159435856</v>
      </c>
      <c r="O91" s="58">
        <f t="shared" si="159"/>
        <v>0.48759179884790738</v>
      </c>
      <c r="P91" s="790">
        <f t="shared" si="159"/>
        <v>0.5325319969486354</v>
      </c>
      <c r="Q91" s="58">
        <f t="shared" si="159"/>
        <v>0.53385425456509261</v>
      </c>
      <c r="R91" s="58">
        <f t="shared" si="159"/>
        <v>0.50789691814835003</v>
      </c>
      <c r="S91" s="58">
        <f t="shared" si="159"/>
        <v>0.57780424773089811</v>
      </c>
      <c r="T91" s="58">
        <f t="shared" si="159"/>
        <v>0.56940369866845331</v>
      </c>
      <c r="U91" s="790">
        <f t="shared" si="159"/>
        <v>0.54895026659462887</v>
      </c>
      <c r="V91" s="58">
        <f t="shared" si="159"/>
        <v>0.60290140152446525</v>
      </c>
      <c r="W91" s="58">
        <f t="shared" si="159"/>
        <v>0.5443296353529995</v>
      </c>
      <c r="X91" s="58">
        <f t="shared" si="159"/>
        <v>0.53306628291593283</v>
      </c>
      <c r="Y91" s="58">
        <f t="shared" si="159"/>
        <v>0.48024600094457814</v>
      </c>
      <c r="Z91" s="790">
        <f t="shared" si="159"/>
        <v>0.53691017278832764</v>
      </c>
      <c r="AA91" s="58">
        <f t="shared" si="159"/>
        <v>0.54766013705127814</v>
      </c>
      <c r="AB91" s="58">
        <f t="shared" si="159"/>
        <v>0.49975469765891073</v>
      </c>
      <c r="AC91" s="58">
        <f t="shared" si="159"/>
        <v>0.50588704223712078</v>
      </c>
      <c r="AD91" s="58">
        <f t="shared" si="159"/>
        <v>0.50588996586781865</v>
      </c>
      <c r="AE91" s="790">
        <f t="shared" si="159"/>
        <v>0.51410418089268695</v>
      </c>
      <c r="AF91" s="58">
        <f t="shared" si="159"/>
        <v>0.53632875189399032</v>
      </c>
      <c r="AG91" s="58">
        <f t="shared" si="159"/>
        <v>0.51371650707007921</v>
      </c>
      <c r="AH91" s="58">
        <f t="shared" si="159"/>
        <v>0.50502289544413848</v>
      </c>
      <c r="AI91" s="58">
        <f t="shared" ref="AI91:BA91" si="160">INDEX(SP_GF_SM,0,COLUMN())/INDEX(SP_GF_Rev,0,COLUMN())</f>
        <v>0.49748092229424806</v>
      </c>
      <c r="AJ91" s="790">
        <f t="shared" si="160"/>
        <v>0.51264620433550812</v>
      </c>
      <c r="AK91" s="58">
        <f t="shared" si="160"/>
        <v>0.52689220232090939</v>
      </c>
      <c r="AL91" s="58">
        <f t="shared" si="160"/>
        <v>0.494199348059363</v>
      </c>
      <c r="AM91" s="58">
        <f t="shared" si="160"/>
        <v>0.48635293400489193</v>
      </c>
      <c r="AN91" s="58">
        <f t="shared" si="160"/>
        <v>0.47008626494012834</v>
      </c>
      <c r="AO91" s="790">
        <f t="shared" si="160"/>
        <v>0.49338292279386392</v>
      </c>
      <c r="AP91" s="58">
        <f t="shared" si="160"/>
        <v>0.54940556460358303</v>
      </c>
      <c r="AQ91" s="58">
        <f t="shared" si="160"/>
        <v>0.56965627403419516</v>
      </c>
      <c r="AR91" s="58">
        <f t="shared" si="160"/>
        <v>0.45877621633372134</v>
      </c>
      <c r="AS91" s="58">
        <f t="shared" si="160"/>
        <v>0.43814404253950556</v>
      </c>
      <c r="AT91" s="790">
        <f t="shared" si="160"/>
        <v>0.50067989181300288</v>
      </c>
      <c r="AU91" s="58">
        <f t="shared" si="160"/>
        <v>0.48647542396249832</v>
      </c>
      <c r="AV91" s="58">
        <f t="shared" si="160"/>
        <v>0.44185965130565974</v>
      </c>
      <c r="AW91" s="58">
        <f t="shared" si="160"/>
        <v>0.42464379261020607</v>
      </c>
      <c r="AX91" s="58">
        <f t="shared" si="160"/>
        <v>0.41470007315288943</v>
      </c>
      <c r="AY91" s="790">
        <f t="shared" si="160"/>
        <v>0.4402082107770689</v>
      </c>
      <c r="AZ91" s="58">
        <f t="shared" si="160"/>
        <v>0.45583599635611727</v>
      </c>
      <c r="BA91" s="58">
        <f t="shared" si="160"/>
        <v>0.43298403393958862</v>
      </c>
      <c r="BB91" s="58">
        <f t="shared" ref="BB91:BG91" si="161">INDEX(SP_GF_SM,0,COLUMN())/INDEX(SP_GF_Rev,0,COLUMN())</f>
        <v>0.43077007747069357</v>
      </c>
      <c r="BC91" s="58">
        <f t="shared" si="161"/>
        <v>0.40878606807439571</v>
      </c>
      <c r="BD91" s="790">
        <f t="shared" si="161"/>
        <v>0.43144064629754686</v>
      </c>
      <c r="BE91" s="58">
        <f t="shared" si="161"/>
        <v>0.47194963480754587</v>
      </c>
      <c r="BF91" s="58">
        <f t="shared" si="161"/>
        <v>0.41275368853188427</v>
      </c>
      <c r="BG91" s="58">
        <f t="shared" si="161"/>
        <v>0.39899803547730944</v>
      </c>
      <c r="BH91" s="58">
        <f t="shared" ref="BH91:BN91" si="162">INDEX(SP_GF_SM,0,COLUMN())/INDEX(SP_GF_Rev,0,COLUMN())</f>
        <v>0.38640850994228576</v>
      </c>
      <c r="BI91" s="790">
        <f t="shared" si="162"/>
        <v>0.41628959614438227</v>
      </c>
      <c r="BJ91" s="58">
        <f t="shared" si="162"/>
        <v>0.44414759340289461</v>
      </c>
      <c r="BK91" s="58">
        <f t="shared" si="162"/>
        <v>0.42096992851860981</v>
      </c>
      <c r="BL91" s="414">
        <f>INDEX(SP_GF_SM,0,COLUMN())/INDEX(SP_GF_Rev,0,COLUMN())</f>
        <v>0.40136924716382122</v>
      </c>
      <c r="BM91" s="58">
        <f t="shared" si="162"/>
        <v>0.42</v>
      </c>
      <c r="BN91" s="798">
        <f t="shared" si="162"/>
        <v>0.421190942277962</v>
      </c>
      <c r="BO91" s="58">
        <f t="shared" ref="BO91:BV91" si="163">INDEX(SP_GF_SM,0,COLUMN())/INDEX(SP_GF_Rev,0,COLUMN())</f>
        <v>0.42</v>
      </c>
      <c r="BP91" s="58">
        <f t="shared" si="163"/>
        <v>0.41</v>
      </c>
      <c r="BQ91" s="58">
        <f t="shared" si="163"/>
        <v>0.41</v>
      </c>
      <c r="BR91" s="58">
        <f t="shared" si="163"/>
        <v>0.41</v>
      </c>
      <c r="BS91" s="798">
        <f t="shared" si="163"/>
        <v>0.41230860701797156</v>
      </c>
      <c r="BT91" s="798">
        <f t="shared" si="163"/>
        <v>0.44</v>
      </c>
      <c r="BU91" s="798">
        <f t="shared" si="163"/>
        <v>0.41</v>
      </c>
      <c r="BV91" s="798">
        <f t="shared" si="163"/>
        <v>0.45</v>
      </c>
      <c r="BW91" s="102"/>
    </row>
    <row r="92" spans="1:75" s="482" customFormat="1" ht="15" customHeight="1">
      <c r="A92" s="103" t="str">
        <f>INDEX(MO_MA_GA,0,COLUMN())</f>
        <v>G&amp;A Margin, %</v>
      </c>
      <c r="B92" s="99"/>
      <c r="C92" s="790">
        <f t="shared" ref="C92:AH92" si="164">INDEX(SP_GF_GA,0,COLUMN())/INDEX(SP_GF_Rev,0,COLUMN())</f>
        <v>0.17812306261624306</v>
      </c>
      <c r="D92" s="790">
        <f t="shared" si="164"/>
        <v>0.23647105654606021</v>
      </c>
      <c r="E92" s="790">
        <f t="shared" si="164"/>
        <v>0.20692801825058538</v>
      </c>
      <c r="F92" s="790">
        <f t="shared" si="164"/>
        <v>0.22920467844759279</v>
      </c>
      <c r="G92" s="58">
        <f t="shared" si="164"/>
        <v>0.18997247089935618</v>
      </c>
      <c r="H92" s="58">
        <f t="shared" si="164"/>
        <v>0.18443196481471383</v>
      </c>
      <c r="I92" s="58">
        <f t="shared" si="164"/>
        <v>0.17219398179173273</v>
      </c>
      <c r="J92" s="58">
        <f t="shared" si="164"/>
        <v>0.19051393469306876</v>
      </c>
      <c r="K92" s="790">
        <f t="shared" si="164"/>
        <v>0.18415969921197656</v>
      </c>
      <c r="L92" s="58">
        <f t="shared" si="164"/>
        <v>0.17236640621932547</v>
      </c>
      <c r="M92" s="58">
        <f t="shared" si="164"/>
        <v>0.14931239933774088</v>
      </c>
      <c r="N92" s="58">
        <f t="shared" si="164"/>
        <v>0.14821140988726758</v>
      </c>
      <c r="O92" s="58">
        <f t="shared" si="164"/>
        <v>0.15162849108629772</v>
      </c>
      <c r="P92" s="790">
        <f t="shared" si="164"/>
        <v>0.15435349211730803</v>
      </c>
      <c r="Q92" s="58">
        <f t="shared" si="164"/>
        <v>0.16823336821142879</v>
      </c>
      <c r="R92" s="58">
        <f t="shared" si="164"/>
        <v>0.14397407271885476</v>
      </c>
      <c r="S92" s="58">
        <f t="shared" si="164"/>
        <v>0.14621166210408262</v>
      </c>
      <c r="T92" s="58">
        <f t="shared" si="164"/>
        <v>0.13438408648873681</v>
      </c>
      <c r="U92" s="790">
        <f t="shared" si="164"/>
        <v>0.14710638862966177</v>
      </c>
      <c r="V92" s="58">
        <f t="shared" si="164"/>
        <v>0.13724600127354</v>
      </c>
      <c r="W92" s="58">
        <f t="shared" si="164"/>
        <v>0.13529533869963328</v>
      </c>
      <c r="X92" s="58">
        <f t="shared" si="164"/>
        <v>0.13357532540057562</v>
      </c>
      <c r="Y92" s="58">
        <f t="shared" si="164"/>
        <v>0.14051623236616773</v>
      </c>
      <c r="Z92" s="790">
        <f t="shared" si="164"/>
        <v>0.13670626545257192</v>
      </c>
      <c r="AA92" s="58">
        <f t="shared" si="164"/>
        <v>0.1370815545934381</v>
      </c>
      <c r="AB92" s="58">
        <f t="shared" si="164"/>
        <v>0.12880516325704353</v>
      </c>
      <c r="AC92" s="58">
        <f t="shared" si="164"/>
        <v>0.12361221208579093</v>
      </c>
      <c r="AD92" s="58">
        <f t="shared" si="164"/>
        <v>0.12713212207381483</v>
      </c>
      <c r="AE92" s="790">
        <f t="shared" si="164"/>
        <v>0.12893857532552855</v>
      </c>
      <c r="AF92" s="58">
        <f t="shared" si="164"/>
        <v>0.14348153527528978</v>
      </c>
      <c r="AG92" s="58">
        <f t="shared" si="164"/>
        <v>0.12170073617385453</v>
      </c>
      <c r="AH92" s="58">
        <f t="shared" si="164"/>
        <v>0.1256843746889206</v>
      </c>
      <c r="AI92" s="58">
        <f t="shared" ref="AI92:BA92" si="165">INDEX(SP_GF_GA,0,COLUMN())/INDEX(SP_GF_Rev,0,COLUMN())</f>
        <v>0.12175679002215478</v>
      </c>
      <c r="AJ92" s="790">
        <f t="shared" si="165"/>
        <v>0.12788762512290869</v>
      </c>
      <c r="AK92" s="58">
        <f t="shared" si="165"/>
        <v>0.13262581481889618</v>
      </c>
      <c r="AL92" s="58">
        <f t="shared" si="165"/>
        <v>0.1252535887104938</v>
      </c>
      <c r="AM92" s="58">
        <f t="shared" si="165"/>
        <v>0.15126450619870924</v>
      </c>
      <c r="AN92" s="58">
        <f t="shared" si="165"/>
        <v>0.12708733999694974</v>
      </c>
      <c r="AO92" s="790">
        <f t="shared" si="165"/>
        <v>0.13418635882286822</v>
      </c>
      <c r="AP92" s="58">
        <f t="shared" si="165"/>
        <v>0.17421298834338397</v>
      </c>
      <c r="AQ92" s="58">
        <f t="shared" si="165"/>
        <v>0.15619712477075076</v>
      </c>
      <c r="AR92" s="58">
        <f t="shared" si="165"/>
        <v>0.13988234068666303</v>
      </c>
      <c r="AS92" s="58">
        <f t="shared" si="165"/>
        <v>0.12703960204978668</v>
      </c>
      <c r="AT92" s="790">
        <f t="shared" si="165"/>
        <v>0.14943873126574433</v>
      </c>
      <c r="AU92" s="58">
        <f t="shared" si="165"/>
        <v>0.13727509306493865</v>
      </c>
      <c r="AV92" s="58">
        <f t="shared" si="165"/>
        <v>0.17533866276809182</v>
      </c>
      <c r="AW92" s="58">
        <f t="shared" si="165"/>
        <v>0.11146365477141426</v>
      </c>
      <c r="AX92" s="58">
        <f t="shared" si="165"/>
        <v>0.10555596196049744</v>
      </c>
      <c r="AY92" s="790">
        <f t="shared" si="165"/>
        <v>0.13162518571211207</v>
      </c>
      <c r="AZ92" s="58">
        <f t="shared" si="165"/>
        <v>0.14236808999812023</v>
      </c>
      <c r="BA92" s="58">
        <f t="shared" si="165"/>
        <v>0.12840098499752411</v>
      </c>
      <c r="BB92" s="58">
        <f t="shared" ref="BB92:BG92" si="166">INDEX(SP_GF_GA,0,COLUMN())/INDEX(SP_GF_Rev,0,COLUMN())</f>
        <v>0.15662806621105826</v>
      </c>
      <c r="BC92" s="58">
        <f t="shared" si="166"/>
        <v>0.12282960695949244</v>
      </c>
      <c r="BD92" s="790">
        <f t="shared" si="166"/>
        <v>0.13750077502752395</v>
      </c>
      <c r="BE92" s="58">
        <f t="shared" si="166"/>
        <v>0.14885833349336508</v>
      </c>
      <c r="BF92" s="58">
        <f t="shared" si="166"/>
        <v>0.15841258164603148</v>
      </c>
      <c r="BG92" s="58">
        <f t="shared" si="166"/>
        <v>0.13240245478410534</v>
      </c>
      <c r="BH92" s="58">
        <f t="shared" ref="BH92:BN92" si="167">INDEX(SP_GF_GA,0,COLUMN())/INDEX(SP_GF_Rev,0,COLUMN())</f>
        <v>0.19517139051802698</v>
      </c>
      <c r="BI92" s="790">
        <f t="shared" si="167"/>
        <v>0.15887894503022301</v>
      </c>
      <c r="BJ92" s="58">
        <f t="shared" si="167"/>
        <v>0.1359330672693177</v>
      </c>
      <c r="BK92" s="58">
        <f t="shared" si="167"/>
        <v>0.12501960696439374</v>
      </c>
      <c r="BL92" s="414">
        <f>INDEX(SP_GF_GA,0,COLUMN())/INDEX(SP_GF_Rev,0,COLUMN())</f>
        <v>0.13766012476966455</v>
      </c>
      <c r="BM92" s="58">
        <f t="shared" si="167"/>
        <v>9.9999999999999992E-2</v>
      </c>
      <c r="BN92" s="798">
        <f t="shared" si="167"/>
        <v>0.12460468638943088</v>
      </c>
      <c r="BO92" s="58">
        <f t="shared" ref="BO92:BV92" si="168">INDEX(SP_GF_GA,0,COLUMN())/INDEX(SP_GF_Rev,0,COLUMN())</f>
        <v>0.17</v>
      </c>
      <c r="BP92" s="58">
        <f t="shared" si="168"/>
        <v>0.1</v>
      </c>
      <c r="BQ92" s="58">
        <f t="shared" si="168"/>
        <v>0.12000000000000001</v>
      </c>
      <c r="BR92" s="58">
        <f t="shared" si="168"/>
        <v>0.1</v>
      </c>
      <c r="BS92" s="798">
        <f t="shared" si="168"/>
        <v>0.12125259812204421</v>
      </c>
      <c r="BT92" s="798">
        <f t="shared" si="168"/>
        <v>0.1</v>
      </c>
      <c r="BU92" s="798">
        <f t="shared" si="168"/>
        <v>0.12000000000000001</v>
      </c>
      <c r="BV92" s="798">
        <f t="shared" si="168"/>
        <v>0.12</v>
      </c>
      <c r="BW92" s="102"/>
    </row>
    <row r="93" spans="1:75" s="482" customFormat="1" ht="15" customHeight="1">
      <c r="A93" s="103" t="str">
        <f>INDEX(MO_MA_DA_ISAR,0,COLUMN())</f>
        <v>D&amp;A Margin, %</v>
      </c>
      <c r="B93" s="99"/>
      <c r="C93" s="790">
        <f t="shared" ref="C93:AH93" si="169">INDEX(MO_MA_DA_ISAR,0,COLUMN())</f>
        <v>4.6535957842529452E-2</v>
      </c>
      <c r="D93" s="790">
        <f t="shared" si="169"/>
        <v>4.8899038360813725E-2</v>
      </c>
      <c r="E93" s="790">
        <f t="shared" si="169"/>
        <v>5.0885513597886782E-2</v>
      </c>
      <c r="F93" s="790">
        <f t="shared" si="169"/>
        <v>5.2505324678156821E-2</v>
      </c>
      <c r="G93" s="58">
        <f t="shared" si="169"/>
        <v>5.371426094119177E-2</v>
      </c>
      <c r="H93" s="58">
        <f t="shared" si="169"/>
        <v>4.7925413009105279E-2</v>
      </c>
      <c r="I93" s="58">
        <f t="shared" si="169"/>
        <v>4.602736143573985E-2</v>
      </c>
      <c r="J93" s="58">
        <f t="shared" si="169"/>
        <v>4.9878982604634046E-2</v>
      </c>
      <c r="K93" s="790">
        <f t="shared" si="169"/>
        <v>4.9165622263807579E-2</v>
      </c>
      <c r="L93" s="58">
        <f t="shared" si="169"/>
        <v>4.7914458099388803E-2</v>
      </c>
      <c r="M93" s="58">
        <f t="shared" si="169"/>
        <v>4.5434579386621911E-2</v>
      </c>
      <c r="N93" s="58">
        <f t="shared" si="169"/>
        <v>4.4936801522619689E-2</v>
      </c>
      <c r="O93" s="58">
        <f t="shared" si="169"/>
        <v>4.8149462629792424E-2</v>
      </c>
      <c r="P93" s="790">
        <f t="shared" si="169"/>
        <v>4.6591583319206646E-2</v>
      </c>
      <c r="Q93" s="58">
        <f t="shared" si="169"/>
        <v>5.8181726128193875E-2</v>
      </c>
      <c r="R93" s="58">
        <f t="shared" si="169"/>
        <v>5.3519822571370959E-2</v>
      </c>
      <c r="S93" s="58">
        <f t="shared" si="169"/>
        <v>5.2675206709436539E-2</v>
      </c>
      <c r="T93" s="58">
        <f t="shared" si="169"/>
        <v>5.1908853777052129E-2</v>
      </c>
      <c r="U93" s="790">
        <f t="shared" si="169"/>
        <v>5.3853752244361126E-2</v>
      </c>
      <c r="V93" s="58">
        <f t="shared" si="169"/>
        <v>5.1628807222611012E-2</v>
      </c>
      <c r="W93" s="58">
        <f t="shared" si="169"/>
        <v>4.9380722835989578E-2</v>
      </c>
      <c r="X93" s="58">
        <f t="shared" si="169"/>
        <v>4.9180591949826026E-2</v>
      </c>
      <c r="Y93" s="58">
        <f t="shared" si="169"/>
        <v>4.8430152569867969E-2</v>
      </c>
      <c r="Z93" s="790">
        <f t="shared" si="169"/>
        <v>4.9568835554483506E-2</v>
      </c>
      <c r="AA93" s="58">
        <f t="shared" si="169"/>
        <v>5.1222662912390117E-2</v>
      </c>
      <c r="AB93" s="58">
        <f t="shared" si="169"/>
        <v>5.0784729333873166E-2</v>
      </c>
      <c r="AC93" s="58">
        <f t="shared" si="169"/>
        <v>4.7723333646831206E-2</v>
      </c>
      <c r="AD93" s="58">
        <f t="shared" si="169"/>
        <v>4.4335379441398821E-2</v>
      </c>
      <c r="AE93" s="790">
        <f t="shared" si="169"/>
        <v>4.8419986201984615E-2</v>
      </c>
      <c r="AF93" s="58">
        <f t="shared" si="169"/>
        <v>4.49536924966603E-2</v>
      </c>
      <c r="AG93" s="58">
        <f t="shared" si="169"/>
        <v>4.4745234455831701E-2</v>
      </c>
      <c r="AH93" s="58">
        <f t="shared" si="169"/>
        <v>4.4434582075189959E-2</v>
      </c>
      <c r="AI93" s="58">
        <f t="shared" ref="AI93:BN93" si="170">INDEX(MO_MA_DA_ISAR,0,COLUMN())</f>
        <v>4.7415278575531308E-2</v>
      </c>
      <c r="AJ93" s="790">
        <f t="shared" si="170"/>
        <v>4.5405415725736739E-2</v>
      </c>
      <c r="AK93" s="58">
        <f t="shared" si="170"/>
        <v>5.0334404217985775E-2</v>
      </c>
      <c r="AL93" s="58">
        <f t="shared" si="170"/>
        <v>4.9563685691725208E-2</v>
      </c>
      <c r="AM93" s="58">
        <f t="shared" si="170"/>
        <v>4.7208485411888421E-2</v>
      </c>
      <c r="AN93" s="58">
        <f t="shared" si="170"/>
        <v>4.7797249491301007E-2</v>
      </c>
      <c r="AO93" s="790">
        <f t="shared" si="170"/>
        <v>4.8665245505297806E-2</v>
      </c>
      <c r="AP93" s="58">
        <f t="shared" si="170"/>
        <v>4.9451582826799415E-2</v>
      </c>
      <c r="AQ93" s="58">
        <f t="shared" si="170"/>
        <v>7.4436490563805247E-2</v>
      </c>
      <c r="AR93" s="58">
        <f t="shared" si="170"/>
        <v>5.6809793167789072E-2</v>
      </c>
      <c r="AS93" s="58">
        <f t="shared" si="170"/>
        <v>5.6283367996740927E-2</v>
      </c>
      <c r="AT93" s="790">
        <f t="shared" si="170"/>
        <v>5.7975812576681142E-2</v>
      </c>
      <c r="AU93" s="58">
        <f t="shared" si="170"/>
        <v>5.6368916310492213E-2</v>
      </c>
      <c r="AV93" s="58">
        <f t="shared" si="170"/>
        <v>4.9897351353873437E-2</v>
      </c>
      <c r="AW93" s="58">
        <f t="shared" si="170"/>
        <v>4.6913488510337914E-2</v>
      </c>
      <c r="AX93" s="58">
        <f t="shared" si="170"/>
        <v>6.2692026335040243E-2</v>
      </c>
      <c r="AY93" s="790">
        <f t="shared" si="170"/>
        <v>5.3964814278196507E-2</v>
      </c>
      <c r="AZ93" s="58">
        <f t="shared" si="170"/>
        <v>4.1535925502841367E-2</v>
      </c>
      <c r="BA93" s="58">
        <f t="shared" si="170"/>
        <v>3.7666787114733473E-2</v>
      </c>
      <c r="BB93" s="58">
        <f t="shared" si="170"/>
        <v>3.6961258178451292E-2</v>
      </c>
      <c r="BC93" s="58">
        <f t="shared" si="170"/>
        <v>3.4574235772541824E-2</v>
      </c>
      <c r="BD93" s="790">
        <f t="shared" si="170"/>
        <v>3.7580037301865259E-2</v>
      </c>
      <c r="BE93" s="58">
        <f t="shared" si="170"/>
        <v>3.458286123966995E-2</v>
      </c>
      <c r="BF93" s="58">
        <f t="shared" si="170"/>
        <v>3.1486743828716864E-2</v>
      </c>
      <c r="BG93" s="58">
        <f t="shared" si="170"/>
        <v>3.0311020450739159E-2</v>
      </c>
      <c r="BH93" s="58">
        <f>INDEX(MO_MA_DA_ISAR,0,COLUMN())</f>
        <v>3.0092646680842109E-2</v>
      </c>
      <c r="BI93" s="790">
        <f>INDEX(MO_MA_DA_ISAR,0,COLUMN())</f>
        <v>3.1549771065216121E-2</v>
      </c>
      <c r="BJ93" s="58">
        <f>INDEX(MO_MA_DA_ISAR,0,COLUMN())</f>
        <v>2.9842044525652738E-2</v>
      </c>
      <c r="BK93" s="58">
        <f>INDEX(MO_MA_DA_ISAR,0,COLUMN())</f>
        <v>2.6847536244874182E-2</v>
      </c>
      <c r="BL93" s="414">
        <f>INDEX(MO_MA_DA_ISAR,0,COLUMN())</f>
        <v>2.5880824989454522E-2</v>
      </c>
      <c r="BM93" s="58">
        <f t="shared" si="170"/>
        <v>3.0143506383793896E-2</v>
      </c>
      <c r="BN93" s="798">
        <f t="shared" si="170"/>
        <v>2.8134951361233881E-2</v>
      </c>
      <c r="BO93" s="58">
        <f t="shared" ref="BO93:BV93" si="171">INDEX(MO_MA_DA_ISAR,0,COLUMN())</f>
        <v>2.6901468691048949E-2</v>
      </c>
      <c r="BP93" s="58">
        <f t="shared" si="171"/>
        <v>2.4959396944603519E-2</v>
      </c>
      <c r="BQ93" s="58">
        <f t="shared" si="171"/>
        <v>2.5332793215121271E-2</v>
      </c>
      <c r="BR93" s="58">
        <f t="shared" si="171"/>
        <v>2.4859768048622721E-2</v>
      </c>
      <c r="BS93" s="798">
        <f t="shared" si="171"/>
        <v>2.5476855543383931E-2</v>
      </c>
      <c r="BT93" s="798">
        <f t="shared" si="171"/>
        <v>2.4921748495135947E-2</v>
      </c>
      <c r="BU93" s="798">
        <f t="shared" si="171"/>
        <v>2.3557479418039227E-2</v>
      </c>
      <c r="BV93" s="798">
        <f t="shared" si="171"/>
        <v>2.172637741623705E-2</v>
      </c>
      <c r="BW93" s="102"/>
    </row>
    <row r="94" spans="1:75" s="482" customFormat="1" ht="15" customHeight="1">
      <c r="A94" s="385" t="str">
        <f>INDEX(MO_MA_OI_Operating,0,COLUMN())</f>
        <v>Other Margin, %</v>
      </c>
      <c r="B94" s="386"/>
      <c r="C94" s="799">
        <f t="shared" ref="C94:AH94" si="172">INDEX(MO_MA_OI_Operating,0,COLUMN())</f>
        <v>0</v>
      </c>
      <c r="D94" s="799">
        <f t="shared" si="172"/>
        <v>0</v>
      </c>
      <c r="E94" s="799">
        <f t="shared" si="172"/>
        <v>7.1177282824037943E-2</v>
      </c>
      <c r="F94" s="799">
        <f t="shared" si="172"/>
        <v>9.1737117186534555E-3</v>
      </c>
      <c r="G94" s="387">
        <f t="shared" si="172"/>
        <v>1.46316086098888E-2</v>
      </c>
      <c r="H94" s="387">
        <f t="shared" si="172"/>
        <v>0</v>
      </c>
      <c r="I94" s="387">
        <f t="shared" si="172"/>
        <v>0</v>
      </c>
      <c r="J94" s="387">
        <f t="shared" si="172"/>
        <v>0</v>
      </c>
      <c r="K94" s="799">
        <f t="shared" si="172"/>
        <v>2.8971449173347988E-3</v>
      </c>
      <c r="L94" s="387">
        <f t="shared" si="172"/>
        <v>0</v>
      </c>
      <c r="M94" s="387">
        <f t="shared" si="172"/>
        <v>0</v>
      </c>
      <c r="N94" s="387">
        <f t="shared" si="172"/>
        <v>0</v>
      </c>
      <c r="O94" s="387">
        <f t="shared" si="172"/>
        <v>0</v>
      </c>
      <c r="P94" s="799">
        <f t="shared" si="172"/>
        <v>0</v>
      </c>
      <c r="Q94" s="387">
        <f t="shared" si="172"/>
        <v>0</v>
      </c>
      <c r="R94" s="387">
        <f t="shared" si="172"/>
        <v>0</v>
      </c>
      <c r="S94" s="387">
        <f t="shared" si="172"/>
        <v>0</v>
      </c>
      <c r="T94" s="387">
        <f t="shared" si="172"/>
        <v>0</v>
      </c>
      <c r="U94" s="799">
        <f t="shared" si="172"/>
        <v>0</v>
      </c>
      <c r="V94" s="387">
        <f t="shared" si="172"/>
        <v>0</v>
      </c>
      <c r="W94" s="387">
        <f t="shared" si="172"/>
        <v>0</v>
      </c>
      <c r="X94" s="387">
        <f t="shared" si="172"/>
        <v>0</v>
      </c>
      <c r="Y94" s="387">
        <f t="shared" si="172"/>
        <v>1.7736503829647431E-2</v>
      </c>
      <c r="Z94" s="799">
        <f t="shared" si="172"/>
        <v>4.8452534046494805E-3</v>
      </c>
      <c r="AA94" s="387">
        <f t="shared" si="172"/>
        <v>1.1656423143298314E-3</v>
      </c>
      <c r="AB94" s="387">
        <f t="shared" si="172"/>
        <v>1.0002619733739789E-4</v>
      </c>
      <c r="AC94" s="387">
        <f t="shared" si="172"/>
        <v>1.5674893746613105E-4</v>
      </c>
      <c r="AD94" s="387">
        <f t="shared" si="172"/>
        <v>-0.74596816456359571</v>
      </c>
      <c r="AE94" s="799">
        <f t="shared" si="172"/>
        <v>-0.19205450568668633</v>
      </c>
      <c r="AF94" s="387">
        <f t="shared" si="172"/>
        <v>0</v>
      </c>
      <c r="AG94" s="387">
        <f t="shared" si="172"/>
        <v>0</v>
      </c>
      <c r="AH94" s="387">
        <f t="shared" si="172"/>
        <v>0</v>
      </c>
      <c r="AI94" s="387">
        <f t="shared" ref="AI94:BN94" si="173">INDEX(MO_MA_OI_Operating,0,COLUMN())</f>
        <v>0</v>
      </c>
      <c r="AJ94" s="799">
        <f t="shared" si="173"/>
        <v>0</v>
      </c>
      <c r="AK94" s="387">
        <f t="shared" si="173"/>
        <v>0</v>
      </c>
      <c r="AL94" s="387">
        <f t="shared" si="173"/>
        <v>0</v>
      </c>
      <c r="AM94" s="387">
        <f t="shared" si="173"/>
        <v>0</v>
      </c>
      <c r="AN94" s="387">
        <f t="shared" si="173"/>
        <v>0</v>
      </c>
      <c r="AO94" s="799">
        <f t="shared" si="173"/>
        <v>0</v>
      </c>
      <c r="AP94" s="387">
        <f t="shared" si="173"/>
        <v>0</v>
      </c>
      <c r="AQ94" s="387">
        <f t="shared" si="173"/>
        <v>1.9594154883748445E-2</v>
      </c>
      <c r="AR94" s="387">
        <f t="shared" si="173"/>
        <v>2.422930432459116E-3</v>
      </c>
      <c r="AS94" s="387">
        <f t="shared" si="173"/>
        <v>6.432384913913249E-5</v>
      </c>
      <c r="AT94" s="799">
        <f t="shared" si="173"/>
        <v>4.4241654285036769E-3</v>
      </c>
      <c r="AU94" s="387">
        <f t="shared" si="173"/>
        <v>8.6171239487108786E-5</v>
      </c>
      <c r="AV94" s="387">
        <f t="shared" si="173"/>
        <v>4.6658475512076769E-5</v>
      </c>
      <c r="AW94" s="387">
        <f t="shared" si="173"/>
        <v>0</v>
      </c>
      <c r="AX94" s="387">
        <f t="shared" si="173"/>
        <v>0</v>
      </c>
      <c r="AY94" s="799">
        <f t="shared" si="173"/>
        <v>3.1012590142454395E-5</v>
      </c>
      <c r="AZ94" s="387">
        <f t="shared" si="173"/>
        <v>0</v>
      </c>
      <c r="BA94" s="387">
        <f t="shared" si="173"/>
        <v>0</v>
      </c>
      <c r="BB94" s="387">
        <f t="shared" si="173"/>
        <v>0</v>
      </c>
      <c r="BC94" s="387">
        <f t="shared" si="173"/>
        <v>0</v>
      </c>
      <c r="BD94" s="799">
        <f t="shared" si="173"/>
        <v>0</v>
      </c>
      <c r="BE94" s="387">
        <f t="shared" si="173"/>
        <v>0</v>
      </c>
      <c r="BF94" s="387">
        <f t="shared" si="173"/>
        <v>0</v>
      </c>
      <c r="BG94" s="387">
        <f t="shared" si="173"/>
        <v>0</v>
      </c>
      <c r="BH94" s="387">
        <f>INDEX(MO_MA_OI_Operating,0,COLUMN())</f>
        <v>0</v>
      </c>
      <c r="BI94" s="799">
        <f>INDEX(MO_MA_OI_Operating,0,COLUMN())</f>
        <v>0</v>
      </c>
      <c r="BJ94" s="387">
        <f>INDEX(MO_MA_OI_Operating,0,COLUMN())</f>
        <v>0</v>
      </c>
      <c r="BK94" s="387">
        <f>INDEX(MO_MA_OI_Operating,0,COLUMN())</f>
        <v>0</v>
      </c>
      <c r="BL94" s="421">
        <f>INDEX(MO_MA_OI_Operating,0,COLUMN())</f>
        <v>0</v>
      </c>
      <c r="BM94" s="387">
        <f t="shared" si="173"/>
        <v>0</v>
      </c>
      <c r="BN94" s="800">
        <f t="shared" si="173"/>
        <v>0</v>
      </c>
      <c r="BO94" s="387">
        <f t="shared" ref="BO94:BV94" si="174">INDEX(MO_MA_OI_Operating,0,COLUMN())</f>
        <v>0</v>
      </c>
      <c r="BP94" s="387">
        <f t="shared" si="174"/>
        <v>0</v>
      </c>
      <c r="BQ94" s="387">
        <f t="shared" si="174"/>
        <v>0</v>
      </c>
      <c r="BR94" s="387">
        <f t="shared" si="174"/>
        <v>0</v>
      </c>
      <c r="BS94" s="800">
        <f t="shared" si="174"/>
        <v>0</v>
      </c>
      <c r="BT94" s="800">
        <f t="shared" si="174"/>
        <v>0</v>
      </c>
      <c r="BU94" s="800">
        <f t="shared" si="174"/>
        <v>0</v>
      </c>
      <c r="BV94" s="800">
        <f t="shared" si="174"/>
        <v>0</v>
      </c>
      <c r="BW94" s="102"/>
    </row>
    <row r="95" spans="1:75" s="483" customFormat="1">
      <c r="A95" s="104" t="str">
        <f>INDEX(MO_MA_EBIT,0,COLUMN())</f>
        <v>EBIT Margin, %</v>
      </c>
      <c r="B95" s="105"/>
      <c r="C95" s="801">
        <f t="shared" ref="C95:AH95" si="175">INDEX(MO_MA_EBIT,0,COLUMN())</f>
        <v>-9.0398326100433912E-2</v>
      </c>
      <c r="D95" s="801">
        <f t="shared" si="175"/>
        <v>-0.19915778005908111</v>
      </c>
      <c r="E95" s="801">
        <f t="shared" si="175"/>
        <v>-0.19416461547697672</v>
      </c>
      <c r="F95" s="801">
        <f t="shared" si="175"/>
        <v>-0.13640626022229177</v>
      </c>
      <c r="G95" s="61">
        <f t="shared" si="175"/>
        <v>-9.8714586088049658E-2</v>
      </c>
      <c r="H95" s="61">
        <f t="shared" si="175"/>
        <v>-1.0541046471475404E-2</v>
      </c>
      <c r="I95" s="61">
        <f t="shared" si="175"/>
        <v>-2.9110344714862554E-2</v>
      </c>
      <c r="J95" s="61">
        <f t="shared" si="175"/>
        <v>-2.7005987176402537E-2</v>
      </c>
      <c r="K95" s="801">
        <f t="shared" si="175"/>
        <v>-3.786890311947412E-2</v>
      </c>
      <c r="L95" s="61">
        <f t="shared" si="175"/>
        <v>-6.0256259243263041E-2</v>
      </c>
      <c r="M95" s="61">
        <f t="shared" si="175"/>
        <v>3.5219119916203891E-2</v>
      </c>
      <c r="N95" s="61">
        <f t="shared" si="175"/>
        <v>4.4351178566199627E-2</v>
      </c>
      <c r="O95" s="61">
        <f t="shared" si="175"/>
        <v>7.2729258238008049E-2</v>
      </c>
      <c r="P95" s="801">
        <f t="shared" si="175"/>
        <v>2.9292570774707646E-2</v>
      </c>
      <c r="Q95" s="61">
        <f t="shared" si="175"/>
        <v>-3.5854119553110297E-2</v>
      </c>
      <c r="R95" s="61">
        <f t="shared" si="175"/>
        <v>3.7337674460292405E-4</v>
      </c>
      <c r="S95" s="61">
        <f t="shared" si="175"/>
        <v>-7.4617404690754244E-2</v>
      </c>
      <c r="T95" s="61">
        <f t="shared" si="175"/>
        <v>-4.171572421957824E-2</v>
      </c>
      <c r="U95" s="801">
        <f t="shared" si="175"/>
        <v>-3.8791292151694169E-2</v>
      </c>
      <c r="V95" s="61">
        <f t="shared" si="175"/>
        <v>-8.9986318901981527E-2</v>
      </c>
      <c r="W95" s="61">
        <f t="shared" si="175"/>
        <v>-6.8443388610834668E-3</v>
      </c>
      <c r="X95" s="61">
        <f t="shared" si="175"/>
        <v>1.0524507066454787E-2</v>
      </c>
      <c r="Y95" s="61">
        <f t="shared" si="175"/>
        <v>4.3743198012279022E-2</v>
      </c>
      <c r="Z95" s="801">
        <f t="shared" si="175"/>
        <v>-6.9824939802461692E-3</v>
      </c>
      <c r="AA95" s="61">
        <f t="shared" si="175"/>
        <v>-2.3671117300957757E-2</v>
      </c>
      <c r="AB95" s="61">
        <f t="shared" si="175"/>
        <v>3.4080354378527578E-2</v>
      </c>
      <c r="AC95" s="61">
        <f t="shared" si="175"/>
        <v>3.0861626516545931E-2</v>
      </c>
      <c r="AD95" s="61">
        <f t="shared" si="175"/>
        <v>0.77591243204323712</v>
      </c>
      <c r="AE95" s="801">
        <f t="shared" si="175"/>
        <v>0.2111096354573736</v>
      </c>
      <c r="AF95" s="61">
        <f t="shared" si="175"/>
        <v>-2.1638559401812842E-2</v>
      </c>
      <c r="AG95" s="61">
        <f t="shared" si="175"/>
        <v>3.2448704138157175E-2</v>
      </c>
      <c r="AH95" s="61">
        <f t="shared" si="175"/>
        <v>4.3057537246574094E-2</v>
      </c>
      <c r="AI95" s="61">
        <f t="shared" ref="AI95:BN95" si="176">INDEX(MO_MA_EBIT,0,COLUMN())</f>
        <v>5.2194961844588411E-2</v>
      </c>
      <c r="AJ95" s="801">
        <f t="shared" si="176"/>
        <v>2.7468966548681441E-2</v>
      </c>
      <c r="AK95" s="61">
        <f t="shared" si="176"/>
        <v>-1.6453196124471291E-2</v>
      </c>
      <c r="AL95" s="61">
        <f t="shared" si="176"/>
        <v>4.938956490048807E-2</v>
      </c>
      <c r="AM95" s="61">
        <f t="shared" si="176"/>
        <v>3.6384556184612504E-2</v>
      </c>
      <c r="AN95" s="61">
        <f t="shared" si="176"/>
        <v>6.5641704764844724E-2</v>
      </c>
      <c r="AO95" s="801">
        <f t="shared" si="176"/>
        <v>3.5014011126076439E-2</v>
      </c>
      <c r="AP95" s="61">
        <f t="shared" si="176"/>
        <v>-0.10904318109971536</v>
      </c>
      <c r="AQ95" s="61">
        <f t="shared" si="176"/>
        <v>-0.20912855706087688</v>
      </c>
      <c r="AR95" s="61">
        <f t="shared" si="176"/>
        <v>4.223145099566572E-2</v>
      </c>
      <c r="AS95" s="61">
        <f t="shared" si="176"/>
        <v>6.2089667445700013E-2</v>
      </c>
      <c r="AT95" s="801">
        <f t="shared" si="176"/>
        <v>-4.4442127860901078E-2</v>
      </c>
      <c r="AU95" s="61">
        <f t="shared" si="176"/>
        <v>-3.7238901144354061E-2</v>
      </c>
      <c r="AV95" s="61">
        <f t="shared" si="176"/>
        <v>-4.2031510023796499E-3</v>
      </c>
      <c r="AW95" s="61">
        <f t="shared" si="176"/>
        <v>8.0418346306031674E-2</v>
      </c>
      <c r="AX95" s="61">
        <f t="shared" si="176"/>
        <v>7.1664228237015432E-2</v>
      </c>
      <c r="AY95" s="801">
        <f t="shared" si="176"/>
        <v>3.0541586429665771E-2</v>
      </c>
      <c r="AZ95" s="61">
        <f t="shared" si="176"/>
        <v>-1.6108275373425643E-2</v>
      </c>
      <c r="BA95" s="61">
        <f t="shared" si="176"/>
        <v>5.3535819916757016E-2</v>
      </c>
      <c r="BB95" s="61">
        <f t="shared" si="176"/>
        <v>4.3458695785892225E-2</v>
      </c>
      <c r="BC95" s="61">
        <f t="shared" si="176"/>
        <v>0.10800283400678777</v>
      </c>
      <c r="BD95" s="801">
        <f t="shared" si="176"/>
        <v>4.889208768116797E-2</v>
      </c>
      <c r="BE95" s="61">
        <f t="shared" si="176"/>
        <v>-2.1082582784424576E-2</v>
      </c>
      <c r="BF95" s="61">
        <f t="shared" si="176"/>
        <v>5.5593457638983365E-2</v>
      </c>
      <c r="BG95" s="61">
        <f t="shared" si="176"/>
        <v>0.12132811005963105</v>
      </c>
      <c r="BH95" s="61">
        <f>INDEX(MO_MA_EBIT,0,COLUMN())</f>
        <v>7.3062948337500253E-2</v>
      </c>
      <c r="BI95" s="801">
        <f>INDEX(MO_MA_EBIT,0,COLUMN())</f>
        <v>5.9116929506634622E-2</v>
      </c>
      <c r="BJ95" s="61">
        <f>INDEX(MO_MA_EBIT,0,COLUMN())</f>
        <v>3.3709789873539404E-2</v>
      </c>
      <c r="BK95" s="61">
        <f>INDEX(MO_MA_EBIT,0,COLUMN())</f>
        <v>0.11133114482264103</v>
      </c>
      <c r="BL95" s="422">
        <f>INDEX(MO_MA_EBIT,0,COLUMN())</f>
        <v>0.12946517771906826</v>
      </c>
      <c r="BM95" s="61">
        <f t="shared" si="176"/>
        <v>0.11285649361620614</v>
      </c>
      <c r="BN95" s="801">
        <f t="shared" si="176"/>
        <v>9.7936543444830243E-2</v>
      </c>
      <c r="BO95" s="61">
        <f t="shared" ref="BO95:BV95" si="177">INDEX(MO_MA_EBIT,0,COLUMN())</f>
        <v>5.309853130895123E-2</v>
      </c>
      <c r="BP95" s="61">
        <f t="shared" si="177"/>
        <v>0.12504060305539652</v>
      </c>
      <c r="BQ95" s="61">
        <f t="shared" si="177"/>
        <v>0.10966720678487886</v>
      </c>
      <c r="BR95" s="61">
        <f t="shared" si="177"/>
        <v>0.11514023195137725</v>
      </c>
      <c r="BS95" s="801">
        <f t="shared" si="177"/>
        <v>0.10193769747870837</v>
      </c>
      <c r="BT95" s="801">
        <f t="shared" si="177"/>
        <v>0.10507825150486415</v>
      </c>
      <c r="BU95" s="801">
        <f t="shared" si="177"/>
        <v>0.11644252058196093</v>
      </c>
      <c r="BV95" s="801">
        <f t="shared" si="177"/>
        <v>7.8273622583762983E-2</v>
      </c>
      <c r="BW95" s="146"/>
    </row>
    <row r="96" spans="1:75" s="483" customFormat="1">
      <c r="A96" s="104" t="str">
        <f>INDEX(MO_MA_EBIT_Adj,0,COLUMN())</f>
        <v>Adjusted EBIT Margin (No Adjustments), %</v>
      </c>
      <c r="B96" s="105"/>
      <c r="C96" s="801">
        <f t="shared" ref="C96:AH96" si="178">INDEX(MO_MA_EBIT_Adj,0,COLUMN())</f>
        <v>-9.0398326100433912E-2</v>
      </c>
      <c r="D96" s="801">
        <f t="shared" si="178"/>
        <v>-0.19915778005908111</v>
      </c>
      <c r="E96" s="801">
        <f t="shared" si="178"/>
        <v>-0.19416461547697672</v>
      </c>
      <c r="F96" s="801">
        <f t="shared" si="178"/>
        <v>-0.13640626022229177</v>
      </c>
      <c r="G96" s="61">
        <f t="shared" si="178"/>
        <v>-9.8714586088049658E-2</v>
      </c>
      <c r="H96" s="61">
        <f t="shared" si="178"/>
        <v>-1.0541046471475404E-2</v>
      </c>
      <c r="I96" s="61">
        <f t="shared" si="178"/>
        <v>-2.9110344714862554E-2</v>
      </c>
      <c r="J96" s="61">
        <f t="shared" si="178"/>
        <v>-2.7005987176402537E-2</v>
      </c>
      <c r="K96" s="801">
        <f t="shared" si="178"/>
        <v>-3.786890311947412E-2</v>
      </c>
      <c r="L96" s="61">
        <f t="shared" si="178"/>
        <v>-6.0256259243263041E-2</v>
      </c>
      <c r="M96" s="61">
        <f t="shared" si="178"/>
        <v>3.5219119916203891E-2</v>
      </c>
      <c r="N96" s="61">
        <f t="shared" si="178"/>
        <v>4.4351178566199627E-2</v>
      </c>
      <c r="O96" s="61">
        <f t="shared" si="178"/>
        <v>7.2729258238008049E-2</v>
      </c>
      <c r="P96" s="801">
        <f t="shared" si="178"/>
        <v>2.9292570774707646E-2</v>
      </c>
      <c r="Q96" s="61">
        <f t="shared" si="178"/>
        <v>-3.5854119553110297E-2</v>
      </c>
      <c r="R96" s="61">
        <f t="shared" si="178"/>
        <v>3.7337674460292405E-4</v>
      </c>
      <c r="S96" s="61">
        <f t="shared" si="178"/>
        <v>-7.4617404690754244E-2</v>
      </c>
      <c r="T96" s="61">
        <f t="shared" si="178"/>
        <v>-4.171572421957824E-2</v>
      </c>
      <c r="U96" s="801">
        <f t="shared" si="178"/>
        <v>-3.8791292151694169E-2</v>
      </c>
      <c r="V96" s="61">
        <f t="shared" si="178"/>
        <v>-8.9986318901981527E-2</v>
      </c>
      <c r="W96" s="61">
        <f t="shared" si="178"/>
        <v>-6.8443388610834668E-3</v>
      </c>
      <c r="X96" s="61">
        <f t="shared" si="178"/>
        <v>1.0524507066454787E-2</v>
      </c>
      <c r="Y96" s="61">
        <f t="shared" si="178"/>
        <v>4.3743198012279022E-2</v>
      </c>
      <c r="Z96" s="801">
        <f t="shared" si="178"/>
        <v>-6.9824939802461692E-3</v>
      </c>
      <c r="AA96" s="61">
        <f t="shared" si="178"/>
        <v>-2.3671117300957757E-2</v>
      </c>
      <c r="AB96" s="61">
        <f t="shared" si="178"/>
        <v>3.4080354378527578E-2</v>
      </c>
      <c r="AC96" s="61">
        <f t="shared" si="178"/>
        <v>3.0861626516545931E-2</v>
      </c>
      <c r="AD96" s="61">
        <f t="shared" si="178"/>
        <v>0.77591243204323712</v>
      </c>
      <c r="AE96" s="801">
        <f t="shared" si="178"/>
        <v>0.2111096354573736</v>
      </c>
      <c r="AF96" s="61">
        <f t="shared" si="178"/>
        <v>-2.1638559401812842E-2</v>
      </c>
      <c r="AG96" s="61">
        <f t="shared" si="178"/>
        <v>3.2448704138157175E-2</v>
      </c>
      <c r="AH96" s="61">
        <f t="shared" si="178"/>
        <v>4.3057537246574094E-2</v>
      </c>
      <c r="AI96" s="61">
        <f t="shared" ref="AI96:BN96" si="179">INDEX(MO_MA_EBIT_Adj,0,COLUMN())</f>
        <v>5.2194961844588411E-2</v>
      </c>
      <c r="AJ96" s="801">
        <f t="shared" si="179"/>
        <v>2.7468966548681441E-2</v>
      </c>
      <c r="AK96" s="61">
        <f t="shared" si="179"/>
        <v>-1.6453196124471291E-2</v>
      </c>
      <c r="AL96" s="61">
        <f t="shared" si="179"/>
        <v>4.938956490048807E-2</v>
      </c>
      <c r="AM96" s="61">
        <f t="shared" si="179"/>
        <v>3.6384556184612504E-2</v>
      </c>
      <c r="AN96" s="61">
        <f t="shared" si="179"/>
        <v>6.5641704764844724E-2</v>
      </c>
      <c r="AO96" s="801">
        <f t="shared" si="179"/>
        <v>3.5014011126076439E-2</v>
      </c>
      <c r="AP96" s="61">
        <f t="shared" si="179"/>
        <v>-0.10904318109971536</v>
      </c>
      <c r="AQ96" s="61">
        <f t="shared" si="179"/>
        <v>-0.20912855706087688</v>
      </c>
      <c r="AR96" s="61">
        <f t="shared" si="179"/>
        <v>4.223145099566572E-2</v>
      </c>
      <c r="AS96" s="61">
        <f t="shared" si="179"/>
        <v>6.2089667445700013E-2</v>
      </c>
      <c r="AT96" s="801">
        <f t="shared" si="179"/>
        <v>-4.4442127860901078E-2</v>
      </c>
      <c r="AU96" s="61">
        <f t="shared" si="179"/>
        <v>-3.7238901144354061E-2</v>
      </c>
      <c r="AV96" s="61">
        <f t="shared" si="179"/>
        <v>-4.2031510023796499E-3</v>
      </c>
      <c r="AW96" s="61">
        <f t="shared" si="179"/>
        <v>8.0418346306031674E-2</v>
      </c>
      <c r="AX96" s="61">
        <f t="shared" si="179"/>
        <v>7.1664228237015432E-2</v>
      </c>
      <c r="AY96" s="801">
        <f t="shared" si="179"/>
        <v>3.0541586429665771E-2</v>
      </c>
      <c r="AZ96" s="61">
        <f t="shared" si="179"/>
        <v>-1.6108275373425643E-2</v>
      </c>
      <c r="BA96" s="61">
        <f t="shared" si="179"/>
        <v>5.3535819916757016E-2</v>
      </c>
      <c r="BB96" s="61">
        <f t="shared" si="179"/>
        <v>4.3458695785892225E-2</v>
      </c>
      <c r="BC96" s="61">
        <f t="shared" si="179"/>
        <v>0.10800283400678777</v>
      </c>
      <c r="BD96" s="801">
        <f t="shared" si="179"/>
        <v>4.889208768116797E-2</v>
      </c>
      <c r="BE96" s="61">
        <f t="shared" si="179"/>
        <v>-2.1082582784424576E-2</v>
      </c>
      <c r="BF96" s="61">
        <f t="shared" si="179"/>
        <v>5.5593457638983365E-2</v>
      </c>
      <c r="BG96" s="61">
        <f t="shared" si="179"/>
        <v>0.12132811005963105</v>
      </c>
      <c r="BH96" s="61">
        <f>INDEX(MO_MA_EBIT_Adj,0,COLUMN())</f>
        <v>7.3062948337500253E-2</v>
      </c>
      <c r="BI96" s="801">
        <f>INDEX(MO_MA_EBIT_Adj,0,COLUMN())</f>
        <v>5.9116929506634622E-2</v>
      </c>
      <c r="BJ96" s="61">
        <f>INDEX(MO_MA_EBIT_Adj,0,COLUMN())</f>
        <v>3.3709789873539404E-2</v>
      </c>
      <c r="BK96" s="61">
        <f>INDEX(MO_MA_EBIT_Adj,0,COLUMN())</f>
        <v>0.11133114482264103</v>
      </c>
      <c r="BL96" s="422">
        <f>INDEX(MO_MA_EBIT_Adj,0,COLUMN())</f>
        <v>0.12946517771906826</v>
      </c>
      <c r="BM96" s="61">
        <f t="shared" si="179"/>
        <v>0.11285649361620614</v>
      </c>
      <c r="BN96" s="801">
        <f t="shared" si="179"/>
        <v>9.7936543444829965E-2</v>
      </c>
      <c r="BO96" s="61">
        <f t="shared" ref="BO96:BV96" si="180">INDEX(MO_MA_EBIT_Adj,0,COLUMN())</f>
        <v>5.309853130895123E-2</v>
      </c>
      <c r="BP96" s="61">
        <f t="shared" si="180"/>
        <v>0.12504060305539652</v>
      </c>
      <c r="BQ96" s="61">
        <f t="shared" si="180"/>
        <v>0.10966720678487886</v>
      </c>
      <c r="BR96" s="61">
        <f t="shared" si="180"/>
        <v>0.11514023195137725</v>
      </c>
      <c r="BS96" s="801">
        <f t="shared" si="180"/>
        <v>0.10193769747870851</v>
      </c>
      <c r="BT96" s="801">
        <f t="shared" si="180"/>
        <v>0.10507825150486415</v>
      </c>
      <c r="BU96" s="801">
        <f t="shared" si="180"/>
        <v>0.11644252058196093</v>
      </c>
      <c r="BV96" s="801">
        <f t="shared" si="180"/>
        <v>7.8273622583762983E-2</v>
      </c>
      <c r="BW96" s="146"/>
    </row>
    <row r="97" spans="1:75" s="483" customFormat="1">
      <c r="A97" s="104" t="str">
        <f>INDEX(MO_MA_EBITDA,0,COLUMN())</f>
        <v>EBITDA Margin, %</v>
      </c>
      <c r="B97" s="105"/>
      <c r="C97" s="801">
        <f t="shared" ref="C97:AH97" si="181">INDEX(MO_MA_EBITDA,0,COLUMN())</f>
        <v>-4.386236825790446E-2</v>
      </c>
      <c r="D97" s="801">
        <f t="shared" si="181"/>
        <v>-0.15025874169826739</v>
      </c>
      <c r="E97" s="801">
        <f t="shared" si="181"/>
        <v>-7.2101819055052002E-2</v>
      </c>
      <c r="F97" s="801">
        <f t="shared" si="181"/>
        <v>-7.4727223825481512E-2</v>
      </c>
      <c r="G97" s="61">
        <f t="shared" si="181"/>
        <v>-3.0368716536969077E-2</v>
      </c>
      <c r="H97" s="61">
        <f t="shared" si="181"/>
        <v>3.7384366537629873E-2</v>
      </c>
      <c r="I97" s="61">
        <f t="shared" si="181"/>
        <v>1.6917016720877299E-2</v>
      </c>
      <c r="J97" s="61">
        <f t="shared" si="181"/>
        <v>2.2872995428231513E-2</v>
      </c>
      <c r="K97" s="801">
        <f t="shared" si="181"/>
        <v>1.4193864061668254E-2</v>
      </c>
      <c r="L97" s="61">
        <f t="shared" si="181"/>
        <v>-1.2341801143874242E-2</v>
      </c>
      <c r="M97" s="61">
        <f t="shared" si="181"/>
        <v>8.3694685032718694E-2</v>
      </c>
      <c r="N97" s="61">
        <f t="shared" si="181"/>
        <v>8.9287980088819302E-2</v>
      </c>
      <c r="O97" s="61">
        <f t="shared" si="181"/>
        <v>0.12087872086780048</v>
      </c>
      <c r="P97" s="801">
        <f t="shared" si="181"/>
        <v>7.5884154093914288E-2</v>
      </c>
      <c r="Q97" s="61">
        <f t="shared" si="181"/>
        <v>2.2327606575083578E-2</v>
      </c>
      <c r="R97" s="61">
        <f t="shared" si="181"/>
        <v>5.3893199315973882E-2</v>
      </c>
      <c r="S97" s="61">
        <f t="shared" si="181"/>
        <v>-2.1942197981317708E-2</v>
      </c>
      <c r="T97" s="61">
        <f t="shared" si="181"/>
        <v>1.0193129557473887E-2</v>
      </c>
      <c r="U97" s="801">
        <f t="shared" si="181"/>
        <v>1.5062460092666954E-2</v>
      </c>
      <c r="V97" s="61">
        <f t="shared" si="181"/>
        <v>-3.8357511679370522E-2</v>
      </c>
      <c r="W97" s="61">
        <f t="shared" si="181"/>
        <v>4.2536383974906111E-2</v>
      </c>
      <c r="X97" s="61">
        <f t="shared" si="181"/>
        <v>5.9705099016280815E-2</v>
      </c>
      <c r="Y97" s="61">
        <f t="shared" si="181"/>
        <v>9.2173350582146985E-2</v>
      </c>
      <c r="Z97" s="801">
        <f t="shared" si="181"/>
        <v>4.2586341574237338E-2</v>
      </c>
      <c r="AA97" s="61">
        <f t="shared" si="181"/>
        <v>2.7551545611432363E-2</v>
      </c>
      <c r="AB97" s="61">
        <f t="shared" si="181"/>
        <v>8.486508371240073E-2</v>
      </c>
      <c r="AC97" s="61">
        <f t="shared" si="181"/>
        <v>7.8584960163377127E-2</v>
      </c>
      <c r="AD97" s="61">
        <f t="shared" si="181"/>
        <v>0.82024781148463588</v>
      </c>
      <c r="AE97" s="801">
        <f t="shared" si="181"/>
        <v>0.25952962165935822</v>
      </c>
      <c r="AF97" s="61">
        <f t="shared" si="181"/>
        <v>2.3315133094847458E-2</v>
      </c>
      <c r="AG97" s="61">
        <f t="shared" si="181"/>
        <v>7.7193938593988876E-2</v>
      </c>
      <c r="AH97" s="61">
        <f t="shared" si="181"/>
        <v>8.7492119321764067E-2</v>
      </c>
      <c r="AI97" s="61">
        <f t="shared" ref="AI97:BN97" si="182">INDEX(MO_MA_EBITDA,0,COLUMN())</f>
        <v>9.9610240420119719E-2</v>
      </c>
      <c r="AJ97" s="801">
        <f t="shared" si="182"/>
        <v>7.2874382274418184E-2</v>
      </c>
      <c r="AK97" s="61">
        <f t="shared" si="182"/>
        <v>3.3881208093514484E-2</v>
      </c>
      <c r="AL97" s="61">
        <f t="shared" si="182"/>
        <v>9.8953250592213285E-2</v>
      </c>
      <c r="AM97" s="61">
        <f t="shared" si="182"/>
        <v>8.3593041596500925E-2</v>
      </c>
      <c r="AN97" s="61">
        <f t="shared" si="182"/>
        <v>0.11343895425614572</v>
      </c>
      <c r="AO97" s="801">
        <f t="shared" si="182"/>
        <v>8.3679256631374238E-2</v>
      </c>
      <c r="AP97" s="61">
        <f t="shared" si="182"/>
        <v>-5.9591598272915956E-2</v>
      </c>
      <c r="AQ97" s="61">
        <f t="shared" si="182"/>
        <v>-0.13469206649707163</v>
      </c>
      <c r="AR97" s="61">
        <f t="shared" si="182"/>
        <v>9.9041244163454792E-2</v>
      </c>
      <c r="AS97" s="61">
        <f t="shared" si="182"/>
        <v>0.11837303544244093</v>
      </c>
      <c r="AT97" s="801">
        <f t="shared" si="182"/>
        <v>1.353368471578007E-2</v>
      </c>
      <c r="AU97" s="61">
        <f t="shared" si="182"/>
        <v>1.9130015166138149E-2</v>
      </c>
      <c r="AV97" s="61">
        <f t="shared" si="182"/>
        <v>4.5694200351493783E-2</v>
      </c>
      <c r="AW97" s="61">
        <f t="shared" si="182"/>
        <v>0.12733183481636959</v>
      </c>
      <c r="AX97" s="61">
        <f t="shared" si="182"/>
        <v>0.13435625457205566</v>
      </c>
      <c r="AY97" s="801">
        <f t="shared" si="182"/>
        <v>8.4506400707862264E-2</v>
      </c>
      <c r="AZ97" s="61">
        <f t="shared" si="182"/>
        <v>2.5427650129415721E-2</v>
      </c>
      <c r="BA97" s="61">
        <f t="shared" si="182"/>
        <v>9.1202607031490482E-2</v>
      </c>
      <c r="BB97" s="61">
        <f t="shared" si="182"/>
        <v>8.0419953964343524E-2</v>
      </c>
      <c r="BC97" s="61">
        <f t="shared" si="182"/>
        <v>0.1425770697793296</v>
      </c>
      <c r="BD97" s="801">
        <f t="shared" si="182"/>
        <v>8.6472124983033236E-2</v>
      </c>
      <c r="BE97" s="61">
        <f t="shared" si="182"/>
        <v>1.3500278455245374E-2</v>
      </c>
      <c r="BF97" s="61">
        <f t="shared" si="182"/>
        <v>8.7080201467700236E-2</v>
      </c>
      <c r="BG97" s="61">
        <f t="shared" si="182"/>
        <v>0.1516391305103702</v>
      </c>
      <c r="BH97" s="61">
        <f>INDEX(MO_MA_EBITDA,0,COLUMN())</f>
        <v>0.10315559501834237</v>
      </c>
      <c r="BI97" s="801">
        <f>INDEX(MO_MA_EBITDA,0,COLUMN())</f>
        <v>9.066670057185075E-2</v>
      </c>
      <c r="BJ97" s="61">
        <f>INDEX(MO_MA_EBITDA,0,COLUMN())</f>
        <v>6.3551834399192139E-2</v>
      </c>
      <c r="BK97" s="61">
        <f>INDEX(MO_MA_EBITDA,0,COLUMN())</f>
        <v>0.13817868106751521</v>
      </c>
      <c r="BL97" s="422">
        <f>INDEX(MO_MA_EBITDA,0,COLUMN())</f>
        <v>0.15534600270852278</v>
      </c>
      <c r="BM97" s="61">
        <f t="shared" si="182"/>
        <v>0.14300000000000004</v>
      </c>
      <c r="BN97" s="801">
        <f t="shared" si="182"/>
        <v>0.12607149480606414</v>
      </c>
      <c r="BO97" s="61" t="e">
        <f t="shared" ref="BO97:BV97" si="183">INDEX(MO_MA_EBITDA,0,COLUMN())</f>
        <v>#VALUE!</v>
      </c>
      <c r="BP97" s="61" t="e">
        <f t="shared" si="183"/>
        <v>#VALUE!</v>
      </c>
      <c r="BQ97" s="61" t="e">
        <f t="shared" si="183"/>
        <v>#VALUE!</v>
      </c>
      <c r="BR97" s="61" t="e">
        <f t="shared" si="183"/>
        <v>#VALUE!</v>
      </c>
      <c r="BS97" s="801" t="e">
        <f t="shared" si="183"/>
        <v>#VALUE!</v>
      </c>
      <c r="BT97" s="801" t="e">
        <f t="shared" si="183"/>
        <v>#VALUE!</v>
      </c>
      <c r="BU97" s="801" t="e">
        <f t="shared" si="183"/>
        <v>#VALUE!</v>
      </c>
      <c r="BV97" s="801" t="e">
        <f t="shared" si="183"/>
        <v>#VALUE!</v>
      </c>
      <c r="BW97" s="146"/>
    </row>
    <row r="98" spans="1:75" s="483" customFormat="1">
      <c r="A98" s="104" t="str">
        <f>INDEX(MO_MA_EBITDA_Adj,0,COLUMN())</f>
        <v>Adjusted EBITDA Margin, %</v>
      </c>
      <c r="B98" s="105"/>
      <c r="C98" s="801">
        <f t="shared" ref="C98:AH98" si="184">INDEX(SP_NGF_EBITDA,0,COLUMN())/INDEX(SP_GF_Rev,0,COLUMN())</f>
        <v>-2.2279913205207672E-2</v>
      </c>
      <c r="D98" s="801">
        <f t="shared" si="184"/>
        <v>-0.12027822589093047</v>
      </c>
      <c r="E98" s="801">
        <f t="shared" si="184"/>
        <v>-1.3543855436153034E-2</v>
      </c>
      <c r="F98" s="801">
        <f t="shared" si="184"/>
        <v>3.3423713535949848E-2</v>
      </c>
      <c r="G98" s="61">
        <f t="shared" si="184"/>
        <v>6.9451368868272301E-2</v>
      </c>
      <c r="H98" s="61">
        <f t="shared" si="184"/>
        <v>0.14121367428166404</v>
      </c>
      <c r="I98" s="61">
        <f t="shared" si="184"/>
        <v>0.13157679671793529</v>
      </c>
      <c r="J98" s="61">
        <f t="shared" si="184"/>
        <v>0.14727321623190046</v>
      </c>
      <c r="K98" s="801">
        <f t="shared" si="184"/>
        <v>0.12631122632925298</v>
      </c>
      <c r="L98" s="61">
        <f t="shared" si="184"/>
        <v>0.11141649325323597</v>
      </c>
      <c r="M98" s="61">
        <f t="shared" si="184"/>
        <v>0.19725860767905221</v>
      </c>
      <c r="N98" s="61">
        <f t="shared" si="184"/>
        <v>0.19585183739202572</v>
      </c>
      <c r="O98" s="61">
        <f t="shared" si="184"/>
        <v>0.22840736392839928</v>
      </c>
      <c r="P98" s="801">
        <f t="shared" si="184"/>
        <v>0.1878549330394983</v>
      </c>
      <c r="Q98" s="61">
        <f t="shared" si="184"/>
        <v>0.13768690721301508</v>
      </c>
      <c r="R98" s="61">
        <f t="shared" si="184"/>
        <v>0.16975947070112693</v>
      </c>
      <c r="S98" s="61">
        <f t="shared" si="184"/>
        <v>8.7302084857097145E-2</v>
      </c>
      <c r="T98" s="61">
        <f t="shared" si="184"/>
        <v>0.11408889553831036</v>
      </c>
      <c r="U98" s="801">
        <f t="shared" si="184"/>
        <v>0.12574243557069087</v>
      </c>
      <c r="V98" s="61">
        <f t="shared" si="184"/>
        <v>8.2124416031472858E-2</v>
      </c>
      <c r="W98" s="61">
        <f t="shared" si="184"/>
        <v>0.16204419124939456</v>
      </c>
      <c r="X98" s="61">
        <f t="shared" si="184"/>
        <v>0.18084432320975988</v>
      </c>
      <c r="Y98" s="61">
        <f t="shared" si="184"/>
        <v>0.23241750343949577</v>
      </c>
      <c r="Z98" s="801">
        <f t="shared" si="184"/>
        <v>0.16840305776860304</v>
      </c>
      <c r="AA98" s="61">
        <f t="shared" si="184"/>
        <v>0.15150827050975404</v>
      </c>
      <c r="AB98" s="61">
        <f t="shared" si="184"/>
        <v>0.20578246683655246</v>
      </c>
      <c r="AC98" s="61">
        <f t="shared" si="184"/>
        <v>0.19208910505313784</v>
      </c>
      <c r="AD98" s="61">
        <f t="shared" si="184"/>
        <v>0.19006019841324084</v>
      </c>
      <c r="AE98" s="801">
        <f t="shared" si="184"/>
        <v>0.18549280893039527</v>
      </c>
      <c r="AF98" s="61">
        <f t="shared" si="184"/>
        <v>0.14764158978634906</v>
      </c>
      <c r="AG98" s="61">
        <f t="shared" si="184"/>
        <v>0.19983990666899418</v>
      </c>
      <c r="AH98" s="61">
        <f t="shared" si="184"/>
        <v>0.20858081428144803</v>
      </c>
      <c r="AI98" s="61">
        <f t="shared" ref="AI98:BN98" si="185">INDEX(SP_NGF_EBITDA,0,COLUMN())/INDEX(SP_GF_Rev,0,COLUMN())</f>
        <v>0.21716583244440785</v>
      </c>
      <c r="AJ98" s="801">
        <f t="shared" si="185"/>
        <v>0.19420369484488839</v>
      </c>
      <c r="AK98" s="61">
        <f t="shared" si="185"/>
        <v>0.16662145781590387</v>
      </c>
      <c r="AL98" s="61">
        <f t="shared" si="185"/>
        <v>0.22226316535401186</v>
      </c>
      <c r="AM98" s="61">
        <f t="shared" si="185"/>
        <v>0.22209056897064083</v>
      </c>
      <c r="AN98" s="61">
        <f t="shared" si="185"/>
        <v>0.22691510771027729</v>
      </c>
      <c r="AO98" s="801">
        <f t="shared" si="185"/>
        <v>0.21050706275130779</v>
      </c>
      <c r="AP98" s="61">
        <f t="shared" si="185"/>
        <v>6.7458713650605642E-2</v>
      </c>
      <c r="AQ98" s="61">
        <f t="shared" si="185"/>
        <v>6.5846299473466152E-2</v>
      </c>
      <c r="AR98" s="61">
        <f t="shared" si="185"/>
        <v>0.23848428718292439</v>
      </c>
      <c r="AS98" s="61">
        <f t="shared" si="185"/>
        <v>0.25559295868264764</v>
      </c>
      <c r="AT98" s="801">
        <f t="shared" si="185"/>
        <v>0.16066525151414826</v>
      </c>
      <c r="AU98" s="61">
        <f t="shared" si="185"/>
        <v>0.18830570108920447</v>
      </c>
      <c r="AV98" s="61">
        <f t="shared" si="185"/>
        <v>0.24801701479073668</v>
      </c>
      <c r="AW98" s="61">
        <f t="shared" si="185"/>
        <v>0.26272593858557325</v>
      </c>
      <c r="AX98" s="61">
        <f t="shared" si="185"/>
        <v>0.24915142648134611</v>
      </c>
      <c r="AY98" s="801">
        <f t="shared" si="185"/>
        <v>0.23872328919531047</v>
      </c>
      <c r="AZ98" s="61">
        <f t="shared" si="185"/>
        <v>0.17385803317090096</v>
      </c>
      <c r="BA98" s="61">
        <f t="shared" si="185"/>
        <v>0.22523788493194696</v>
      </c>
      <c r="BB98" s="61">
        <f t="shared" si="185"/>
        <v>0.23936275255672723</v>
      </c>
      <c r="BC98" s="61">
        <f t="shared" si="185"/>
        <v>0.26013335360705042</v>
      </c>
      <c r="BD98" s="801">
        <f t="shared" si="185"/>
        <v>0.22602232414416029</v>
      </c>
      <c r="BE98" s="61">
        <f t="shared" si="185"/>
        <v>0.17293030937337953</v>
      </c>
      <c r="BF98" s="61">
        <f t="shared" si="185"/>
        <v>0.24897812687244519</v>
      </c>
      <c r="BG98" s="61">
        <f t="shared" si="185"/>
        <v>0.2795301371688852</v>
      </c>
      <c r="BH98" s="61">
        <f>INDEX(SP_NGF_EBITDA,0,COLUMN())/INDEX(SP_GF_Rev,0,COLUMN())</f>
        <v>0.28055120686029394</v>
      </c>
      <c r="BI98" s="801">
        <f>INDEX(SP_NGF_EBITDA,0,COLUMN())/INDEX(SP_GF_Rev,0,COLUMN())</f>
        <v>0.24717851528201379</v>
      </c>
      <c r="BJ98" s="61">
        <f>INDEX(SP_NGF_EBITDA,0,COLUMN())/INDEX(SP_GF_Rev,0,COLUMN())</f>
        <v>0.19370582295523389</v>
      </c>
      <c r="BK98" s="61">
        <f>INDEX(SP_NGF_EBITDA,0,COLUMN())/INDEX(SP_GF_Rev,0,COLUMN())</f>
        <v>0.25521265153382489</v>
      </c>
      <c r="BL98" s="422">
        <f>INDEX(SP_NGF_EBITDA,0,COLUMN())/INDEX(SP_GF_Rev,0,COLUMN())</f>
        <v>0.28129787092333974</v>
      </c>
      <c r="BM98" s="61">
        <f t="shared" si="185"/>
        <v>0.24715891703669299</v>
      </c>
      <c r="BN98" s="801">
        <f t="shared" si="185"/>
        <v>0.24529567265777483</v>
      </c>
      <c r="BO98" s="61" t="e">
        <f t="shared" ref="BO98:BV98" si="186">INDEX(SP_NGF_EBITDA,0,COLUMN())/INDEX(SP_GF_Rev,0,COLUMN())</f>
        <v>#VALUE!</v>
      </c>
      <c r="BP98" s="61" t="e">
        <f t="shared" si="186"/>
        <v>#VALUE!</v>
      </c>
      <c r="BQ98" s="61" t="e">
        <f t="shared" si="186"/>
        <v>#VALUE!</v>
      </c>
      <c r="BR98" s="61" t="e">
        <f t="shared" si="186"/>
        <v>#VALUE!</v>
      </c>
      <c r="BS98" s="801" t="e">
        <f t="shared" si="186"/>
        <v>#VALUE!</v>
      </c>
      <c r="BT98" s="801" t="e">
        <f t="shared" si="186"/>
        <v>#VALUE!</v>
      </c>
      <c r="BU98" s="801" t="e">
        <f t="shared" si="186"/>
        <v>#VALUE!</v>
      </c>
      <c r="BV98" s="801" t="e">
        <f t="shared" si="186"/>
        <v>#VALUE!</v>
      </c>
      <c r="BW98" s="146"/>
    </row>
    <row r="99" spans="1:75" s="479" customFormat="1">
      <c r="A99" s="100"/>
      <c r="B99" s="97"/>
      <c r="C99" s="787"/>
      <c r="D99" s="787"/>
      <c r="E99" s="787"/>
      <c r="F99" s="787"/>
      <c r="G99" s="551"/>
      <c r="H99" s="551"/>
      <c r="I99" s="551"/>
      <c r="J99" s="551"/>
      <c r="K99" s="787"/>
      <c r="L99" s="551"/>
      <c r="M99" s="551"/>
      <c r="N99" s="551"/>
      <c r="O99" s="551"/>
      <c r="P99" s="787"/>
      <c r="Q99" s="551"/>
      <c r="R99" s="551"/>
      <c r="S99" s="551"/>
      <c r="T99" s="551"/>
      <c r="U99" s="787"/>
      <c r="V99" s="551"/>
      <c r="W99" s="551"/>
      <c r="X99" s="551"/>
      <c r="Y99" s="551"/>
      <c r="Z99" s="787"/>
      <c r="AA99" s="551"/>
      <c r="AB99" s="551"/>
      <c r="AC99" s="551"/>
      <c r="AD99" s="551"/>
      <c r="AE99" s="787"/>
      <c r="AF99" s="551"/>
      <c r="AG99" s="551"/>
      <c r="AH99" s="551"/>
      <c r="AI99" s="551"/>
      <c r="AJ99" s="787"/>
      <c r="AK99" s="551"/>
      <c r="AL99" s="551"/>
      <c r="AM99" s="551"/>
      <c r="AN99" s="551"/>
      <c r="AO99" s="787"/>
      <c r="AP99" s="551"/>
      <c r="AQ99" s="551"/>
      <c r="AR99" s="551"/>
      <c r="AS99" s="551"/>
      <c r="AT99" s="787"/>
      <c r="AU99" s="551"/>
      <c r="AV99" s="551"/>
      <c r="AW99" s="551"/>
      <c r="AX99" s="551"/>
      <c r="AY99" s="787"/>
      <c r="AZ99" s="551"/>
      <c r="BA99" s="551"/>
      <c r="BB99" s="551"/>
      <c r="BC99" s="551"/>
      <c r="BD99" s="787"/>
      <c r="BE99" s="551"/>
      <c r="BF99" s="551"/>
      <c r="BG99" s="551"/>
      <c r="BH99" s="551"/>
      <c r="BI99" s="787"/>
      <c r="BJ99" s="551"/>
      <c r="BK99" s="551"/>
      <c r="BL99" s="596"/>
      <c r="BM99" s="551"/>
      <c r="BN99" s="787"/>
      <c r="BO99" s="551"/>
      <c r="BP99" s="551"/>
      <c r="BQ99" s="551"/>
      <c r="BR99" s="551"/>
      <c r="BS99" s="787"/>
      <c r="BT99" s="787"/>
      <c r="BU99" s="787"/>
      <c r="BV99" s="787"/>
      <c r="BW99" s="551"/>
    </row>
    <row r="100" spans="1:75" s="479" customFormat="1">
      <c r="A100" s="553" t="s">
        <v>643</v>
      </c>
      <c r="B100" s="553"/>
      <c r="C100" s="553"/>
      <c r="D100" s="553"/>
      <c r="E100" s="553"/>
      <c r="F100" s="553"/>
      <c r="G100" s="553"/>
      <c r="H100" s="553"/>
      <c r="I100" s="553"/>
      <c r="J100" s="553"/>
      <c r="K100" s="553"/>
      <c r="L100" s="553"/>
      <c r="M100" s="553"/>
      <c r="N100" s="553"/>
      <c r="O100" s="553"/>
      <c r="P100" s="553"/>
      <c r="Q100" s="553"/>
      <c r="R100" s="553"/>
      <c r="S100" s="553"/>
      <c r="T100" s="553"/>
      <c r="U100" s="553"/>
      <c r="V100" s="553"/>
      <c r="W100" s="553"/>
      <c r="X100" s="553"/>
      <c r="Y100" s="553"/>
      <c r="Z100" s="553"/>
      <c r="AA100" s="553"/>
      <c r="AB100" s="553"/>
      <c r="AC100" s="553"/>
      <c r="AD100" s="553"/>
      <c r="AE100" s="553"/>
      <c r="AF100" s="553"/>
      <c r="AG100" s="553"/>
      <c r="AH100" s="553"/>
      <c r="AI100" s="553"/>
      <c r="AJ100" s="553"/>
      <c r="AK100" s="553"/>
      <c r="AL100" s="553"/>
      <c r="AM100" s="553"/>
      <c r="AN100" s="553"/>
      <c r="AO100" s="553"/>
      <c r="AP100" s="553"/>
      <c r="AQ100" s="553"/>
      <c r="AR100" s="553"/>
      <c r="AS100" s="553"/>
      <c r="AT100" s="553"/>
      <c r="AU100" s="553"/>
      <c r="AV100" s="553"/>
      <c r="AW100" s="553"/>
      <c r="AX100" s="553"/>
      <c r="AY100" s="553"/>
      <c r="AZ100" s="553"/>
      <c r="BA100" s="553"/>
      <c r="BB100" s="553"/>
      <c r="BC100" s="553"/>
      <c r="BD100" s="553"/>
      <c r="BE100" s="553"/>
      <c r="BF100" s="553"/>
      <c r="BG100" s="553"/>
      <c r="BH100" s="553"/>
      <c r="BI100" s="553"/>
      <c r="BJ100" s="553"/>
      <c r="BK100" s="553"/>
      <c r="BL100" s="600"/>
      <c r="BM100" s="553"/>
      <c r="BN100" s="553"/>
      <c r="BO100" s="553"/>
      <c r="BP100" s="553"/>
      <c r="BQ100" s="553"/>
      <c r="BR100" s="553"/>
      <c r="BS100" s="553"/>
      <c r="BT100" s="553"/>
      <c r="BU100" s="553"/>
      <c r="BV100" s="553"/>
      <c r="BW100" s="551"/>
    </row>
    <row r="101" spans="1:75" s="478" customFormat="1" hidden="1" outlineLevel="1">
      <c r="A101" s="92" t="str">
        <f>INDEX(MO_CFSum_CFO_BeforeWC,0,COLUMN())</f>
        <v>Operating Cash Flow before WC</v>
      </c>
      <c r="B101" s="97"/>
      <c r="C101" s="787">
        <f t="shared" ref="C101:AH101" si="187">INDEX(MO_CFSum_CFO_BeforeWC,0,COLUMN())</f>
        <v>-0.48099999999999976</v>
      </c>
      <c r="D101" s="787">
        <f t="shared" si="187"/>
        <v>-5.3720000000000008</v>
      </c>
      <c r="E101" s="787">
        <f t="shared" si="187"/>
        <v>-0.98499999999999932</v>
      </c>
      <c r="F101" s="787">
        <f t="shared" si="187"/>
        <v>4.9649999999999999</v>
      </c>
      <c r="G101" s="551">
        <f t="shared" si="187"/>
        <v>3.44</v>
      </c>
      <c r="H101" s="551">
        <f t="shared" si="187"/>
        <v>8.266</v>
      </c>
      <c r="I101" s="551">
        <f t="shared" si="187"/>
        <v>8.4800000000000022</v>
      </c>
      <c r="J101" s="551">
        <f t="shared" si="187"/>
        <v>10.987999999999998</v>
      </c>
      <c r="K101" s="787">
        <f t="shared" si="187"/>
        <v>31.173999999999999</v>
      </c>
      <c r="L101" s="551">
        <f t="shared" si="187"/>
        <v>11.629</v>
      </c>
      <c r="M101" s="551">
        <f t="shared" si="187"/>
        <v>17.922000000000004</v>
      </c>
      <c r="N101" s="551">
        <f t="shared" si="187"/>
        <v>20.152000000000001</v>
      </c>
      <c r="O101" s="551">
        <f t="shared" si="187"/>
        <v>24.193000000000012</v>
      </c>
      <c r="P101" s="787">
        <f t="shared" si="187"/>
        <v>73.896000000000015</v>
      </c>
      <c r="Q101" s="551">
        <f t="shared" si="187"/>
        <v>21.835999999999999</v>
      </c>
      <c r="R101" s="551">
        <f t="shared" si="187"/>
        <v>21.573</v>
      </c>
      <c r="S101" s="551">
        <f t="shared" si="187"/>
        <v>19.471999999999998</v>
      </c>
      <c r="T101" s="551">
        <f t="shared" si="187"/>
        <v>26.610000000000003</v>
      </c>
      <c r="U101" s="787">
        <f t="shared" si="187"/>
        <v>89.491</v>
      </c>
      <c r="V101" s="551">
        <f t="shared" si="187"/>
        <v>17.417999999999999</v>
      </c>
      <c r="W101" s="551">
        <f t="shared" si="187"/>
        <v>32.477000000000004</v>
      </c>
      <c r="X101" s="551">
        <f t="shared" si="187"/>
        <v>38.933</v>
      </c>
      <c r="Y101" s="551">
        <f t="shared" si="187"/>
        <v>48.345999999999989</v>
      </c>
      <c r="Z101" s="787">
        <f t="shared" si="187"/>
        <v>137.17399999999998</v>
      </c>
      <c r="AA101" s="551">
        <f t="shared" si="187"/>
        <v>36.613</v>
      </c>
      <c r="AB101" s="551">
        <f t="shared" si="187"/>
        <v>48.836000000000006</v>
      </c>
      <c r="AC101" s="551">
        <f t="shared" si="187"/>
        <v>48.421000000000006</v>
      </c>
      <c r="AD101" s="551">
        <f t="shared" si="187"/>
        <v>18.251000000000001</v>
      </c>
      <c r="AE101" s="787">
        <f t="shared" si="187"/>
        <v>152.12100000000004</v>
      </c>
      <c r="AF101" s="551">
        <f t="shared" si="187"/>
        <v>42.706000000000003</v>
      </c>
      <c r="AG101" s="551">
        <f t="shared" si="187"/>
        <v>55.484999999999999</v>
      </c>
      <c r="AH101" s="551">
        <f t="shared" si="187"/>
        <v>58.687000000000005</v>
      </c>
      <c r="AI101" s="551">
        <f t="shared" ref="AI101:BA101" si="188">INDEX(MO_CFSum_CFO_BeforeWC,0,COLUMN())</f>
        <v>59.569999999999993</v>
      </c>
      <c r="AJ101" s="787">
        <f t="shared" si="188"/>
        <v>216.44799999999998</v>
      </c>
      <c r="AK101" s="551">
        <f t="shared" si="188"/>
        <v>56.156999999999996</v>
      </c>
      <c r="AL101" s="551">
        <f t="shared" si="188"/>
        <v>70.001999999999995</v>
      </c>
      <c r="AM101" s="551">
        <f t="shared" si="188"/>
        <v>68.48899999999999</v>
      </c>
      <c r="AN101" s="551">
        <f t="shared" si="188"/>
        <v>75.212999999999994</v>
      </c>
      <c r="AO101" s="787">
        <f t="shared" si="188"/>
        <v>269.86099999999999</v>
      </c>
      <c r="AP101" s="551">
        <f t="shared" si="188"/>
        <v>47.178999999999995</v>
      </c>
      <c r="AQ101" s="551">
        <f t="shared" si="188"/>
        <v>30.097000000000001</v>
      </c>
      <c r="AR101" s="551">
        <f t="shared" si="188"/>
        <v>65.443000000000012</v>
      </c>
      <c r="AS101" s="551">
        <f t="shared" si="188"/>
        <v>78.551999999999992</v>
      </c>
      <c r="AT101" s="787">
        <f t="shared" si="188"/>
        <v>221.27100000000002</v>
      </c>
      <c r="AU101" s="551">
        <f t="shared" si="188"/>
        <v>58.207999999999998</v>
      </c>
      <c r="AV101" s="551">
        <f t="shared" si="188"/>
        <v>77.975000000000009</v>
      </c>
      <c r="AW101" s="551">
        <f t="shared" si="188"/>
        <v>80.76400000000001</v>
      </c>
      <c r="AX101" s="551">
        <f t="shared" si="188"/>
        <v>74.88</v>
      </c>
      <c r="AY101" s="787">
        <f t="shared" si="188"/>
        <v>291.82699999999994</v>
      </c>
      <c r="AZ101" s="551">
        <f t="shared" si="188"/>
        <v>60.863000000000007</v>
      </c>
      <c r="BA101" s="551">
        <f t="shared" si="188"/>
        <v>64.661999999999992</v>
      </c>
      <c r="BB101" s="551">
        <f t="shared" ref="BB101:BG101" si="189">INDEX(MO_CFSum_CFO_BeforeWC,0,COLUMN())</f>
        <v>71.876000000000005</v>
      </c>
      <c r="BC101" s="551">
        <f t="shared" si="189"/>
        <v>71.41</v>
      </c>
      <c r="BD101" s="787">
        <f t="shared" si="189"/>
        <v>268.81100000000004</v>
      </c>
      <c r="BE101" s="551">
        <f t="shared" si="189"/>
        <v>60.573999999999998</v>
      </c>
      <c r="BF101" s="551">
        <f t="shared" si="189"/>
        <v>67.628</v>
      </c>
      <c r="BG101" s="551">
        <f t="shared" si="189"/>
        <v>170.56100000000001</v>
      </c>
      <c r="BH101" s="551">
        <f t="shared" ref="BH101:BN101" si="190">INDEX(MO_CFSum_CFO_BeforeWC,0,COLUMN())</f>
        <v>109.869</v>
      </c>
      <c r="BI101" s="787">
        <f t="shared" si="190"/>
        <v>408.63200000000001</v>
      </c>
      <c r="BJ101" s="551">
        <f t="shared" si="190"/>
        <v>86.635999999999996</v>
      </c>
      <c r="BK101" s="551">
        <f t="shared" si="190"/>
        <v>107.82900000000002</v>
      </c>
      <c r="BL101" s="596">
        <f>INDEX(MO_CFSum_CFO_BeforeWC,0,COLUMN())</f>
        <v>99.268999999999991</v>
      </c>
      <c r="BM101" s="551">
        <f t="shared" si="190"/>
        <v>102.69710256932332</v>
      </c>
      <c r="BN101" s="787">
        <f t="shared" si="190"/>
        <v>396.43110256932334</v>
      </c>
      <c r="BO101" s="551">
        <f t="shared" ref="BO101:BV101" si="191">INDEX(MO_CFSum_CFO_BeforeWC,0,COLUMN())</f>
        <v>96.395965387656048</v>
      </c>
      <c r="BP101" s="551">
        <f t="shared" si="191"/>
        <v>119.54374013341501</v>
      </c>
      <c r="BQ101" s="551">
        <f t="shared" si="191"/>
        <v>113.2306327943372</v>
      </c>
      <c r="BR101" s="551">
        <f t="shared" si="191"/>
        <v>107.97891672460617</v>
      </c>
      <c r="BS101" s="787">
        <f t="shared" si="191"/>
        <v>437.1492550400144</v>
      </c>
      <c r="BT101" s="787">
        <f t="shared" si="191"/>
        <v>435.3939117674671</v>
      </c>
      <c r="BU101" s="787">
        <f t="shared" si="191"/>
        <v>444.37829941783144</v>
      </c>
      <c r="BV101" s="787">
        <f t="shared" si="191"/>
        <v>381.52539363089454</v>
      </c>
      <c r="BW101" s="551"/>
    </row>
    <row r="102" spans="1:75" s="478" customFormat="1" hidden="1" outlineLevel="1">
      <c r="A102" s="313" t="s">
        <v>644</v>
      </c>
      <c r="B102" s="314"/>
      <c r="C102" s="802">
        <f t="shared" ref="C102:AH102" ca="1" si="192">SUM(OFFSET(INDEX(MO_CFS_CFO_BeforeWC,0,COLUMN()),1,0,ROW(INDEX(MO_CFS_CFO,0,COLUMN()))-ROW(INDEX(MO_CFS_CFO_BeforeWC,0,COLUMN()))-1,1))</f>
        <v>-0.15199999999999991</v>
      </c>
      <c r="D102" s="802">
        <f t="shared" ca="1" si="192"/>
        <v>-2.4389999999999992</v>
      </c>
      <c r="E102" s="802">
        <f t="shared" ca="1" si="192"/>
        <v>1.2349999999999999</v>
      </c>
      <c r="F102" s="802">
        <f t="shared" ca="1" si="192"/>
        <v>-5.0640000000000001</v>
      </c>
      <c r="G102" s="605">
        <f t="shared" ca="1" si="192"/>
        <v>-3.6139999999999994</v>
      </c>
      <c r="H102" s="605">
        <f t="shared" ca="1" si="192"/>
        <v>-2.9780000000000002</v>
      </c>
      <c r="I102" s="605">
        <f t="shared" ca="1" si="192"/>
        <v>-1.4860000000000007</v>
      </c>
      <c r="J102" s="605">
        <f t="shared" ca="1" si="192"/>
        <v>-1.6639999999999993</v>
      </c>
      <c r="K102" s="802">
        <f t="shared" ca="1" si="192"/>
        <v>-9.7419999999999991</v>
      </c>
      <c r="L102" s="605">
        <f t="shared" ca="1" si="192"/>
        <v>-2.3059999999999996</v>
      </c>
      <c r="M102" s="605">
        <f t="shared" ca="1" si="192"/>
        <v>-7.2560000000000011</v>
      </c>
      <c r="N102" s="605">
        <f t="shared" ca="1" si="192"/>
        <v>-1.1020000000000008</v>
      </c>
      <c r="O102" s="605">
        <f t="shared" ca="1" si="192"/>
        <v>-5.3</v>
      </c>
      <c r="P102" s="802">
        <f t="shared" ca="1" si="192"/>
        <v>-15.964</v>
      </c>
      <c r="Q102" s="605">
        <f t="shared" ca="1" si="192"/>
        <v>3.7989999999999995</v>
      </c>
      <c r="R102" s="605">
        <f t="shared" ca="1" si="192"/>
        <v>-3.5430000000000001</v>
      </c>
      <c r="S102" s="605">
        <f t="shared" ca="1" si="192"/>
        <v>-9.6100000000000012</v>
      </c>
      <c r="T102" s="605">
        <f t="shared" ca="1" si="192"/>
        <v>-22.774999999999999</v>
      </c>
      <c r="U102" s="802">
        <f t="shared" ca="1" si="192"/>
        <v>-32.128999999999998</v>
      </c>
      <c r="V102" s="605">
        <f t="shared" ca="1" si="192"/>
        <v>6.4609999999999994</v>
      </c>
      <c r="W102" s="605">
        <f t="shared" ca="1" si="192"/>
        <v>-9.8459999999999983</v>
      </c>
      <c r="X102" s="605">
        <f t="shared" ca="1" si="192"/>
        <v>-3.6560000000000028</v>
      </c>
      <c r="Y102" s="605">
        <f t="shared" ca="1" si="192"/>
        <v>-3.2329999999999961</v>
      </c>
      <c r="Z102" s="802">
        <f t="shared" ca="1" si="192"/>
        <v>-10.273999999999997</v>
      </c>
      <c r="AA102" s="605">
        <f t="shared" ca="1" si="192"/>
        <v>4.621999999999999</v>
      </c>
      <c r="AB102" s="605">
        <f t="shared" ca="1" si="192"/>
        <v>-13.747999999999998</v>
      </c>
      <c r="AC102" s="605">
        <f t="shared" ca="1" si="192"/>
        <v>3.217000000000001</v>
      </c>
      <c r="AD102" s="605">
        <f t="shared" ca="1" si="192"/>
        <v>21.434999999999995</v>
      </c>
      <c r="AE102" s="802">
        <f t="shared" ca="1" si="192"/>
        <v>15.525999999999996</v>
      </c>
      <c r="AF102" s="605">
        <f t="shared" ca="1" si="192"/>
        <v>-4.4099999999999993</v>
      </c>
      <c r="AG102" s="605">
        <f t="shared" ca="1" si="192"/>
        <v>-32.844000000000008</v>
      </c>
      <c r="AH102" s="605">
        <f t="shared" ca="1" si="192"/>
        <v>-3.5089999999999999</v>
      </c>
      <c r="AI102" s="605">
        <f t="shared" ref="AI102:BA102" ca="1" si="193">SUM(OFFSET(INDEX(MO_CFS_CFO_BeforeWC,0,COLUMN()),1,0,ROW(INDEX(MO_CFS_CFO,0,COLUMN()))-ROW(INDEX(MO_CFS_CFO_BeforeWC,0,COLUMN()))-1,1))</f>
        <v>-15.498000000000005</v>
      </c>
      <c r="AJ102" s="802">
        <f t="shared" ca="1" si="193"/>
        <v>-56.26100000000001</v>
      </c>
      <c r="AK102" s="605">
        <f t="shared" ca="1" si="193"/>
        <v>-15.128</v>
      </c>
      <c r="AL102" s="605">
        <f t="shared" ca="1" si="193"/>
        <v>-13.185</v>
      </c>
      <c r="AM102" s="605">
        <f t="shared" ca="1" si="193"/>
        <v>-17.067</v>
      </c>
      <c r="AN102" s="605">
        <f t="shared" ca="1" si="193"/>
        <v>-19.699000000000005</v>
      </c>
      <c r="AO102" s="802">
        <f t="shared" ca="1" si="193"/>
        <v>-65.078999999999994</v>
      </c>
      <c r="AP102" s="605">
        <f t="shared" ca="1" si="193"/>
        <v>-6.3930000000000007</v>
      </c>
      <c r="AQ102" s="605">
        <f t="shared" ca="1" si="193"/>
        <v>-13.634</v>
      </c>
      <c r="AR102" s="605">
        <f t="shared" ca="1" si="193"/>
        <v>5.6929999999999978</v>
      </c>
      <c r="AS102" s="605">
        <f t="shared" ca="1" si="193"/>
        <v>-30.236000000000004</v>
      </c>
      <c r="AT102" s="802">
        <f t="shared" ca="1" si="193"/>
        <v>-44.57</v>
      </c>
      <c r="AU102" s="605">
        <f t="shared" ca="1" si="193"/>
        <v>0.72299999999999986</v>
      </c>
      <c r="AV102" s="605">
        <f t="shared" ca="1" si="193"/>
        <v>-27.798999999999999</v>
      </c>
      <c r="AW102" s="605">
        <f t="shared" ca="1" si="193"/>
        <v>-22.135999999999996</v>
      </c>
      <c r="AX102" s="605">
        <f t="shared" ca="1" si="193"/>
        <v>-29.96</v>
      </c>
      <c r="AY102" s="802">
        <f t="shared" ca="1" si="193"/>
        <v>-79.171999999999997</v>
      </c>
      <c r="AZ102" s="605">
        <f t="shared" ca="1" si="193"/>
        <v>-0.96000000000000085</v>
      </c>
      <c r="BA102" s="605">
        <f t="shared" ca="1" si="193"/>
        <v>-46.333000000000006</v>
      </c>
      <c r="BB102" s="605">
        <f t="shared" ref="BB102:BG102" ca="1" si="194">SUM(OFFSET(INDEX(MO_CFS_CFO_BeforeWC,0,COLUMN()),1,0,ROW(INDEX(MO_CFS_CFO,0,COLUMN()))-ROW(INDEX(MO_CFS_CFO_BeforeWC,0,COLUMN()))-1,1))</f>
        <v>-2.2720000000000091</v>
      </c>
      <c r="BC102" s="605">
        <f t="shared" ca="1" si="194"/>
        <v>-26.936999999999987</v>
      </c>
      <c r="BD102" s="802">
        <f t="shared" ca="1" si="194"/>
        <v>-76.501999999999981</v>
      </c>
      <c r="BE102" s="605">
        <f t="shared" ca="1" si="194"/>
        <v>13.67</v>
      </c>
      <c r="BF102" s="605">
        <f t="shared" ca="1" si="194"/>
        <v>-19.620999999999995</v>
      </c>
      <c r="BG102" s="605">
        <f t="shared" ca="1" si="194"/>
        <v>-65.701999999999998</v>
      </c>
      <c r="BH102" s="605">
        <f t="shared" ref="BH102:BN102" ca="1" si="195">SUM(OFFSET(INDEX(MO_CFS_CFO_BeforeWC,0,COLUMN()),1,0,ROW(INDEX(MO_CFS_CFO,0,COLUMN()))-ROW(INDEX(MO_CFS_CFO_BeforeWC,0,COLUMN()))-1,1))</f>
        <v>-30.699000000000002</v>
      </c>
      <c r="BI102" s="802">
        <f t="shared" ca="1" si="195"/>
        <v>-102.352</v>
      </c>
      <c r="BJ102" s="605">
        <f t="shared" ca="1" si="195"/>
        <v>-13.781000000000001</v>
      </c>
      <c r="BK102" s="605">
        <f t="shared" ca="1" si="195"/>
        <v>-68.14</v>
      </c>
      <c r="BL102" s="606">
        <f ca="1">SUM(OFFSET(INDEX(MO_CFS_CFO_BeforeWC,0,COLUMN()),1,0,ROW(INDEX(MO_CFS_CFO,0,COLUMN()))-ROW(INDEX(MO_CFS_CFO_BeforeWC,0,COLUMN()))-1,1))</f>
        <v>3.0290000000000017</v>
      </c>
      <c r="BM102" s="605">
        <f t="shared" ca="1" si="195"/>
        <v>174.47835636140434</v>
      </c>
      <c r="BN102" s="802">
        <f t="shared" ca="1" si="195"/>
        <v>95.586356361404341</v>
      </c>
      <c r="BO102" s="605">
        <f t="shared" ref="BO102:BV102" ca="1" si="196">SUM(OFFSET(INDEX(MO_CFS_CFO_BeforeWC,0,COLUMN()),1,0,ROW(INDEX(MO_CFS_CFO,0,COLUMN()))-ROW(INDEX(MO_CFS_CFO_BeforeWC,0,COLUMN()))-1,1))</f>
        <v>-156.96000589792743</v>
      </c>
      <c r="BP102" s="605">
        <f t="shared" ca="1" si="196"/>
        <v>-35.106858752982419</v>
      </c>
      <c r="BQ102" s="605">
        <f t="shared" ca="1" si="196"/>
        <v>193.43997179778205</v>
      </c>
      <c r="BR102" s="605">
        <f t="shared" ca="1" si="196"/>
        <v>194.55631022095196</v>
      </c>
      <c r="BS102" s="802">
        <f t="shared" ca="1" si="196"/>
        <v>195.92941736782416</v>
      </c>
      <c r="BT102" s="802">
        <f t="shared" ca="1" si="196"/>
        <v>12.300361667062948</v>
      </c>
      <c r="BU102" s="802">
        <f t="shared" ca="1" si="196"/>
        <v>27.39130406994542</v>
      </c>
      <c r="BV102" s="802">
        <f t="shared" ca="1" si="196"/>
        <v>35.868288250305923</v>
      </c>
      <c r="BW102" s="552"/>
    </row>
    <row r="103" spans="1:75" s="478" customFormat="1" collapsed="1">
      <c r="A103" s="92" t="s">
        <v>389</v>
      </c>
      <c r="B103" s="97"/>
      <c r="C103" s="787">
        <f t="shared" ref="C103:AH103" ca="1" si="197">SUM(C101:C102)</f>
        <v>-0.63299999999999967</v>
      </c>
      <c r="D103" s="787">
        <f t="shared" ca="1" si="197"/>
        <v>-7.8109999999999999</v>
      </c>
      <c r="E103" s="787">
        <f t="shared" ca="1" si="197"/>
        <v>0.25000000000000056</v>
      </c>
      <c r="F103" s="787">
        <f t="shared" ca="1" si="197"/>
        <v>-9.9000000000000199E-2</v>
      </c>
      <c r="G103" s="551">
        <f t="shared" ca="1" si="197"/>
        <v>-0.17399999999999949</v>
      </c>
      <c r="H103" s="551">
        <f t="shared" ca="1" si="197"/>
        <v>5.2880000000000003</v>
      </c>
      <c r="I103" s="551">
        <f t="shared" ca="1" si="197"/>
        <v>6.9940000000000015</v>
      </c>
      <c r="J103" s="551">
        <f t="shared" ca="1" si="197"/>
        <v>9.3239999999999981</v>
      </c>
      <c r="K103" s="787">
        <f t="shared" ca="1" si="197"/>
        <v>21.432000000000002</v>
      </c>
      <c r="L103" s="551">
        <f t="shared" ca="1" si="197"/>
        <v>9.3230000000000004</v>
      </c>
      <c r="M103" s="551">
        <f t="shared" ca="1" si="197"/>
        <v>10.666000000000004</v>
      </c>
      <c r="N103" s="551">
        <f t="shared" ca="1" si="197"/>
        <v>19.05</v>
      </c>
      <c r="O103" s="551">
        <f t="shared" ca="1" si="197"/>
        <v>18.893000000000011</v>
      </c>
      <c r="P103" s="787">
        <f t="shared" ca="1" si="197"/>
        <v>57.932000000000016</v>
      </c>
      <c r="Q103" s="551">
        <f t="shared" ca="1" si="197"/>
        <v>25.634999999999998</v>
      </c>
      <c r="R103" s="551">
        <f t="shared" ca="1" si="197"/>
        <v>18.03</v>
      </c>
      <c r="S103" s="551">
        <f t="shared" ca="1" si="197"/>
        <v>9.8619999999999965</v>
      </c>
      <c r="T103" s="551">
        <f t="shared" ca="1" si="197"/>
        <v>3.8350000000000044</v>
      </c>
      <c r="U103" s="787">
        <f t="shared" ca="1" si="197"/>
        <v>57.362000000000002</v>
      </c>
      <c r="V103" s="551">
        <f t="shared" ca="1" si="197"/>
        <v>23.878999999999998</v>
      </c>
      <c r="W103" s="551">
        <f t="shared" ca="1" si="197"/>
        <v>22.631000000000007</v>
      </c>
      <c r="X103" s="551">
        <f t="shared" ca="1" si="197"/>
        <v>35.276999999999994</v>
      </c>
      <c r="Y103" s="551">
        <f t="shared" ca="1" si="197"/>
        <v>45.112999999999992</v>
      </c>
      <c r="Z103" s="787">
        <f t="shared" ca="1" si="197"/>
        <v>126.89999999999998</v>
      </c>
      <c r="AA103" s="551">
        <f t="shared" ca="1" si="197"/>
        <v>41.234999999999999</v>
      </c>
      <c r="AB103" s="551">
        <f t="shared" ca="1" si="197"/>
        <v>35.088000000000008</v>
      </c>
      <c r="AC103" s="551">
        <f t="shared" ca="1" si="197"/>
        <v>51.638000000000005</v>
      </c>
      <c r="AD103" s="551">
        <f t="shared" ca="1" si="197"/>
        <v>39.685999999999993</v>
      </c>
      <c r="AE103" s="787">
        <f t="shared" ca="1" si="197"/>
        <v>167.64700000000005</v>
      </c>
      <c r="AF103" s="551">
        <f t="shared" ca="1" si="197"/>
        <v>38.296000000000006</v>
      </c>
      <c r="AG103" s="551">
        <f t="shared" ca="1" si="197"/>
        <v>22.640999999999991</v>
      </c>
      <c r="AH103" s="551">
        <f t="shared" ca="1" si="197"/>
        <v>55.178000000000004</v>
      </c>
      <c r="AI103" s="551">
        <f t="shared" ref="AI103:BA103" ca="1" si="198">SUM(AI101:AI102)</f>
        <v>44.071999999999989</v>
      </c>
      <c r="AJ103" s="787">
        <f t="shared" ca="1" si="198"/>
        <v>160.18699999999995</v>
      </c>
      <c r="AK103" s="551">
        <f t="shared" ca="1" si="198"/>
        <v>41.028999999999996</v>
      </c>
      <c r="AL103" s="551">
        <f t="shared" ca="1" si="198"/>
        <v>56.816999999999993</v>
      </c>
      <c r="AM103" s="551">
        <f t="shared" ca="1" si="198"/>
        <v>51.42199999999999</v>
      </c>
      <c r="AN103" s="551">
        <f t="shared" ca="1" si="198"/>
        <v>55.513999999999989</v>
      </c>
      <c r="AO103" s="787">
        <f t="shared" ca="1" si="198"/>
        <v>204.78199999999998</v>
      </c>
      <c r="AP103" s="551">
        <f t="shared" ca="1" si="198"/>
        <v>40.785999999999994</v>
      </c>
      <c r="AQ103" s="551">
        <f t="shared" ca="1" si="198"/>
        <v>16.463000000000001</v>
      </c>
      <c r="AR103" s="551">
        <f t="shared" ca="1" si="198"/>
        <v>71.13600000000001</v>
      </c>
      <c r="AS103" s="551">
        <f t="shared" ca="1" si="198"/>
        <v>48.315999999999988</v>
      </c>
      <c r="AT103" s="787">
        <f t="shared" ca="1" si="198"/>
        <v>176.70100000000002</v>
      </c>
      <c r="AU103" s="551">
        <f t="shared" ca="1" si="198"/>
        <v>58.930999999999997</v>
      </c>
      <c r="AV103" s="551">
        <f t="shared" ca="1" si="198"/>
        <v>50.176000000000009</v>
      </c>
      <c r="AW103" s="551">
        <f t="shared" ca="1" si="198"/>
        <v>58.628000000000014</v>
      </c>
      <c r="AX103" s="551">
        <f t="shared" ca="1" si="198"/>
        <v>44.919999999999995</v>
      </c>
      <c r="AY103" s="787">
        <f t="shared" ca="1" si="198"/>
        <v>212.65499999999994</v>
      </c>
      <c r="AZ103" s="551">
        <f t="shared" ca="1" si="198"/>
        <v>59.903000000000006</v>
      </c>
      <c r="BA103" s="551">
        <f t="shared" ca="1" si="198"/>
        <v>18.328999999999986</v>
      </c>
      <c r="BB103" s="551">
        <f t="shared" ref="BB103:BG103" ca="1" si="199">SUM(BB101:BB102)</f>
        <v>69.603999999999999</v>
      </c>
      <c r="BC103" s="551">
        <f t="shared" ca="1" si="199"/>
        <v>44.473000000000013</v>
      </c>
      <c r="BD103" s="787">
        <f t="shared" ca="1" si="199"/>
        <v>192.30900000000005</v>
      </c>
      <c r="BE103" s="551">
        <f t="shared" ca="1" si="199"/>
        <v>74.244</v>
      </c>
      <c r="BF103" s="551">
        <f t="shared" ca="1" si="199"/>
        <v>48.007000000000005</v>
      </c>
      <c r="BG103" s="551">
        <f t="shared" ca="1" si="199"/>
        <v>104.85900000000001</v>
      </c>
      <c r="BH103" s="551">
        <f t="shared" ref="BH103:BN103" ca="1" si="200">SUM(BH101:BH102)</f>
        <v>79.17</v>
      </c>
      <c r="BI103" s="787">
        <f t="shared" ca="1" si="200"/>
        <v>306.27999999999997</v>
      </c>
      <c r="BJ103" s="551">
        <f t="shared" ca="1" si="200"/>
        <v>72.85499999999999</v>
      </c>
      <c r="BK103" s="551">
        <f t="shared" ca="1" si="200"/>
        <v>39.689000000000021</v>
      </c>
      <c r="BL103" s="596">
        <f ca="1">SUM(BL101:BL102)</f>
        <v>102.29799999999999</v>
      </c>
      <c r="BM103" s="551">
        <f t="shared" ca="1" si="200"/>
        <v>277.17545893072764</v>
      </c>
      <c r="BN103" s="787">
        <f t="shared" ca="1" si="200"/>
        <v>492.01745893072768</v>
      </c>
      <c r="BO103" s="551">
        <f t="shared" ref="BO103:BV103" ca="1" si="201">SUM(BO101:BO102)</f>
        <v>-60.564040510271383</v>
      </c>
      <c r="BP103" s="551">
        <f t="shared" ca="1" si="201"/>
        <v>84.436881380432595</v>
      </c>
      <c r="BQ103" s="551">
        <f t="shared" ca="1" si="201"/>
        <v>306.67060459211928</v>
      </c>
      <c r="BR103" s="551">
        <f t="shared" ca="1" si="201"/>
        <v>302.53522694555812</v>
      </c>
      <c r="BS103" s="787">
        <f t="shared" ca="1" si="201"/>
        <v>633.07867240783855</v>
      </c>
      <c r="BT103" s="787">
        <f t="shared" ca="1" si="201"/>
        <v>447.69427343453003</v>
      </c>
      <c r="BU103" s="787">
        <f t="shared" ca="1" si="201"/>
        <v>471.76960348777686</v>
      </c>
      <c r="BV103" s="787">
        <f t="shared" ca="1" si="201"/>
        <v>417.39368188120045</v>
      </c>
      <c r="BW103" s="552"/>
    </row>
    <row r="104" spans="1:75" s="481" customFormat="1">
      <c r="A104" s="93" t="str">
        <f>INDEX(MO_CFSum_Capex,0,COLUMN())</f>
        <v>Capex</v>
      </c>
      <c r="B104" s="94"/>
      <c r="C104" s="788">
        <f t="shared" ref="C104:AH104" si="202">INDEX(MO_CFSum_Capex,0,COLUMN())</f>
        <v>-1.62</v>
      </c>
      <c r="D104" s="788">
        <f t="shared" si="202"/>
        <v>-4.8000000000000007</v>
      </c>
      <c r="E104" s="788">
        <f t="shared" si="202"/>
        <v>-7.3040000000000003</v>
      </c>
      <c r="F104" s="788">
        <f t="shared" si="202"/>
        <v>-10.454000000000001</v>
      </c>
      <c r="G104" s="552">
        <f t="shared" si="202"/>
        <v>-1.9119999999999999</v>
      </c>
      <c r="H104" s="552">
        <f t="shared" si="202"/>
        <v>-5.1930000000000005</v>
      </c>
      <c r="I104" s="552">
        <f t="shared" si="202"/>
        <v>-5.7070000000000007</v>
      </c>
      <c r="J104" s="552">
        <f t="shared" si="202"/>
        <v>-8.2869999999999973</v>
      </c>
      <c r="K104" s="788">
        <f t="shared" si="202"/>
        <v>-21.098999999999997</v>
      </c>
      <c r="L104" s="552">
        <f t="shared" si="202"/>
        <v>-5.838000000000001</v>
      </c>
      <c r="M104" s="552">
        <f t="shared" si="202"/>
        <v>-5.7009999999999987</v>
      </c>
      <c r="N104" s="552">
        <f t="shared" si="202"/>
        <v>-10.507000000000001</v>
      </c>
      <c r="O104" s="552">
        <f t="shared" si="202"/>
        <v>-20.081</v>
      </c>
      <c r="P104" s="788">
        <f t="shared" si="202"/>
        <v>-42.126999999999995</v>
      </c>
      <c r="Q104" s="552">
        <f t="shared" si="202"/>
        <v>-14.391</v>
      </c>
      <c r="R104" s="552">
        <f t="shared" si="202"/>
        <v>-9.9939999999999998</v>
      </c>
      <c r="S104" s="552">
        <f t="shared" si="202"/>
        <v>-10.277999999999999</v>
      </c>
      <c r="T104" s="552">
        <f t="shared" si="202"/>
        <v>-8.8449999999999989</v>
      </c>
      <c r="U104" s="788">
        <f t="shared" si="202"/>
        <v>-43.507999999999996</v>
      </c>
      <c r="V104" s="552">
        <f t="shared" si="202"/>
        <v>-10.77</v>
      </c>
      <c r="W104" s="552">
        <f t="shared" si="202"/>
        <v>-8.8230000000000004</v>
      </c>
      <c r="X104" s="552">
        <f t="shared" si="202"/>
        <v>-8.9799999999999969</v>
      </c>
      <c r="Y104" s="552">
        <f t="shared" si="202"/>
        <v>-8.7910000000000021</v>
      </c>
      <c r="Z104" s="788">
        <f t="shared" si="202"/>
        <v>-37.363999999999997</v>
      </c>
      <c r="AA104" s="552">
        <f t="shared" si="202"/>
        <v>-6.66</v>
      </c>
      <c r="AB104" s="552">
        <f t="shared" si="202"/>
        <v>-5.448999999999999</v>
      </c>
      <c r="AC104" s="552">
        <f t="shared" si="202"/>
        <v>-8.0190000000000019</v>
      </c>
      <c r="AD104" s="552">
        <f t="shared" si="202"/>
        <v>-10.117000000000001</v>
      </c>
      <c r="AE104" s="788">
        <f t="shared" si="202"/>
        <v>-30.245000000000001</v>
      </c>
      <c r="AF104" s="552">
        <f t="shared" si="202"/>
        <v>-15.625</v>
      </c>
      <c r="AG104" s="552">
        <f t="shared" si="202"/>
        <v>-9.532</v>
      </c>
      <c r="AH104" s="552">
        <f t="shared" si="202"/>
        <v>-8.7800000000000011</v>
      </c>
      <c r="AI104" s="552">
        <f t="shared" ref="AI104:BA104" si="203">INDEX(MO_CFSum_Capex,0,COLUMN())</f>
        <v>-11.035</v>
      </c>
      <c r="AJ104" s="788">
        <f t="shared" si="203"/>
        <v>-44.972000000000001</v>
      </c>
      <c r="AK104" s="552">
        <f t="shared" si="203"/>
        <v>-8.9909999999999997</v>
      </c>
      <c r="AL104" s="552">
        <f t="shared" si="203"/>
        <v>-10.222999999999999</v>
      </c>
      <c r="AM104" s="552">
        <f t="shared" si="203"/>
        <v>-10.736000000000001</v>
      </c>
      <c r="AN104" s="552">
        <f t="shared" si="203"/>
        <v>-7.5719999999999992</v>
      </c>
      <c r="AO104" s="788">
        <f t="shared" si="203"/>
        <v>-37.521999999999998</v>
      </c>
      <c r="AP104" s="552">
        <f t="shared" si="203"/>
        <v>-7.0529999999999999</v>
      </c>
      <c r="AQ104" s="552">
        <f t="shared" si="203"/>
        <v>-9.9510000000000005</v>
      </c>
      <c r="AR104" s="552">
        <f t="shared" si="203"/>
        <v>-7.0679999999999978</v>
      </c>
      <c r="AS104" s="552">
        <f t="shared" si="203"/>
        <v>-14.059000000000003</v>
      </c>
      <c r="AT104" s="788">
        <f t="shared" si="203"/>
        <v>-38.131</v>
      </c>
      <c r="AU104" s="552">
        <f t="shared" si="203"/>
        <v>-6.0049999999999999</v>
      </c>
      <c r="AV104" s="552">
        <f t="shared" si="203"/>
        <v>-7.2809999999999997</v>
      </c>
      <c r="AW104" s="552">
        <f t="shared" si="203"/>
        <v>-8.3140000000000018</v>
      </c>
      <c r="AX104" s="552">
        <f t="shared" si="203"/>
        <v>-6.6819999999999986</v>
      </c>
      <c r="AY104" s="788">
        <f t="shared" si="203"/>
        <v>-28.282</v>
      </c>
      <c r="AZ104" s="552">
        <f t="shared" si="203"/>
        <v>-6.6360000000000001</v>
      </c>
      <c r="BA104" s="552">
        <f t="shared" si="203"/>
        <v>-7.8619999999999992</v>
      </c>
      <c r="BB104" s="552">
        <f t="shared" ref="BB104:BG104" si="204">INDEX(MO_CFSum_Capex,0,COLUMN())</f>
        <v>-5.6059999999999999</v>
      </c>
      <c r="BC104" s="552">
        <f t="shared" si="204"/>
        <v>-11.875</v>
      </c>
      <c r="BD104" s="788">
        <f t="shared" si="204"/>
        <v>-31.978999999999999</v>
      </c>
      <c r="BE104" s="552">
        <f t="shared" si="204"/>
        <v>-7.5179999999999998</v>
      </c>
      <c r="BF104" s="552">
        <f t="shared" si="204"/>
        <v>-7.6350000000000007</v>
      </c>
      <c r="BG104" s="552">
        <f t="shared" si="204"/>
        <v>-5.697000000000001</v>
      </c>
      <c r="BH104" s="552">
        <f t="shared" ref="BH104:BN104" si="205">INDEX(MO_CFSum_Capex,0,COLUMN())</f>
        <v>-5.9969999999999999</v>
      </c>
      <c r="BI104" s="788">
        <f t="shared" si="205"/>
        <v>-26.847000000000001</v>
      </c>
      <c r="BJ104" s="552">
        <f t="shared" si="205"/>
        <v>-6.9870000000000001</v>
      </c>
      <c r="BK104" s="552">
        <f t="shared" si="205"/>
        <v>-9.5870000000000015</v>
      </c>
      <c r="BL104" s="597">
        <f>INDEX(MO_CFSum_Capex,0,COLUMN())</f>
        <v>-9.7629999999999981</v>
      </c>
      <c r="BM104" s="552">
        <f t="shared" si="205"/>
        <v>-11</v>
      </c>
      <c r="BN104" s="788">
        <f t="shared" si="205"/>
        <v>-37.337000000000003</v>
      </c>
      <c r="BO104" s="552">
        <f t="shared" ref="BO104:BV104" si="206">INDEX(MO_CFSum_Capex,0,COLUMN())</f>
        <v>-10</v>
      </c>
      <c r="BP104" s="552">
        <f t="shared" si="206"/>
        <v>-10</v>
      </c>
      <c r="BQ104" s="552">
        <f t="shared" si="206"/>
        <v>-10</v>
      </c>
      <c r="BR104" s="552">
        <f t="shared" si="206"/>
        <v>-10</v>
      </c>
      <c r="BS104" s="788">
        <f t="shared" si="206"/>
        <v>-40</v>
      </c>
      <c r="BT104" s="788">
        <f t="shared" si="206"/>
        <v>-40</v>
      </c>
      <c r="BU104" s="788">
        <f t="shared" si="206"/>
        <v>-40</v>
      </c>
      <c r="BV104" s="788">
        <f t="shared" si="206"/>
        <v>-40</v>
      </c>
      <c r="BW104" s="552"/>
    </row>
    <row r="105" spans="1:75" s="478" customFormat="1">
      <c r="A105" s="95" t="s">
        <v>645</v>
      </c>
      <c r="B105" s="96"/>
      <c r="C105" s="789">
        <f t="shared" ref="C105:AH105" ca="1" si="207">SUM(C103:C104)</f>
        <v>-2.2529999999999997</v>
      </c>
      <c r="D105" s="789">
        <f t="shared" ca="1" si="207"/>
        <v>-12.611000000000001</v>
      </c>
      <c r="E105" s="789">
        <f t="shared" ca="1" si="207"/>
        <v>-7.0539999999999994</v>
      </c>
      <c r="F105" s="789">
        <f t="shared" ca="1" si="207"/>
        <v>-10.553000000000001</v>
      </c>
      <c r="G105" s="598">
        <f t="shared" ca="1" si="207"/>
        <v>-2.0859999999999994</v>
      </c>
      <c r="H105" s="598">
        <f t="shared" ca="1" si="207"/>
        <v>9.4999999999999751E-2</v>
      </c>
      <c r="I105" s="598">
        <f t="shared" ca="1" si="207"/>
        <v>1.2870000000000008</v>
      </c>
      <c r="J105" s="598">
        <f t="shared" ca="1" si="207"/>
        <v>1.0370000000000008</v>
      </c>
      <c r="K105" s="789">
        <f t="shared" ca="1" si="207"/>
        <v>0.33300000000000551</v>
      </c>
      <c r="L105" s="598">
        <f t="shared" ca="1" si="207"/>
        <v>3.4849999999999994</v>
      </c>
      <c r="M105" s="598">
        <f t="shared" ca="1" si="207"/>
        <v>4.9650000000000052</v>
      </c>
      <c r="N105" s="598">
        <f t="shared" ca="1" si="207"/>
        <v>8.5429999999999993</v>
      </c>
      <c r="O105" s="598">
        <f t="shared" ca="1" si="207"/>
        <v>-1.1879999999999882</v>
      </c>
      <c r="P105" s="789">
        <f t="shared" ca="1" si="207"/>
        <v>15.805000000000021</v>
      </c>
      <c r="Q105" s="598">
        <f t="shared" ca="1" si="207"/>
        <v>11.243999999999998</v>
      </c>
      <c r="R105" s="598">
        <f t="shared" ca="1" si="207"/>
        <v>8.0360000000000014</v>
      </c>
      <c r="S105" s="598">
        <f t="shared" ca="1" si="207"/>
        <v>-0.41600000000000215</v>
      </c>
      <c r="T105" s="598">
        <f t="shared" ca="1" si="207"/>
        <v>-5.0099999999999945</v>
      </c>
      <c r="U105" s="789">
        <f t="shared" ca="1" si="207"/>
        <v>13.854000000000006</v>
      </c>
      <c r="V105" s="598">
        <f t="shared" ca="1" si="207"/>
        <v>13.108999999999998</v>
      </c>
      <c r="W105" s="598">
        <f t="shared" ca="1" si="207"/>
        <v>13.808000000000007</v>
      </c>
      <c r="X105" s="598">
        <f t="shared" ca="1" si="207"/>
        <v>26.296999999999997</v>
      </c>
      <c r="Y105" s="598">
        <f t="shared" ca="1" si="207"/>
        <v>36.321999999999989</v>
      </c>
      <c r="Z105" s="789">
        <f t="shared" ca="1" si="207"/>
        <v>89.535999999999973</v>
      </c>
      <c r="AA105" s="598">
        <f t="shared" ca="1" si="207"/>
        <v>34.575000000000003</v>
      </c>
      <c r="AB105" s="598">
        <f t="shared" ca="1" si="207"/>
        <v>29.63900000000001</v>
      </c>
      <c r="AC105" s="598">
        <f t="shared" ca="1" si="207"/>
        <v>43.619</v>
      </c>
      <c r="AD105" s="598">
        <f t="shared" ca="1" si="207"/>
        <v>29.568999999999992</v>
      </c>
      <c r="AE105" s="789">
        <f t="shared" ca="1" si="207"/>
        <v>137.40200000000004</v>
      </c>
      <c r="AF105" s="598">
        <f t="shared" ca="1" si="207"/>
        <v>22.671000000000006</v>
      </c>
      <c r="AG105" s="598">
        <f t="shared" ca="1" si="207"/>
        <v>13.108999999999991</v>
      </c>
      <c r="AH105" s="598">
        <f t="shared" ca="1" si="207"/>
        <v>46.398000000000003</v>
      </c>
      <c r="AI105" s="598">
        <f t="shared" ref="AI105:BA105" ca="1" si="208">SUM(AI103:AI104)</f>
        <v>33.036999999999992</v>
      </c>
      <c r="AJ105" s="789">
        <f t="shared" ca="1" si="208"/>
        <v>115.21499999999995</v>
      </c>
      <c r="AK105" s="598">
        <f t="shared" ca="1" si="208"/>
        <v>32.037999999999997</v>
      </c>
      <c r="AL105" s="598">
        <f t="shared" ca="1" si="208"/>
        <v>46.593999999999994</v>
      </c>
      <c r="AM105" s="598">
        <f t="shared" ca="1" si="208"/>
        <v>40.685999999999993</v>
      </c>
      <c r="AN105" s="598">
        <f t="shared" ca="1" si="208"/>
        <v>47.941999999999993</v>
      </c>
      <c r="AO105" s="789">
        <f t="shared" ca="1" si="208"/>
        <v>167.26</v>
      </c>
      <c r="AP105" s="598">
        <f t="shared" ca="1" si="208"/>
        <v>33.732999999999997</v>
      </c>
      <c r="AQ105" s="598">
        <f t="shared" ca="1" si="208"/>
        <v>6.5120000000000005</v>
      </c>
      <c r="AR105" s="598">
        <f t="shared" ca="1" si="208"/>
        <v>64.068000000000012</v>
      </c>
      <c r="AS105" s="598">
        <f t="shared" ca="1" si="208"/>
        <v>34.256999999999984</v>
      </c>
      <c r="AT105" s="789">
        <f t="shared" ca="1" si="208"/>
        <v>138.57000000000002</v>
      </c>
      <c r="AU105" s="598">
        <f t="shared" ca="1" si="208"/>
        <v>52.925999999999995</v>
      </c>
      <c r="AV105" s="598">
        <f t="shared" ca="1" si="208"/>
        <v>42.89500000000001</v>
      </c>
      <c r="AW105" s="598">
        <f t="shared" ca="1" si="208"/>
        <v>50.314000000000014</v>
      </c>
      <c r="AX105" s="598">
        <f t="shared" ca="1" si="208"/>
        <v>38.238</v>
      </c>
      <c r="AY105" s="789">
        <f t="shared" ca="1" si="208"/>
        <v>184.37299999999993</v>
      </c>
      <c r="AZ105" s="598">
        <f t="shared" ca="1" si="208"/>
        <v>53.267000000000003</v>
      </c>
      <c r="BA105" s="598">
        <f t="shared" ca="1" si="208"/>
        <v>10.466999999999988</v>
      </c>
      <c r="BB105" s="598">
        <f t="shared" ref="BB105:BG105" ca="1" si="209">SUM(BB103:BB104)</f>
        <v>63.997999999999998</v>
      </c>
      <c r="BC105" s="598">
        <f t="shared" ca="1" si="209"/>
        <v>32.598000000000013</v>
      </c>
      <c r="BD105" s="789">
        <f t="shared" ca="1" si="209"/>
        <v>160.33000000000004</v>
      </c>
      <c r="BE105" s="598">
        <f t="shared" ca="1" si="209"/>
        <v>66.725999999999999</v>
      </c>
      <c r="BF105" s="598">
        <f t="shared" ca="1" si="209"/>
        <v>40.372000000000007</v>
      </c>
      <c r="BG105" s="598">
        <f t="shared" ca="1" si="209"/>
        <v>99.162000000000006</v>
      </c>
      <c r="BH105" s="598">
        <f t="shared" ref="BH105:BN105" ca="1" si="210">SUM(BH103:BH104)</f>
        <v>73.173000000000002</v>
      </c>
      <c r="BI105" s="789">
        <f t="shared" ca="1" si="210"/>
        <v>279.43299999999999</v>
      </c>
      <c r="BJ105" s="598">
        <f t="shared" ca="1" si="210"/>
        <v>65.867999999999995</v>
      </c>
      <c r="BK105" s="598">
        <f t="shared" ca="1" si="210"/>
        <v>30.102000000000018</v>
      </c>
      <c r="BL105" s="599">
        <f ca="1">SUM(BL103:BL104)</f>
        <v>92.534999999999997</v>
      </c>
      <c r="BM105" s="598">
        <f t="shared" ca="1" si="210"/>
        <v>266.17545893072764</v>
      </c>
      <c r="BN105" s="789">
        <f t="shared" ca="1" si="210"/>
        <v>454.6804589307277</v>
      </c>
      <c r="BO105" s="598">
        <f t="shared" ref="BO105:BV105" ca="1" si="211">SUM(BO103:BO104)</f>
        <v>-70.564040510271383</v>
      </c>
      <c r="BP105" s="598">
        <f t="shared" ca="1" si="211"/>
        <v>74.436881380432595</v>
      </c>
      <c r="BQ105" s="598">
        <f t="shared" ca="1" si="211"/>
        <v>296.67060459211928</v>
      </c>
      <c r="BR105" s="598">
        <f t="shared" ca="1" si="211"/>
        <v>292.53522694555812</v>
      </c>
      <c r="BS105" s="789">
        <f t="shared" ca="1" si="211"/>
        <v>593.07867240783855</v>
      </c>
      <c r="BT105" s="789">
        <f t="shared" ca="1" si="211"/>
        <v>407.69427343453003</v>
      </c>
      <c r="BU105" s="789">
        <f t="shared" ca="1" si="211"/>
        <v>431.76960348777686</v>
      </c>
      <c r="BV105" s="789">
        <f t="shared" ca="1" si="211"/>
        <v>377.39368188120045</v>
      </c>
      <c r="BW105" s="551"/>
    </row>
    <row r="106" spans="1:75" s="481" customFormat="1">
      <c r="A106" s="93" t="str">
        <f>INDEX(MO_CFSum_Dividend,0,COLUMN())</f>
        <v>Dividend Paid</v>
      </c>
      <c r="B106" s="94"/>
      <c r="C106" s="788">
        <f t="shared" ref="C106:AH106" si="212">INDEX(MO_CFSum_Dividend,0,COLUMN())</f>
        <v>0</v>
      </c>
      <c r="D106" s="788">
        <f t="shared" si="212"/>
        <v>0</v>
      </c>
      <c r="E106" s="788">
        <f t="shared" si="212"/>
        <v>0</v>
      </c>
      <c r="F106" s="788">
        <f t="shared" si="212"/>
        <v>0</v>
      </c>
      <c r="G106" s="552">
        <f t="shared" si="212"/>
        <v>0</v>
      </c>
      <c r="H106" s="552">
        <f t="shared" si="212"/>
        <v>0</v>
      </c>
      <c r="I106" s="552">
        <f t="shared" si="212"/>
        <v>0</v>
      </c>
      <c r="J106" s="552">
        <f t="shared" si="212"/>
        <v>0</v>
      </c>
      <c r="K106" s="788">
        <f t="shared" si="212"/>
        <v>0</v>
      </c>
      <c r="L106" s="552">
        <f t="shared" si="212"/>
        <v>0</v>
      </c>
      <c r="M106" s="552">
        <f t="shared" si="212"/>
        <v>0</v>
      </c>
      <c r="N106" s="552">
        <f t="shared" si="212"/>
        <v>0</v>
      </c>
      <c r="O106" s="552">
        <f t="shared" si="212"/>
        <v>0</v>
      </c>
      <c r="P106" s="788">
        <f t="shared" si="212"/>
        <v>0</v>
      </c>
      <c r="Q106" s="552">
        <f t="shared" si="212"/>
        <v>0</v>
      </c>
      <c r="R106" s="552">
        <f t="shared" si="212"/>
        <v>0</v>
      </c>
      <c r="S106" s="552">
        <f t="shared" si="212"/>
        <v>0</v>
      </c>
      <c r="T106" s="552">
        <f t="shared" si="212"/>
        <v>0</v>
      </c>
      <c r="U106" s="788">
        <f t="shared" si="212"/>
        <v>0</v>
      </c>
      <c r="V106" s="552">
        <f t="shared" si="212"/>
        <v>0</v>
      </c>
      <c r="W106" s="552">
        <f t="shared" si="212"/>
        <v>0</v>
      </c>
      <c r="X106" s="552">
        <f t="shared" si="212"/>
        <v>0</v>
      </c>
      <c r="Y106" s="552">
        <f t="shared" si="212"/>
        <v>0</v>
      </c>
      <c r="Z106" s="788">
        <f t="shared" si="212"/>
        <v>0</v>
      </c>
      <c r="AA106" s="552">
        <f t="shared" si="212"/>
        <v>0</v>
      </c>
      <c r="AB106" s="552">
        <f t="shared" si="212"/>
        <v>0</v>
      </c>
      <c r="AC106" s="552">
        <f t="shared" si="212"/>
        <v>0</v>
      </c>
      <c r="AD106" s="552">
        <f t="shared" si="212"/>
        <v>0</v>
      </c>
      <c r="AE106" s="788">
        <f t="shared" si="212"/>
        <v>0</v>
      </c>
      <c r="AF106" s="552">
        <f t="shared" si="212"/>
        <v>0</v>
      </c>
      <c r="AG106" s="552">
        <f t="shared" si="212"/>
        <v>0</v>
      </c>
      <c r="AH106" s="552">
        <f t="shared" si="212"/>
        <v>0</v>
      </c>
      <c r="AI106" s="552">
        <f t="shared" ref="AI106:BA106" si="213">INDEX(MO_CFSum_Dividend,0,COLUMN())</f>
        <v>0</v>
      </c>
      <c r="AJ106" s="788">
        <f t="shared" si="213"/>
        <v>0</v>
      </c>
      <c r="AK106" s="552">
        <f t="shared" si="213"/>
        <v>0</v>
      </c>
      <c r="AL106" s="552">
        <f t="shared" si="213"/>
        <v>0</v>
      </c>
      <c r="AM106" s="552">
        <f t="shared" si="213"/>
        <v>0</v>
      </c>
      <c r="AN106" s="552">
        <f t="shared" si="213"/>
        <v>0</v>
      </c>
      <c r="AO106" s="788">
        <f t="shared" si="213"/>
        <v>0</v>
      </c>
      <c r="AP106" s="552">
        <f t="shared" si="213"/>
        <v>0</v>
      </c>
      <c r="AQ106" s="552">
        <f t="shared" si="213"/>
        <v>0</v>
      </c>
      <c r="AR106" s="552">
        <f t="shared" si="213"/>
        <v>0</v>
      </c>
      <c r="AS106" s="552">
        <f t="shared" si="213"/>
        <v>0</v>
      </c>
      <c r="AT106" s="788">
        <f t="shared" si="213"/>
        <v>0</v>
      </c>
      <c r="AU106" s="552">
        <f t="shared" si="213"/>
        <v>0</v>
      </c>
      <c r="AV106" s="552">
        <f t="shared" si="213"/>
        <v>0</v>
      </c>
      <c r="AW106" s="552">
        <f t="shared" si="213"/>
        <v>0</v>
      </c>
      <c r="AX106" s="552">
        <f t="shared" si="213"/>
        <v>0</v>
      </c>
      <c r="AY106" s="788">
        <f t="shared" si="213"/>
        <v>0</v>
      </c>
      <c r="AZ106" s="552">
        <f t="shared" si="213"/>
        <v>0</v>
      </c>
      <c r="BA106" s="552">
        <f t="shared" si="213"/>
        <v>0</v>
      </c>
      <c r="BB106" s="552">
        <f t="shared" ref="BB106:BG106" si="214">INDEX(MO_CFSum_Dividend,0,COLUMN())</f>
        <v>0</v>
      </c>
      <c r="BC106" s="552">
        <f t="shared" si="214"/>
        <v>0</v>
      </c>
      <c r="BD106" s="788">
        <f t="shared" si="214"/>
        <v>0</v>
      </c>
      <c r="BE106" s="552">
        <f t="shared" si="214"/>
        <v>0</v>
      </c>
      <c r="BF106" s="552">
        <f t="shared" si="214"/>
        <v>0</v>
      </c>
      <c r="BG106" s="552">
        <f t="shared" si="214"/>
        <v>0</v>
      </c>
      <c r="BH106" s="552">
        <f t="shared" ref="BH106:BN106" si="215">INDEX(MO_CFSum_Dividend,0,COLUMN())</f>
        <v>0</v>
      </c>
      <c r="BI106" s="788">
        <f t="shared" si="215"/>
        <v>0</v>
      </c>
      <c r="BJ106" s="552">
        <f t="shared" si="215"/>
        <v>0</v>
      </c>
      <c r="BK106" s="552">
        <f t="shared" si="215"/>
        <v>0</v>
      </c>
      <c r="BL106" s="597">
        <f>INDEX(MO_CFSum_Dividend,0,COLUMN())</f>
        <v>0</v>
      </c>
      <c r="BM106" s="552" t="e">
        <f t="shared" si="215"/>
        <v>#REF!</v>
      </c>
      <c r="BN106" s="788" t="e">
        <f t="shared" si="215"/>
        <v>#REF!</v>
      </c>
      <c r="BO106" s="552" t="e">
        <f t="shared" ref="BO106:BV106" si="216">INDEX(MO_CFSum_Dividend,0,COLUMN())</f>
        <v>#REF!</v>
      </c>
      <c r="BP106" s="552" t="e">
        <f t="shared" si="216"/>
        <v>#REF!</v>
      </c>
      <c r="BQ106" s="552" t="e">
        <f t="shared" si="216"/>
        <v>#REF!</v>
      </c>
      <c r="BR106" s="552" t="e">
        <f t="shared" si="216"/>
        <v>#REF!</v>
      </c>
      <c r="BS106" s="788" t="e">
        <f t="shared" si="216"/>
        <v>#REF!</v>
      </c>
      <c r="BT106" s="788" t="e">
        <f t="shared" si="216"/>
        <v>#REF!</v>
      </c>
      <c r="BU106" s="788" t="e">
        <f t="shared" si="216"/>
        <v>#REF!</v>
      </c>
      <c r="BV106" s="788" t="e">
        <f t="shared" si="216"/>
        <v>#REF!</v>
      </c>
      <c r="BW106" s="552"/>
    </row>
    <row r="107" spans="1:75" s="478" customFormat="1">
      <c r="A107" s="95" t="s">
        <v>646</v>
      </c>
      <c r="B107" s="96"/>
      <c r="C107" s="789">
        <f t="shared" ref="C107:AH107" ca="1" si="217">SUM(C105:C106)</f>
        <v>-2.2529999999999997</v>
      </c>
      <c r="D107" s="789">
        <f t="shared" ca="1" si="217"/>
        <v>-12.611000000000001</v>
      </c>
      <c r="E107" s="789">
        <f t="shared" ca="1" si="217"/>
        <v>-7.0539999999999994</v>
      </c>
      <c r="F107" s="789">
        <f t="shared" ca="1" si="217"/>
        <v>-10.553000000000001</v>
      </c>
      <c r="G107" s="598">
        <f t="shared" ca="1" si="217"/>
        <v>-2.0859999999999994</v>
      </c>
      <c r="H107" s="598">
        <f t="shared" ca="1" si="217"/>
        <v>9.4999999999999751E-2</v>
      </c>
      <c r="I107" s="598">
        <f t="shared" ca="1" si="217"/>
        <v>1.2870000000000008</v>
      </c>
      <c r="J107" s="598">
        <f t="shared" ca="1" si="217"/>
        <v>1.0370000000000008</v>
      </c>
      <c r="K107" s="789">
        <f t="shared" ca="1" si="217"/>
        <v>0.33300000000000551</v>
      </c>
      <c r="L107" s="598">
        <f t="shared" ca="1" si="217"/>
        <v>3.4849999999999994</v>
      </c>
      <c r="M107" s="598">
        <f t="shared" ca="1" si="217"/>
        <v>4.9650000000000052</v>
      </c>
      <c r="N107" s="598">
        <f t="shared" ca="1" si="217"/>
        <v>8.5429999999999993</v>
      </c>
      <c r="O107" s="598">
        <f t="shared" ca="1" si="217"/>
        <v>-1.1879999999999882</v>
      </c>
      <c r="P107" s="789">
        <f t="shared" ca="1" si="217"/>
        <v>15.805000000000021</v>
      </c>
      <c r="Q107" s="598">
        <f t="shared" ca="1" si="217"/>
        <v>11.243999999999998</v>
      </c>
      <c r="R107" s="598">
        <f t="shared" ca="1" si="217"/>
        <v>8.0360000000000014</v>
      </c>
      <c r="S107" s="598">
        <f t="shared" ca="1" si="217"/>
        <v>-0.41600000000000215</v>
      </c>
      <c r="T107" s="598">
        <f t="shared" ca="1" si="217"/>
        <v>-5.0099999999999945</v>
      </c>
      <c r="U107" s="789">
        <f t="shared" ca="1" si="217"/>
        <v>13.854000000000006</v>
      </c>
      <c r="V107" s="598">
        <f t="shared" ca="1" si="217"/>
        <v>13.108999999999998</v>
      </c>
      <c r="W107" s="598">
        <f t="shared" ca="1" si="217"/>
        <v>13.808000000000007</v>
      </c>
      <c r="X107" s="598">
        <f t="shared" ca="1" si="217"/>
        <v>26.296999999999997</v>
      </c>
      <c r="Y107" s="598">
        <f t="shared" ca="1" si="217"/>
        <v>36.321999999999989</v>
      </c>
      <c r="Z107" s="789">
        <f t="shared" ca="1" si="217"/>
        <v>89.535999999999973</v>
      </c>
      <c r="AA107" s="598">
        <f t="shared" ca="1" si="217"/>
        <v>34.575000000000003</v>
      </c>
      <c r="AB107" s="598">
        <f t="shared" ca="1" si="217"/>
        <v>29.63900000000001</v>
      </c>
      <c r="AC107" s="598">
        <f t="shared" ca="1" si="217"/>
        <v>43.619</v>
      </c>
      <c r="AD107" s="598">
        <f t="shared" ca="1" si="217"/>
        <v>29.568999999999992</v>
      </c>
      <c r="AE107" s="789">
        <f t="shared" ca="1" si="217"/>
        <v>137.40200000000004</v>
      </c>
      <c r="AF107" s="598">
        <f t="shared" ca="1" si="217"/>
        <v>22.671000000000006</v>
      </c>
      <c r="AG107" s="598">
        <f t="shared" ca="1" si="217"/>
        <v>13.108999999999991</v>
      </c>
      <c r="AH107" s="598">
        <f t="shared" ca="1" si="217"/>
        <v>46.398000000000003</v>
      </c>
      <c r="AI107" s="598">
        <f t="shared" ref="AI107:BA107" ca="1" si="218">SUM(AI105:AI106)</f>
        <v>33.036999999999992</v>
      </c>
      <c r="AJ107" s="789">
        <f t="shared" ca="1" si="218"/>
        <v>115.21499999999995</v>
      </c>
      <c r="AK107" s="598">
        <f t="shared" ca="1" si="218"/>
        <v>32.037999999999997</v>
      </c>
      <c r="AL107" s="598">
        <f t="shared" ca="1" si="218"/>
        <v>46.593999999999994</v>
      </c>
      <c r="AM107" s="598">
        <f t="shared" ca="1" si="218"/>
        <v>40.685999999999993</v>
      </c>
      <c r="AN107" s="598">
        <f t="shared" ca="1" si="218"/>
        <v>47.941999999999993</v>
      </c>
      <c r="AO107" s="789">
        <f t="shared" ca="1" si="218"/>
        <v>167.26</v>
      </c>
      <c r="AP107" s="598">
        <f t="shared" ca="1" si="218"/>
        <v>33.732999999999997</v>
      </c>
      <c r="AQ107" s="598">
        <f t="shared" ca="1" si="218"/>
        <v>6.5120000000000005</v>
      </c>
      <c r="AR107" s="598">
        <f t="shared" ca="1" si="218"/>
        <v>64.068000000000012</v>
      </c>
      <c r="AS107" s="598">
        <f t="shared" ca="1" si="218"/>
        <v>34.256999999999984</v>
      </c>
      <c r="AT107" s="789">
        <f t="shared" ca="1" si="218"/>
        <v>138.57000000000002</v>
      </c>
      <c r="AU107" s="598">
        <f t="shared" ca="1" si="218"/>
        <v>52.925999999999995</v>
      </c>
      <c r="AV107" s="598">
        <f t="shared" ca="1" si="218"/>
        <v>42.89500000000001</v>
      </c>
      <c r="AW107" s="598">
        <f t="shared" ca="1" si="218"/>
        <v>50.314000000000014</v>
      </c>
      <c r="AX107" s="598">
        <f t="shared" ca="1" si="218"/>
        <v>38.238</v>
      </c>
      <c r="AY107" s="789">
        <f t="shared" ca="1" si="218"/>
        <v>184.37299999999993</v>
      </c>
      <c r="AZ107" s="598">
        <f t="shared" ca="1" si="218"/>
        <v>53.267000000000003</v>
      </c>
      <c r="BA107" s="598">
        <f t="shared" ca="1" si="218"/>
        <v>10.466999999999988</v>
      </c>
      <c r="BB107" s="598">
        <f t="shared" ref="BB107:BG107" ca="1" si="219">SUM(BB105:BB106)</f>
        <v>63.997999999999998</v>
      </c>
      <c r="BC107" s="598">
        <f t="shared" ca="1" si="219"/>
        <v>32.598000000000013</v>
      </c>
      <c r="BD107" s="789">
        <f t="shared" ca="1" si="219"/>
        <v>160.33000000000004</v>
      </c>
      <c r="BE107" s="598">
        <f t="shared" ca="1" si="219"/>
        <v>66.725999999999999</v>
      </c>
      <c r="BF107" s="598">
        <f t="shared" ca="1" si="219"/>
        <v>40.372000000000007</v>
      </c>
      <c r="BG107" s="598">
        <f t="shared" ca="1" si="219"/>
        <v>99.162000000000006</v>
      </c>
      <c r="BH107" s="598">
        <f t="shared" ref="BH107:BN107" ca="1" si="220">SUM(BH105:BH106)</f>
        <v>73.173000000000002</v>
      </c>
      <c r="BI107" s="789">
        <f t="shared" ca="1" si="220"/>
        <v>279.43299999999999</v>
      </c>
      <c r="BJ107" s="598">
        <f t="shared" ca="1" si="220"/>
        <v>65.867999999999995</v>
      </c>
      <c r="BK107" s="598">
        <f t="shared" ca="1" si="220"/>
        <v>30.102000000000018</v>
      </c>
      <c r="BL107" s="599">
        <f ca="1">SUM(BL105:BL106)</f>
        <v>92.534999999999997</v>
      </c>
      <c r="BM107" s="598" t="e">
        <f t="shared" ca="1" si="220"/>
        <v>#REF!</v>
      </c>
      <c r="BN107" s="789" t="e">
        <f t="shared" ca="1" si="220"/>
        <v>#REF!</v>
      </c>
      <c r="BO107" s="598" t="e">
        <f t="shared" ref="BO107:BV107" ca="1" si="221">SUM(BO105:BO106)</f>
        <v>#REF!</v>
      </c>
      <c r="BP107" s="598" t="e">
        <f t="shared" ca="1" si="221"/>
        <v>#REF!</v>
      </c>
      <c r="BQ107" s="598" t="e">
        <f t="shared" ca="1" si="221"/>
        <v>#REF!</v>
      </c>
      <c r="BR107" s="598" t="e">
        <f t="shared" ca="1" si="221"/>
        <v>#REF!</v>
      </c>
      <c r="BS107" s="789" t="e">
        <f t="shared" ca="1" si="221"/>
        <v>#REF!</v>
      </c>
      <c r="BT107" s="789" t="e">
        <f t="shared" ca="1" si="221"/>
        <v>#REF!</v>
      </c>
      <c r="BU107" s="789" t="e">
        <f t="shared" ca="1" si="221"/>
        <v>#REF!</v>
      </c>
      <c r="BV107" s="789" t="e">
        <f t="shared" ca="1" si="221"/>
        <v>#REF!</v>
      </c>
      <c r="BW107" s="551"/>
    </row>
    <row r="108" spans="1:75" s="481" customFormat="1">
      <c r="A108" s="93" t="str">
        <f>INDEX(MO_CFSum_Acquisition,0,COLUMN())</f>
        <v>Acquisitions</v>
      </c>
      <c r="B108" s="94"/>
      <c r="C108" s="788">
        <f t="shared" ref="C108:AH108" si="222">INDEX(MO_CFSum_Acquisition,0,COLUMN())</f>
        <v>0</v>
      </c>
      <c r="D108" s="788">
        <f t="shared" si="222"/>
        <v>0</v>
      </c>
      <c r="E108" s="788">
        <f t="shared" si="222"/>
        <v>0</v>
      </c>
      <c r="F108" s="788">
        <f t="shared" si="222"/>
        <v>-24.125</v>
      </c>
      <c r="G108" s="552">
        <f t="shared" si="222"/>
        <v>0</v>
      </c>
      <c r="H108" s="552">
        <f t="shared" si="222"/>
        <v>0</v>
      </c>
      <c r="I108" s="552">
        <f t="shared" si="222"/>
        <v>-2.0569999999999999</v>
      </c>
      <c r="J108" s="552">
        <f t="shared" si="222"/>
        <v>0</v>
      </c>
      <c r="K108" s="788">
        <f t="shared" si="222"/>
        <v>-2.0569999999999999</v>
      </c>
      <c r="L108" s="552">
        <f t="shared" si="222"/>
        <v>0</v>
      </c>
      <c r="M108" s="552">
        <f t="shared" si="222"/>
        <v>0</v>
      </c>
      <c r="N108" s="552">
        <f t="shared" si="222"/>
        <v>0</v>
      </c>
      <c r="O108" s="552">
        <f t="shared" si="222"/>
        <v>-14.34</v>
      </c>
      <c r="P108" s="788">
        <f t="shared" si="222"/>
        <v>-14.34</v>
      </c>
      <c r="Q108" s="552">
        <f t="shared" si="222"/>
        <v>-71.546000000000006</v>
      </c>
      <c r="R108" s="552">
        <f t="shared" si="222"/>
        <v>-1.8759999999999906</v>
      </c>
      <c r="S108" s="552">
        <f t="shared" si="222"/>
        <v>0</v>
      </c>
      <c r="T108" s="552">
        <f t="shared" si="222"/>
        <v>0</v>
      </c>
      <c r="U108" s="788">
        <f t="shared" si="222"/>
        <v>-73.421999999999997</v>
      </c>
      <c r="V108" s="552">
        <f t="shared" si="222"/>
        <v>0</v>
      </c>
      <c r="W108" s="552">
        <f t="shared" si="222"/>
        <v>0</v>
      </c>
      <c r="X108" s="552">
        <f t="shared" si="222"/>
        <v>0</v>
      </c>
      <c r="Y108" s="552">
        <f t="shared" si="222"/>
        <v>0</v>
      </c>
      <c r="Z108" s="788">
        <f t="shared" si="222"/>
        <v>0</v>
      </c>
      <c r="AA108" s="552">
        <f t="shared" si="222"/>
        <v>-30.832999999999998</v>
      </c>
      <c r="AB108" s="552">
        <f t="shared" si="222"/>
        <v>-19.710999999999999</v>
      </c>
      <c r="AC108" s="552">
        <f t="shared" si="222"/>
        <v>0</v>
      </c>
      <c r="AD108" s="552">
        <f t="shared" si="222"/>
        <v>0</v>
      </c>
      <c r="AE108" s="788">
        <f t="shared" si="222"/>
        <v>-50.543999999999997</v>
      </c>
      <c r="AF108" s="552">
        <f t="shared" si="222"/>
        <v>0</v>
      </c>
      <c r="AG108" s="552">
        <f t="shared" si="222"/>
        <v>0</v>
      </c>
      <c r="AH108" s="552">
        <f t="shared" si="222"/>
        <v>0</v>
      </c>
      <c r="AI108" s="552">
        <f t="shared" ref="AI108:BA108" si="223">INDEX(MO_CFSum_Acquisition,0,COLUMN())</f>
        <v>0</v>
      </c>
      <c r="AJ108" s="788">
        <f t="shared" si="223"/>
        <v>0</v>
      </c>
      <c r="AK108" s="552">
        <f t="shared" si="223"/>
        <v>0</v>
      </c>
      <c r="AL108" s="552">
        <f t="shared" si="223"/>
        <v>0</v>
      </c>
      <c r="AM108" s="552">
        <f t="shared" si="223"/>
        <v>0</v>
      </c>
      <c r="AN108" s="552">
        <f t="shared" si="223"/>
        <v>0</v>
      </c>
      <c r="AO108" s="788">
        <f t="shared" si="223"/>
        <v>0</v>
      </c>
      <c r="AP108" s="552">
        <f t="shared" si="223"/>
        <v>0</v>
      </c>
      <c r="AQ108" s="552">
        <f t="shared" si="223"/>
        <v>0</v>
      </c>
      <c r="AR108" s="552">
        <f t="shared" si="223"/>
        <v>0</v>
      </c>
      <c r="AS108" s="552">
        <f t="shared" si="223"/>
        <v>0</v>
      </c>
      <c r="AT108" s="788">
        <f t="shared" si="223"/>
        <v>0</v>
      </c>
      <c r="AU108" s="552">
        <f t="shared" si="223"/>
        <v>0</v>
      </c>
      <c r="AV108" s="552">
        <f t="shared" si="223"/>
        <v>0</v>
      </c>
      <c r="AW108" s="552">
        <f t="shared" si="223"/>
        <v>0</v>
      </c>
      <c r="AX108" s="552">
        <f t="shared" si="223"/>
        <v>0</v>
      </c>
      <c r="AY108" s="788">
        <f t="shared" si="223"/>
        <v>0</v>
      </c>
      <c r="AZ108" s="552">
        <f t="shared" si="223"/>
        <v>0</v>
      </c>
      <c r="BA108" s="552">
        <f t="shared" si="223"/>
        <v>0</v>
      </c>
      <c r="BB108" s="552">
        <f t="shared" ref="BB108:BG108" si="224">INDEX(MO_CFSum_Acquisition,0,COLUMN())</f>
        <v>0</v>
      </c>
      <c r="BC108" s="552">
        <f t="shared" si="224"/>
        <v>0</v>
      </c>
      <c r="BD108" s="788">
        <f t="shared" si="224"/>
        <v>0</v>
      </c>
      <c r="BE108" s="552">
        <f t="shared" si="224"/>
        <v>0</v>
      </c>
      <c r="BF108" s="552">
        <f t="shared" si="224"/>
        <v>0</v>
      </c>
      <c r="BG108" s="552">
        <f t="shared" si="224"/>
        <v>0</v>
      </c>
      <c r="BH108" s="552">
        <f t="shared" ref="BH108:BN108" si="225">INDEX(MO_CFSum_Acquisition,0,COLUMN())</f>
        <v>0</v>
      </c>
      <c r="BI108" s="788">
        <f t="shared" si="225"/>
        <v>0</v>
      </c>
      <c r="BJ108" s="552">
        <f t="shared" si="225"/>
        <v>0</v>
      </c>
      <c r="BK108" s="552">
        <f t="shared" si="225"/>
        <v>0</v>
      </c>
      <c r="BL108" s="597">
        <f>INDEX(MO_CFSum_Acquisition,0,COLUMN())</f>
        <v>0</v>
      </c>
      <c r="BM108" s="552">
        <f t="shared" si="225"/>
        <v>0</v>
      </c>
      <c r="BN108" s="788">
        <f t="shared" si="225"/>
        <v>0</v>
      </c>
      <c r="BO108" s="552">
        <f t="shared" ref="BO108:BV108" si="226">INDEX(MO_CFSum_Acquisition,0,COLUMN())</f>
        <v>0</v>
      </c>
      <c r="BP108" s="552">
        <f t="shared" si="226"/>
        <v>0</v>
      </c>
      <c r="BQ108" s="552">
        <f t="shared" si="226"/>
        <v>0</v>
      </c>
      <c r="BR108" s="552">
        <f t="shared" si="226"/>
        <v>0</v>
      </c>
      <c r="BS108" s="788">
        <f t="shared" si="226"/>
        <v>0</v>
      </c>
      <c r="BT108" s="788">
        <f t="shared" si="226"/>
        <v>0</v>
      </c>
      <c r="BU108" s="788">
        <f t="shared" si="226"/>
        <v>0</v>
      </c>
      <c r="BV108" s="788">
        <f t="shared" si="226"/>
        <v>0</v>
      </c>
      <c r="BW108" s="552"/>
    </row>
    <row r="109" spans="1:75" s="481" customFormat="1">
      <c r="A109" s="93" t="str">
        <f>INDEX(MO_CFSum_Divestiture,0,COLUMN())</f>
        <v>Divestiture</v>
      </c>
      <c r="B109" s="94"/>
      <c r="C109" s="788">
        <f t="shared" ref="C109:AH109" si="227">INDEX(MO_CFSum_Divestiture,0,COLUMN())</f>
        <v>0</v>
      </c>
      <c r="D109" s="788">
        <f t="shared" si="227"/>
        <v>0</v>
      </c>
      <c r="E109" s="788">
        <f t="shared" si="227"/>
        <v>0</v>
      </c>
      <c r="F109" s="788">
        <f t="shared" si="227"/>
        <v>0</v>
      </c>
      <c r="G109" s="552">
        <f t="shared" si="227"/>
        <v>0</v>
      </c>
      <c r="H109" s="552">
        <f t="shared" si="227"/>
        <v>0</v>
      </c>
      <c r="I109" s="552">
        <f t="shared" si="227"/>
        <v>0</v>
      </c>
      <c r="J109" s="552">
        <f t="shared" si="227"/>
        <v>0</v>
      </c>
      <c r="K109" s="788">
        <f t="shared" si="227"/>
        <v>0</v>
      </c>
      <c r="L109" s="552">
        <f t="shared" si="227"/>
        <v>0</v>
      </c>
      <c r="M109" s="552">
        <f t="shared" si="227"/>
        <v>1.4E-2</v>
      </c>
      <c r="N109" s="552">
        <f t="shared" si="227"/>
        <v>0</v>
      </c>
      <c r="O109" s="552">
        <f t="shared" si="227"/>
        <v>0</v>
      </c>
      <c r="P109" s="788">
        <f t="shared" si="227"/>
        <v>1.4E-2</v>
      </c>
      <c r="Q109" s="552">
        <f t="shared" si="227"/>
        <v>9.7000000000000003E-2</v>
      </c>
      <c r="R109" s="552">
        <f t="shared" si="227"/>
        <v>1.1999999999999997E-2</v>
      </c>
      <c r="S109" s="552">
        <f t="shared" si="227"/>
        <v>0</v>
      </c>
      <c r="T109" s="552">
        <f t="shared" si="227"/>
        <v>2.5000000000000008E-2</v>
      </c>
      <c r="U109" s="788">
        <f t="shared" si="227"/>
        <v>0.13400000000000001</v>
      </c>
      <c r="V109" s="552">
        <f t="shared" si="227"/>
        <v>0</v>
      </c>
      <c r="W109" s="552">
        <f t="shared" si="227"/>
        <v>3.4000000000000002E-2</v>
      </c>
      <c r="X109" s="552">
        <f t="shared" si="227"/>
        <v>4.2999999999999997E-2</v>
      </c>
      <c r="Y109" s="552">
        <f t="shared" si="227"/>
        <v>1.0999999999999996E-2</v>
      </c>
      <c r="Z109" s="788">
        <f t="shared" si="227"/>
        <v>8.7999999999999995E-2</v>
      </c>
      <c r="AA109" s="552">
        <f t="shared" si="227"/>
        <v>0</v>
      </c>
      <c r="AB109" s="552">
        <f t="shared" si="227"/>
        <v>0</v>
      </c>
      <c r="AC109" s="552">
        <f t="shared" si="227"/>
        <v>0</v>
      </c>
      <c r="AD109" s="552">
        <f t="shared" si="227"/>
        <v>252.66300000000001</v>
      </c>
      <c r="AE109" s="788">
        <f t="shared" si="227"/>
        <v>252.66300000000001</v>
      </c>
      <c r="AF109" s="552">
        <f t="shared" si="227"/>
        <v>0</v>
      </c>
      <c r="AG109" s="552">
        <f t="shared" si="227"/>
        <v>0</v>
      </c>
      <c r="AH109" s="552">
        <f t="shared" si="227"/>
        <v>0</v>
      </c>
      <c r="AI109" s="552">
        <f t="shared" ref="AI109:BA109" si="228">INDEX(MO_CFSum_Divestiture,0,COLUMN())</f>
        <v>0</v>
      </c>
      <c r="AJ109" s="788">
        <f t="shared" si="228"/>
        <v>0</v>
      </c>
      <c r="AK109" s="552">
        <f t="shared" si="228"/>
        <v>0</v>
      </c>
      <c r="AL109" s="552">
        <f t="shared" si="228"/>
        <v>0</v>
      </c>
      <c r="AM109" s="552">
        <f t="shared" si="228"/>
        <v>0</v>
      </c>
      <c r="AN109" s="552">
        <f t="shared" si="228"/>
        <v>0</v>
      </c>
      <c r="AO109" s="788">
        <f t="shared" si="228"/>
        <v>0</v>
      </c>
      <c r="AP109" s="552">
        <f t="shared" si="228"/>
        <v>0</v>
      </c>
      <c r="AQ109" s="552">
        <f t="shared" si="228"/>
        <v>0</v>
      </c>
      <c r="AR109" s="552">
        <f t="shared" si="228"/>
        <v>0</v>
      </c>
      <c r="AS109" s="552">
        <f t="shared" si="228"/>
        <v>0</v>
      </c>
      <c r="AT109" s="788">
        <f t="shared" si="228"/>
        <v>0</v>
      </c>
      <c r="AU109" s="552">
        <f t="shared" si="228"/>
        <v>0</v>
      </c>
      <c r="AV109" s="552">
        <f t="shared" si="228"/>
        <v>0</v>
      </c>
      <c r="AW109" s="552">
        <f t="shared" si="228"/>
        <v>0</v>
      </c>
      <c r="AX109" s="552">
        <f t="shared" si="228"/>
        <v>0</v>
      </c>
      <c r="AY109" s="788">
        <f t="shared" si="228"/>
        <v>0</v>
      </c>
      <c r="AZ109" s="552">
        <f t="shared" si="228"/>
        <v>0</v>
      </c>
      <c r="BA109" s="552">
        <f t="shared" si="228"/>
        <v>0</v>
      </c>
      <c r="BB109" s="552">
        <f t="shared" ref="BB109:BG109" si="229">INDEX(MO_CFSum_Divestiture,0,COLUMN())</f>
        <v>0</v>
      </c>
      <c r="BC109" s="552">
        <f t="shared" si="229"/>
        <v>0</v>
      </c>
      <c r="BD109" s="788">
        <f t="shared" si="229"/>
        <v>0</v>
      </c>
      <c r="BE109" s="552">
        <f t="shared" si="229"/>
        <v>0</v>
      </c>
      <c r="BF109" s="552">
        <f t="shared" si="229"/>
        <v>0</v>
      </c>
      <c r="BG109" s="552">
        <f t="shared" si="229"/>
        <v>0</v>
      </c>
      <c r="BH109" s="552">
        <f t="shared" ref="BH109:BN109" si="230">INDEX(MO_CFSum_Divestiture,0,COLUMN())</f>
        <v>0</v>
      </c>
      <c r="BI109" s="788">
        <f t="shared" si="230"/>
        <v>0</v>
      </c>
      <c r="BJ109" s="552">
        <f t="shared" si="230"/>
        <v>0</v>
      </c>
      <c r="BK109" s="552">
        <f t="shared" si="230"/>
        <v>0</v>
      </c>
      <c r="BL109" s="597">
        <f>INDEX(MO_CFSum_Divestiture,0,COLUMN())</f>
        <v>0</v>
      </c>
      <c r="BM109" s="552">
        <f t="shared" si="230"/>
        <v>0</v>
      </c>
      <c r="BN109" s="788">
        <f t="shared" si="230"/>
        <v>0</v>
      </c>
      <c r="BO109" s="552">
        <f t="shared" ref="BO109:BV109" si="231">INDEX(MO_CFSum_Divestiture,0,COLUMN())</f>
        <v>0</v>
      </c>
      <c r="BP109" s="552">
        <f t="shared" si="231"/>
        <v>0</v>
      </c>
      <c r="BQ109" s="552">
        <f t="shared" si="231"/>
        <v>0</v>
      </c>
      <c r="BR109" s="552">
        <f t="shared" si="231"/>
        <v>0</v>
      </c>
      <c r="BS109" s="788">
        <f t="shared" si="231"/>
        <v>0</v>
      </c>
      <c r="BT109" s="788">
        <f t="shared" si="231"/>
        <v>0</v>
      </c>
      <c r="BU109" s="788">
        <f t="shared" si="231"/>
        <v>0</v>
      </c>
      <c r="BV109" s="788">
        <f t="shared" si="231"/>
        <v>0</v>
      </c>
      <c r="BW109" s="552"/>
    </row>
    <row r="110" spans="1:75" s="481" customFormat="1">
      <c r="A110" s="93" t="s">
        <v>647</v>
      </c>
      <c r="B110" s="94"/>
      <c r="C110" s="788">
        <f t="shared" ref="C110:AH110" si="232">INDEX(MO_CFSum_NetShares,0,COLUMN())</f>
        <v>7.1999999999999995E-2</v>
      </c>
      <c r="D110" s="788">
        <f t="shared" si="232"/>
        <v>0.439</v>
      </c>
      <c r="E110" s="788">
        <f t="shared" si="232"/>
        <v>1.5819999999999999</v>
      </c>
      <c r="F110" s="788">
        <f t="shared" si="232"/>
        <v>115.48099999999999</v>
      </c>
      <c r="G110" s="552">
        <f t="shared" si="232"/>
        <v>1.5760000000000001</v>
      </c>
      <c r="H110" s="552">
        <f t="shared" si="232"/>
        <v>2.835</v>
      </c>
      <c r="I110" s="552">
        <f t="shared" si="232"/>
        <v>4.923</v>
      </c>
      <c r="J110" s="552">
        <f t="shared" si="232"/>
        <v>282.38599999999997</v>
      </c>
      <c r="K110" s="788">
        <f t="shared" si="232"/>
        <v>291.71999999999997</v>
      </c>
      <c r="L110" s="552">
        <f t="shared" si="232"/>
        <v>6.4130000000000003</v>
      </c>
      <c r="M110" s="552">
        <f t="shared" si="232"/>
        <v>8.3329999999999966</v>
      </c>
      <c r="N110" s="552">
        <f t="shared" si="232"/>
        <v>6.5209999999999999</v>
      </c>
      <c r="O110" s="552">
        <f t="shared" si="232"/>
        <v>8.2820000000000036</v>
      </c>
      <c r="P110" s="788">
        <f t="shared" si="232"/>
        <v>29.548999999999999</v>
      </c>
      <c r="Q110" s="552">
        <f t="shared" si="232"/>
        <v>4.0449999999999999</v>
      </c>
      <c r="R110" s="552">
        <f t="shared" si="232"/>
        <v>13.106000000000002</v>
      </c>
      <c r="S110" s="552">
        <f t="shared" si="232"/>
        <v>1.6149999999999989</v>
      </c>
      <c r="T110" s="552">
        <f t="shared" si="232"/>
        <v>8.5010000000000012</v>
      </c>
      <c r="U110" s="788">
        <f t="shared" si="232"/>
        <v>27.267000000000003</v>
      </c>
      <c r="V110" s="552">
        <f t="shared" si="232"/>
        <v>1.0449999999999999</v>
      </c>
      <c r="W110" s="552">
        <f t="shared" si="232"/>
        <v>6.8100000000000005</v>
      </c>
      <c r="X110" s="552">
        <f t="shared" si="232"/>
        <v>10.199999999999999</v>
      </c>
      <c r="Y110" s="552">
        <f t="shared" si="232"/>
        <v>11.466999999999999</v>
      </c>
      <c r="Z110" s="788">
        <f t="shared" si="232"/>
        <v>29.521999999999998</v>
      </c>
      <c r="AA110" s="552">
        <f t="shared" si="232"/>
        <v>3.2869999999999999</v>
      </c>
      <c r="AB110" s="552">
        <f t="shared" si="232"/>
        <v>16.067</v>
      </c>
      <c r="AC110" s="552">
        <f t="shared" si="232"/>
        <v>2.4590000000000014</v>
      </c>
      <c r="AD110" s="552">
        <f t="shared" si="232"/>
        <v>5.349000000000002</v>
      </c>
      <c r="AE110" s="788">
        <f t="shared" si="232"/>
        <v>27.162000000000006</v>
      </c>
      <c r="AF110" s="552">
        <f t="shared" si="232"/>
        <v>-39.973999999999997</v>
      </c>
      <c r="AG110" s="552">
        <f t="shared" si="232"/>
        <v>-37.547000000000004</v>
      </c>
      <c r="AH110" s="552">
        <f t="shared" si="232"/>
        <v>-13.717999999999996</v>
      </c>
      <c r="AI110" s="552">
        <f t="shared" ref="AI110:BA110" si="233">INDEX(MO_CFSum_NetShares,0,COLUMN())</f>
        <v>-116.50800000000001</v>
      </c>
      <c r="AJ110" s="788">
        <f t="shared" si="233"/>
        <v>-207.74700000000001</v>
      </c>
      <c r="AK110" s="552">
        <f t="shared" si="233"/>
        <v>-113.47800000000001</v>
      </c>
      <c r="AL110" s="552">
        <f t="shared" si="233"/>
        <v>-295.54199999999997</v>
      </c>
      <c r="AM110" s="552">
        <f t="shared" si="233"/>
        <v>-82.943999999999988</v>
      </c>
      <c r="AN110" s="552">
        <f t="shared" si="233"/>
        <v>0.44499999999996476</v>
      </c>
      <c r="AO110" s="788">
        <f t="shared" si="233"/>
        <v>-491.51900000000001</v>
      </c>
      <c r="AP110" s="552">
        <f t="shared" si="233"/>
        <v>-8.9289999999999985</v>
      </c>
      <c r="AQ110" s="552">
        <f t="shared" si="233"/>
        <v>7.1799999999999979</v>
      </c>
      <c r="AR110" s="552">
        <f t="shared" si="233"/>
        <v>0.81199999999999939</v>
      </c>
      <c r="AS110" s="552">
        <f t="shared" si="233"/>
        <v>-19.681999999999999</v>
      </c>
      <c r="AT110" s="788">
        <f t="shared" si="233"/>
        <v>-20.619</v>
      </c>
      <c r="AU110" s="552">
        <f t="shared" si="233"/>
        <v>-60.281999999999996</v>
      </c>
      <c r="AV110" s="552">
        <f t="shared" si="233"/>
        <v>-73.111999999999995</v>
      </c>
      <c r="AW110" s="552">
        <f t="shared" si="233"/>
        <v>-76.811000000000007</v>
      </c>
      <c r="AX110" s="552">
        <f t="shared" si="233"/>
        <v>-90.284000000000006</v>
      </c>
      <c r="AY110" s="788">
        <f t="shared" si="233"/>
        <v>-300.48899999999998</v>
      </c>
      <c r="AZ110" s="552">
        <f t="shared" si="233"/>
        <v>-67.953000000000003</v>
      </c>
      <c r="BA110" s="552">
        <f t="shared" si="233"/>
        <v>-53.073</v>
      </c>
      <c r="BB110" s="552">
        <f t="shared" ref="BB110:BG110" si="234">INDEX(MO_CFSum_NetShares,0,COLUMN())</f>
        <v>-60.998000000000005</v>
      </c>
      <c r="BC110" s="552">
        <f t="shared" si="234"/>
        <v>-55.508000000000003</v>
      </c>
      <c r="BD110" s="788">
        <f t="shared" si="234"/>
        <v>-237.53200000000001</v>
      </c>
      <c r="BE110" s="552">
        <f t="shared" si="234"/>
        <v>-54.706000000000003</v>
      </c>
      <c r="BF110" s="552">
        <f t="shared" si="234"/>
        <v>-57.4</v>
      </c>
      <c r="BG110" s="552">
        <f t="shared" si="234"/>
        <v>-70.076999999999998</v>
      </c>
      <c r="BH110" s="552">
        <f t="shared" ref="BH110:BN110" si="235">INDEX(MO_CFSum_NetShares,0,COLUMN())</f>
        <v>-63.486000000000004</v>
      </c>
      <c r="BI110" s="788">
        <f t="shared" si="235"/>
        <v>-245.66900000000001</v>
      </c>
      <c r="BJ110" s="552">
        <f t="shared" si="235"/>
        <v>-83.834000000000003</v>
      </c>
      <c r="BK110" s="552">
        <f t="shared" si="235"/>
        <v>-66.576999999999998</v>
      </c>
      <c r="BL110" s="597">
        <f>INDEX(MO_CFSum_NetShares,0,COLUMN())</f>
        <v>-82.596000000000004</v>
      </c>
      <c r="BM110" s="552">
        <f t="shared" si="235"/>
        <v>0</v>
      </c>
      <c r="BN110" s="788">
        <f t="shared" si="235"/>
        <v>-233.00700000000001</v>
      </c>
      <c r="BO110" s="552">
        <f t="shared" ref="BO110:BV110" si="236">INDEX(MO_CFSum_NetShares,0,COLUMN())</f>
        <v>0</v>
      </c>
      <c r="BP110" s="552">
        <f t="shared" si="236"/>
        <v>0</v>
      </c>
      <c r="BQ110" s="552">
        <f t="shared" si="236"/>
        <v>0</v>
      </c>
      <c r="BR110" s="552">
        <f t="shared" si="236"/>
        <v>0</v>
      </c>
      <c r="BS110" s="788">
        <f t="shared" si="236"/>
        <v>0</v>
      </c>
      <c r="BT110" s="788">
        <f t="shared" si="236"/>
        <v>0</v>
      </c>
      <c r="BU110" s="788">
        <f t="shared" si="236"/>
        <v>0</v>
      </c>
      <c r="BV110" s="788">
        <f t="shared" si="236"/>
        <v>0</v>
      </c>
      <c r="BW110" s="552"/>
    </row>
    <row r="111" spans="1:75" s="481" customFormat="1">
      <c r="A111" s="93" t="s">
        <v>648</v>
      </c>
      <c r="B111" s="94"/>
      <c r="C111" s="788">
        <f t="shared" ref="C111:AH111" si="237">INDEX(MO_CFSum_NetDebtIssuance,0,COLUMN())</f>
        <v>0</v>
      </c>
      <c r="D111" s="788">
        <f t="shared" si="237"/>
        <v>0</v>
      </c>
      <c r="E111" s="788">
        <f t="shared" si="237"/>
        <v>0</v>
      </c>
      <c r="F111" s="788">
        <f t="shared" si="237"/>
        <v>-1.3080000000000001</v>
      </c>
      <c r="G111" s="552">
        <f t="shared" si="237"/>
        <v>0</v>
      </c>
      <c r="H111" s="552">
        <f t="shared" si="237"/>
        <v>0</v>
      </c>
      <c r="I111" s="552">
        <f t="shared" si="237"/>
        <v>0</v>
      </c>
      <c r="J111" s="552">
        <f t="shared" si="237"/>
        <v>0</v>
      </c>
      <c r="K111" s="788">
        <f t="shared" si="237"/>
        <v>0</v>
      </c>
      <c r="L111" s="552">
        <f t="shared" si="237"/>
        <v>0</v>
      </c>
      <c r="M111" s="552">
        <f t="shared" si="237"/>
        <v>0</v>
      </c>
      <c r="N111" s="552">
        <f t="shared" si="237"/>
        <v>0</v>
      </c>
      <c r="O111" s="552">
        <f t="shared" si="237"/>
        <v>0</v>
      </c>
      <c r="P111" s="788">
        <f t="shared" si="237"/>
        <v>0</v>
      </c>
      <c r="Q111" s="552">
        <f t="shared" si="237"/>
        <v>0</v>
      </c>
      <c r="R111" s="552">
        <f t="shared" si="237"/>
        <v>0</v>
      </c>
      <c r="S111" s="552">
        <f t="shared" si="237"/>
        <v>0</v>
      </c>
      <c r="T111" s="552">
        <f t="shared" si="237"/>
        <v>-0.82499999999999996</v>
      </c>
      <c r="U111" s="788">
        <f t="shared" si="237"/>
        <v>-0.82499999999999996</v>
      </c>
      <c r="V111" s="552">
        <f t="shared" si="237"/>
        <v>0</v>
      </c>
      <c r="W111" s="552">
        <f t="shared" si="237"/>
        <v>0</v>
      </c>
      <c r="X111" s="552">
        <f t="shared" si="237"/>
        <v>0</v>
      </c>
      <c r="Y111" s="552">
        <f t="shared" si="237"/>
        <v>0</v>
      </c>
      <c r="Z111" s="788">
        <f t="shared" si="237"/>
        <v>0</v>
      </c>
      <c r="AA111" s="552">
        <f t="shared" si="237"/>
        <v>0</v>
      </c>
      <c r="AB111" s="552">
        <f t="shared" si="237"/>
        <v>0</v>
      </c>
      <c r="AC111" s="552">
        <f t="shared" si="237"/>
        <v>0</v>
      </c>
      <c r="AD111" s="552">
        <f t="shared" si="237"/>
        <v>0</v>
      </c>
      <c r="AE111" s="788">
        <f t="shared" si="237"/>
        <v>0</v>
      </c>
      <c r="AF111" s="552">
        <f t="shared" si="237"/>
        <v>0</v>
      </c>
      <c r="AG111" s="552">
        <f t="shared" si="237"/>
        <v>0</v>
      </c>
      <c r="AH111" s="552">
        <f t="shared" si="237"/>
        <v>0</v>
      </c>
      <c r="AI111" s="552">
        <f t="shared" ref="AI111:BA111" si="238">INDEX(MO_CFSum_NetDebtIssuance,0,COLUMN())</f>
        <v>0</v>
      </c>
      <c r="AJ111" s="788">
        <f t="shared" si="238"/>
        <v>0</v>
      </c>
      <c r="AK111" s="552">
        <f t="shared" si="238"/>
        <v>0</v>
      </c>
      <c r="AL111" s="552">
        <f t="shared" si="238"/>
        <v>0</v>
      </c>
      <c r="AM111" s="552">
        <f t="shared" si="238"/>
        <v>0</v>
      </c>
      <c r="AN111" s="552">
        <f t="shared" si="238"/>
        <v>0</v>
      </c>
      <c r="AO111" s="788">
        <f t="shared" si="238"/>
        <v>0</v>
      </c>
      <c r="AP111" s="552">
        <f t="shared" si="238"/>
        <v>0</v>
      </c>
      <c r="AQ111" s="552">
        <f t="shared" si="238"/>
        <v>0</v>
      </c>
      <c r="AR111" s="552">
        <f t="shared" si="238"/>
        <v>0</v>
      </c>
      <c r="AS111" s="552">
        <f t="shared" si="238"/>
        <v>0</v>
      </c>
      <c r="AT111" s="788">
        <f t="shared" si="238"/>
        <v>0</v>
      </c>
      <c r="AU111" s="552">
        <f t="shared" si="238"/>
        <v>0</v>
      </c>
      <c r="AV111" s="552">
        <f t="shared" si="238"/>
        <v>0</v>
      </c>
      <c r="AW111" s="552">
        <f t="shared" si="238"/>
        <v>0</v>
      </c>
      <c r="AX111" s="552">
        <f t="shared" si="238"/>
        <v>0</v>
      </c>
      <c r="AY111" s="788">
        <f t="shared" si="238"/>
        <v>0</v>
      </c>
      <c r="AZ111" s="552">
        <f t="shared" si="238"/>
        <v>0</v>
      </c>
      <c r="BA111" s="552">
        <f t="shared" si="238"/>
        <v>0</v>
      </c>
      <c r="BB111" s="552">
        <f t="shared" ref="BB111:BG111" si="239">INDEX(MO_CFSum_NetDebtIssuance,0,COLUMN())</f>
        <v>0</v>
      </c>
      <c r="BC111" s="552">
        <f t="shared" si="239"/>
        <v>0</v>
      </c>
      <c r="BD111" s="788">
        <f t="shared" si="239"/>
        <v>0</v>
      </c>
      <c r="BE111" s="552">
        <f t="shared" si="239"/>
        <v>0</v>
      </c>
      <c r="BF111" s="552">
        <f t="shared" si="239"/>
        <v>0</v>
      </c>
      <c r="BG111" s="552">
        <f t="shared" si="239"/>
        <v>0</v>
      </c>
      <c r="BH111" s="552">
        <f t="shared" ref="BH111:BN111" si="240">INDEX(MO_CFSum_NetDebtIssuance,0,COLUMN())</f>
        <v>0</v>
      </c>
      <c r="BI111" s="788">
        <f t="shared" si="240"/>
        <v>0</v>
      </c>
      <c r="BJ111" s="552">
        <f t="shared" si="240"/>
        <v>0</v>
      </c>
      <c r="BK111" s="552">
        <f t="shared" si="240"/>
        <v>0</v>
      </c>
      <c r="BL111" s="597">
        <f>INDEX(MO_CFSum_NetDebtIssuance,0,COLUMN())</f>
        <v>0</v>
      </c>
      <c r="BM111" s="552">
        <f t="shared" si="240"/>
        <v>0</v>
      </c>
      <c r="BN111" s="788">
        <f t="shared" si="240"/>
        <v>0</v>
      </c>
      <c r="BO111" s="552">
        <f t="shared" ref="BO111:BV111" si="241">INDEX(MO_CFSum_NetDebtIssuance,0,COLUMN())</f>
        <v>0</v>
      </c>
      <c r="BP111" s="552">
        <f t="shared" si="241"/>
        <v>0</v>
      </c>
      <c r="BQ111" s="552">
        <f t="shared" si="241"/>
        <v>0</v>
      </c>
      <c r="BR111" s="552">
        <f t="shared" si="241"/>
        <v>0</v>
      </c>
      <c r="BS111" s="788">
        <f t="shared" si="241"/>
        <v>0</v>
      </c>
      <c r="BT111" s="788">
        <f t="shared" si="241"/>
        <v>0</v>
      </c>
      <c r="BU111" s="788">
        <f t="shared" si="241"/>
        <v>0</v>
      </c>
      <c r="BV111" s="788">
        <f t="shared" si="241"/>
        <v>0</v>
      </c>
      <c r="BW111" s="552"/>
    </row>
    <row r="112" spans="1:75" s="481" customFormat="1">
      <c r="A112" s="93" t="s">
        <v>640</v>
      </c>
      <c r="B112" s="94"/>
      <c r="C112" s="788">
        <f>Model!C563+Model!C537+Model!C538+Model!C474+Model!C541+Model!C542+Model!C544+Model!C535+Model!C533+Model!C554+Model!C560+Model!C540+Model!C558</f>
        <v>2.3860000000000001</v>
      </c>
      <c r="D112" s="788">
        <f>Model!D563+Model!D537+Model!D538+Model!D474+Model!D541+Model!D542+Model!D544+Model!D535+Model!D533+Model!D554+Model!D560+Model!D540+Model!D558</f>
        <v>24.172000000000001</v>
      </c>
      <c r="E112" s="788">
        <f>Model!E563+Model!E537+Model!E538+Model!E474+Model!E541+Model!E542+Model!E544+Model!E535+Model!E533+Model!E554+Model!E560+Model!E540+Model!E558</f>
        <v>0.13399999999999998</v>
      </c>
      <c r="F112" s="788">
        <f>Model!F563+Model!F537+Model!F538+Model!F474+Model!F541+Model!F542+Model!F544+Model!F535+Model!F533+Model!F554+Model!F560+Model!F540+Model!F558</f>
        <v>-6.1070000000000002</v>
      </c>
      <c r="G112" s="552">
        <f>Model!G563+Model!G537+Model!G538+Model!G474+Model!G541+Model!G542+Model!G544+Model!G535+Model!G533+Model!G554+Model!G560+Model!G540+Model!G558</f>
        <v>-0.11600000000000001</v>
      </c>
      <c r="H112" s="552">
        <f>Model!H563+Model!H537+Model!H538+Model!H474+Model!H541+Model!H542+Model!H544+Model!H535+Model!H533+Model!H554+Model!H560+Model!H540+Model!H558</f>
        <v>-0.63300000000000001</v>
      </c>
      <c r="I112" s="552">
        <f>Model!I563+Model!I537+Model!I538+Model!I474+Model!I541+Model!I542+Model!I544+Model!I535+Model!I533+Model!I554+Model!I560+Model!I540+Model!I558</f>
        <v>0.26600000000000001</v>
      </c>
      <c r="J112" s="552">
        <f>Model!J563+Model!J537+Model!J538+Model!J474+Model!J541+Model!J542+Model!J544+Model!J535+Model!J533+Model!J554+Model!J560+Model!J540+Model!J558</f>
        <v>5.1269999999999998</v>
      </c>
      <c r="K112" s="788">
        <f>Model!K563+Model!K537+Model!K538+Model!K474+Model!K541+Model!K542+Model!K544+Model!K535+Model!K533+Model!K554+Model!K560+Model!K540+Model!K558</f>
        <v>4.6440000000000001</v>
      </c>
      <c r="L112" s="552">
        <f>Model!L563+Model!L537+Model!L538+Model!L474+Model!L541+Model!L542+Model!L544+Model!L535+Model!L533+Model!L554+Model!L560+Model!L540+Model!L558</f>
        <v>-0.34200000000000003</v>
      </c>
      <c r="M112" s="552">
        <f>Model!M563+Model!M537+Model!M538+Model!M474+Model!M541+Model!M542+Model!M544+Model!M535+Model!M533+Model!M554+Model!M560+Model!M540+Model!M558</f>
        <v>-122.246</v>
      </c>
      <c r="N112" s="552">
        <f>Model!N563+Model!N537+Model!N538+Model!N474+Model!N541+Model!N542+Model!N544+Model!N535+Model!N533+Model!N554+Model!N560+Model!N540+Model!N558</f>
        <v>-14.883000000000008</v>
      </c>
      <c r="O112" s="552">
        <f>Model!O563+Model!O537+Model!O538+Model!O474+Model!O541+Model!O542+Model!O544+Model!O535+Model!O533+Model!O554+Model!O560+Model!O540+Model!O558</f>
        <v>-36.008999999999986</v>
      </c>
      <c r="P112" s="788">
        <f>Model!P563+Model!P537+Model!P538+Model!P474+Model!P541+Model!P542+Model!P544+Model!P535+Model!P533+Model!P554+Model!P560+Model!P540+Model!P558</f>
        <v>-173.48</v>
      </c>
      <c r="Q112" s="552">
        <f>Model!Q563+Model!Q537+Model!Q538+Model!Q474+Model!Q541+Model!Q542+Model!Q544+Model!Q535+Model!Q533+Model!Q554+Model!Q560+Model!Q540+Model!Q558</f>
        <v>-18.523</v>
      </c>
      <c r="R112" s="552">
        <f>Model!R563+Model!R537+Model!R538+Model!R474+Model!R541+Model!R542+Model!R544+Model!R535+Model!R533+Model!R554+Model!R560+Model!R540+Model!R558</f>
        <v>-10.44700000000001</v>
      </c>
      <c r="S112" s="552">
        <f>Model!S563+Model!S537+Model!S538+Model!S474+Model!S541+Model!S542+Model!S544+Model!S535+Model!S533+Model!S554+Model!S560+Model!S540+Model!S558</f>
        <v>-10.852000000000007</v>
      </c>
      <c r="T112" s="552">
        <f>Model!T563+Model!T537+Model!T538+Model!T474+Model!T541+Model!T542+Model!T544+Model!T535+Model!T533+Model!T554+Model!T560+Model!T540+Model!T558</f>
        <v>-2.8849999999999856</v>
      </c>
      <c r="U112" s="788">
        <f>Model!U563+Model!U537+Model!U538+Model!U474+Model!U541+Model!U542+Model!U544+Model!U535+Model!U533+Model!U554+Model!U560+Model!U540+Model!U558</f>
        <v>-42.706999999999994</v>
      </c>
      <c r="V112" s="552">
        <f>Model!V563+Model!V537+Model!V538+Model!V474+Model!V541+Model!V542+Model!V544+Model!V535+Model!V533+Model!V554+Model!V560+Model!V540+Model!V558</f>
        <v>-2.2619999999999929</v>
      </c>
      <c r="W112" s="552">
        <f>Model!W563+Model!W537+Model!W538+Model!W474+Model!W541+Model!W542+Model!W544+Model!W535+Model!W533+Model!W554+Model!W560+Model!W540+Model!W558</f>
        <v>-7.862000000000009</v>
      </c>
      <c r="X112" s="552">
        <f>Model!X563+Model!X537+Model!X538+Model!X474+Model!X541+Model!X542+Model!X544+Model!X535+Model!X533+Model!X554+Model!X560+Model!X540+Model!X558</f>
        <v>-7.9439999999999715</v>
      </c>
      <c r="Y112" s="552">
        <f>Model!Y563+Model!Y537+Model!Y538+Model!Y474+Model!Y541+Model!Y542+Model!Y544+Model!Y535+Model!Y533+Model!Y554+Model!Y560+Model!Y540+Model!Y558</f>
        <v>-0.48999999999998756</v>
      </c>
      <c r="Z112" s="788">
        <f>Model!Z563+Model!Z537+Model!Z538+Model!Z474+Model!Z541+Model!Z542+Model!Z544+Model!Z535+Model!Z533+Model!Z554+Model!Z560+Model!Z540+Model!Z558</f>
        <v>-18.557999999999975</v>
      </c>
      <c r="AA112" s="552">
        <f>Model!AA563+Model!AA537+Model!AA538+Model!AA474+Model!AA541+Model!AA542+Model!AA544+Model!AA535+Model!AA533+Model!AA554+Model!AA560+Model!AA540+Model!AA558</f>
        <v>-5.8039999999999985</v>
      </c>
      <c r="AB112" s="552">
        <f>Model!AB563+Model!AB537+Model!AB538+Model!AB474+Model!AB541+Model!AB542+Model!AB544+Model!AB535+Model!AB533+Model!AB554+Model!AB560+Model!AB540+Model!AB558</f>
        <v>21.554999999999996</v>
      </c>
      <c r="AC112" s="552">
        <f>Model!AC563+Model!AC537+Model!AC538+Model!AC474+Model!AC541+Model!AC542+Model!AC544+Model!AC535+Model!AC533+Model!AC554+Model!AC560+Model!AC540+Model!AC558</f>
        <v>-3.3749999999999858</v>
      </c>
      <c r="AD112" s="552">
        <f>Model!AD563+Model!AD537+Model!AD538+Model!AD474+Model!AD541+Model!AD542+Model!AD544+Model!AD535+Model!AD533+Model!AD554+Model!AD560+Model!AD540+Model!AD558</f>
        <v>-102.173</v>
      </c>
      <c r="AE112" s="788">
        <f>Model!AE563+Model!AE537+Model!AE538+Model!AE474+Model!AE541+Model!AE542+Model!AE544+Model!AE535+Model!AE533+Model!AE554+Model!AE560+Model!AE540+Model!AE558</f>
        <v>-89.796999999999969</v>
      </c>
      <c r="AF112" s="552">
        <f>Model!AF563+Model!AF537+Model!AF538+Model!AF474+Model!AF541+Model!AF542+Model!AF544+Model!AF535+Model!AF533+Model!AF554+Model!AF560+Model!AF540+Model!AF558</f>
        <v>-137.96599999999995</v>
      </c>
      <c r="AG112" s="552">
        <f>Model!AG563+Model!AG537+Model!AG538+Model!AG474+Model!AG541+Model!AG542+Model!AG544+Model!AG535+Model!AG533+Model!AG554+Model!AG560+Model!AG540+Model!AG558</f>
        <v>24.884999999999962</v>
      </c>
      <c r="AH112" s="552">
        <f>Model!AH563+Model!AH537+Model!AH538+Model!AH474+Model!AH541+Model!AH542+Model!AH544+Model!AH535+Model!AH533+Model!AH554+Model!AH560+Model!AH540+Model!AH558</f>
        <v>1.3540000000000134</v>
      </c>
      <c r="AI112" s="552">
        <f>Model!AI563+Model!AI537+Model!AI538+Model!AI474+Model!AI541+Model!AI542+Model!AI544+Model!AI535+Model!AI533+Model!AI554+Model!AI560+Model!AI540+Model!AI558</f>
        <v>-7.309999999999917</v>
      </c>
      <c r="AJ112" s="788">
        <f>Model!AJ563+Model!AJ537+Model!AJ538+Model!AJ474+Model!AJ541+Model!AJ542+Model!AJ544+Model!AJ535+Model!AJ533+Model!AJ554+Model!AJ560+Model!AJ540+Model!AJ558</f>
        <v>-119.03699999999992</v>
      </c>
      <c r="AK112" s="552">
        <f>Model!AK563+Model!AK537+Model!AK538+Model!AK474+Model!AK541+Model!AK542+Model!AK544+Model!AK535+Model!AK533+Model!AK554+Model!AK560+Model!AK540+Model!AK558</f>
        <v>44.080000000000013</v>
      </c>
      <c r="AL112" s="552">
        <f>Model!AL563+Model!AL537+Model!AL538+Model!AL474+Model!AL541+Model!AL542+Model!AL544+Model!AL535+Model!AL533+Model!AL554+Model!AL560+Model!AL540+Model!AL558</f>
        <v>93.018999999999977</v>
      </c>
      <c r="AM112" s="552">
        <f>Model!AM563+Model!AM537+Model!AM538+Model!AM474+Model!AM541+Model!AM542+Model!AM544+Model!AM535+Model!AM533+Model!AM554+Model!AM560+Model!AM540+Model!AM558</f>
        <v>26.240999999999971</v>
      </c>
      <c r="AN112" s="552">
        <f>Model!AN563+Model!AN537+Model!AN538+Model!AN474+Model!AN541+Model!AN542+Model!AN544+Model!AN535+Model!AN533+Model!AN554+Model!AN560+Model!AN540+Model!AN558</f>
        <v>-1.5979999999999848</v>
      </c>
      <c r="AO112" s="788">
        <f>Model!AO563+Model!AO537+Model!AO538+Model!AO474+Model!AO541+Model!AO542+Model!AO544+Model!AO535+Model!AO533+Model!AO554+Model!AO560+Model!AO540+Model!AO558</f>
        <v>161.74199999999996</v>
      </c>
      <c r="AP112" s="552">
        <f>Model!AP563+Model!AP537+Model!AP538+Model!AP474+Model!AP541+Model!AP542+Model!AP544+Model!AP535+Model!AP533+Model!AP554+Model!AP560+Model!AP540+Model!AP558</f>
        <v>169.786</v>
      </c>
      <c r="AQ112" s="552">
        <f>Model!AQ563+Model!AQ537+Model!AQ538+Model!AQ474+Model!AQ541+Model!AQ542+Model!AQ544+Model!AQ535+Model!AQ533+Model!AQ554+Model!AQ560+Model!AQ540+Model!AQ558</f>
        <v>126.00299999999999</v>
      </c>
      <c r="AR112" s="552">
        <f>Model!AR563+Model!AR537+Model!AR538+Model!AR474+Model!AR541+Model!AR542+Model!AR544+Model!AR535+Model!AR533+Model!AR554+Model!AR560+Model!AR540+Model!AR558</f>
        <v>0.13200000000000001</v>
      </c>
      <c r="AS112" s="552">
        <f>Model!AS563+Model!AS537+Model!AS538+Model!AS474+Model!AS541+Model!AS542+Model!AS544+Model!AS535+Model!AS533+Model!AS554+Model!AS560+Model!AS540+Model!AS558</f>
        <v>-9.65</v>
      </c>
      <c r="AT112" s="788">
        <f>Model!AT563+Model!AT537+Model!AT538+Model!AT474+Model!AT541+Model!AT542+Model!AT544+Model!AT535+Model!AT533+Model!AT554+Model!AT560+Model!AT540+Model!AT558</f>
        <v>286.27100000000002</v>
      </c>
      <c r="AU112" s="552">
        <f>Model!AU563+Model!AU537+Model!AU538+Model!AU474+Model!AU541+Model!AU542+Model!AU544+Model!AU535+Model!AU533+Model!AU554+Model!AU560+Model!AU540+Model!AU558</f>
        <v>9.7000000000000003E-2</v>
      </c>
      <c r="AV112" s="552">
        <f>Model!AV563+Model!AV537+Model!AV538+Model!AV474+Model!AV541+Model!AV542+Model!AV544+Model!AV535+Model!AV533+Model!AV554+Model!AV560+Model!AV540+Model!AV558</f>
        <v>0.19</v>
      </c>
      <c r="AW112" s="552">
        <f>Model!AW563+Model!AW537+Model!AW538+Model!AW474+Model!AW541+Model!AW542+Model!AW544+Model!AW535+Model!AW533+Model!AW554+Model!AW560+Model!AW540+Model!AW558</f>
        <v>-8.3000000000000018E-2</v>
      </c>
      <c r="AX112" s="552">
        <f>Model!AX563+Model!AX537+Model!AX538+Model!AX474+Model!AX541+Model!AX542+Model!AX544+Model!AX535+Model!AX533+Model!AX554+Model!AX560+Model!AX540+Model!AX558</f>
        <v>1.3000000000000012E-2</v>
      </c>
      <c r="AY112" s="788">
        <f>Model!AY563+Model!AY537+Model!AY538+Model!AY474+Model!AY541+Model!AY542+Model!AY544+Model!AY535+Model!AY533+Model!AY554+Model!AY560+Model!AY540+Model!AY558</f>
        <v>0.21700000000000003</v>
      </c>
      <c r="AZ112" s="552">
        <f>Model!AZ563+Model!AZ537+Model!AZ538+Model!AZ474+Model!AZ541+Model!AZ542+Model!AZ544+Model!AZ535+Model!AZ533+Model!AZ554+Model!AZ560+Model!AZ540+Model!AZ558</f>
        <v>-4.0000000000000008E-2</v>
      </c>
      <c r="BA112" s="552">
        <f>Model!BA563+Model!BA537+Model!BA538+Model!BA474+Model!BA541+Model!BA542+Model!BA544+Model!BA535+Model!BA533+Model!BA554+Model!BA560+Model!BA540+Model!BA558</f>
        <v>-1.095</v>
      </c>
      <c r="BB112" s="552">
        <f>Model!BB563+Model!BB537+Model!BB538+Model!BB474+Model!BB541+Model!BB542+Model!BB544+Model!BB535+Model!BB533+Model!BB554+Model!BB560+Model!BB540+Model!BB558</f>
        <v>-93.097999999999999</v>
      </c>
      <c r="BC112" s="552">
        <f>Model!BC563+Model!BC537+Model!BC538+Model!BC474+Model!BC541+Model!BC542+Model!BC544+Model!BC535+Model!BC533+Model!BC554+Model!BC560+Model!BC540+Model!BC558</f>
        <v>-2.0680000000000049</v>
      </c>
      <c r="BD112" s="788">
        <f>Model!BD563+Model!BD537+Model!BD538+Model!BD474+Model!BD541+Model!BD542+Model!BD544+Model!BD535+Model!BD533+Model!BD554+Model!BD560+Model!BD540+Model!BD558</f>
        <v>-96.301000000000002</v>
      </c>
      <c r="BE112" s="552">
        <f>Model!BE563+Model!BE537+Model!BE538+Model!BE474+Model!BE541+Model!BE542+Model!BE544+Model!BE535+Model!BE533+Model!BE554+Model!BE560+Model!BE540+Model!BE558</f>
        <v>-29.322999999999997</v>
      </c>
      <c r="BF112" s="552">
        <f>Model!BF563+Model!BF537+Model!BF538+Model!BF474+Model!BF541+Model!BF542+Model!BF544+Model!BF535+Model!BF533+Model!BF554+Model!BF560+Model!BF540+Model!BF558</f>
        <v>-2.0330000000000052</v>
      </c>
      <c r="BG112" s="552">
        <f>Model!BG563+Model!BG537+Model!BG538+Model!BG474+Model!BG541+Model!BG542+Model!BG544+Model!BG535+Model!BG533+Model!BG554+Model!BG560+Model!BG540+Model!BG558</f>
        <v>5.5949999999999918</v>
      </c>
      <c r="BH112" s="552">
        <f>Model!BH563+Model!BH537+Model!BH538+Model!BH474+Model!BH541+Model!BH542+Model!BH544+Model!BH535+Model!BH533+Model!BH554+Model!BH560+Model!BH540+Model!BH558</f>
        <v>-1.1390000000000042</v>
      </c>
      <c r="BI112" s="788">
        <f>Model!BI563+Model!BI537+Model!BI538+Model!BI474+Model!BI541+Model!BI542+Model!BI544+Model!BI535+Model!BI533+Model!BI554+Model!BI560+Model!BI540+Model!BI558</f>
        <v>-26.900000000000013</v>
      </c>
      <c r="BJ112" s="552">
        <f>Model!BJ563+Model!BJ537+Model!BJ538+Model!BJ474+Model!BJ541+Model!BJ542+Model!BJ544+Model!BJ535+Model!BJ533+Model!BJ554+Model!BJ560+Model!BJ540+Model!BJ558</f>
        <v>9.9999999999997868E-2</v>
      </c>
      <c r="BK112" s="552">
        <f>Model!BK563+Model!BK537+Model!BK538+Model!BK474+Model!BK541+Model!BK542+Model!BK544+Model!BK535+Model!BK533+Model!BK554+Model!BK560+Model!BK540+Model!BK558</f>
        <v>-6.8670000000000009</v>
      </c>
      <c r="BL112" s="597">
        <f>Model!BL563+Model!BL537+Model!BL538+Model!BL474+Model!BL541+Model!BL542+Model!BL544+Model!BL535+Model!BL533+Model!BL554+Model!BL560+Model!BL540+Model!BL558</f>
        <v>-0.75600000000000733</v>
      </c>
      <c r="BM112" s="552">
        <f>Model!BM563+Model!BM537+Model!BM538+Model!BM474+Model!BM541+Model!BM542+Model!BM544+Model!BM535+Model!BM533+Model!BM554+Model!BM560+Model!BM540+Model!BM558</f>
        <v>0</v>
      </c>
      <c r="BN112" s="788">
        <f>Model!BN563+Model!BN537+Model!BN538+Model!BN474+Model!BN541+Model!BN542+Model!BN544+Model!BN535+Model!BN533+Model!BN554+Model!BN560+Model!BN540+Model!BN558</f>
        <v>-7.5230000000000103</v>
      </c>
      <c r="BO112" s="552">
        <f>Model!BO563+Model!BO537+Model!BO538+Model!BO474+Model!BO541+Model!BO542+Model!BO544+Model!BO535+Model!BO533+Model!BO554+Model!BO560+Model!BO540+Model!BO558</f>
        <v>0</v>
      </c>
      <c r="BP112" s="552">
        <f>Model!BP563+Model!BP537+Model!BP538+Model!BP474+Model!BP541+Model!BP542+Model!BP544+Model!BP535+Model!BP533+Model!BP554+Model!BP560+Model!BP540+Model!BP558</f>
        <v>0</v>
      </c>
      <c r="BQ112" s="552">
        <f>Model!BQ563+Model!BQ537+Model!BQ538+Model!BQ474+Model!BQ541+Model!BQ542+Model!BQ544+Model!BQ535+Model!BQ533+Model!BQ554+Model!BQ560+Model!BQ540+Model!BQ558</f>
        <v>0</v>
      </c>
      <c r="BR112" s="552">
        <f>Model!BR563+Model!BR537+Model!BR538+Model!BR474+Model!BR541+Model!BR542+Model!BR544+Model!BR535+Model!BR533+Model!BR554+Model!BR560+Model!BR540+Model!BR558</f>
        <v>0</v>
      </c>
      <c r="BS112" s="788">
        <f>Model!BS563+Model!BS537+Model!BS538+Model!BS474+Model!BS541+Model!BS542+Model!BS544+Model!BS535+Model!BS533+Model!BS554+Model!BS560+Model!BS540+Model!BS558</f>
        <v>0</v>
      </c>
      <c r="BT112" s="788">
        <f>Model!BT563+Model!BT537+Model!BT538+Model!BT474+Model!BT541+Model!BT542+Model!BT544+Model!BT535+Model!BT533+Model!BT554+Model!BT560+Model!BT540+Model!BT558</f>
        <v>0</v>
      </c>
      <c r="BU112" s="788">
        <f>Model!BU563+Model!BU537+Model!BU538+Model!BU474+Model!BU541+Model!BU542+Model!BU544+Model!BU535+Model!BU533+Model!BU554+Model!BU560+Model!BU540+Model!BU558</f>
        <v>0</v>
      </c>
      <c r="BV112" s="788">
        <f>Model!BV563+Model!BV537+Model!BV538+Model!BV474+Model!BV541+Model!BV542+Model!BV544+Model!BV535+Model!BV533+Model!BV554+Model!BV560+Model!BV540+Model!BV558</f>
        <v>0</v>
      </c>
      <c r="BW112" s="552"/>
    </row>
    <row r="113" spans="1:75" s="478" customFormat="1">
      <c r="A113" s="95" t="s">
        <v>649</v>
      </c>
      <c r="B113" s="96"/>
      <c r="C113" s="789">
        <f t="shared" ref="C113:AH113" ca="1" si="242">SUM(C107:C112)</f>
        <v>0.20500000000000052</v>
      </c>
      <c r="D113" s="789">
        <f t="shared" ca="1" si="242"/>
        <v>12</v>
      </c>
      <c r="E113" s="789">
        <f t="shared" ca="1" si="242"/>
        <v>-5.3379999999999992</v>
      </c>
      <c r="F113" s="789">
        <f t="shared" ca="1" si="242"/>
        <v>73.387999999999991</v>
      </c>
      <c r="G113" s="598">
        <f t="shared" ca="1" si="242"/>
        <v>-0.62599999999999933</v>
      </c>
      <c r="H113" s="598">
        <f t="shared" ca="1" si="242"/>
        <v>2.2969999999999997</v>
      </c>
      <c r="I113" s="598">
        <f t="shared" ca="1" si="242"/>
        <v>4.4190000000000005</v>
      </c>
      <c r="J113" s="598">
        <f t="shared" ca="1" si="242"/>
        <v>288.54999999999995</v>
      </c>
      <c r="K113" s="789">
        <f t="shared" ca="1" si="242"/>
        <v>294.64</v>
      </c>
      <c r="L113" s="598">
        <f t="shared" ca="1" si="242"/>
        <v>9.5559999999999992</v>
      </c>
      <c r="M113" s="598">
        <f t="shared" ca="1" si="242"/>
        <v>-108.934</v>
      </c>
      <c r="N113" s="598">
        <f t="shared" ca="1" si="242"/>
        <v>0.18099999999999206</v>
      </c>
      <c r="O113" s="598">
        <f t="shared" ca="1" si="242"/>
        <v>-43.254999999999967</v>
      </c>
      <c r="P113" s="789">
        <f t="shared" ca="1" si="242"/>
        <v>-142.45199999999997</v>
      </c>
      <c r="Q113" s="598">
        <f t="shared" ca="1" si="242"/>
        <v>-74.683000000000007</v>
      </c>
      <c r="R113" s="598">
        <f t="shared" ca="1" si="242"/>
        <v>8.8310000000000031</v>
      </c>
      <c r="S113" s="598">
        <f t="shared" ca="1" si="242"/>
        <v>-9.6530000000000111</v>
      </c>
      <c r="T113" s="598">
        <f t="shared" ca="1" si="242"/>
        <v>-0.19399999999997863</v>
      </c>
      <c r="U113" s="789">
        <f t="shared" ca="1" si="242"/>
        <v>-75.698999999999984</v>
      </c>
      <c r="V113" s="598">
        <f t="shared" ca="1" si="242"/>
        <v>11.892000000000005</v>
      </c>
      <c r="W113" s="598">
        <f t="shared" ca="1" si="242"/>
        <v>12.79</v>
      </c>
      <c r="X113" s="598">
        <f t="shared" ca="1" si="242"/>
        <v>28.596000000000021</v>
      </c>
      <c r="Y113" s="598">
        <f t="shared" ca="1" si="242"/>
        <v>47.31</v>
      </c>
      <c r="Z113" s="789">
        <f t="shared" ca="1" si="242"/>
        <v>100.58799999999998</v>
      </c>
      <c r="AA113" s="598">
        <f t="shared" ca="1" si="242"/>
        <v>1.2250000000000059</v>
      </c>
      <c r="AB113" s="598">
        <f t="shared" ca="1" si="242"/>
        <v>47.550000000000011</v>
      </c>
      <c r="AC113" s="598">
        <f t="shared" ca="1" si="242"/>
        <v>42.703000000000017</v>
      </c>
      <c r="AD113" s="598">
        <f t="shared" ca="1" si="242"/>
        <v>185.40800000000002</v>
      </c>
      <c r="AE113" s="789">
        <f t="shared" ca="1" si="242"/>
        <v>276.88600000000014</v>
      </c>
      <c r="AF113" s="598">
        <f t="shared" ca="1" si="242"/>
        <v>-155.26899999999995</v>
      </c>
      <c r="AG113" s="598">
        <f t="shared" ca="1" si="242"/>
        <v>0.44699999999994944</v>
      </c>
      <c r="AH113" s="598">
        <f t="shared" ca="1" si="242"/>
        <v>34.03400000000002</v>
      </c>
      <c r="AI113" s="598">
        <f t="shared" ref="AI113:BA113" ca="1" si="243">SUM(AI107:AI112)</f>
        <v>-90.780999999999935</v>
      </c>
      <c r="AJ113" s="789">
        <f t="shared" ca="1" si="243"/>
        <v>-211.56899999999999</v>
      </c>
      <c r="AK113" s="598">
        <f t="shared" ca="1" si="243"/>
        <v>-37.36</v>
      </c>
      <c r="AL113" s="598">
        <f t="shared" ca="1" si="243"/>
        <v>-155.929</v>
      </c>
      <c r="AM113" s="598">
        <f t="shared" ca="1" si="243"/>
        <v>-16.017000000000024</v>
      </c>
      <c r="AN113" s="598">
        <f t="shared" ca="1" si="243"/>
        <v>46.788999999999973</v>
      </c>
      <c r="AO113" s="789">
        <f t="shared" ca="1" si="243"/>
        <v>-162.51700000000005</v>
      </c>
      <c r="AP113" s="598">
        <f t="shared" ca="1" si="243"/>
        <v>194.59</v>
      </c>
      <c r="AQ113" s="598">
        <f t="shared" ca="1" si="243"/>
        <v>139.69499999999999</v>
      </c>
      <c r="AR113" s="598">
        <f t="shared" ca="1" si="243"/>
        <v>65.012000000000015</v>
      </c>
      <c r="AS113" s="598">
        <f t="shared" ca="1" si="243"/>
        <v>4.9249999999999847</v>
      </c>
      <c r="AT113" s="789">
        <f t="shared" ca="1" si="243"/>
        <v>404.22200000000004</v>
      </c>
      <c r="AU113" s="598">
        <f t="shared" ca="1" si="243"/>
        <v>-7.2590000000000012</v>
      </c>
      <c r="AV113" s="598">
        <f t="shared" ca="1" si="243"/>
        <v>-30.026999999999983</v>
      </c>
      <c r="AW113" s="598">
        <f t="shared" ca="1" si="243"/>
        <v>-26.579999999999991</v>
      </c>
      <c r="AX113" s="598">
        <f t="shared" ca="1" si="243"/>
        <v>-52.033000000000008</v>
      </c>
      <c r="AY113" s="789">
        <f t="shared" ca="1" si="243"/>
        <v>-115.89900000000004</v>
      </c>
      <c r="AZ113" s="598">
        <f t="shared" ca="1" si="243"/>
        <v>-14.725999999999999</v>
      </c>
      <c r="BA113" s="598">
        <f t="shared" ca="1" si="243"/>
        <v>-43.701000000000008</v>
      </c>
      <c r="BB113" s="598">
        <f t="shared" ref="BB113:BF113" ca="1" si="244">SUM(BB107:BB112)</f>
        <v>-90.098000000000013</v>
      </c>
      <c r="BC113" s="598">
        <f t="shared" ca="1" si="244"/>
        <v>-24.977999999999994</v>
      </c>
      <c r="BD113" s="789">
        <f t="shared" ca="1" si="244"/>
        <v>-173.50299999999999</v>
      </c>
      <c r="BE113" s="598">
        <f t="shared" ca="1" si="244"/>
        <v>-17.303000000000001</v>
      </c>
      <c r="BF113" s="598">
        <f t="shared" ca="1" si="244"/>
        <v>-19.060999999999996</v>
      </c>
      <c r="BG113" s="598">
        <f t="shared" ref="BG113:BM113" ca="1" si="245">SUM(BG107:BG112)</f>
        <v>34.68</v>
      </c>
      <c r="BH113" s="598">
        <f t="shared" ca="1" si="245"/>
        <v>8.5479999999999929</v>
      </c>
      <c r="BI113" s="789">
        <f t="shared" ca="1" si="245"/>
        <v>6.8639999999999688</v>
      </c>
      <c r="BJ113" s="598">
        <f t="shared" ca="1" si="245"/>
        <v>-17.86600000000001</v>
      </c>
      <c r="BK113" s="598">
        <f ca="1">SUM(BK107:BK112)</f>
        <v>-43.341999999999985</v>
      </c>
      <c r="BL113" s="599">
        <f ca="1">SUM(BL107:BL112)</f>
        <v>9.1829999999999856</v>
      </c>
      <c r="BM113" s="598" t="e">
        <f t="shared" ca="1" si="245"/>
        <v>#REF!</v>
      </c>
      <c r="BN113" s="789" t="e">
        <f ca="1">SUM(BN107:BN112)</f>
        <v>#REF!</v>
      </c>
      <c r="BO113" s="598" t="e">
        <f t="shared" ref="BO113:BV113" ca="1" si="246">SUM(BO107:BO112)</f>
        <v>#REF!</v>
      </c>
      <c r="BP113" s="598" t="e">
        <f t="shared" ca="1" si="246"/>
        <v>#REF!</v>
      </c>
      <c r="BQ113" s="598" t="e">
        <f t="shared" ca="1" si="246"/>
        <v>#REF!</v>
      </c>
      <c r="BR113" s="598" t="e">
        <f t="shared" ca="1" si="246"/>
        <v>#REF!</v>
      </c>
      <c r="BS113" s="789" t="e">
        <f t="shared" ca="1" si="246"/>
        <v>#REF!</v>
      </c>
      <c r="BT113" s="789" t="e">
        <f t="shared" ca="1" si="246"/>
        <v>#REF!</v>
      </c>
      <c r="BU113" s="789" t="e">
        <f t="shared" ca="1" si="246"/>
        <v>#REF!</v>
      </c>
      <c r="BV113" s="789" t="e">
        <f t="shared" ca="1" si="246"/>
        <v>#REF!</v>
      </c>
      <c r="BW113" s="551"/>
    </row>
    <row r="114" spans="1:75" s="478" customFormat="1">
      <c r="A114" s="92"/>
      <c r="B114" s="97"/>
      <c r="C114" s="787"/>
      <c r="D114" s="787"/>
      <c r="E114" s="787"/>
      <c r="F114" s="787"/>
      <c r="G114" s="551"/>
      <c r="H114" s="551"/>
      <c r="I114" s="551"/>
      <c r="J114" s="551"/>
      <c r="K114" s="787"/>
      <c r="L114" s="551"/>
      <c r="M114" s="551"/>
      <c r="N114" s="551"/>
      <c r="O114" s="551"/>
      <c r="P114" s="787"/>
      <c r="Q114" s="551"/>
      <c r="R114" s="551"/>
      <c r="S114" s="551"/>
      <c r="T114" s="551"/>
      <c r="U114" s="787"/>
      <c r="V114" s="551"/>
      <c r="W114" s="551"/>
      <c r="X114" s="551"/>
      <c r="Y114" s="551"/>
      <c r="Z114" s="787"/>
      <c r="AA114" s="551"/>
      <c r="AB114" s="551"/>
      <c r="AC114" s="551"/>
      <c r="AD114" s="551"/>
      <c r="AE114" s="787"/>
      <c r="AF114" s="551"/>
      <c r="AG114" s="551"/>
      <c r="AH114" s="551"/>
      <c r="AI114" s="551"/>
      <c r="AJ114" s="787"/>
      <c r="AK114" s="551"/>
      <c r="AL114" s="551"/>
      <c r="AM114" s="551"/>
      <c r="AN114" s="551"/>
      <c r="AO114" s="787"/>
      <c r="AP114" s="551"/>
      <c r="AQ114" s="551"/>
      <c r="AR114" s="551"/>
      <c r="AS114" s="551"/>
      <c r="AT114" s="787"/>
      <c r="AU114" s="551"/>
      <c r="AV114" s="551"/>
      <c r="AW114" s="551"/>
      <c r="AX114" s="551"/>
      <c r="AY114" s="787"/>
      <c r="AZ114" s="551"/>
      <c r="BA114" s="551"/>
      <c r="BB114" s="551"/>
      <c r="BC114" s="551"/>
      <c r="BD114" s="787"/>
      <c r="BE114" s="551"/>
      <c r="BF114" s="551"/>
      <c r="BG114" s="551"/>
      <c r="BH114" s="551"/>
      <c r="BI114" s="787"/>
      <c r="BJ114" s="551"/>
      <c r="BK114" s="551"/>
      <c r="BL114" s="596"/>
      <c r="BM114" s="551"/>
      <c r="BN114" s="787"/>
      <c r="BO114" s="551"/>
      <c r="BP114" s="551"/>
      <c r="BQ114" s="551"/>
      <c r="BR114" s="551"/>
      <c r="BS114" s="787"/>
      <c r="BT114" s="787"/>
      <c r="BU114" s="787"/>
      <c r="BV114" s="787"/>
      <c r="BW114" s="551"/>
    </row>
    <row r="115" spans="1:75" s="480" customFormat="1">
      <c r="A115" s="100" t="s">
        <v>650</v>
      </c>
      <c r="B115" s="101"/>
      <c r="C115" s="796"/>
      <c r="D115" s="796"/>
      <c r="E115" s="796"/>
      <c r="F115" s="796">
        <f t="shared" ref="F115:AK115" ca="1" si="247">INDEX(SP_CFA_CFO,0,COLUMN())/INDEX(SP_CS_ShareCount,0,COLUMN())</f>
        <v>-1.8282886110546862E-3</v>
      </c>
      <c r="G115" s="59">
        <f t="shared" ca="1" si="247"/>
        <v>-2.7301398019864043E-3</v>
      </c>
      <c r="H115" s="59">
        <f t="shared" ca="1" si="247"/>
        <v>8.1888007928642231E-2</v>
      </c>
      <c r="I115" s="59">
        <f t="shared" ca="1" si="247"/>
        <v>0.10672974210285367</v>
      </c>
      <c r="J115" s="59">
        <f t="shared" ca="1" si="247"/>
        <v>0.13543073772277658</v>
      </c>
      <c r="K115" s="796">
        <f t="shared" ca="1" si="247"/>
        <v>0.32638391837356279</v>
      </c>
      <c r="L115" s="59">
        <f t="shared" ca="1" si="247"/>
        <v>0.13099436568265163</v>
      </c>
      <c r="M115" s="59">
        <f t="shared" ca="1" si="247"/>
        <v>0.13841881229235886</v>
      </c>
      <c r="N115" s="59">
        <f t="shared" ca="1" si="247"/>
        <v>0.24645518526185053</v>
      </c>
      <c r="O115" s="59">
        <f t="shared" ca="1" si="247"/>
        <v>0.24469311367551272</v>
      </c>
      <c r="P115" s="796">
        <f t="shared" ca="1" si="247"/>
        <v>0.75518823652101386</v>
      </c>
      <c r="Q115" s="59">
        <f t="shared" ca="1" si="247"/>
        <v>0.32907996251556498</v>
      </c>
      <c r="R115" s="59">
        <f t="shared" ca="1" si="247"/>
        <v>0.22895528832112155</v>
      </c>
      <c r="S115" s="59">
        <f t="shared" ca="1" si="247"/>
        <v>0.12691753320292387</v>
      </c>
      <c r="T115" s="59">
        <f t="shared" ca="1" si="247"/>
        <v>4.9062252130082189E-2</v>
      </c>
      <c r="U115" s="796">
        <f t="shared" ca="1" si="247"/>
        <v>0.73467558082942697</v>
      </c>
      <c r="V115" s="59">
        <f t="shared" ca="1" si="247"/>
        <v>0.30660880060605278</v>
      </c>
      <c r="W115" s="59">
        <f t="shared" ca="1" si="247"/>
        <v>0.28545660948536838</v>
      </c>
      <c r="X115" s="59">
        <f t="shared" ca="1" si="247"/>
        <v>0.42544954593147355</v>
      </c>
      <c r="Y115" s="59">
        <f t="shared" ca="1" si="247"/>
        <v>0.53474230714522775</v>
      </c>
      <c r="Z115" s="796">
        <f t="shared" ca="1" si="247"/>
        <v>1.5627886356079357</v>
      </c>
      <c r="AA115" s="59">
        <f t="shared" ca="1" si="247"/>
        <v>0.48449065914698625</v>
      </c>
      <c r="AB115" s="59">
        <f t="shared" ca="1" si="247"/>
        <v>0.41348102757482924</v>
      </c>
      <c r="AC115" s="59">
        <f t="shared" ca="1" si="247"/>
        <v>0.59060080290050665</v>
      </c>
      <c r="AD115" s="59">
        <f t="shared" ca="1" si="247"/>
        <v>0.44558968831402135</v>
      </c>
      <c r="AE115" s="796">
        <f t="shared" ca="1" si="247"/>
        <v>1.9232189973614782</v>
      </c>
      <c r="AF115" s="59">
        <f t="shared" ca="1" si="247"/>
        <v>0.45707465536790604</v>
      </c>
      <c r="AG115" s="59">
        <f t="shared" ca="1" si="247"/>
        <v>0.25539475020022329</v>
      </c>
      <c r="AH115" s="59">
        <f t="shared" ca="1" si="247"/>
        <v>0.62190613588206123</v>
      </c>
      <c r="AI115" s="59">
        <f t="shared" ca="1" si="247"/>
        <v>0.51076060124931899</v>
      </c>
      <c r="AJ115" s="796">
        <f t="shared" ca="1" si="247"/>
        <v>1.8057581530622593</v>
      </c>
      <c r="AK115" s="59">
        <f t="shared" ca="1" si="247"/>
        <v>0.48220057118008619</v>
      </c>
      <c r="AL115" s="59">
        <f t="shared" ref="AL115:BA115" ca="1" si="248">INDEX(SP_CFA_CFO,0,COLUMN())/INDEX(SP_CS_ShareCount,0,COLUMN())</f>
        <v>0.72350694002292104</v>
      </c>
      <c r="AM115" s="59">
        <f t="shared" ca="1" si="248"/>
        <v>0.69760690253961344</v>
      </c>
      <c r="AN115" s="59">
        <f t="shared" ca="1" si="248"/>
        <v>0.76060120295395062</v>
      </c>
      <c r="AO115" s="796">
        <f t="shared" ca="1" si="248"/>
        <v>2.6264541035539763</v>
      </c>
      <c r="AP115" s="59">
        <f t="shared" ca="1" si="248"/>
        <v>0.57005087493710505</v>
      </c>
      <c r="AQ115" s="59">
        <f t="shared" ca="1" si="248"/>
        <v>0.22734868048554821</v>
      </c>
      <c r="AR115" s="59">
        <f t="shared" ca="1" si="248"/>
        <v>0.96765241994722118</v>
      </c>
      <c r="AS115" s="59">
        <f t="shared" ca="1" si="248"/>
        <v>0.62771693235114501</v>
      </c>
      <c r="AT115" s="796">
        <f t="shared" ca="1" si="248"/>
        <v>2.4203958632970348</v>
      </c>
      <c r="AU115" s="59">
        <f t="shared" ca="1" si="248"/>
        <v>0.78318825171107709</v>
      </c>
      <c r="AV115" s="59">
        <f t="shared" ca="1" si="248"/>
        <v>0.63527594545661736</v>
      </c>
      <c r="AW115" s="59">
        <f t="shared" ca="1" si="248"/>
        <v>0.75725246054093176</v>
      </c>
      <c r="AX115" s="59">
        <f t="shared" ca="1" si="248"/>
        <v>0.5906329713098587</v>
      </c>
      <c r="AY115" s="796">
        <f t="shared" ca="1" si="248"/>
        <v>2.7049837183270573</v>
      </c>
      <c r="AZ115" s="59">
        <f t="shared" ca="1" si="248"/>
        <v>0.83617861779198499</v>
      </c>
      <c r="BA115" s="59">
        <f t="shared" ca="1" si="248"/>
        <v>0.251650991968147</v>
      </c>
      <c r="BB115" s="59">
        <f t="shared" ref="BB115:BG115" ca="1" si="249">INDEX(SP_CFA_CFO,0,COLUMN())/INDEX(SP_CS_ShareCount,0,COLUMN())</f>
        <v>0.95796746400946897</v>
      </c>
      <c r="BC115" s="59">
        <f t="shared" ca="1" si="249"/>
        <v>0.62107056572681463</v>
      </c>
      <c r="BD115" s="796">
        <f t="shared" ca="1" si="249"/>
        <v>2.6199422359063793</v>
      </c>
      <c r="BE115" s="59">
        <f t="shared" ca="1" si="249"/>
        <v>1.0633477034130132</v>
      </c>
      <c r="BF115" s="59">
        <f t="shared" ca="1" si="249"/>
        <v>0.67389595440635619</v>
      </c>
      <c r="BG115" s="59">
        <f t="shared" ca="1" si="249"/>
        <v>1.4253731343283582</v>
      </c>
      <c r="BH115" s="59">
        <f t="shared" ref="BH115:BN115" ca="1" si="250">INDEX(SP_CFA_CFO,0,COLUMN())/INDEX(SP_CS_ShareCount,0,COLUMN())</f>
        <v>1.0821635068822701</v>
      </c>
      <c r="BI115" s="796">
        <f t="shared" ca="1" si="250"/>
        <v>4.1616392195227991</v>
      </c>
      <c r="BJ115" s="59">
        <f t="shared" ca="1" si="250"/>
        <v>1.0084155743491079</v>
      </c>
      <c r="BK115" s="59">
        <f t="shared" ca="1" si="250"/>
        <v>0.56341207200045451</v>
      </c>
      <c r="BL115" s="419">
        <f ca="1">INDEX(SP_CFA_CFO,0,COLUMN())/INDEX(SP_CS_ShareCount,0,COLUMN())</f>
        <v>1.4790856382748001</v>
      </c>
      <c r="BM115" s="59" t="e">
        <f t="shared" ca="1" si="250"/>
        <v>#REF!</v>
      </c>
      <c r="BN115" s="796" t="e">
        <f t="shared" ca="1" si="250"/>
        <v>#REF!</v>
      </c>
      <c r="BO115" s="59" t="e">
        <f t="shared" ref="BO115:BV115" ca="1" si="251">INDEX(SP_CFA_CFO,0,COLUMN())/INDEX(SP_CS_ShareCount,0,COLUMN())</f>
        <v>#REF!</v>
      </c>
      <c r="BP115" s="59" t="e">
        <f t="shared" ca="1" si="251"/>
        <v>#REF!</v>
      </c>
      <c r="BQ115" s="59" t="e">
        <f t="shared" ca="1" si="251"/>
        <v>#REF!</v>
      </c>
      <c r="BR115" s="59" t="e">
        <f t="shared" ca="1" si="251"/>
        <v>#REF!</v>
      </c>
      <c r="BS115" s="796" t="e">
        <f t="shared" ca="1" si="251"/>
        <v>#REF!</v>
      </c>
      <c r="BT115" s="796" t="e">
        <f t="shared" ca="1" si="251"/>
        <v>#REF!</v>
      </c>
      <c r="BU115" s="796" t="e">
        <f t="shared" ca="1" si="251"/>
        <v>#REF!</v>
      </c>
      <c r="BV115" s="796" t="e">
        <f t="shared" ca="1" si="251"/>
        <v>#REF!</v>
      </c>
      <c r="BW115" s="59"/>
    </row>
    <row r="116" spans="1:75" s="480" customFormat="1">
      <c r="A116" s="100" t="s">
        <v>651</v>
      </c>
      <c r="B116" s="101"/>
      <c r="C116" s="796"/>
      <c r="D116" s="796"/>
      <c r="E116" s="796"/>
      <c r="F116" s="796">
        <f t="shared" ref="F116:AK116" ca="1" si="252">INDEX(SP_CFA_FCF_PreDiv,0,COLUMN())/INDEX(SP_CS_ShareCount,0,COLUMN())</f>
        <v>-0.19488817891373802</v>
      </c>
      <c r="G116" s="59">
        <f t="shared" ca="1" si="252"/>
        <v>-3.2730296706572723E-2</v>
      </c>
      <c r="H116" s="59">
        <f t="shared" ca="1" si="252"/>
        <v>1.4711347869177367E-3</v>
      </c>
      <c r="I116" s="59">
        <f t="shared" ca="1" si="252"/>
        <v>1.9639859606287207E-2</v>
      </c>
      <c r="J116" s="59">
        <f t="shared" ca="1" si="252"/>
        <v>1.5062384708120919E-2</v>
      </c>
      <c r="K116" s="796">
        <f t="shared" ca="1" si="252"/>
        <v>5.0711947003731894E-3</v>
      </c>
      <c r="L116" s="59">
        <f t="shared" ca="1" si="252"/>
        <v>4.8966573463910854E-2</v>
      </c>
      <c r="M116" s="59">
        <f t="shared" ca="1" si="252"/>
        <v>6.4433658637873828E-2</v>
      </c>
      <c r="N116" s="59">
        <f t="shared" ca="1" si="252"/>
        <v>0.11052318360587868</v>
      </c>
      <c r="O116" s="59">
        <f t="shared" ca="1" si="252"/>
        <v>-1.538640867233928E-2</v>
      </c>
      <c r="P116" s="796">
        <f t="shared" ca="1" si="252"/>
        <v>0.20603034727291714</v>
      </c>
      <c r="Q116" s="59">
        <f t="shared" ca="1" si="252"/>
        <v>0.14434074891847132</v>
      </c>
      <c r="R116" s="59">
        <f t="shared" ca="1" si="252"/>
        <v>0.10204574026336845</v>
      </c>
      <c r="S116" s="59">
        <f t="shared" ca="1" si="252"/>
        <v>-5.3536497477607607E-3</v>
      </c>
      <c r="T116" s="59">
        <f t="shared" ca="1" si="252"/>
        <v>-6.4094363278151559E-2</v>
      </c>
      <c r="U116" s="796">
        <f t="shared" ca="1" si="252"/>
        <v>0.17743794666871598</v>
      </c>
      <c r="V116" s="59">
        <f t="shared" ca="1" si="252"/>
        <v>0.16832089983436266</v>
      </c>
      <c r="W116" s="59">
        <f t="shared" ca="1" si="252"/>
        <v>0.17416750756811311</v>
      </c>
      <c r="X116" s="59">
        <f t="shared" ca="1" si="252"/>
        <v>0.31714847377497973</v>
      </c>
      <c r="Y116" s="59">
        <f t="shared" ca="1" si="252"/>
        <v>0.43053909250391148</v>
      </c>
      <c r="Z116" s="796">
        <f t="shared" ca="1" si="252"/>
        <v>1.1026465191315376</v>
      </c>
      <c r="AA116" s="59">
        <f t="shared" ca="1" si="252"/>
        <v>0.40623898484314419</v>
      </c>
      <c r="AB116" s="59">
        <f t="shared" ca="1" si="252"/>
        <v>0.34926938486919645</v>
      </c>
      <c r="AC116" s="59">
        <f t="shared" ca="1" si="252"/>
        <v>0.4988848604073976</v>
      </c>
      <c r="AD116" s="59">
        <f t="shared" ca="1" si="252"/>
        <v>0.33199721548549349</v>
      </c>
      <c r="AE116" s="796">
        <f t="shared" ca="1" si="252"/>
        <v>1.5762532981530348</v>
      </c>
      <c r="AF116" s="59">
        <f t="shared" ca="1" si="252"/>
        <v>0.2705854269857374</v>
      </c>
      <c r="AG116" s="59">
        <f t="shared" ca="1" si="252"/>
        <v>0.14787199241971316</v>
      </c>
      <c r="AH116" s="59">
        <f t="shared" ca="1" si="252"/>
        <v>0.52294756773815432</v>
      </c>
      <c r="AI116" s="59">
        <f t="shared" ca="1" si="252"/>
        <v>0.3828734340051223</v>
      </c>
      <c r="AJ116" s="796">
        <f t="shared" ca="1" si="252"/>
        <v>1.298797190814911</v>
      </c>
      <c r="AK116" s="59">
        <f t="shared" ca="1" si="252"/>
        <v>0.37653225522112654</v>
      </c>
      <c r="AL116" s="59">
        <f t="shared" ref="AL116:BA116" ca="1" si="253">INDEX(SP_CFA_FCF_PreDiv,0,COLUMN())/INDEX(SP_CS_ShareCount,0,COLUMN())</f>
        <v>0.59332739080606134</v>
      </c>
      <c r="AM116" s="59">
        <f t="shared" ca="1" si="253"/>
        <v>0.55195897547210759</v>
      </c>
      <c r="AN116" s="59">
        <f t="shared" ca="1" si="253"/>
        <v>0.65685670050830969</v>
      </c>
      <c r="AO116" s="796">
        <f t="shared" ca="1" si="253"/>
        <v>2.1452115584398928</v>
      </c>
      <c r="AP116" s="59">
        <f t="shared" ca="1" si="253"/>
        <v>0.47147369598032085</v>
      </c>
      <c r="AQ116" s="59">
        <f t="shared" ca="1" si="253"/>
        <v>8.9928603979948368E-2</v>
      </c>
      <c r="AR116" s="59">
        <f t="shared" ca="1" si="253"/>
        <v>0.87150746796528578</v>
      </c>
      <c r="AS116" s="59">
        <f t="shared" ca="1" si="253"/>
        <v>0.4450637252991384</v>
      </c>
      <c r="AT116" s="796">
        <f t="shared" ca="1" si="253"/>
        <v>1.8980891719745228</v>
      </c>
      <c r="AU116" s="59">
        <f t="shared" ca="1" si="253"/>
        <v>0.70338228453717844</v>
      </c>
      <c r="AV116" s="59">
        <f t="shared" ca="1" si="253"/>
        <v>0.54309155134649234</v>
      </c>
      <c r="AW116" s="59">
        <f t="shared" ca="1" si="253"/>
        <v>0.64986696287876855</v>
      </c>
      <c r="AX116" s="59">
        <f t="shared" ca="1" si="253"/>
        <v>0.50277434454466563</v>
      </c>
      <c r="AY116" s="796">
        <f t="shared" ca="1" si="253"/>
        <v>2.3452350666530979</v>
      </c>
      <c r="AZ116" s="59">
        <f t="shared" ca="1" si="253"/>
        <v>0.74354750903837308</v>
      </c>
      <c r="BA116" s="59">
        <f t="shared" ca="1" si="253"/>
        <v>0.14370838195922275</v>
      </c>
      <c r="BB116" s="59">
        <f t="shared" ref="BB116:BG116" ca="1" si="254">INDEX(SP_CFA_FCF_PreDiv,0,COLUMN())/INDEX(SP_CS_ShareCount,0,COLUMN())</f>
        <v>0.8808114729279638</v>
      </c>
      <c r="BC116" s="59">
        <f t="shared" ca="1" si="254"/>
        <v>0.4552348234111192</v>
      </c>
      <c r="BD116" s="796">
        <f t="shared" ca="1" si="254"/>
        <v>2.184272908095148</v>
      </c>
      <c r="BE116" s="59">
        <f t="shared" ca="1" si="254"/>
        <v>0.95567236218329732</v>
      </c>
      <c r="BF116" s="59">
        <f t="shared" ca="1" si="254"/>
        <v>0.56672000898396935</v>
      </c>
      <c r="BG116" s="59">
        <f t="shared" ca="1" si="254"/>
        <v>1.3479324688035235</v>
      </c>
      <c r="BH116" s="59">
        <f t="shared" ref="BH116:BN116" ca="1" si="255">INDEX(SP_CFA_FCF_PreDiv,0,COLUMN())/INDEX(SP_CS_ShareCount,0,COLUMN())</f>
        <v>1.0001913640153637</v>
      </c>
      <c r="BI116" s="796">
        <f t="shared" ca="1" si="255"/>
        <v>3.7968503723028424</v>
      </c>
      <c r="BJ116" s="59">
        <f t="shared" ca="1" si="255"/>
        <v>0.91170567636026401</v>
      </c>
      <c r="BK116" s="59">
        <f t="shared" ca="1" si="255"/>
        <v>0.42731815342683577</v>
      </c>
      <c r="BL116" s="419">
        <f ca="1">INDEX(SP_CFA_FCF_PreDiv,0,COLUMN())/INDEX(SP_CS_ShareCount,0,COLUMN())</f>
        <v>1.3379263479027803</v>
      </c>
      <c r="BM116" s="59" t="e">
        <f t="shared" ca="1" si="255"/>
        <v>#REF!</v>
      </c>
      <c r="BN116" s="796" t="e">
        <f t="shared" ca="1" si="255"/>
        <v>#REF!</v>
      </c>
      <c r="BO116" s="59" t="e">
        <f t="shared" ref="BO116:BV116" ca="1" si="256">INDEX(SP_CFA_FCF_PreDiv,0,COLUMN())/INDEX(SP_CS_ShareCount,0,COLUMN())</f>
        <v>#REF!</v>
      </c>
      <c r="BP116" s="59" t="e">
        <f t="shared" ca="1" si="256"/>
        <v>#REF!</v>
      </c>
      <c r="BQ116" s="59" t="e">
        <f t="shared" ca="1" si="256"/>
        <v>#REF!</v>
      </c>
      <c r="BR116" s="59" t="e">
        <f t="shared" ca="1" si="256"/>
        <v>#REF!</v>
      </c>
      <c r="BS116" s="796" t="e">
        <f t="shared" ca="1" si="256"/>
        <v>#REF!</v>
      </c>
      <c r="BT116" s="796" t="e">
        <f t="shared" ca="1" si="256"/>
        <v>#REF!</v>
      </c>
      <c r="BU116" s="796" t="e">
        <f t="shared" ca="1" si="256"/>
        <v>#REF!</v>
      </c>
      <c r="BV116" s="796" t="e">
        <f t="shared" ca="1" si="256"/>
        <v>#REF!</v>
      </c>
      <c r="BW116" s="59"/>
    </row>
    <row r="117" spans="1:75" s="480" customFormat="1">
      <c r="A117" s="100" t="s">
        <v>397</v>
      </c>
      <c r="B117" s="101"/>
      <c r="C117" s="796">
        <f t="shared" ref="C117:AH117" si="257">INDEX(MO_CFSum_DPS,0,COLUMN())</f>
        <v>0</v>
      </c>
      <c r="D117" s="796">
        <f t="shared" si="257"/>
        <v>0</v>
      </c>
      <c r="E117" s="796">
        <f t="shared" si="257"/>
        <v>0</v>
      </c>
      <c r="F117" s="796">
        <f t="shared" si="257"/>
        <v>0</v>
      </c>
      <c r="G117" s="59">
        <f t="shared" si="257"/>
        <v>0</v>
      </c>
      <c r="H117" s="59">
        <f t="shared" si="257"/>
        <v>0</v>
      </c>
      <c r="I117" s="59">
        <f t="shared" si="257"/>
        <v>0</v>
      </c>
      <c r="J117" s="59">
        <f t="shared" si="257"/>
        <v>0</v>
      </c>
      <c r="K117" s="796">
        <f t="shared" si="257"/>
        <v>0</v>
      </c>
      <c r="L117" s="59">
        <f t="shared" si="257"/>
        <v>0</v>
      </c>
      <c r="M117" s="59">
        <f t="shared" si="257"/>
        <v>0</v>
      </c>
      <c r="N117" s="59">
        <f t="shared" si="257"/>
        <v>0</v>
      </c>
      <c r="O117" s="59">
        <f t="shared" si="257"/>
        <v>0</v>
      </c>
      <c r="P117" s="796">
        <f t="shared" si="257"/>
        <v>0</v>
      </c>
      <c r="Q117" s="59">
        <f t="shared" si="257"/>
        <v>0</v>
      </c>
      <c r="R117" s="59">
        <f t="shared" si="257"/>
        <v>0</v>
      </c>
      <c r="S117" s="59">
        <f t="shared" si="257"/>
        <v>0</v>
      </c>
      <c r="T117" s="59">
        <f t="shared" si="257"/>
        <v>0</v>
      </c>
      <c r="U117" s="796">
        <f t="shared" si="257"/>
        <v>0</v>
      </c>
      <c r="V117" s="59">
        <f t="shared" si="257"/>
        <v>0</v>
      </c>
      <c r="W117" s="59">
        <f t="shared" si="257"/>
        <v>0</v>
      </c>
      <c r="X117" s="59">
        <f t="shared" si="257"/>
        <v>0</v>
      </c>
      <c r="Y117" s="59">
        <f t="shared" si="257"/>
        <v>0</v>
      </c>
      <c r="Z117" s="796">
        <f t="shared" si="257"/>
        <v>0</v>
      </c>
      <c r="AA117" s="59">
        <f t="shared" si="257"/>
        <v>0</v>
      </c>
      <c r="AB117" s="59">
        <f t="shared" si="257"/>
        <v>0</v>
      </c>
      <c r="AC117" s="59">
        <f t="shared" si="257"/>
        <v>0</v>
      </c>
      <c r="AD117" s="59">
        <f t="shared" si="257"/>
        <v>0</v>
      </c>
      <c r="AE117" s="796">
        <f t="shared" si="257"/>
        <v>0</v>
      </c>
      <c r="AF117" s="59">
        <f t="shared" si="257"/>
        <v>0</v>
      </c>
      <c r="AG117" s="59">
        <f t="shared" si="257"/>
        <v>0</v>
      </c>
      <c r="AH117" s="59">
        <f t="shared" si="257"/>
        <v>0</v>
      </c>
      <c r="AI117" s="59">
        <f t="shared" ref="AI117:BA117" si="258">INDEX(MO_CFSum_DPS,0,COLUMN())</f>
        <v>0</v>
      </c>
      <c r="AJ117" s="796">
        <f t="shared" si="258"/>
        <v>0</v>
      </c>
      <c r="AK117" s="59">
        <f t="shared" si="258"/>
        <v>0</v>
      </c>
      <c r="AL117" s="59">
        <f t="shared" si="258"/>
        <v>0</v>
      </c>
      <c r="AM117" s="59">
        <f t="shared" si="258"/>
        <v>0</v>
      </c>
      <c r="AN117" s="59">
        <f t="shared" si="258"/>
        <v>0</v>
      </c>
      <c r="AO117" s="796">
        <f t="shared" si="258"/>
        <v>0</v>
      </c>
      <c r="AP117" s="59">
        <f t="shared" si="258"/>
        <v>0</v>
      </c>
      <c r="AQ117" s="59">
        <f t="shared" si="258"/>
        <v>0</v>
      </c>
      <c r="AR117" s="59">
        <f t="shared" si="258"/>
        <v>0</v>
      </c>
      <c r="AS117" s="59">
        <f t="shared" si="258"/>
        <v>0</v>
      </c>
      <c r="AT117" s="796">
        <f t="shared" si="258"/>
        <v>0</v>
      </c>
      <c r="AU117" s="59">
        <f t="shared" si="258"/>
        <v>0</v>
      </c>
      <c r="AV117" s="59">
        <f t="shared" si="258"/>
        <v>0</v>
      </c>
      <c r="AW117" s="59">
        <f t="shared" si="258"/>
        <v>0</v>
      </c>
      <c r="AX117" s="59">
        <f t="shared" si="258"/>
        <v>0</v>
      </c>
      <c r="AY117" s="796">
        <f t="shared" si="258"/>
        <v>0</v>
      </c>
      <c r="AZ117" s="59">
        <f t="shared" si="258"/>
        <v>0</v>
      </c>
      <c r="BA117" s="59">
        <f t="shared" si="258"/>
        <v>0</v>
      </c>
      <c r="BB117" s="59">
        <f t="shared" ref="BB117:BG117" si="259">INDEX(MO_CFSum_DPS,0,COLUMN())</f>
        <v>0</v>
      </c>
      <c r="BC117" s="59">
        <f t="shared" si="259"/>
        <v>0</v>
      </c>
      <c r="BD117" s="796">
        <f t="shared" si="259"/>
        <v>0</v>
      </c>
      <c r="BE117" s="59">
        <f t="shared" si="259"/>
        <v>0</v>
      </c>
      <c r="BF117" s="59">
        <f t="shared" si="259"/>
        <v>0</v>
      </c>
      <c r="BG117" s="59">
        <f t="shared" si="259"/>
        <v>0</v>
      </c>
      <c r="BH117" s="59">
        <f t="shared" ref="BH117:BN117" si="260">INDEX(MO_CFSum_DPS,0,COLUMN())</f>
        <v>0</v>
      </c>
      <c r="BI117" s="796">
        <f t="shared" si="260"/>
        <v>0</v>
      </c>
      <c r="BJ117" s="59">
        <f t="shared" si="260"/>
        <v>0</v>
      </c>
      <c r="BK117" s="59">
        <f t="shared" si="260"/>
        <v>0</v>
      </c>
      <c r="BL117" s="419">
        <f>INDEX(MO_CFSum_DPS,0,COLUMN())</f>
        <v>0</v>
      </c>
      <c r="BM117" s="59">
        <f t="shared" si="260"/>
        <v>0</v>
      </c>
      <c r="BN117" s="796">
        <f t="shared" si="260"/>
        <v>0</v>
      </c>
      <c r="BO117" s="59">
        <f t="shared" ref="BO117:BV117" si="261">INDEX(MO_CFSum_DPS,0,COLUMN())</f>
        <v>0</v>
      </c>
      <c r="BP117" s="59">
        <f t="shared" si="261"/>
        <v>0</v>
      </c>
      <c r="BQ117" s="59">
        <f t="shared" si="261"/>
        <v>0</v>
      </c>
      <c r="BR117" s="59">
        <f t="shared" si="261"/>
        <v>0</v>
      </c>
      <c r="BS117" s="796">
        <f t="shared" si="261"/>
        <v>0</v>
      </c>
      <c r="BT117" s="796">
        <f t="shared" si="261"/>
        <v>0</v>
      </c>
      <c r="BU117" s="796">
        <f t="shared" si="261"/>
        <v>0</v>
      </c>
      <c r="BV117" s="796">
        <f t="shared" si="261"/>
        <v>0</v>
      </c>
      <c r="BW117" s="59"/>
    </row>
    <row r="118" spans="1:75" s="484" customFormat="1">
      <c r="A118" s="106" t="s">
        <v>652</v>
      </c>
      <c r="B118" s="107"/>
      <c r="C118" s="803"/>
      <c r="D118" s="803"/>
      <c r="E118" s="803"/>
      <c r="F118" s="803">
        <f t="shared" ref="F118:AK118" ca="1" si="262">F117/F116</f>
        <v>0</v>
      </c>
      <c r="G118" s="62">
        <f t="shared" ca="1" si="262"/>
        <v>0</v>
      </c>
      <c r="H118" s="62">
        <f t="shared" ca="1" si="262"/>
        <v>0</v>
      </c>
      <c r="I118" s="62">
        <f t="shared" ca="1" si="262"/>
        <v>0</v>
      </c>
      <c r="J118" s="62">
        <f t="shared" ca="1" si="262"/>
        <v>0</v>
      </c>
      <c r="K118" s="803">
        <f t="shared" ca="1" si="262"/>
        <v>0</v>
      </c>
      <c r="L118" s="62">
        <f t="shared" ca="1" si="262"/>
        <v>0</v>
      </c>
      <c r="M118" s="62">
        <f t="shared" ca="1" si="262"/>
        <v>0</v>
      </c>
      <c r="N118" s="62">
        <f t="shared" ca="1" si="262"/>
        <v>0</v>
      </c>
      <c r="O118" s="62">
        <f t="shared" ca="1" si="262"/>
        <v>0</v>
      </c>
      <c r="P118" s="803">
        <f t="shared" ca="1" si="262"/>
        <v>0</v>
      </c>
      <c r="Q118" s="62">
        <f t="shared" ca="1" si="262"/>
        <v>0</v>
      </c>
      <c r="R118" s="62">
        <f t="shared" ca="1" si="262"/>
        <v>0</v>
      </c>
      <c r="S118" s="62">
        <f t="shared" ca="1" si="262"/>
        <v>0</v>
      </c>
      <c r="T118" s="62">
        <f t="shared" ca="1" si="262"/>
        <v>0</v>
      </c>
      <c r="U118" s="803">
        <f t="shared" ca="1" si="262"/>
        <v>0</v>
      </c>
      <c r="V118" s="62">
        <f t="shared" ca="1" si="262"/>
        <v>0</v>
      </c>
      <c r="W118" s="62">
        <f t="shared" ca="1" si="262"/>
        <v>0</v>
      </c>
      <c r="X118" s="62">
        <f t="shared" ca="1" si="262"/>
        <v>0</v>
      </c>
      <c r="Y118" s="62">
        <f t="shared" ca="1" si="262"/>
        <v>0</v>
      </c>
      <c r="Z118" s="803">
        <f t="shared" ca="1" si="262"/>
        <v>0</v>
      </c>
      <c r="AA118" s="62">
        <f t="shared" ca="1" si="262"/>
        <v>0</v>
      </c>
      <c r="AB118" s="62">
        <f t="shared" ca="1" si="262"/>
        <v>0</v>
      </c>
      <c r="AC118" s="62">
        <f t="shared" ca="1" si="262"/>
        <v>0</v>
      </c>
      <c r="AD118" s="62">
        <f t="shared" ca="1" si="262"/>
        <v>0</v>
      </c>
      <c r="AE118" s="803">
        <f t="shared" ca="1" si="262"/>
        <v>0</v>
      </c>
      <c r="AF118" s="62">
        <f t="shared" ca="1" si="262"/>
        <v>0</v>
      </c>
      <c r="AG118" s="62">
        <f t="shared" ca="1" si="262"/>
        <v>0</v>
      </c>
      <c r="AH118" s="62">
        <f t="shared" ca="1" si="262"/>
        <v>0</v>
      </c>
      <c r="AI118" s="62">
        <f t="shared" ca="1" si="262"/>
        <v>0</v>
      </c>
      <c r="AJ118" s="803">
        <f t="shared" ca="1" si="262"/>
        <v>0</v>
      </c>
      <c r="AK118" s="62">
        <f t="shared" ca="1" si="262"/>
        <v>0</v>
      </c>
      <c r="AL118" s="62">
        <f t="shared" ref="AL118:BA118" ca="1" si="263">AL117/AL116</f>
        <v>0</v>
      </c>
      <c r="AM118" s="62">
        <f t="shared" ca="1" si="263"/>
        <v>0</v>
      </c>
      <c r="AN118" s="62">
        <f t="shared" ca="1" si="263"/>
        <v>0</v>
      </c>
      <c r="AO118" s="803">
        <f t="shared" ca="1" si="263"/>
        <v>0</v>
      </c>
      <c r="AP118" s="62">
        <f t="shared" ca="1" si="263"/>
        <v>0</v>
      </c>
      <c r="AQ118" s="62">
        <f t="shared" ca="1" si="263"/>
        <v>0</v>
      </c>
      <c r="AR118" s="62">
        <f t="shared" ca="1" si="263"/>
        <v>0</v>
      </c>
      <c r="AS118" s="62">
        <f t="shared" ca="1" si="263"/>
        <v>0</v>
      </c>
      <c r="AT118" s="803">
        <f t="shared" ca="1" si="263"/>
        <v>0</v>
      </c>
      <c r="AU118" s="62">
        <f t="shared" ca="1" si="263"/>
        <v>0</v>
      </c>
      <c r="AV118" s="62">
        <f t="shared" ca="1" si="263"/>
        <v>0</v>
      </c>
      <c r="AW118" s="62">
        <f t="shared" ca="1" si="263"/>
        <v>0</v>
      </c>
      <c r="AX118" s="62">
        <f t="shared" ca="1" si="263"/>
        <v>0</v>
      </c>
      <c r="AY118" s="803">
        <f t="shared" ca="1" si="263"/>
        <v>0</v>
      </c>
      <c r="AZ118" s="62">
        <f t="shared" ca="1" si="263"/>
        <v>0</v>
      </c>
      <c r="BA118" s="62">
        <f t="shared" ca="1" si="263"/>
        <v>0</v>
      </c>
      <c r="BB118" s="62">
        <f t="shared" ref="BB118:BG118" ca="1" si="264">BB117/BB116</f>
        <v>0</v>
      </c>
      <c r="BC118" s="62">
        <f t="shared" ca="1" si="264"/>
        <v>0</v>
      </c>
      <c r="BD118" s="803">
        <f t="shared" ca="1" si="264"/>
        <v>0</v>
      </c>
      <c r="BE118" s="62">
        <f t="shared" ca="1" si="264"/>
        <v>0</v>
      </c>
      <c r="BF118" s="62">
        <f t="shared" ca="1" si="264"/>
        <v>0</v>
      </c>
      <c r="BG118" s="62">
        <f t="shared" ca="1" si="264"/>
        <v>0</v>
      </c>
      <c r="BH118" s="62">
        <f t="shared" ref="BH118:BN118" ca="1" si="265">BH117/BH116</f>
        <v>0</v>
      </c>
      <c r="BI118" s="803">
        <f t="shared" ca="1" si="265"/>
        <v>0</v>
      </c>
      <c r="BJ118" s="62">
        <f t="shared" ca="1" si="265"/>
        <v>0</v>
      </c>
      <c r="BK118" s="62">
        <f t="shared" ca="1" si="265"/>
        <v>0</v>
      </c>
      <c r="BL118" s="423">
        <f ca="1">BL117/BL116</f>
        <v>0</v>
      </c>
      <c r="BM118" s="62" t="e">
        <f t="shared" ca="1" si="265"/>
        <v>#REF!</v>
      </c>
      <c r="BN118" s="803" t="e">
        <f t="shared" ca="1" si="265"/>
        <v>#REF!</v>
      </c>
      <c r="BO118" s="62" t="e">
        <f t="shared" ref="BO118:BV118" ca="1" si="266">BO117/BO116</f>
        <v>#REF!</v>
      </c>
      <c r="BP118" s="62" t="e">
        <f t="shared" ca="1" si="266"/>
        <v>#REF!</v>
      </c>
      <c r="BQ118" s="62" t="e">
        <f t="shared" ca="1" si="266"/>
        <v>#REF!</v>
      </c>
      <c r="BR118" s="62" t="e">
        <f t="shared" ca="1" si="266"/>
        <v>#REF!</v>
      </c>
      <c r="BS118" s="803" t="e">
        <f t="shared" ca="1" si="266"/>
        <v>#REF!</v>
      </c>
      <c r="BT118" s="803" t="e">
        <f t="shared" ca="1" si="266"/>
        <v>#REF!</v>
      </c>
      <c r="BU118" s="803" t="e">
        <f t="shared" ca="1" si="266"/>
        <v>#REF!</v>
      </c>
      <c r="BV118" s="803" t="e">
        <f t="shared" ca="1" si="266"/>
        <v>#REF!</v>
      </c>
      <c r="BW118" s="147"/>
    </row>
    <row r="119" spans="1:75" s="484" customFormat="1">
      <c r="A119" s="106" t="s">
        <v>653</v>
      </c>
      <c r="B119" s="107"/>
      <c r="C119" s="803">
        <f t="shared" ref="C119:AH119" si="267">C117/C86</f>
        <v>0</v>
      </c>
      <c r="D119" s="803">
        <f t="shared" si="267"/>
        <v>0</v>
      </c>
      <c r="E119" s="803">
        <f t="shared" si="267"/>
        <v>0</v>
      </c>
      <c r="F119" s="803">
        <f t="shared" si="267"/>
        <v>0</v>
      </c>
      <c r="G119" s="62">
        <f t="shared" si="267"/>
        <v>0</v>
      </c>
      <c r="H119" s="62">
        <f t="shared" si="267"/>
        <v>0</v>
      </c>
      <c r="I119" s="62">
        <f t="shared" si="267"/>
        <v>0</v>
      </c>
      <c r="J119" s="62">
        <f t="shared" si="267"/>
        <v>0</v>
      </c>
      <c r="K119" s="803">
        <f t="shared" si="267"/>
        <v>0</v>
      </c>
      <c r="L119" s="62">
        <f t="shared" si="267"/>
        <v>0</v>
      </c>
      <c r="M119" s="62">
        <f t="shared" si="267"/>
        <v>0</v>
      </c>
      <c r="N119" s="62">
        <f t="shared" si="267"/>
        <v>0</v>
      </c>
      <c r="O119" s="62">
        <f t="shared" si="267"/>
        <v>0</v>
      </c>
      <c r="P119" s="803">
        <f t="shared" si="267"/>
        <v>0</v>
      </c>
      <c r="Q119" s="62">
        <f t="shared" si="267"/>
        <v>0</v>
      </c>
      <c r="R119" s="62">
        <f t="shared" si="267"/>
        <v>0</v>
      </c>
      <c r="S119" s="62">
        <f t="shared" si="267"/>
        <v>0</v>
      </c>
      <c r="T119" s="62">
        <f t="shared" si="267"/>
        <v>0</v>
      </c>
      <c r="U119" s="803">
        <f t="shared" si="267"/>
        <v>0</v>
      </c>
      <c r="V119" s="62">
        <f t="shared" si="267"/>
        <v>0</v>
      </c>
      <c r="W119" s="62">
        <f t="shared" si="267"/>
        <v>0</v>
      </c>
      <c r="X119" s="62">
        <f t="shared" si="267"/>
        <v>0</v>
      </c>
      <c r="Y119" s="62">
        <f t="shared" si="267"/>
        <v>0</v>
      </c>
      <c r="Z119" s="803">
        <f t="shared" si="267"/>
        <v>0</v>
      </c>
      <c r="AA119" s="62">
        <f t="shared" si="267"/>
        <v>0</v>
      </c>
      <c r="AB119" s="62">
        <f t="shared" si="267"/>
        <v>0</v>
      </c>
      <c r="AC119" s="62">
        <f t="shared" si="267"/>
        <v>0</v>
      </c>
      <c r="AD119" s="62">
        <f t="shared" si="267"/>
        <v>0</v>
      </c>
      <c r="AE119" s="803">
        <f t="shared" si="267"/>
        <v>0</v>
      </c>
      <c r="AF119" s="62">
        <f t="shared" si="267"/>
        <v>0</v>
      </c>
      <c r="AG119" s="62">
        <f t="shared" si="267"/>
        <v>0</v>
      </c>
      <c r="AH119" s="62">
        <f t="shared" si="267"/>
        <v>0</v>
      </c>
      <c r="AI119" s="62">
        <f t="shared" ref="AI119:BN119" si="268">AI117/AI86</f>
        <v>0</v>
      </c>
      <c r="AJ119" s="803">
        <f t="shared" si="268"/>
        <v>0</v>
      </c>
      <c r="AK119" s="62">
        <f t="shared" si="268"/>
        <v>0</v>
      </c>
      <c r="AL119" s="62">
        <f t="shared" si="268"/>
        <v>0</v>
      </c>
      <c r="AM119" s="62">
        <f t="shared" si="268"/>
        <v>0</v>
      </c>
      <c r="AN119" s="62">
        <f t="shared" si="268"/>
        <v>0</v>
      </c>
      <c r="AO119" s="803">
        <f t="shared" si="268"/>
        <v>0</v>
      </c>
      <c r="AP119" s="62">
        <f t="shared" si="268"/>
        <v>0</v>
      </c>
      <c r="AQ119" s="62">
        <f t="shared" si="268"/>
        <v>0</v>
      </c>
      <c r="AR119" s="62">
        <f t="shared" si="268"/>
        <v>0</v>
      </c>
      <c r="AS119" s="62">
        <f t="shared" si="268"/>
        <v>0</v>
      </c>
      <c r="AT119" s="803">
        <f t="shared" si="268"/>
        <v>0</v>
      </c>
      <c r="AU119" s="62">
        <f t="shared" si="268"/>
        <v>0</v>
      </c>
      <c r="AV119" s="62">
        <f t="shared" si="268"/>
        <v>0</v>
      </c>
      <c r="AW119" s="62">
        <f t="shared" si="268"/>
        <v>0</v>
      </c>
      <c r="AX119" s="62">
        <f t="shared" si="268"/>
        <v>0</v>
      </c>
      <c r="AY119" s="803">
        <f t="shared" si="268"/>
        <v>0</v>
      </c>
      <c r="AZ119" s="62">
        <f t="shared" si="268"/>
        <v>0</v>
      </c>
      <c r="BA119" s="62">
        <f t="shared" si="268"/>
        <v>0</v>
      </c>
      <c r="BB119" s="62">
        <f t="shared" si="268"/>
        <v>0</v>
      </c>
      <c r="BC119" s="62">
        <f t="shared" si="268"/>
        <v>0</v>
      </c>
      <c r="BD119" s="803">
        <f t="shared" si="268"/>
        <v>0</v>
      </c>
      <c r="BE119" s="62">
        <f t="shared" si="268"/>
        <v>0</v>
      </c>
      <c r="BF119" s="62">
        <f t="shared" si="268"/>
        <v>0</v>
      </c>
      <c r="BG119" s="62">
        <f t="shared" si="268"/>
        <v>0</v>
      </c>
      <c r="BH119" s="62">
        <f>BH117/BH86</f>
        <v>0</v>
      </c>
      <c r="BI119" s="803">
        <f>BI117/BI86</f>
        <v>0</v>
      </c>
      <c r="BJ119" s="62">
        <f>BJ117/BJ86</f>
        <v>0</v>
      </c>
      <c r="BK119" s="62">
        <f>BK117/BK86</f>
        <v>0</v>
      </c>
      <c r="BL119" s="423">
        <f>BL117/BL86</f>
        <v>0</v>
      </c>
      <c r="BM119" s="62" t="e">
        <f t="shared" si="268"/>
        <v>#REF!</v>
      </c>
      <c r="BN119" s="803" t="e">
        <f t="shared" si="268"/>
        <v>#REF!</v>
      </c>
      <c r="BO119" s="62" t="e">
        <f t="shared" ref="BO119:BV119" si="269">BO117/BO86</f>
        <v>#REF!</v>
      </c>
      <c r="BP119" s="62" t="e">
        <f t="shared" si="269"/>
        <v>#REF!</v>
      </c>
      <c r="BQ119" s="62" t="e">
        <f t="shared" si="269"/>
        <v>#REF!</v>
      </c>
      <c r="BR119" s="62" t="e">
        <f t="shared" si="269"/>
        <v>#REF!</v>
      </c>
      <c r="BS119" s="803" t="e">
        <f t="shared" si="269"/>
        <v>#REF!</v>
      </c>
      <c r="BT119" s="803" t="e">
        <f t="shared" si="269"/>
        <v>#REF!</v>
      </c>
      <c r="BU119" s="803" t="e">
        <f t="shared" si="269"/>
        <v>#REF!</v>
      </c>
      <c r="BV119" s="803" t="e">
        <f t="shared" si="269"/>
        <v>#REF!</v>
      </c>
      <c r="BW119" s="147"/>
    </row>
    <row r="120" spans="1:75" s="480" customFormat="1">
      <c r="A120" s="100"/>
      <c r="B120" s="101"/>
      <c r="C120" s="796"/>
      <c r="D120" s="796"/>
      <c r="E120" s="796"/>
      <c r="F120" s="796"/>
      <c r="G120" s="59"/>
      <c r="H120" s="59"/>
      <c r="I120" s="59"/>
      <c r="J120" s="59"/>
      <c r="K120" s="796"/>
      <c r="L120" s="59"/>
      <c r="M120" s="59"/>
      <c r="N120" s="59"/>
      <c r="O120" s="59"/>
      <c r="P120" s="796"/>
      <c r="Q120" s="59"/>
      <c r="R120" s="59"/>
      <c r="S120" s="59"/>
      <c r="T120" s="59"/>
      <c r="U120" s="796"/>
      <c r="V120" s="59"/>
      <c r="W120" s="59"/>
      <c r="X120" s="59"/>
      <c r="Y120" s="59"/>
      <c r="Z120" s="796"/>
      <c r="AA120" s="59"/>
      <c r="AB120" s="59"/>
      <c r="AC120" s="59"/>
      <c r="AD120" s="59"/>
      <c r="AE120" s="796"/>
      <c r="AF120" s="59"/>
      <c r="AG120" s="59"/>
      <c r="AH120" s="59"/>
      <c r="AI120" s="59"/>
      <c r="AJ120" s="796"/>
      <c r="AK120" s="59"/>
      <c r="AL120" s="59"/>
      <c r="AM120" s="59"/>
      <c r="AN120" s="59"/>
      <c r="AO120" s="796"/>
      <c r="AP120" s="59"/>
      <c r="AQ120" s="59"/>
      <c r="AR120" s="59"/>
      <c r="AS120" s="59"/>
      <c r="AT120" s="796"/>
      <c r="AU120" s="59"/>
      <c r="AV120" s="59"/>
      <c r="AW120" s="59"/>
      <c r="AX120" s="59"/>
      <c r="AY120" s="796"/>
      <c r="AZ120" s="59"/>
      <c r="BA120" s="59"/>
      <c r="BB120" s="59"/>
      <c r="BC120" s="59"/>
      <c r="BD120" s="796"/>
      <c r="BE120" s="59"/>
      <c r="BF120" s="59"/>
      <c r="BG120" s="59"/>
      <c r="BH120" s="59"/>
      <c r="BI120" s="796"/>
      <c r="BJ120" s="59"/>
      <c r="BK120" s="59"/>
      <c r="BL120" s="419"/>
      <c r="BM120" s="59"/>
      <c r="BN120" s="796"/>
      <c r="BO120" s="59"/>
      <c r="BP120" s="59"/>
      <c r="BQ120" s="59"/>
      <c r="BR120" s="59"/>
      <c r="BS120" s="796"/>
      <c r="BT120" s="796"/>
      <c r="BU120" s="796"/>
      <c r="BV120" s="796"/>
      <c r="BW120" s="59"/>
    </row>
    <row r="121" spans="1:75" s="479" customFormat="1">
      <c r="A121" s="553" t="s">
        <v>654</v>
      </c>
      <c r="B121" s="553"/>
      <c r="C121" s="553"/>
      <c r="D121" s="553"/>
      <c r="E121" s="553"/>
      <c r="F121" s="553"/>
      <c r="G121" s="553"/>
      <c r="H121" s="553"/>
      <c r="I121" s="553"/>
      <c r="J121" s="553"/>
      <c r="K121" s="553"/>
      <c r="L121" s="553"/>
      <c r="M121" s="553"/>
      <c r="N121" s="553"/>
      <c r="O121" s="553"/>
      <c r="P121" s="553"/>
      <c r="Q121" s="553"/>
      <c r="R121" s="553"/>
      <c r="S121" s="553"/>
      <c r="T121" s="553"/>
      <c r="U121" s="553"/>
      <c r="V121" s="553"/>
      <c r="W121" s="553"/>
      <c r="X121" s="553"/>
      <c r="Y121" s="553"/>
      <c r="Z121" s="553"/>
      <c r="AA121" s="553"/>
      <c r="AB121" s="553"/>
      <c r="AC121" s="553"/>
      <c r="AD121" s="553"/>
      <c r="AE121" s="553"/>
      <c r="AF121" s="553"/>
      <c r="AG121" s="553"/>
      <c r="AH121" s="553"/>
      <c r="AI121" s="553"/>
      <c r="AJ121" s="553"/>
      <c r="AK121" s="553"/>
      <c r="AL121" s="553"/>
      <c r="AM121" s="553"/>
      <c r="AN121" s="553"/>
      <c r="AO121" s="553"/>
      <c r="AP121" s="553"/>
      <c r="AQ121" s="553"/>
      <c r="AR121" s="553"/>
      <c r="AS121" s="553"/>
      <c r="AT121" s="553"/>
      <c r="AU121" s="553"/>
      <c r="AV121" s="553"/>
      <c r="AW121" s="553"/>
      <c r="AX121" s="553"/>
      <c r="AY121" s="553"/>
      <c r="AZ121" s="553"/>
      <c r="BA121" s="553"/>
      <c r="BB121" s="553"/>
      <c r="BC121" s="553"/>
      <c r="BD121" s="553"/>
      <c r="BE121" s="553"/>
      <c r="BF121" s="553"/>
      <c r="BG121" s="553"/>
      <c r="BH121" s="553"/>
      <c r="BI121" s="553"/>
      <c r="BJ121" s="553"/>
      <c r="BK121" s="553"/>
      <c r="BL121" s="600"/>
      <c r="BM121" s="553"/>
      <c r="BN121" s="553"/>
      <c r="BO121" s="553"/>
      <c r="BP121" s="553"/>
      <c r="BQ121" s="553"/>
      <c r="BR121" s="553"/>
      <c r="BS121" s="553"/>
      <c r="BT121" s="553"/>
      <c r="BU121" s="553"/>
      <c r="BV121" s="553"/>
      <c r="BW121" s="551"/>
    </row>
    <row r="122" spans="1:75" s="485" customFormat="1">
      <c r="A122" s="108" t="s">
        <v>421</v>
      </c>
      <c r="B122" s="109"/>
      <c r="C122" s="804">
        <f>INDEX(MO_BSS_Debt_Net,0,COLUMN())/INDEX(SP_BSR_EBITDA_LTM,0,COLUMN())</f>
        <v>26.21565217391306</v>
      </c>
      <c r="D122" s="804">
        <f>INDEX(MO_BSS_Debt_Net,0,COLUMN())/INDEX(SP_BSR_EBITDA_LTM,0,COLUMN())</f>
        <v>4.7159031527608413</v>
      </c>
      <c r="E122" s="804">
        <f>INDEX(MO_BSS_Debt_Net,0,COLUMN())/INDEX(SP_BSR_EBITDA_LTM,0,COLUMN())</f>
        <v>19.593085106382883</v>
      </c>
      <c r="F122" s="804">
        <f>INDEX(MO_BSS_Debt_Net,0,COLUMN())/INDEX(SP_BSR_EBITDA_LTM,0,COLUMN())</f>
        <v>-22.080034797738083</v>
      </c>
      <c r="G122" s="554"/>
      <c r="H122" s="554"/>
      <c r="I122" s="554"/>
      <c r="J122" s="554">
        <f t="shared" ref="J122:AO122" si="270">INDEX(MO_BSS_Debt_Net,0,COLUMN())/INDEX(SP_BSR_EBITDA_LTM,0,COLUMN())</f>
        <v>-13.354548234734443</v>
      </c>
      <c r="K122" s="804">
        <f t="shared" si="270"/>
        <v>-13.35454823473445</v>
      </c>
      <c r="L122" s="554">
        <f t="shared" si="270"/>
        <v>-11.600408774252978</v>
      </c>
      <c r="M122" s="554">
        <f t="shared" si="270"/>
        <v>-9.3566611213524595</v>
      </c>
      <c r="N122" s="554">
        <f t="shared" si="270"/>
        <v>-7.6232963998725607</v>
      </c>
      <c r="O122" s="554">
        <f t="shared" si="270"/>
        <v>-5.9327592987976159</v>
      </c>
      <c r="P122" s="804">
        <f t="shared" si="270"/>
        <v>-5.9553453089309363</v>
      </c>
      <c r="Q122" s="554">
        <f t="shared" si="270"/>
        <v>-4.6284115651425379</v>
      </c>
      <c r="R122" s="554">
        <f t="shared" si="270"/>
        <v>-4.5647212491836378</v>
      </c>
      <c r="S122" s="554">
        <f t="shared" si="270"/>
        <v>-5.023238830494769</v>
      </c>
      <c r="T122" s="554">
        <f t="shared" si="270"/>
        <v>-5.6033245565811169</v>
      </c>
      <c r="U122" s="804">
        <f t="shared" si="270"/>
        <v>-5.6033245565811134</v>
      </c>
      <c r="V122" s="554">
        <f t="shared" si="270"/>
        <v>-6.0918868010511744</v>
      </c>
      <c r="W122" s="63">
        <f t="shared" si="270"/>
        <v>-5.918554514683783</v>
      </c>
      <c r="X122" s="63">
        <f t="shared" si="270"/>
        <v>-4.8686584296187201</v>
      </c>
      <c r="Y122" s="63">
        <f t="shared" si="270"/>
        <v>-4.1375893139687872</v>
      </c>
      <c r="Z122" s="804">
        <f t="shared" si="270"/>
        <v>-4.1375548578899597</v>
      </c>
      <c r="AA122" s="63">
        <f t="shared" si="270"/>
        <v>-3.6762206286793933</v>
      </c>
      <c r="AB122" s="63">
        <f t="shared" si="270"/>
        <v>-3.4848897037080846</v>
      </c>
      <c r="AC122" s="63">
        <f t="shared" si="270"/>
        <v>-3.5736618068937314</v>
      </c>
      <c r="AD122" s="63">
        <f t="shared" si="270"/>
        <v>-5.4794647269778114</v>
      </c>
      <c r="AE122" s="804">
        <f t="shared" si="270"/>
        <v>-5.4794647269778105</v>
      </c>
      <c r="AF122" s="63">
        <f t="shared" si="270"/>
        <v>-5.2776975910810258</v>
      </c>
      <c r="AG122" s="63">
        <f t="shared" si="270"/>
        <v>-5.0193837099010157</v>
      </c>
      <c r="AH122" s="63">
        <f t="shared" si="270"/>
        <v>-5.0017048264626309</v>
      </c>
      <c r="AI122" s="63">
        <f t="shared" si="270"/>
        <v>-4.2488994483587312</v>
      </c>
      <c r="AJ122" s="804">
        <f t="shared" si="270"/>
        <v>-4.2488994483587312</v>
      </c>
      <c r="AK122" s="63">
        <f t="shared" si="270"/>
        <v>-2.2913473515316571</v>
      </c>
      <c r="AL122" s="63">
        <f t="shared" si="270"/>
        <v>-1.1442848314777485</v>
      </c>
      <c r="AM122" s="63">
        <f t="shared" si="270"/>
        <v>-0.95332161789832881</v>
      </c>
      <c r="AN122" s="63">
        <f t="shared" si="270"/>
        <v>-1.1970022717159663</v>
      </c>
      <c r="AO122" s="804">
        <f t="shared" si="270"/>
        <v>-1.1970022717159663</v>
      </c>
      <c r="AP122" s="63">
        <f t="shared" ref="AP122:BA122" si="271">INDEX(MO_BSS_Debt_Net,0,COLUMN())/INDEX(SP_BSR_EBITDA_LTM,0,COLUMN())</f>
        <v>-1.4426873953098842</v>
      </c>
      <c r="AQ122" s="63">
        <f t="shared" si="271"/>
        <v>-2.0753525573563487</v>
      </c>
      <c r="AR122" s="63">
        <f t="shared" si="271"/>
        <v>-2.6962943090923246</v>
      </c>
      <c r="AS122" s="63">
        <f t="shared" si="271"/>
        <v>-2.8266951871657757</v>
      </c>
      <c r="AT122" s="804">
        <f t="shared" si="271"/>
        <v>-2.8266951871657757</v>
      </c>
      <c r="AU122" s="63">
        <f t="shared" si="271"/>
        <v>-2.342824826298497</v>
      </c>
      <c r="AV122" s="63">
        <f t="shared" si="271"/>
        <v>-1.7153180374418668</v>
      </c>
      <c r="AW122" s="63">
        <f t="shared" si="271"/>
        <v>-1.4911883065821729</v>
      </c>
      <c r="AX122" s="63">
        <f t="shared" si="271"/>
        <v>-1.2683498156899047</v>
      </c>
      <c r="AY122" s="804">
        <f t="shared" si="271"/>
        <v>-1.2683498156899047</v>
      </c>
      <c r="AZ122" s="63">
        <f t="shared" si="271"/>
        <v>-1.2260513016875869</v>
      </c>
      <c r="BA122" s="63">
        <f t="shared" si="271"/>
        <v>-1.0825263720963163</v>
      </c>
      <c r="BB122" s="63">
        <f t="shared" ref="BB122:BG122" si="272">INDEX(MO_BSS_Debt_Net,0,COLUMN())/INDEX(SP_BSR_EBITDA_LTM,0,COLUMN())</f>
        <v>-1.1173034423561672</v>
      </c>
      <c r="BC122" s="63">
        <f t="shared" si="272"/>
        <v>-1.0196026823942848</v>
      </c>
      <c r="BD122" s="804">
        <f t="shared" si="272"/>
        <v>-1.0196026823942848</v>
      </c>
      <c r="BE122" s="63">
        <f t="shared" si="272"/>
        <v>-1.0828306643210788</v>
      </c>
      <c r="BF122" s="63">
        <f t="shared" si="272"/>
        <v>-0.99776950655464014</v>
      </c>
      <c r="BG122" s="63">
        <f t="shared" si="272"/>
        <v>-1.0502307469977483</v>
      </c>
      <c r="BH122" s="63">
        <f t="shared" ref="BH122:BN122" si="273">INDEX(MO_BSS_Debt_Net,0,COLUMN())/INDEX(SP_BSR_EBITDA_LTM,0,COLUMN())</f>
        <v>-1.07169592094235</v>
      </c>
      <c r="BI122" s="804">
        <f t="shared" si="273"/>
        <v>-1.0716959209423502</v>
      </c>
      <c r="BJ122" s="63">
        <f t="shared" si="273"/>
        <v>-1.0076059122548173</v>
      </c>
      <c r="BK122" s="63">
        <f t="shared" si="273"/>
        <v>-0.91225434289867469</v>
      </c>
      <c r="BL122" s="424">
        <f>INDEX(MO_BSS_Debt_Net,0,COLUMN())/INDEX(SP_BSR_EBITDA_LTM,0,COLUMN())</f>
        <v>-0.97305015170444431</v>
      </c>
      <c r="BM122" s="63" t="e">
        <f t="shared" si="273"/>
        <v>#REF!</v>
      </c>
      <c r="BN122" s="804" t="e">
        <f t="shared" si="273"/>
        <v>#REF!</v>
      </c>
      <c r="BO122" s="63" t="e">
        <f t="shared" ref="BO122:BV122" si="274">INDEX(MO_BSS_Debt_Net,0,COLUMN())/INDEX(SP_BSR_EBITDA_LTM,0,COLUMN())</f>
        <v>#REF!</v>
      </c>
      <c r="BP122" s="63" t="e">
        <f t="shared" si="274"/>
        <v>#REF!</v>
      </c>
      <c r="BQ122" s="63" t="e">
        <f t="shared" si="274"/>
        <v>#REF!</v>
      </c>
      <c r="BR122" s="63" t="e">
        <f t="shared" si="274"/>
        <v>#REF!</v>
      </c>
      <c r="BS122" s="804" t="e">
        <f t="shared" si="274"/>
        <v>#REF!</v>
      </c>
      <c r="BT122" s="804" t="e">
        <f t="shared" si="274"/>
        <v>#REF!</v>
      </c>
      <c r="BU122" s="804" t="e">
        <f t="shared" si="274"/>
        <v>#REF!</v>
      </c>
      <c r="BV122" s="804" t="e">
        <f t="shared" si="274"/>
        <v>#REF!</v>
      </c>
      <c r="BW122" s="63"/>
    </row>
    <row r="123" spans="1:75" s="485" customFormat="1">
      <c r="A123" s="108" t="s">
        <v>422</v>
      </c>
      <c r="B123" s="109"/>
      <c r="C123" s="804">
        <f ca="1">INDEX(MO_BSS_Debt_Net,0,COLUMN())/INDEX(SP_BSR_CashFlow_LTM,0,COLUMN())</f>
        <v>23.813586097946299</v>
      </c>
      <c r="D123" s="804">
        <f ca="1">INDEX(MO_BSS_Debt_Net,0,COLUMN())/INDEX(SP_BSR_CashFlow_LTM,0,COLUMN())</f>
        <v>3.4661374983996929</v>
      </c>
      <c r="E123" s="804">
        <f ca="1">INDEX(MO_BSS_Debt_Net,0,COLUMN())/INDEX(SP_BSR_CashFlow_LTM,0,COLUMN())</f>
        <v>-88.403999999999797</v>
      </c>
      <c r="F123" s="804">
        <f ca="1">INDEX(MO_BSS_Debt_Net,0,COLUMN())/INDEX(SP_BSR_CashFlow_LTM,0,COLUMN())</f>
        <v>1025.4949494949474</v>
      </c>
      <c r="G123" s="554"/>
      <c r="H123" s="554"/>
      <c r="I123" s="554"/>
      <c r="J123" s="554">
        <f t="shared" ref="J123:AO123" ca="1" si="275">INDEX(MO_BSS_Debt_Net,0,COLUMN())/INDEX(SP_BSR_CashFlow_LTM,0,COLUMN())</f>
        <v>-18.337579320642032</v>
      </c>
      <c r="K123" s="804">
        <f t="shared" ca="1" si="275"/>
        <v>-18.337579320642028</v>
      </c>
      <c r="L123" s="554">
        <f t="shared" ca="1" si="275"/>
        <v>-13.029034239710304</v>
      </c>
      <c r="M123" s="554">
        <f t="shared" ca="1" si="275"/>
        <v>-11.463436802820395</v>
      </c>
      <c r="N123" s="554">
        <f t="shared" ca="1" si="275"/>
        <v>-8.9055889833136899</v>
      </c>
      <c r="O123" s="554">
        <f t="shared" ca="1" si="275"/>
        <v>-7.290702893047019</v>
      </c>
      <c r="P123" s="804">
        <f t="shared" ca="1" si="275"/>
        <v>-7.290702893047019</v>
      </c>
      <c r="Q123" s="554">
        <f t="shared" ca="1" si="275"/>
        <v>-4.9246538440816767</v>
      </c>
      <c r="R123" s="554">
        <f t="shared" ca="1" si="275"/>
        <v>-4.7105430840113716</v>
      </c>
      <c r="S123" s="554">
        <f t="shared" ca="1" si="275"/>
        <v>-5.3188621927644286</v>
      </c>
      <c r="T123" s="554">
        <f t="shared" ca="1" si="275"/>
        <v>-6.7520832606952332</v>
      </c>
      <c r="U123" s="804">
        <f t="shared" ca="1" si="275"/>
        <v>-6.7520832606952332</v>
      </c>
      <c r="V123" s="554">
        <f t="shared" ca="1" si="275"/>
        <v>-7.2120814300615033</v>
      </c>
      <c r="W123" s="63">
        <f t="shared" ca="1" si="275"/>
        <v>-6.9993024066968941</v>
      </c>
      <c r="X123" s="63">
        <f t="shared" ca="1" si="275"/>
        <v>-5.25105697133914</v>
      </c>
      <c r="Y123" s="63">
        <f t="shared" ca="1" si="275"/>
        <v>-3.9152876280535862</v>
      </c>
      <c r="Z123" s="804">
        <f t="shared" ca="1" si="275"/>
        <v>-3.9152876280535862</v>
      </c>
      <c r="AA123" s="63">
        <f t="shared" ca="1" si="275"/>
        <v>-3.4933728926353158</v>
      </c>
      <c r="AB123" s="63">
        <f t="shared" ca="1" si="275"/>
        <v>-3.3841098058233845</v>
      </c>
      <c r="AC123" s="63">
        <f t="shared" ca="1" si="275"/>
        <v>-3.3324705039462885</v>
      </c>
      <c r="AD123" s="63">
        <f t="shared" ca="1" si="275"/>
        <v>-5.158469880164871</v>
      </c>
      <c r="AE123" s="804">
        <f t="shared" ca="1" si="275"/>
        <v>-5.1584698801648692</v>
      </c>
      <c r="AF123" s="63">
        <f t="shared" ca="1" si="275"/>
        <v>-5.1504237802656814</v>
      </c>
      <c r="AG123" s="63">
        <f t="shared" ca="1" si="275"/>
        <v>-5.4217954696212436</v>
      </c>
      <c r="AH123" s="63">
        <f t="shared" ca="1" si="275"/>
        <v>-5.5174100294606587</v>
      </c>
      <c r="AI123" s="63">
        <f t="shared" ca="1" si="275"/>
        <v>-4.8563928408672359</v>
      </c>
      <c r="AJ123" s="804">
        <f t="shared" ca="1" si="275"/>
        <v>-4.8563928408672377</v>
      </c>
      <c r="AK123" s="63">
        <f t="shared" ca="1" si="275"/>
        <v>-2.6647250184139448</v>
      </c>
      <c r="AL123" s="63">
        <f t="shared" ca="1" si="275"/>
        <v>-1.1461774972602188</v>
      </c>
      <c r="AM123" s="63">
        <f t="shared" ca="1" si="275"/>
        <v>-1.0129202441295126</v>
      </c>
      <c r="AN123" s="63">
        <f t="shared" ca="1" si="275"/>
        <v>-1.247931947143792</v>
      </c>
      <c r="AO123" s="804">
        <f t="shared" ca="1" si="275"/>
        <v>-1.247931947143792</v>
      </c>
      <c r="AP123" s="63">
        <f t="shared" ref="AP123:BA123" ca="1" si="276">INDEX(MO_BSS_Debt_Net,0,COLUMN())/INDEX(SP_BSR_CashFlow_LTM,0,COLUMN())</f>
        <v>-1.3474740758486159</v>
      </c>
      <c r="AQ123" s="63">
        <f t="shared" ca="1" si="276"/>
        <v>-1.8616804214757743</v>
      </c>
      <c r="AR123" s="63">
        <f t="shared" ca="1" si="276"/>
        <v>-2.0768030277489276</v>
      </c>
      <c r="AS123" s="63">
        <f t="shared" ca="1" si="276"/>
        <v>-2.2435866237316144</v>
      </c>
      <c r="AT123" s="804">
        <f t="shared" ca="1" si="276"/>
        <v>-2.243586623731614</v>
      </c>
      <c r="AU123" s="63">
        <f t="shared" ca="1" si="276"/>
        <v>-2.00917134557548</v>
      </c>
      <c r="AV123" s="63">
        <f t="shared" ca="1" si="276"/>
        <v>-1.6492371772715138</v>
      </c>
      <c r="AW123" s="63">
        <f t="shared" ca="1" si="276"/>
        <v>-1.641362456086757</v>
      </c>
      <c r="AX123" s="63">
        <f t="shared" ca="1" si="276"/>
        <v>-1.469163668853307</v>
      </c>
      <c r="AY123" s="804">
        <f t="shared" ca="1" si="276"/>
        <v>-1.4691636688533074</v>
      </c>
      <c r="AZ123" s="63">
        <f t="shared" ca="1" si="276"/>
        <v>-1.4388958324556347</v>
      </c>
      <c r="BA123" s="63">
        <f t="shared" ca="1" si="276"/>
        <v>-1.5140719551105732</v>
      </c>
      <c r="BB123" s="63">
        <f t="shared" ref="BB123:BG123" ca="1" si="277">INDEX(MO_BSS_Debt_Net,0,COLUMN())/INDEX(SP_BSR_CashFlow_LTM,0,COLUMN())</f>
        <v>-1.4924100935898237</v>
      </c>
      <c r="BC123" s="63">
        <f t="shared" ca="1" si="277"/>
        <v>-1.430234674404214</v>
      </c>
      <c r="BD123" s="804">
        <f t="shared" ca="1" si="277"/>
        <v>-1.4302346744042138</v>
      </c>
      <c r="BE123" s="63">
        <f t="shared" ca="1" si="277"/>
        <v>-1.4446213404306798</v>
      </c>
      <c r="BF123" s="63">
        <f t="shared" ca="1" si="277"/>
        <v>-1.2341322230120846</v>
      </c>
      <c r="BG123" s="63">
        <f t="shared" ca="1" si="277"/>
        <v>-1.2175357073159956</v>
      </c>
      <c r="BH123" s="63">
        <f t="shared" ref="BH123:BN123" ca="1" si="278">INDEX(MO_BSS_Debt_Net,0,COLUMN())/INDEX(SP_BSR_CashFlow_LTM,0,COLUMN())</f>
        <v>-1.1564189630403552</v>
      </c>
      <c r="BI123" s="804">
        <f t="shared" ca="1" si="278"/>
        <v>-1.1564189630403552</v>
      </c>
      <c r="BJ123" s="63">
        <f t="shared" ca="1" si="278"/>
        <v>-1.1266714989947226</v>
      </c>
      <c r="BK123" s="63">
        <f t="shared" ca="1" si="278"/>
        <v>-1.0707414363411369</v>
      </c>
      <c r="BL123" s="424">
        <f ca="1">INDEX(MO_BSS_Debt_Net,0,COLUMN())/INDEX(SP_BSR_CashFlow_LTM,0,COLUMN())</f>
        <v>-1.1682380311007714</v>
      </c>
      <c r="BM123" s="63" t="e">
        <f t="shared" ca="1" si="278"/>
        <v>#REF!</v>
      </c>
      <c r="BN123" s="804" t="e">
        <f t="shared" ca="1" si="278"/>
        <v>#REF!</v>
      </c>
      <c r="BO123" s="63" t="e">
        <f t="shared" ref="BO123:BV123" ca="1" si="279">INDEX(MO_BSS_Debt_Net,0,COLUMN())/INDEX(SP_BSR_CashFlow_LTM,0,COLUMN())</f>
        <v>#REF!</v>
      </c>
      <c r="BP123" s="63" t="e">
        <f t="shared" ca="1" si="279"/>
        <v>#REF!</v>
      </c>
      <c r="BQ123" s="63" t="e">
        <f t="shared" ca="1" si="279"/>
        <v>#REF!</v>
      </c>
      <c r="BR123" s="63" t="e">
        <f t="shared" ca="1" si="279"/>
        <v>#REF!</v>
      </c>
      <c r="BS123" s="804" t="e">
        <f t="shared" ca="1" si="279"/>
        <v>#REF!</v>
      </c>
      <c r="BT123" s="804" t="e">
        <f t="shared" ca="1" si="279"/>
        <v>#REF!</v>
      </c>
      <c r="BU123" s="804" t="e">
        <f t="shared" ca="1" si="279"/>
        <v>#REF!</v>
      </c>
      <c r="BV123" s="804" t="e">
        <f t="shared" ca="1" si="279"/>
        <v>#REF!</v>
      </c>
      <c r="BW123" s="63"/>
    </row>
    <row r="124" spans="1:75" s="486" customFormat="1">
      <c r="A124" s="110" t="s">
        <v>655</v>
      </c>
      <c r="B124" s="111"/>
      <c r="C124" s="805"/>
      <c r="D124" s="805"/>
      <c r="E124" s="805">
        <f>INDEX(MO_BSS_Debt_Net,0,COLUMN())/SUM(INDEX(MO_BS_SE,0,COLUMN()),INDEX(MO_BSS_Debt,0,COLUMN()),IFERROR(INDEX(MO_BSS_OL,0,COLUMN()),0))</f>
        <v>-0.71091739577972202</v>
      </c>
      <c r="F124" s="805">
        <f>INDEX(MO_BSS_Debt_Net,0,COLUMN())/SUM(INDEX(MO_BS_SE,0,COLUMN()),INDEX(MO_BSS_Debt,0,COLUMN()),IFERROR(INDEX(MO_BSS_OL,0,COLUMN()),0))</f>
        <v>-0.61283818860088612</v>
      </c>
      <c r="G124" s="184"/>
      <c r="H124" s="184"/>
      <c r="I124" s="184"/>
      <c r="J124" s="184">
        <f t="shared" ref="J124:AO124" si="280">INDEX(MO_BSS_Debt_Net,0,COLUMN())/SUM(INDEX(MO_BS_SE,0,COLUMN()),INDEX(MO_BSS_Debt,0,COLUMN()),IFERROR(INDEX(MO_BSS_OL,0,COLUMN()),0))</f>
        <v>-0.80786173412020557</v>
      </c>
      <c r="K124" s="805">
        <f t="shared" si="280"/>
        <v>-0.80786173412020557</v>
      </c>
      <c r="L124" s="184">
        <f t="shared" si="280"/>
        <v>-0.80605317480637528</v>
      </c>
      <c r="M124" s="184">
        <f t="shared" si="280"/>
        <v>-0.79847864248098321</v>
      </c>
      <c r="N124" s="184">
        <f t="shared" si="280"/>
        <v>-0.79963350989467585</v>
      </c>
      <c r="O124" s="184">
        <f t="shared" si="280"/>
        <v>-0.71812462807107036</v>
      </c>
      <c r="P124" s="805">
        <f t="shared" si="280"/>
        <v>-0.71812462807107036</v>
      </c>
      <c r="Q124" s="184">
        <f t="shared" si="280"/>
        <v>-0.55679990740966356</v>
      </c>
      <c r="R124" s="184">
        <f t="shared" si="280"/>
        <v>-0.56024134136832993</v>
      </c>
      <c r="S124" s="184">
        <f t="shared" si="280"/>
        <v>-0.55306965778463135</v>
      </c>
      <c r="T124" s="184">
        <f t="shared" si="280"/>
        <v>-0.55839364493526711</v>
      </c>
      <c r="U124" s="805">
        <f t="shared" si="280"/>
        <v>-0.55839364493526711</v>
      </c>
      <c r="V124" s="184">
        <f t="shared" si="280"/>
        <v>-0.57233970891715924</v>
      </c>
      <c r="W124" s="184">
        <f t="shared" si="280"/>
        <v>-0.57797689502363847</v>
      </c>
      <c r="X124" s="184">
        <f t="shared" si="280"/>
        <v>-0.5872742400869404</v>
      </c>
      <c r="Y124" s="184">
        <f t="shared" si="280"/>
        <v>-0.61553347060033259</v>
      </c>
      <c r="Z124" s="805">
        <f t="shared" si="280"/>
        <v>-0.61553347060033259</v>
      </c>
      <c r="AA124" s="184">
        <f t="shared" si="280"/>
        <v>-0.6057444391689254</v>
      </c>
      <c r="AB124" s="184">
        <f t="shared" si="280"/>
        <v>-0.59812150234699435</v>
      </c>
      <c r="AC124" s="184">
        <f t="shared" si="280"/>
        <v>-0.62332918330998943</v>
      </c>
      <c r="AD124" s="184">
        <f t="shared" si="280"/>
        <v>-0.78001654194067449</v>
      </c>
      <c r="AE124" s="805">
        <f t="shared" si="280"/>
        <v>-0.78001654194067449</v>
      </c>
      <c r="AF124" s="184">
        <f t="shared" si="280"/>
        <v>-0.77673732526486683</v>
      </c>
      <c r="AG124" s="184">
        <f t="shared" si="280"/>
        <v>-0.75154993381486734</v>
      </c>
      <c r="AH124" s="184">
        <f t="shared" si="280"/>
        <v>-0.76106468914398828</v>
      </c>
      <c r="AI124" s="184">
        <f t="shared" si="280"/>
        <v>-0.72330821055528594</v>
      </c>
      <c r="AJ124" s="805">
        <f t="shared" si="280"/>
        <v>-0.72330821055528594</v>
      </c>
      <c r="AK124" s="184">
        <f t="shared" si="280"/>
        <v>-0.34483752872408269</v>
      </c>
      <c r="AL124" s="184">
        <f t="shared" si="280"/>
        <v>-0.22585573074911997</v>
      </c>
      <c r="AM124" s="184">
        <f t="shared" si="280"/>
        <v>-0.20709725654667294</v>
      </c>
      <c r="AN124" s="184">
        <f t="shared" si="280"/>
        <v>-0.25885334473195343</v>
      </c>
      <c r="AO124" s="805">
        <f t="shared" si="280"/>
        <v>-0.25885334473195343</v>
      </c>
      <c r="AP124" s="184">
        <f t="shared" ref="AP124:BA124" si="281">INDEX(MO_BSS_Debt_Net,0,COLUMN())/SUM(INDEX(MO_BS_SE,0,COLUMN()),INDEX(MO_BSS_Debt,0,COLUMN()),IFERROR(INDEX(MO_BSS_OL,0,COLUMN()),0))</f>
        <v>-0.27565317493576524</v>
      </c>
      <c r="AQ124" s="184">
        <f t="shared" si="281"/>
        <v>-0.3049698532221583</v>
      </c>
      <c r="AR124" s="184">
        <f t="shared" si="281"/>
        <v>-0.37249017624724362</v>
      </c>
      <c r="AS124" s="184">
        <f t="shared" si="281"/>
        <v>-0.37590813839924897</v>
      </c>
      <c r="AT124" s="805">
        <f t="shared" si="281"/>
        <v>-0.37590813839924897</v>
      </c>
      <c r="AU124" s="184">
        <f t="shared" si="281"/>
        <v>-0.38196725150307043</v>
      </c>
      <c r="AV124" s="184">
        <f t="shared" si="281"/>
        <v>-0.3823894011787739</v>
      </c>
      <c r="AW124" s="184">
        <f t="shared" si="281"/>
        <v>-0.36944031487302031</v>
      </c>
      <c r="AX124" s="184">
        <f t="shared" si="281"/>
        <v>-0.33976448940441573</v>
      </c>
      <c r="AY124" s="805">
        <f t="shared" si="281"/>
        <v>-0.33976448940441573</v>
      </c>
      <c r="AZ124" s="184">
        <f t="shared" si="281"/>
        <v>-0.3481651464473533</v>
      </c>
      <c r="BA124" s="184">
        <f t="shared" si="281"/>
        <v>-0.31796578056585678</v>
      </c>
      <c r="BB124" s="184">
        <f t="shared" ref="BB124:BG124" si="282">INDEX(MO_BSS_Debt_Net,0,COLUMN())/SUM(INDEX(MO_BS_SE,0,COLUMN()),INDEX(MO_BSS_Debt,0,COLUMN()),IFERROR(INDEX(MO_BSS_OL,0,COLUMN()),0))</f>
        <v>-0.34381864815571767</v>
      </c>
      <c r="BC124" s="184">
        <f t="shared" si="282"/>
        <v>-0.32874444666226027</v>
      </c>
      <c r="BD124" s="805">
        <f t="shared" si="282"/>
        <v>-0.32874444666226027</v>
      </c>
      <c r="BE124" s="184">
        <f t="shared" si="282"/>
        <v>-0.36391352313384168</v>
      </c>
      <c r="BF124" s="184">
        <f t="shared" si="282"/>
        <v>-0.35802976829829675</v>
      </c>
      <c r="BG124" s="184">
        <f t="shared" si="282"/>
        <v>-0.39560726172900368</v>
      </c>
      <c r="BH124" s="184">
        <f t="shared" ref="BH124:BN124" si="283">INDEX(MO_BSS_Debt_Net,0,COLUMN())/SUM(INDEX(MO_BS_SE,0,COLUMN()),INDEX(MO_BSS_Debt,0,COLUMN()),IFERROR(INDEX(MO_BSS_OL,0,COLUMN()),0))</f>
        <v>-0.42324812716515714</v>
      </c>
      <c r="BI124" s="805">
        <f t="shared" si="283"/>
        <v>-0.42324812716515714</v>
      </c>
      <c r="BJ124" s="184">
        <f t="shared" si="283"/>
        <v>-0.42974131352380573</v>
      </c>
      <c r="BK124" s="184">
        <f t="shared" si="283"/>
        <v>-0.39547601137784522</v>
      </c>
      <c r="BL124" s="425">
        <f>INDEX(MO_BSS_Debt_Net,0,COLUMN())/SUM(INDEX(MO_BS_SE,0,COLUMN()),INDEX(MO_BSS_Debt,0,COLUMN()),IFERROR(INDEX(MO_BSS_OL,0,COLUMN()),0))</f>
        <v>-0.43288000635187085</v>
      </c>
      <c r="BM124" s="184" t="e">
        <f t="shared" si="283"/>
        <v>#REF!</v>
      </c>
      <c r="BN124" s="805" t="e">
        <f t="shared" si="283"/>
        <v>#REF!</v>
      </c>
      <c r="BO124" s="184" t="e">
        <f t="shared" ref="BO124:BV124" si="284">INDEX(MO_BSS_Debt_Net,0,COLUMN())/SUM(INDEX(MO_BS_SE,0,COLUMN()),INDEX(MO_BSS_Debt,0,COLUMN()),IFERROR(INDEX(MO_BSS_OL,0,COLUMN()),0))</f>
        <v>#REF!</v>
      </c>
      <c r="BP124" s="184" t="e">
        <f t="shared" si="284"/>
        <v>#REF!</v>
      </c>
      <c r="BQ124" s="184" t="e">
        <f t="shared" si="284"/>
        <v>#REF!</v>
      </c>
      <c r="BR124" s="184" t="e">
        <f t="shared" si="284"/>
        <v>#REF!</v>
      </c>
      <c r="BS124" s="805" t="e">
        <f t="shared" si="284"/>
        <v>#REF!</v>
      </c>
      <c r="BT124" s="805" t="e">
        <f t="shared" si="284"/>
        <v>#REF!</v>
      </c>
      <c r="BU124" s="805" t="e">
        <f t="shared" si="284"/>
        <v>#REF!</v>
      </c>
      <c r="BV124" s="805" t="e">
        <f t="shared" si="284"/>
        <v>#REF!</v>
      </c>
      <c r="BW124" s="148"/>
    </row>
    <row r="125" spans="1:75" s="483" customFormat="1" hidden="1" outlineLevel="1">
      <c r="A125" s="104" t="s">
        <v>656</v>
      </c>
      <c r="B125" s="105"/>
      <c r="C125" s="787">
        <f>C83</f>
        <v>-0.57499999999999962</v>
      </c>
      <c r="D125" s="787">
        <f>D83</f>
        <v>-5.7410000000000023</v>
      </c>
      <c r="E125" s="787">
        <f>E83</f>
        <v>-1.1280000000000054</v>
      </c>
      <c r="F125" s="787">
        <f>F83</f>
        <v>4.5980000000000132</v>
      </c>
      <c r="G125" s="551"/>
      <c r="H125" s="551"/>
      <c r="I125" s="551"/>
      <c r="J125" s="551">
        <f>SUM(J83,I83,H83,G83)</f>
        <v>29.429000000000009</v>
      </c>
      <c r="K125" s="787">
        <f>K83</f>
        <v>29.428999999999991</v>
      </c>
      <c r="L125" s="551">
        <f>SUM(L83,J83,I83,H83)</f>
        <v>34.738</v>
      </c>
      <c r="M125" s="551">
        <f>SUM(M83,L83,J83,I83)</f>
        <v>44.481999999999999</v>
      </c>
      <c r="N125" s="551">
        <f>SUM(N83,M83,L83,J83)</f>
        <v>56.498000000000005</v>
      </c>
      <c r="O125" s="551">
        <f>SUM(O83,N83,M83,L83)</f>
        <v>71.192000000000021</v>
      </c>
      <c r="P125" s="787">
        <f>P83</f>
        <v>70.922000000000025</v>
      </c>
      <c r="Q125" s="551">
        <f>SUM(Q83,O83,N83,M83)</f>
        <v>78.996000000000009</v>
      </c>
      <c r="R125" s="551">
        <f>SUM(R83,Q83,O83,N83)</f>
        <v>84.215000000000003</v>
      </c>
      <c r="S125" s="551">
        <f>SUM(S83,R83,Q83,O83)</f>
        <v>76.682000000000016</v>
      </c>
      <c r="T125" s="551">
        <f>SUM(T83,S83,R83,Q83)</f>
        <v>69.122</v>
      </c>
      <c r="U125" s="787">
        <f>U83</f>
        <v>69.122000000000043</v>
      </c>
      <c r="V125" s="551">
        <f>SUM(V83,T83,S83,R83)</f>
        <v>65.831000000000017</v>
      </c>
      <c r="W125" s="551">
        <f>SUM(W83,V83,T83,S83)</f>
        <v>71.200999999999993</v>
      </c>
      <c r="X125" s="551">
        <f>SUM(X83,W83,V83,T83)</f>
        <v>92.346999999999994</v>
      </c>
      <c r="Y125" s="551">
        <f>SUM(Y83,X83,W83,V83)</f>
        <v>120.08200000000002</v>
      </c>
      <c r="Z125" s="787">
        <f>Z83</f>
        <v>120.083</v>
      </c>
      <c r="AA125" s="551">
        <f>SUM(AA83,Y83,X83,W83)</f>
        <v>137.08100000000002</v>
      </c>
      <c r="AB125" s="551">
        <f>SUM(AB83,AA83,Y83,X83)</f>
        <v>152.18100000000001</v>
      </c>
      <c r="AC125" s="551">
        <f>SUM(AC83,AB83,AA83,Y83)</f>
        <v>161.393</v>
      </c>
      <c r="AD125" s="551">
        <f>SUM(AD83,AC83,AB83,AA83)</f>
        <v>157.82599999999999</v>
      </c>
      <c r="AE125" s="787">
        <f>AE83</f>
        <v>157.82600000000002</v>
      </c>
      <c r="AF125" s="551">
        <f>SUM(AF83,AD83,AC83,AB83)</f>
        <v>160.73600000000002</v>
      </c>
      <c r="AG125" s="551">
        <f>SUM(AG83,AF83,AD83,AC83)</f>
        <v>164.46799999999999</v>
      </c>
      <c r="AH125" s="551">
        <f>SUM(AH83,AG83,AF83,AD83)</f>
        <v>171.86500000000001</v>
      </c>
      <c r="AI125" s="551">
        <f>SUM(AI83,AH83,AG83,AF83)</f>
        <v>183.08999999999997</v>
      </c>
      <c r="AJ125" s="787">
        <f>AJ83</f>
        <v>183.08999999999997</v>
      </c>
      <c r="AK125" s="551">
        <f>SUM(AK83,AI83,AH83,AG83)</f>
        <v>189.46799999999993</v>
      </c>
      <c r="AL125" s="551">
        <f>SUM(AL83,AK83,AI83,AH83)</f>
        <v>197.42199999999997</v>
      </c>
      <c r="AM125" s="551">
        <f>SUM(AM83,AL83,AK83,AI83)</f>
        <v>205.42699999999996</v>
      </c>
      <c r="AN125" s="551">
        <f>SUM(AN83,AM83,AL83,AK83)</f>
        <v>213.49499999999981</v>
      </c>
      <c r="AO125" s="787">
        <f>AO83</f>
        <v>213.49499999999983</v>
      </c>
      <c r="AP125" s="551">
        <f>SUM(AP83,AN83,AM83,AL83)</f>
        <v>191.03999999999985</v>
      </c>
      <c r="AQ125" s="551">
        <f>SUM(AQ83,AP83,AN83,AM83)</f>
        <v>147.28099999999981</v>
      </c>
      <c r="AR125" s="551">
        <f>SUM(AR83,AQ83,AP83,AN83)</f>
        <v>141.64699999999982</v>
      </c>
      <c r="AS125" s="551">
        <f>SUM(AS83,AR83,AQ83,AP83)</f>
        <v>140.24999999999997</v>
      </c>
      <c r="AT125" s="787">
        <f>AT83</f>
        <v>140.24999999999997</v>
      </c>
      <c r="AU125" s="551">
        <f>SUM(AU83,AS83,AR83,AQ83)</f>
        <v>167.09699999999998</v>
      </c>
      <c r="AV125" s="551">
        <f>SUM(AV83,AU83,AS83,AR83)</f>
        <v>219.75399999999999</v>
      </c>
      <c r="AW125" s="551">
        <f>SUM(AW83,AV83,AU83,AS83)</f>
        <v>237.80899999999997</v>
      </c>
      <c r="AX125" s="551">
        <f>SUM(AX83,AW83,AV83,AU83)</f>
        <v>246.32399999999996</v>
      </c>
      <c r="AY125" s="787">
        <f>AY83</f>
        <v>246.32399999999996</v>
      </c>
      <c r="AZ125" s="551">
        <f>SUM(AZ83,AX83,AW83,AV83)</f>
        <v>250.71299999999997</v>
      </c>
      <c r="BA125" s="551">
        <f>SUM(BA83,AZ83,AX83,AW83)</f>
        <v>254.24599999999998</v>
      </c>
      <c r="BB125" s="551">
        <f>SUM(BB83,BA83,AZ83,AX83)</f>
        <v>257.46900000000005</v>
      </c>
      <c r="BC125" s="551">
        <f>SUM(BC83,BB83,BA83,AZ83)</f>
        <v>269.75900000000019</v>
      </c>
      <c r="BD125" s="787">
        <f>BD83</f>
        <v>269.75900000000019</v>
      </c>
      <c r="BE125" s="551">
        <f>SUM(BE83,BC83,BB83,BA83)</f>
        <v>275.69500000000016</v>
      </c>
      <c r="BF125" s="551">
        <f>SUM(BF83,BE83,BC83,BB83)</f>
        <v>292.31200000000001</v>
      </c>
      <c r="BG125" s="551">
        <f>SUM(BG83,BF83,BE83,BC83)</f>
        <v>314.84699999999998</v>
      </c>
      <c r="BH125" s="551">
        <f>SUM(BH83,BG83,BF83,BE83)</f>
        <v>330.49299999999994</v>
      </c>
      <c r="BI125" s="787">
        <f>BI83</f>
        <v>330.49299999999988</v>
      </c>
      <c r="BJ125" s="551">
        <f>SUM(BJ83,BH83,BG83,BF83)</f>
        <v>340.91899999999993</v>
      </c>
      <c r="BK125" s="551">
        <f>SUM(BK83,BJ83,BH83,BG83)</f>
        <v>348.09700000000004</v>
      </c>
      <c r="BL125" s="596">
        <f>SUM(BL83,BK83,BJ83,BH83)</f>
        <v>352.98899999999992</v>
      </c>
      <c r="BM125" s="551">
        <f>SUM(BM83,BL83,BK83,BJ83)</f>
        <v>343.54592807504207</v>
      </c>
      <c r="BN125" s="787">
        <f>BN83</f>
        <v>343.54592807504207</v>
      </c>
      <c r="BO125" s="551" t="e">
        <f>SUM(BO83,BM83,BL83,BK83)</f>
        <v>#VALUE!</v>
      </c>
      <c r="BP125" s="551" t="e">
        <f>SUM(BP83,BO83,BM83,BL83)</f>
        <v>#VALUE!</v>
      </c>
      <c r="BQ125" s="551" t="e">
        <f>SUM(BQ83,BP83,BO83,BM83)</f>
        <v>#VALUE!</v>
      </c>
      <c r="BR125" s="551" t="e">
        <f>SUM(BR83,BQ83,BP83,BO83)</f>
        <v>#VALUE!</v>
      </c>
      <c r="BS125" s="787" t="e">
        <f>BS83</f>
        <v>#VALUE!</v>
      </c>
      <c r="BT125" s="787" t="e">
        <f>BT83</f>
        <v>#VALUE!</v>
      </c>
      <c r="BU125" s="787" t="e">
        <f>BU83</f>
        <v>#VALUE!</v>
      </c>
      <c r="BV125" s="787" t="e">
        <f>BV83</f>
        <v>#VALUE!</v>
      </c>
      <c r="BW125" s="146"/>
    </row>
    <row r="126" spans="1:75" s="483" customFormat="1" hidden="1" outlineLevel="1">
      <c r="A126" s="104" t="s">
        <v>657</v>
      </c>
      <c r="B126" s="105"/>
      <c r="C126" s="787">
        <f ca="1">C103</f>
        <v>-0.63299999999999967</v>
      </c>
      <c r="D126" s="787">
        <f ca="1">D103</f>
        <v>-7.8109999999999999</v>
      </c>
      <c r="E126" s="787">
        <f ca="1">E103</f>
        <v>0.25000000000000056</v>
      </c>
      <c r="F126" s="787">
        <f ca="1">F103</f>
        <v>-9.9000000000000199E-2</v>
      </c>
      <c r="G126" s="551"/>
      <c r="H126" s="551"/>
      <c r="I126" s="551"/>
      <c r="J126" s="551">
        <f ca="1">SUM(J103,I103,H103,G103)</f>
        <v>21.431999999999999</v>
      </c>
      <c r="K126" s="787">
        <f ca="1">K103</f>
        <v>21.432000000000002</v>
      </c>
      <c r="L126" s="551">
        <f ca="1">SUM(L103,J103,I103,H103)</f>
        <v>30.928999999999998</v>
      </c>
      <c r="M126" s="551">
        <f ca="1">SUM(M103,L103,J103,I103)</f>
        <v>36.307000000000002</v>
      </c>
      <c r="N126" s="551">
        <f ca="1">SUM(N103,M103,L103,J103)</f>
        <v>48.363</v>
      </c>
      <c r="O126" s="551">
        <f ca="1">SUM(O103,N103,M103,L103)</f>
        <v>57.932000000000016</v>
      </c>
      <c r="P126" s="787">
        <f ca="1">P103</f>
        <v>57.932000000000016</v>
      </c>
      <c r="Q126" s="551">
        <f ca="1">SUM(Q103,O103,N103,M103)</f>
        <v>74.244</v>
      </c>
      <c r="R126" s="551">
        <f ca="1">SUM(R103,Q103,O103,N103)</f>
        <v>81.608000000000004</v>
      </c>
      <c r="S126" s="551">
        <f ca="1">SUM(S103,R103,Q103,O103)</f>
        <v>72.42</v>
      </c>
      <c r="T126" s="551">
        <f ca="1">SUM(T103,S103,R103,Q103)</f>
        <v>57.362000000000002</v>
      </c>
      <c r="U126" s="787">
        <f ca="1">U103</f>
        <v>57.362000000000002</v>
      </c>
      <c r="V126" s="551">
        <f ca="1">SUM(V103,T103,S103,R103)</f>
        <v>55.606000000000002</v>
      </c>
      <c r="W126" s="551">
        <f ca="1">SUM(W103,V103,T103,S103)</f>
        <v>60.207000000000008</v>
      </c>
      <c r="X126" s="551">
        <f ca="1">SUM(X103,W103,V103,T103)</f>
        <v>85.622000000000014</v>
      </c>
      <c r="Y126" s="551">
        <f ca="1">SUM(Y103,X103,W103,V103)</f>
        <v>126.89999999999998</v>
      </c>
      <c r="Z126" s="787">
        <f ca="1">Z103</f>
        <v>126.89999999999998</v>
      </c>
      <c r="AA126" s="551">
        <f ca="1">SUM(AA103,Y103,X103,W103)</f>
        <v>144.25599999999997</v>
      </c>
      <c r="AB126" s="551">
        <f ca="1">SUM(AB103,AA103,Y103,X103)</f>
        <v>156.71299999999999</v>
      </c>
      <c r="AC126" s="551">
        <f ca="1">SUM(AC103,AB103,AA103,Y103)</f>
        <v>173.07400000000001</v>
      </c>
      <c r="AD126" s="551">
        <f ca="1">SUM(AD103,AC103,AB103,AA103)</f>
        <v>167.64699999999999</v>
      </c>
      <c r="AE126" s="787">
        <f ca="1">AE103</f>
        <v>167.64700000000005</v>
      </c>
      <c r="AF126" s="551">
        <f ca="1">SUM(AF103,AD103,AC103,AB103)</f>
        <v>164.70800000000003</v>
      </c>
      <c r="AG126" s="551">
        <f ca="1">SUM(AG103,AF103,AD103,AC103)</f>
        <v>152.261</v>
      </c>
      <c r="AH126" s="551">
        <f ca="1">SUM(AH103,AG103,AF103,AD103)</f>
        <v>155.80099999999999</v>
      </c>
      <c r="AI126" s="551">
        <f ca="1">SUM(AI103,AH103,AG103,AF103)</f>
        <v>160.18700000000001</v>
      </c>
      <c r="AJ126" s="787">
        <f ca="1">AJ103</f>
        <v>160.18699999999995</v>
      </c>
      <c r="AK126" s="551">
        <f ca="1">SUM(AK103,AI103,AH103,AG103)</f>
        <v>162.91999999999999</v>
      </c>
      <c r="AL126" s="551">
        <f ca="1">SUM(AL103,AK103,AI103,AH103)</f>
        <v>197.09599999999998</v>
      </c>
      <c r="AM126" s="551">
        <f ca="1">SUM(AM103,AL103,AK103,AI103)</f>
        <v>193.33999999999997</v>
      </c>
      <c r="AN126" s="551">
        <f ca="1">SUM(AN103,AM103,AL103,AK103)</f>
        <v>204.78199999999998</v>
      </c>
      <c r="AO126" s="787">
        <f ca="1">AO103</f>
        <v>204.78199999999998</v>
      </c>
      <c r="AP126" s="551">
        <f ca="1">SUM(AP103,AN103,AM103,AL103)</f>
        <v>204.53899999999999</v>
      </c>
      <c r="AQ126" s="551">
        <f ca="1">SUM(AQ103,AP103,AN103,AM103)</f>
        <v>164.18499999999997</v>
      </c>
      <c r="AR126" s="551">
        <f ca="1">SUM(AR103,AQ103,AP103,AN103)</f>
        <v>183.899</v>
      </c>
      <c r="AS126" s="551">
        <f ca="1">SUM(AS103,AR103,AQ103,AP103)</f>
        <v>176.70099999999999</v>
      </c>
      <c r="AT126" s="787">
        <f ca="1">AT103</f>
        <v>176.70100000000002</v>
      </c>
      <c r="AU126" s="551">
        <f ca="1">SUM(AU103,AS103,AR103,AQ103)</f>
        <v>194.84599999999998</v>
      </c>
      <c r="AV126" s="551">
        <f ca="1">SUM(AV103,AU103,AS103,AR103)</f>
        <v>228.55900000000003</v>
      </c>
      <c r="AW126" s="551">
        <f ca="1">SUM(AW103,AV103,AU103,AS103)</f>
        <v>216.05099999999999</v>
      </c>
      <c r="AX126" s="551">
        <f ca="1">SUM(AX103,AW103,AV103,AU103)</f>
        <v>212.65500000000003</v>
      </c>
      <c r="AY126" s="787">
        <f ca="1">AY103</f>
        <v>212.65499999999994</v>
      </c>
      <c r="AZ126" s="551">
        <f ca="1">SUM(AZ103,AX103,AW103,AV103)</f>
        <v>213.62700000000004</v>
      </c>
      <c r="BA126" s="551">
        <f ca="1">SUM(BA103,AZ103,AX103,AW103)</f>
        <v>181.78</v>
      </c>
      <c r="BB126" s="551">
        <f ca="1">SUM(BB103,BA103,AZ103,AX103)</f>
        <v>192.756</v>
      </c>
      <c r="BC126" s="551">
        <f ca="1">SUM(BC103,BB103,BA103,AZ103)</f>
        <v>192.30900000000003</v>
      </c>
      <c r="BD126" s="787">
        <f ca="1">BD103</f>
        <v>192.30900000000005</v>
      </c>
      <c r="BE126" s="551">
        <f ca="1">SUM(BE103,BC103,BB103,BA103)</f>
        <v>206.65</v>
      </c>
      <c r="BF126" s="551">
        <f ca="1">SUM(BF103,BE103,BC103,BB103)</f>
        <v>236.32800000000003</v>
      </c>
      <c r="BG126" s="551">
        <f ca="1">SUM(BG103,BF103,BE103,BC103)</f>
        <v>271.58300000000003</v>
      </c>
      <c r="BH126" s="551">
        <f ca="1">SUM(BH103,BG103,BF103,BE103)</f>
        <v>306.27999999999997</v>
      </c>
      <c r="BI126" s="787">
        <f ca="1">BI103</f>
        <v>306.27999999999997</v>
      </c>
      <c r="BJ126" s="551">
        <f ca="1">SUM(BJ103,BH103,BG103,BF103)</f>
        <v>304.89100000000002</v>
      </c>
      <c r="BK126" s="551">
        <f ca="1">SUM(BK103,BJ103,BH103,BG103)</f>
        <v>296.57299999999998</v>
      </c>
      <c r="BL126" s="596">
        <f ca="1">SUM(BL103,BK103,BJ103,BH103)</f>
        <v>294.012</v>
      </c>
      <c r="BM126" s="551">
        <f ca="1">SUM(BM103,BL103,BK103,BJ103)</f>
        <v>492.01745893072768</v>
      </c>
      <c r="BN126" s="787">
        <f ca="1">BN103</f>
        <v>492.01745893072768</v>
      </c>
      <c r="BO126" s="551">
        <f ca="1">SUM(BO103,BM103,BL103,BK103)</f>
        <v>358.59841842045626</v>
      </c>
      <c r="BP126" s="551">
        <f ca="1">SUM(BP103,BO103,BM103,BL103)</f>
        <v>403.34629980088886</v>
      </c>
      <c r="BQ126" s="551">
        <f ca="1">SUM(BQ103,BP103,BO103,BM103)</f>
        <v>607.71890439300819</v>
      </c>
      <c r="BR126" s="551">
        <f ca="1">SUM(BR103,BQ103,BP103,BO103)</f>
        <v>633.07867240783855</v>
      </c>
      <c r="BS126" s="787">
        <f ca="1">BS103</f>
        <v>633.07867240783855</v>
      </c>
      <c r="BT126" s="787">
        <f ca="1">BT103</f>
        <v>447.69427343453003</v>
      </c>
      <c r="BU126" s="787">
        <f ca="1">BU103</f>
        <v>471.76960348777686</v>
      </c>
      <c r="BV126" s="787">
        <f ca="1">BV103</f>
        <v>417.39368188120045</v>
      </c>
      <c r="BW126" s="146"/>
    </row>
    <row r="127" spans="1:75" s="479" customFormat="1" collapsed="1">
      <c r="A127" s="92"/>
      <c r="B127" s="97"/>
      <c r="C127" s="787"/>
      <c r="D127" s="787"/>
      <c r="E127" s="787"/>
      <c r="F127" s="787"/>
      <c r="G127" s="551"/>
      <c r="H127" s="551"/>
      <c r="I127" s="551"/>
      <c r="J127" s="551"/>
      <c r="K127" s="787"/>
      <c r="L127" s="551"/>
      <c r="M127" s="551"/>
      <c r="N127" s="551"/>
      <c r="O127" s="551"/>
      <c r="P127" s="787"/>
      <c r="Q127" s="551"/>
      <c r="R127" s="551"/>
      <c r="S127" s="551"/>
      <c r="T127" s="551"/>
      <c r="U127" s="787"/>
      <c r="V127" s="551"/>
      <c r="W127" s="551"/>
      <c r="X127" s="551"/>
      <c r="Y127" s="551"/>
      <c r="Z127" s="787"/>
      <c r="AA127" s="551"/>
      <c r="AB127" s="551"/>
      <c r="AC127" s="551"/>
      <c r="AD127" s="551"/>
      <c r="AE127" s="787"/>
      <c r="AF127" s="551"/>
      <c r="AG127" s="551"/>
      <c r="AH127" s="551"/>
      <c r="AI127" s="551"/>
      <c r="AJ127" s="787"/>
      <c r="AK127" s="551"/>
      <c r="AL127" s="551"/>
      <c r="AM127" s="551"/>
      <c r="AN127" s="551"/>
      <c r="AO127" s="787"/>
      <c r="AP127" s="551"/>
      <c r="AQ127" s="551"/>
      <c r="AR127" s="551"/>
      <c r="AS127" s="551"/>
      <c r="AT127" s="787"/>
      <c r="AU127" s="551"/>
      <c r="AV127" s="551"/>
      <c r="AW127" s="551"/>
      <c r="AX127" s="551"/>
      <c r="AY127" s="787"/>
      <c r="AZ127" s="551"/>
      <c r="BA127" s="551"/>
      <c r="BB127" s="551"/>
      <c r="BC127" s="551"/>
      <c r="BD127" s="787"/>
      <c r="BE127" s="551"/>
      <c r="BF127" s="551"/>
      <c r="BG127" s="551"/>
      <c r="BH127" s="551"/>
      <c r="BI127" s="787"/>
      <c r="BJ127" s="551"/>
      <c r="BK127" s="551"/>
      <c r="BL127" s="596"/>
      <c r="BM127" s="551"/>
      <c r="BN127" s="787"/>
      <c r="BO127" s="551"/>
      <c r="BP127" s="551"/>
      <c r="BQ127" s="551"/>
      <c r="BR127" s="551"/>
      <c r="BS127" s="787"/>
      <c r="BT127" s="787"/>
      <c r="BU127" s="787"/>
      <c r="BV127" s="787"/>
      <c r="BW127" s="551"/>
    </row>
    <row r="128" spans="1:75" s="479" customFormat="1">
      <c r="A128" s="553" t="s">
        <v>658</v>
      </c>
      <c r="B128" s="553"/>
      <c r="C128" s="553"/>
      <c r="D128" s="553"/>
      <c r="E128" s="553"/>
      <c r="F128" s="553"/>
      <c r="G128" s="553"/>
      <c r="H128" s="553"/>
      <c r="I128" s="553"/>
      <c r="J128" s="553"/>
      <c r="K128" s="553"/>
      <c r="L128" s="553"/>
      <c r="M128" s="553"/>
      <c r="N128" s="553"/>
      <c r="O128" s="553"/>
      <c r="P128" s="553"/>
      <c r="Q128" s="553"/>
      <c r="R128" s="553"/>
      <c r="S128" s="553"/>
      <c r="T128" s="553"/>
      <c r="U128" s="553"/>
      <c r="V128" s="553"/>
      <c r="W128" s="553"/>
      <c r="X128" s="553"/>
      <c r="Y128" s="553"/>
      <c r="Z128" s="553"/>
      <c r="AA128" s="553"/>
      <c r="AB128" s="553"/>
      <c r="AC128" s="553"/>
      <c r="AD128" s="553"/>
      <c r="AE128" s="553"/>
      <c r="AF128" s="553"/>
      <c r="AG128" s="553"/>
      <c r="AH128" s="553"/>
      <c r="AI128" s="553"/>
      <c r="AJ128" s="553"/>
      <c r="AK128" s="553"/>
      <c r="AL128" s="553"/>
      <c r="AM128" s="553"/>
      <c r="AN128" s="553"/>
      <c r="AO128" s="553"/>
      <c r="AP128" s="553"/>
      <c r="AQ128" s="553"/>
      <c r="AR128" s="553"/>
      <c r="AS128" s="553"/>
      <c r="AT128" s="553"/>
      <c r="AU128" s="553"/>
      <c r="AV128" s="553"/>
      <c r="AW128" s="553"/>
      <c r="AX128" s="553"/>
      <c r="AY128" s="553"/>
      <c r="AZ128" s="553"/>
      <c r="BA128" s="553"/>
      <c r="BB128" s="553"/>
      <c r="BC128" s="553"/>
      <c r="BD128" s="553"/>
      <c r="BE128" s="553"/>
      <c r="BF128" s="553"/>
      <c r="BG128" s="553"/>
      <c r="BH128" s="553"/>
      <c r="BI128" s="553"/>
      <c r="BJ128" s="553"/>
      <c r="BK128" s="553"/>
      <c r="BL128" s="600"/>
      <c r="BM128" s="553"/>
      <c r="BN128" s="553"/>
      <c r="BO128" s="553"/>
      <c r="BP128" s="553"/>
      <c r="BQ128" s="553"/>
      <c r="BR128" s="553"/>
      <c r="BS128" s="553"/>
      <c r="BT128" s="553"/>
      <c r="BU128" s="553"/>
      <c r="BV128" s="553"/>
      <c r="BW128" s="551"/>
    </row>
    <row r="129" spans="1:75" hidden="1" outlineLevel="1">
      <c r="A129" s="93" t="s">
        <v>257</v>
      </c>
      <c r="B129" s="94"/>
      <c r="C129" s="788">
        <f t="shared" ref="C129:AH129" si="285">INDEX(SP_NGF_NI,0,COLUMN())</f>
        <v>-2.2759999999999985</v>
      </c>
      <c r="D129" s="788">
        <f t="shared" si="285"/>
        <v>-9.7409999999999997</v>
      </c>
      <c r="E129" s="788">
        <f t="shared" si="285"/>
        <v>-16.479000000000006</v>
      </c>
      <c r="F129" s="788">
        <f t="shared" si="285"/>
        <v>-19.081000000000014</v>
      </c>
      <c r="G129" s="552">
        <f t="shared" si="285"/>
        <v>-4.7989999999999942</v>
      </c>
      <c r="H129" s="552">
        <f t="shared" si="285"/>
        <v>-0.87799999999999123</v>
      </c>
      <c r="I129" s="552">
        <f t="shared" si="285"/>
        <v>-2.3220000000000058</v>
      </c>
      <c r="J129" s="552">
        <f t="shared" si="285"/>
        <v>7.3399999999999839</v>
      </c>
      <c r="K129" s="788">
        <f t="shared" si="285"/>
        <v>18.313999999999961</v>
      </c>
      <c r="L129" s="552">
        <f t="shared" si="285"/>
        <v>-2.6349999999999989</v>
      </c>
      <c r="M129" s="552">
        <f t="shared" si="285"/>
        <v>2.742999999999995</v>
      </c>
      <c r="N129" s="552">
        <f t="shared" si="285"/>
        <v>3.6369999999999827</v>
      </c>
      <c r="O129" s="552">
        <f t="shared" si="285"/>
        <v>18.896999999999998</v>
      </c>
      <c r="P129" s="788">
        <f t="shared" si="285"/>
        <v>52.997000000000028</v>
      </c>
      <c r="Q129" s="552">
        <f t="shared" si="285"/>
        <v>7.9020000000000046</v>
      </c>
      <c r="R129" s="552">
        <f t="shared" si="285"/>
        <v>9.3540000000000099</v>
      </c>
      <c r="S129" s="552">
        <f t="shared" si="285"/>
        <v>2.6740000000000084</v>
      </c>
      <c r="T129" s="552">
        <f t="shared" si="285"/>
        <v>8.9750000000000192</v>
      </c>
      <c r="U129" s="788">
        <f t="shared" si="285"/>
        <v>28.905000000000037</v>
      </c>
      <c r="V129" s="552">
        <f t="shared" si="285"/>
        <v>5.9630000000000027</v>
      </c>
      <c r="W129" s="552">
        <f t="shared" si="285"/>
        <v>12.516000000000016</v>
      </c>
      <c r="X129" s="552">
        <f t="shared" si="285"/>
        <v>18.409000000000006</v>
      </c>
      <c r="Y129" s="552">
        <f t="shared" si="285"/>
        <v>22.550999999999902</v>
      </c>
      <c r="Z129" s="788">
        <f t="shared" si="285"/>
        <v>59.439999999999841</v>
      </c>
      <c r="AA129" s="552">
        <f t="shared" si="285"/>
        <v>17.027999999999999</v>
      </c>
      <c r="AB129" s="552">
        <f t="shared" si="285"/>
        <v>21.947999999999972</v>
      </c>
      <c r="AC129" s="552">
        <f t="shared" si="285"/>
        <v>25.487999999999992</v>
      </c>
      <c r="AD129" s="552">
        <f t="shared" si="285"/>
        <v>15.837999999999994</v>
      </c>
      <c r="AE129" s="788">
        <f t="shared" si="285"/>
        <v>80.302999999999955</v>
      </c>
      <c r="AF129" s="552">
        <f t="shared" si="285"/>
        <v>-2.2859999999999983</v>
      </c>
      <c r="AG129" s="552">
        <f t="shared" si="285"/>
        <v>10.70400000000001</v>
      </c>
      <c r="AH129" s="552">
        <f t="shared" si="285"/>
        <v>14.986000000000027</v>
      </c>
      <c r="AI129" s="552">
        <f t="shared" ref="AI129:BA129" si="286">INDEX(SP_NGF_NI,0,COLUMN())</f>
        <v>31.94599999999998</v>
      </c>
      <c r="AJ129" s="788">
        <f t="shared" si="286"/>
        <v>55.350000000000051</v>
      </c>
      <c r="AK129" s="552">
        <f t="shared" si="286"/>
        <v>1.3649999999999949</v>
      </c>
      <c r="AL129" s="552">
        <f t="shared" si="286"/>
        <v>12.303000000000029</v>
      </c>
      <c r="AM129" s="552">
        <f t="shared" si="286"/>
        <v>10.060999999999984</v>
      </c>
      <c r="AN129" s="552">
        <f t="shared" si="286"/>
        <v>17.151999999999848</v>
      </c>
      <c r="AO129" s="788">
        <f t="shared" si="286"/>
        <v>40.880999999999972</v>
      </c>
      <c r="AP129" s="552">
        <f t="shared" si="286"/>
        <v>-15.502999999999972</v>
      </c>
      <c r="AQ129" s="552">
        <f t="shared" si="286"/>
        <v>-23.99000000000002</v>
      </c>
      <c r="AR129" s="552">
        <f t="shared" si="286"/>
        <v>-1.0200000000000387</v>
      </c>
      <c r="AS129" s="552">
        <f t="shared" si="286"/>
        <v>21.089000000000013</v>
      </c>
      <c r="AT129" s="788">
        <f t="shared" si="286"/>
        <v>-19.423999999999957</v>
      </c>
      <c r="AU129" s="552">
        <f t="shared" si="286"/>
        <v>-5.7960000000000012</v>
      </c>
      <c r="AV129" s="552">
        <f t="shared" si="286"/>
        <v>4.2119999999999829</v>
      </c>
      <c r="AW129" s="552">
        <f t="shared" si="286"/>
        <v>18.064999999999952</v>
      </c>
      <c r="AX129" s="552">
        <f t="shared" si="286"/>
        <v>23.190000000000019</v>
      </c>
      <c r="AY129" s="788">
        <f t="shared" si="286"/>
        <v>39.6709999999999</v>
      </c>
      <c r="AZ129" s="552">
        <f t="shared" si="286"/>
        <v>-0.91499999999998893</v>
      </c>
      <c r="BA129" s="552">
        <f t="shared" si="286"/>
        <v>8.0090000000000021</v>
      </c>
      <c r="BB129" s="552">
        <f t="shared" ref="BB129:BG129" si="287">INDEX(SP_NGF_NI,0,COLUMN())</f>
        <v>9.1080000000000325</v>
      </c>
      <c r="BC129" s="552">
        <f t="shared" si="287"/>
        <v>20.145000000000131</v>
      </c>
      <c r="BD129" s="788">
        <f t="shared" si="287"/>
        <v>36.347000000000058</v>
      </c>
      <c r="BE129" s="552">
        <f t="shared" si="287"/>
        <v>-1.178000000000047</v>
      </c>
      <c r="BF129" s="552">
        <f t="shared" si="287"/>
        <v>14.728999999999907</v>
      </c>
      <c r="BG129" s="552">
        <f t="shared" si="287"/>
        <v>58.215999999999987</v>
      </c>
      <c r="BH129" s="552">
        <f t="shared" ref="BH129:BN129" si="288">INDEX(SP_NGF_NI,0,COLUMN())</f>
        <v>27.405999999999985</v>
      </c>
      <c r="BI129" s="788">
        <f t="shared" si="288"/>
        <v>99.172999999999888</v>
      </c>
      <c r="BJ129" s="552">
        <f t="shared" si="288"/>
        <v>14.153999999999986</v>
      </c>
      <c r="BK129" s="552">
        <f t="shared" si="288"/>
        <v>38.036000000000016</v>
      </c>
      <c r="BL129" s="597">
        <f>INDEX(SP_NGF_NI,0,COLUMN())</f>
        <v>38.439999999999934</v>
      </c>
      <c r="BM129" s="552">
        <f t="shared" si="288"/>
        <v>76.496794106590059</v>
      </c>
      <c r="BN129" s="788">
        <f t="shared" si="288"/>
        <v>167.12679410659038</v>
      </c>
      <c r="BO129" s="552">
        <f t="shared" ref="BO129:BV129" si="289">INDEX(SP_NGF_NI,0,COLUMN())</f>
        <v>44.153267651904059</v>
      </c>
      <c r="BP129" s="552">
        <f t="shared" si="289"/>
        <v>68.315275475650594</v>
      </c>
      <c r="BQ129" s="552">
        <f t="shared" si="289"/>
        <v>64.564563349161148</v>
      </c>
      <c r="BR129" s="552">
        <f t="shared" si="289"/>
        <v>58.486805268019651</v>
      </c>
      <c r="BS129" s="788">
        <f t="shared" si="289"/>
        <v>235.51991174473523</v>
      </c>
      <c r="BT129" s="788">
        <f t="shared" si="289"/>
        <v>238.88980745145057</v>
      </c>
      <c r="BU129" s="788">
        <f t="shared" si="289"/>
        <v>259.90856736275168</v>
      </c>
      <c r="BV129" s="788">
        <f t="shared" si="289"/>
        <v>161.32804459374452</v>
      </c>
      <c r="BW129" s="552"/>
    </row>
    <row r="130" spans="1:75" hidden="1" outlineLevel="1">
      <c r="A130" s="93" t="s">
        <v>659</v>
      </c>
      <c r="B130" s="94"/>
      <c r="C130" s="788">
        <f>C129</f>
        <v>-2.2759999999999985</v>
      </c>
      <c r="D130" s="788">
        <f>D129</f>
        <v>-9.7409999999999997</v>
      </c>
      <c r="E130" s="788">
        <f>E129</f>
        <v>-16.479000000000006</v>
      </c>
      <c r="F130" s="788">
        <f>F129</f>
        <v>-19.081000000000014</v>
      </c>
      <c r="G130" s="552"/>
      <c r="H130" s="552"/>
      <c r="I130" s="552"/>
      <c r="J130" s="552">
        <f>SUM(J129,I129,H129,G129)</f>
        <v>-0.6590000000000078</v>
      </c>
      <c r="K130" s="788">
        <f>K129</f>
        <v>18.313999999999961</v>
      </c>
      <c r="L130" s="552">
        <f>SUM(L129,J129,I129,H129)</f>
        <v>1.5049999999999879</v>
      </c>
      <c r="M130" s="552">
        <f>SUM(M129,L129,J129,I129)</f>
        <v>5.1259999999999746</v>
      </c>
      <c r="N130" s="552">
        <f>SUM(N129,M129,L129,J129)</f>
        <v>11.084999999999962</v>
      </c>
      <c r="O130" s="552">
        <f>SUM(O129,N129,M129,L129)</f>
        <v>22.641999999999978</v>
      </c>
      <c r="P130" s="788">
        <f>P129</f>
        <v>52.997000000000028</v>
      </c>
      <c r="Q130" s="552">
        <f>SUM(Q129,O129,N129,M129)</f>
        <v>33.178999999999981</v>
      </c>
      <c r="R130" s="552">
        <f>SUM(R129,Q129,O129,N129)</f>
        <v>39.789999999999992</v>
      </c>
      <c r="S130" s="552">
        <f>SUM(S129,R129,Q129,O129)</f>
        <v>38.827000000000019</v>
      </c>
      <c r="T130" s="552">
        <f>SUM(T129,S129,R129,Q129)</f>
        <v>28.90500000000004</v>
      </c>
      <c r="U130" s="788">
        <f>U129</f>
        <v>28.905000000000037</v>
      </c>
      <c r="V130" s="552">
        <f>SUM(V129,T129,S129,R129)</f>
        <v>26.96600000000004</v>
      </c>
      <c r="W130" s="552">
        <f>SUM(W129,V129,T129,S129)</f>
        <v>30.12800000000005</v>
      </c>
      <c r="X130" s="552">
        <f>SUM(X129,W129,V129,T129)</f>
        <v>45.863000000000042</v>
      </c>
      <c r="Y130" s="552">
        <f>SUM(Y129,X129,W129,V129)</f>
        <v>59.438999999999929</v>
      </c>
      <c r="Z130" s="788">
        <f>Z129</f>
        <v>59.439999999999841</v>
      </c>
      <c r="AA130" s="552">
        <f>SUM(AA129,Y129,X129,W129)</f>
        <v>70.50399999999992</v>
      </c>
      <c r="AB130" s="552">
        <f>SUM(AB129,AA129,Y129,X129)</f>
        <v>79.935999999999879</v>
      </c>
      <c r="AC130" s="552">
        <f>SUM(AC129,AB129,AA129,Y129)</f>
        <v>87.014999999999873</v>
      </c>
      <c r="AD130" s="552">
        <f>SUM(AD129,AC129,AB129,AA129)</f>
        <v>80.301999999999964</v>
      </c>
      <c r="AE130" s="788">
        <f>AE129</f>
        <v>80.302999999999955</v>
      </c>
      <c r="AF130" s="552">
        <f>SUM(AF129,AD129,AC129,AB129)</f>
        <v>60.987999999999964</v>
      </c>
      <c r="AG130" s="552">
        <f>SUM(AG129,AF129,AD129,AC129)</f>
        <v>49.744</v>
      </c>
      <c r="AH130" s="552">
        <f>SUM(AH129,AG129,AF129,AD129)</f>
        <v>39.242000000000033</v>
      </c>
      <c r="AI130" s="552">
        <f>SUM(AI129,AH129,AG129,AF129)</f>
        <v>55.350000000000016</v>
      </c>
      <c r="AJ130" s="788">
        <f>AJ129</f>
        <v>55.350000000000051</v>
      </c>
      <c r="AK130" s="552">
        <f>SUM(AK129,AI129,AH129,AG129)</f>
        <v>59.001000000000012</v>
      </c>
      <c r="AL130" s="552">
        <f>SUM(AL129,AK129,AI129,AH129)</f>
        <v>60.60000000000003</v>
      </c>
      <c r="AM130" s="552">
        <f>SUM(AM129,AL129,AK129,AI129)</f>
        <v>55.674999999999983</v>
      </c>
      <c r="AN130" s="552">
        <f>SUM(AN129,AM129,AL129,AK129)</f>
        <v>40.880999999999858</v>
      </c>
      <c r="AO130" s="788">
        <f>AO129</f>
        <v>40.880999999999972</v>
      </c>
      <c r="AP130" s="552">
        <f>SUM(AP129,AN129,AM129,AL129)</f>
        <v>24.012999999999892</v>
      </c>
      <c r="AQ130" s="552">
        <f>SUM(AQ129,AP129,AN129,AM129)</f>
        <v>-12.280000000000163</v>
      </c>
      <c r="AR130" s="552">
        <f>SUM(AR129,AQ129,AP129,AN129)</f>
        <v>-23.361000000000185</v>
      </c>
      <c r="AS130" s="552">
        <f>SUM(AS129,AR129,AQ129,AP129)</f>
        <v>-19.424000000000017</v>
      </c>
      <c r="AT130" s="788">
        <f>AT129</f>
        <v>-19.423999999999957</v>
      </c>
      <c r="AU130" s="552">
        <f>SUM(AU129,AS129,AR129,AQ129)</f>
        <v>-9.7170000000000467</v>
      </c>
      <c r="AV130" s="552">
        <f>SUM(AV129,AU129,AS129,AR129)</f>
        <v>18.484999999999957</v>
      </c>
      <c r="AW130" s="552">
        <f>SUM(AW129,AV129,AU129,AS129)</f>
        <v>37.569999999999943</v>
      </c>
      <c r="AX130" s="552">
        <f>SUM(AX129,AW129,AV129,AU129)</f>
        <v>39.67099999999995</v>
      </c>
      <c r="AY130" s="788">
        <f>AY129</f>
        <v>39.6709999999999</v>
      </c>
      <c r="AZ130" s="552">
        <f>SUM(AZ129,AX129,AW129,AV129)</f>
        <v>44.551999999999964</v>
      </c>
      <c r="BA130" s="552">
        <f>SUM(BA129,AZ129,AX129,AW129)</f>
        <v>48.34899999999999</v>
      </c>
      <c r="BB130" s="552">
        <f>SUM(BB129,BA129,AZ129,AX129)</f>
        <v>39.392000000000067</v>
      </c>
      <c r="BC130" s="552">
        <f>SUM(BC129,BB129,BA129,AZ129)</f>
        <v>36.347000000000172</v>
      </c>
      <c r="BD130" s="788">
        <f>BD129</f>
        <v>36.347000000000058</v>
      </c>
      <c r="BE130" s="552">
        <f>SUM(BE129,BC129,BB129,BA129)</f>
        <v>36.084000000000117</v>
      </c>
      <c r="BF130" s="552">
        <f>SUM(BF129,BE129,BC129,BB129)</f>
        <v>42.804000000000023</v>
      </c>
      <c r="BG130" s="552">
        <f>SUM(BG129,BF129,BE129,BC129)</f>
        <v>91.911999999999978</v>
      </c>
      <c r="BH130" s="552">
        <f>SUM(BH129,BG129,BF129,BE129)</f>
        <v>99.172999999999831</v>
      </c>
      <c r="BI130" s="788">
        <f>BI129</f>
        <v>99.172999999999888</v>
      </c>
      <c r="BJ130" s="552">
        <f>SUM(BJ129,BH129,BG129,BF129)</f>
        <v>114.50499999999985</v>
      </c>
      <c r="BK130" s="552">
        <f>SUM(BK129,BJ129,BH129,BG129)</f>
        <v>137.81199999999995</v>
      </c>
      <c r="BL130" s="597">
        <f>SUM(BL129,BK129,BJ129,BH129)</f>
        <v>118.03599999999992</v>
      </c>
      <c r="BM130" s="552">
        <f>SUM(BM129,BL129,BK129,BJ129)</f>
        <v>167.12679410659001</v>
      </c>
      <c r="BN130" s="788">
        <f>BN129</f>
        <v>167.12679410659038</v>
      </c>
      <c r="BO130" s="552">
        <f>SUM(BO129,BM129,BL129,BK129)</f>
        <v>197.12606175849407</v>
      </c>
      <c r="BP130" s="552">
        <f>SUM(BP129,BO129,BM129,BL129)</f>
        <v>227.40533723414467</v>
      </c>
      <c r="BQ130" s="552">
        <f>SUM(BQ129,BP129,BO129,BM129)</f>
        <v>253.52990058330585</v>
      </c>
      <c r="BR130" s="552">
        <f>SUM(BR129,BQ129,BP129,BO129)</f>
        <v>235.51991174473545</v>
      </c>
      <c r="BS130" s="788">
        <f>BS129</f>
        <v>235.51991174473523</v>
      </c>
      <c r="BT130" s="788">
        <f>BT129</f>
        <v>238.88980745145057</v>
      </c>
      <c r="BU130" s="788">
        <f>BU129</f>
        <v>259.90856736275168</v>
      </c>
      <c r="BV130" s="788">
        <f>BV129</f>
        <v>161.32804459374452</v>
      </c>
      <c r="BW130" s="552"/>
    </row>
    <row r="131" spans="1:75" hidden="1" outlineLevel="1">
      <c r="A131" s="93" t="s">
        <v>660</v>
      </c>
      <c r="B131" s="94"/>
      <c r="C131" s="788">
        <f t="shared" ref="C131:AH131" si="290">INDEX(MO_BS_SE,0,COLUMN())</f>
        <v>0</v>
      </c>
      <c r="D131" s="788">
        <f t="shared" si="290"/>
        <v>0</v>
      </c>
      <c r="E131" s="788">
        <f t="shared" si="290"/>
        <v>31.088000000000001</v>
      </c>
      <c r="F131" s="788">
        <f t="shared" si="290"/>
        <v>165.66200000000001</v>
      </c>
      <c r="G131" s="552">
        <f t="shared" si="290"/>
        <v>165.43400000000003</v>
      </c>
      <c r="H131" s="552">
        <f t="shared" si="290"/>
        <v>174.49700000000001</v>
      </c>
      <c r="I131" s="552">
        <f t="shared" si="290"/>
        <v>196.43099999999998</v>
      </c>
      <c r="J131" s="552">
        <f t="shared" si="290"/>
        <v>486.48300000000006</v>
      </c>
      <c r="K131" s="788">
        <f t="shared" si="290"/>
        <v>486.48300000000006</v>
      </c>
      <c r="L131" s="552">
        <f t="shared" si="290"/>
        <v>499.93599999999992</v>
      </c>
      <c r="M131" s="552">
        <f t="shared" si="290"/>
        <v>521.245</v>
      </c>
      <c r="N131" s="552">
        <f t="shared" si="290"/>
        <v>538.62299999999993</v>
      </c>
      <c r="O131" s="552">
        <f t="shared" si="290"/>
        <v>588.15</v>
      </c>
      <c r="P131" s="788">
        <f t="shared" si="290"/>
        <v>588.15</v>
      </c>
      <c r="Q131" s="552">
        <f t="shared" si="290"/>
        <v>656.65599999999995</v>
      </c>
      <c r="R131" s="552">
        <f t="shared" si="290"/>
        <v>686.16499999999996</v>
      </c>
      <c r="S131" s="552">
        <f t="shared" si="290"/>
        <v>696.46199999999999</v>
      </c>
      <c r="T131" s="552">
        <f t="shared" si="290"/>
        <v>693.62</v>
      </c>
      <c r="U131" s="788">
        <f t="shared" si="290"/>
        <v>693.62</v>
      </c>
      <c r="V131" s="552">
        <f t="shared" si="290"/>
        <v>700.69399999999996</v>
      </c>
      <c r="W131" s="552">
        <f t="shared" si="290"/>
        <v>729.10699999999997</v>
      </c>
      <c r="X131" s="552">
        <f t="shared" si="290"/>
        <v>765.58100000000002</v>
      </c>
      <c r="Y131" s="552">
        <f t="shared" si="290"/>
        <v>807.18599999999992</v>
      </c>
      <c r="Z131" s="788">
        <f t="shared" si="290"/>
        <v>807.18599999999992</v>
      </c>
      <c r="AA131" s="552">
        <f t="shared" si="290"/>
        <v>831.93500000000006</v>
      </c>
      <c r="AB131" s="552">
        <f t="shared" si="290"/>
        <v>886.66599999999994</v>
      </c>
      <c r="AC131" s="552">
        <f t="shared" si="290"/>
        <v>925.29600000000005</v>
      </c>
      <c r="AD131" s="552">
        <f t="shared" si="290"/>
        <v>1108.6970000000001</v>
      </c>
      <c r="AE131" s="788">
        <f t="shared" si="290"/>
        <v>1108.6970000000001</v>
      </c>
      <c r="AF131" s="552">
        <f t="shared" si="290"/>
        <v>1092.1529999999998</v>
      </c>
      <c r="AG131" s="552">
        <f t="shared" si="290"/>
        <v>1098.4340000000002</v>
      </c>
      <c r="AH131" s="552">
        <f t="shared" si="290"/>
        <v>1129.4940000000001</v>
      </c>
      <c r="AI131" s="552">
        <f t="shared" ref="AI131:BA131" si="291">INDEX(MO_BS_SE,0,COLUMN())</f>
        <v>1075.518</v>
      </c>
      <c r="AJ131" s="788">
        <f t="shared" si="291"/>
        <v>1075.518</v>
      </c>
      <c r="AK131" s="552">
        <f t="shared" si="291"/>
        <v>994.83799999999997</v>
      </c>
      <c r="AL131" s="552">
        <f t="shared" si="291"/>
        <v>746.45500000000015</v>
      </c>
      <c r="AM131" s="552">
        <f t="shared" si="291"/>
        <v>702.56399999999996</v>
      </c>
      <c r="AN131" s="552">
        <f t="shared" si="291"/>
        <v>754.9910000000001</v>
      </c>
      <c r="AO131" s="788">
        <f t="shared" si="291"/>
        <v>754.9910000000001</v>
      </c>
      <c r="AP131" s="552">
        <f t="shared" si="291"/>
        <v>762.43200000000002</v>
      </c>
      <c r="AQ131" s="552">
        <f t="shared" si="291"/>
        <v>781.31999999999982</v>
      </c>
      <c r="AR131" s="552">
        <f t="shared" si="291"/>
        <v>815.62800000000004</v>
      </c>
      <c r="AS131" s="552">
        <f t="shared" si="291"/>
        <v>854.53400000000011</v>
      </c>
      <c r="AT131" s="788">
        <f t="shared" si="291"/>
        <v>854.53400000000011</v>
      </c>
      <c r="AU131" s="552">
        <f t="shared" si="291"/>
        <v>827.1</v>
      </c>
      <c r="AV131" s="552">
        <f t="shared" si="291"/>
        <v>803.46400000000006</v>
      </c>
      <c r="AW131" s="552">
        <f t="shared" si="291"/>
        <v>781.82300000000009</v>
      </c>
      <c r="AX131" s="552">
        <f t="shared" si="291"/>
        <v>751.31799999999998</v>
      </c>
      <c r="AY131" s="788">
        <f t="shared" si="291"/>
        <v>751.31799999999998</v>
      </c>
      <c r="AZ131" s="552">
        <f t="shared" si="291"/>
        <v>724.34900000000005</v>
      </c>
      <c r="BA131" s="552">
        <f t="shared" si="291"/>
        <v>718.60400000000016</v>
      </c>
      <c r="BB131" s="552">
        <f t="shared" ref="BB131:BG131" si="292">INDEX(MO_BS_SE,0,COLUMN())</f>
        <v>701.37800000000004</v>
      </c>
      <c r="BC131" s="552">
        <f t="shared" si="292"/>
        <v>710.32399999999996</v>
      </c>
      <c r="BD131" s="788">
        <f t="shared" si="292"/>
        <v>710.32399999999996</v>
      </c>
      <c r="BE131" s="552">
        <f t="shared" si="292"/>
        <v>704.12799999999993</v>
      </c>
      <c r="BF131" s="552">
        <f t="shared" si="292"/>
        <v>708.60199999999998</v>
      </c>
      <c r="BG131" s="552">
        <f t="shared" si="292"/>
        <v>739.57399999999996</v>
      </c>
      <c r="BH131" s="552">
        <f t="shared" ref="BH131:BN131" si="293">INDEX(MO_BS_SE,0,COLUMN())</f>
        <v>749.53400000000011</v>
      </c>
      <c r="BI131" s="788">
        <f t="shared" si="293"/>
        <v>749.53400000000011</v>
      </c>
      <c r="BJ131" s="552">
        <f t="shared" si="293"/>
        <v>721.97299999999996</v>
      </c>
      <c r="BK131" s="552">
        <f t="shared" si="293"/>
        <v>735.34699999999975</v>
      </c>
      <c r="BL131" s="597">
        <f>INDEX(MO_BS_SE,0,COLUMN())</f>
        <v>739.54000000000019</v>
      </c>
      <c r="BM131" s="552" t="e">
        <f t="shared" si="293"/>
        <v>#REF!</v>
      </c>
      <c r="BN131" s="788" t="e">
        <f t="shared" si="293"/>
        <v>#REF!</v>
      </c>
      <c r="BO131" s="552" t="e">
        <f t="shared" ref="BO131:BV131" si="294">INDEX(MO_BS_SE,0,COLUMN())</f>
        <v>#REF!</v>
      </c>
      <c r="BP131" s="552" t="e">
        <f t="shared" si="294"/>
        <v>#REF!</v>
      </c>
      <c r="BQ131" s="552" t="e">
        <f t="shared" si="294"/>
        <v>#REF!</v>
      </c>
      <c r="BR131" s="552" t="e">
        <f t="shared" si="294"/>
        <v>#REF!</v>
      </c>
      <c r="BS131" s="788" t="e">
        <f t="shared" si="294"/>
        <v>#REF!</v>
      </c>
      <c r="BT131" s="788" t="e">
        <f t="shared" si="294"/>
        <v>#REF!</v>
      </c>
      <c r="BU131" s="788" t="e">
        <f t="shared" si="294"/>
        <v>#REF!</v>
      </c>
      <c r="BV131" s="788" t="e">
        <f t="shared" si="294"/>
        <v>#REF!</v>
      </c>
      <c r="BW131" s="552"/>
    </row>
    <row r="132" spans="1:75" hidden="1" outlineLevel="1">
      <c r="A132" s="93" t="s">
        <v>661</v>
      </c>
      <c r="B132" s="94"/>
      <c r="C132" s="788">
        <f>C131</f>
        <v>0</v>
      </c>
      <c r="D132" s="788">
        <f>AVERAGE(D131,C131)</f>
        <v>0</v>
      </c>
      <c r="E132" s="788">
        <f>AVERAGE(E131,D131)</f>
        <v>15.544</v>
      </c>
      <c r="F132" s="788">
        <f>AVERAGE(F131,E131)</f>
        <v>98.375</v>
      </c>
      <c r="G132" s="552"/>
      <c r="H132" s="552"/>
      <c r="I132" s="552"/>
      <c r="J132" s="552">
        <f>AVERAGE(J131,I131,H131,G131)</f>
        <v>255.71125000000001</v>
      </c>
      <c r="K132" s="788">
        <f>AVERAGE(K131,F131)</f>
        <v>326.07250000000005</v>
      </c>
      <c r="L132" s="552">
        <f>AVERAGE(L131,J131,I131,H131)</f>
        <v>339.33674999999999</v>
      </c>
      <c r="M132" s="552">
        <f>AVERAGE(M131,L131,J131,I131)</f>
        <v>426.02375000000001</v>
      </c>
      <c r="N132" s="552">
        <f>AVERAGE(N131,M131,L131,J131)</f>
        <v>511.57174999999995</v>
      </c>
      <c r="O132" s="552">
        <f>AVERAGE(O131,N131,M131,L131)</f>
        <v>536.98849999999993</v>
      </c>
      <c r="P132" s="788">
        <f>AVERAGE(P131,K131)</f>
        <v>537.31650000000002</v>
      </c>
      <c r="Q132" s="552">
        <f>AVERAGE(Q131,O131,N131,M131)</f>
        <v>576.16849999999999</v>
      </c>
      <c r="R132" s="552">
        <f>AVERAGE(R131,Q131,O131,N131)</f>
        <v>617.39850000000001</v>
      </c>
      <c r="S132" s="552">
        <f>AVERAGE(S131,R131,Q131,O131)</f>
        <v>656.85825</v>
      </c>
      <c r="T132" s="552">
        <f>AVERAGE(T131,S131,R131,Q131)</f>
        <v>683.22574999999995</v>
      </c>
      <c r="U132" s="788">
        <f>AVERAGE(U131,P131)</f>
        <v>640.88499999999999</v>
      </c>
      <c r="V132" s="552">
        <f>AVERAGE(V131,T131,S131,R131)</f>
        <v>694.23524999999995</v>
      </c>
      <c r="W132" s="552">
        <f>AVERAGE(W131,V131,T131,S131)</f>
        <v>704.97074999999995</v>
      </c>
      <c r="X132" s="552">
        <f>AVERAGE(X131,W131,V131,T131)</f>
        <v>722.25049999999999</v>
      </c>
      <c r="Y132" s="552">
        <f>AVERAGE(Y131,X131,W131,V131)</f>
        <v>750.64199999999994</v>
      </c>
      <c r="Z132" s="788">
        <f>AVERAGE(Z131,U131)</f>
        <v>750.40300000000002</v>
      </c>
      <c r="AA132" s="552">
        <f>AVERAGE(AA131,Y131,X131,W131)</f>
        <v>783.45225000000005</v>
      </c>
      <c r="AB132" s="552">
        <f>AVERAGE(AB131,AA131,Y131,X131)</f>
        <v>822.8420000000001</v>
      </c>
      <c r="AC132" s="552">
        <f>AVERAGE(AC131,AB131,AA131,Y131)</f>
        <v>862.77074999999991</v>
      </c>
      <c r="AD132" s="552">
        <f>AVERAGE(AD131,AC131,AB131,AA131)</f>
        <v>938.14850000000001</v>
      </c>
      <c r="AE132" s="788">
        <f>AVERAGE(AE131,Z131)</f>
        <v>957.94150000000002</v>
      </c>
      <c r="AF132" s="552">
        <f>AVERAGE(AF131,AD131,AC131,AB131)</f>
        <v>1003.203</v>
      </c>
      <c r="AG132" s="552">
        <f>AVERAGE(AG131,AF131,AD131,AC131)</f>
        <v>1056.145</v>
      </c>
      <c r="AH132" s="552">
        <f>AVERAGE(AH131,AG131,AF131,AD131)</f>
        <v>1107.1945000000001</v>
      </c>
      <c r="AI132" s="552">
        <f>AVERAGE(AI131,AH131,AG131,AF131)</f>
        <v>1098.89975</v>
      </c>
      <c r="AJ132" s="788">
        <f>AVERAGE(AJ131,AE131)</f>
        <v>1092.1075000000001</v>
      </c>
      <c r="AK132" s="552">
        <f>AVERAGE(AK131,AI131,AH131,AG131)</f>
        <v>1074.5709999999999</v>
      </c>
      <c r="AL132" s="552">
        <f>AVERAGE(AL131,AK131,AI131,AH131)</f>
        <v>986.57625000000007</v>
      </c>
      <c r="AM132" s="552">
        <f>AVERAGE(AM131,AL131,AK131,AI131)</f>
        <v>879.84375</v>
      </c>
      <c r="AN132" s="552">
        <f>AVERAGE(AN131,AM131,AL131,AK131)</f>
        <v>799.71199999999999</v>
      </c>
      <c r="AO132" s="788">
        <f>AVERAGE(AO131,AJ131)</f>
        <v>915.25450000000001</v>
      </c>
      <c r="AP132" s="552">
        <f>AVERAGE(AP131,AN131,AM131,AL131)</f>
        <v>741.6105</v>
      </c>
      <c r="AQ132" s="552">
        <f>AVERAGE(AQ131,AP131,AN131,AM131)</f>
        <v>750.32674999999995</v>
      </c>
      <c r="AR132" s="552">
        <f>AVERAGE(AR131,AQ131,AP131,AN131)</f>
        <v>778.59275000000002</v>
      </c>
      <c r="AS132" s="552">
        <f>AVERAGE(AS131,AR131,AQ131,AP131)</f>
        <v>803.47849999999994</v>
      </c>
      <c r="AT132" s="788">
        <f>AVERAGE(AT131,AO131)</f>
        <v>804.76250000000005</v>
      </c>
      <c r="AU132" s="552">
        <f>AVERAGE(AU131,AS131,AR131,AQ131)</f>
        <v>819.64549999999997</v>
      </c>
      <c r="AV132" s="552">
        <f>AVERAGE(AV131,AU131,AS131,AR131)</f>
        <v>825.18150000000003</v>
      </c>
      <c r="AW132" s="552">
        <f>AVERAGE(AW131,AV131,AU131,AS131)</f>
        <v>816.73025000000007</v>
      </c>
      <c r="AX132" s="552">
        <f>AVERAGE(AX131,AW131,AV131,AU131)</f>
        <v>790.92624999999998</v>
      </c>
      <c r="AY132" s="788">
        <f>AVERAGE(AY131,AT131)</f>
        <v>802.92600000000004</v>
      </c>
      <c r="AZ132" s="552">
        <f>AVERAGE(AZ131,AX131,AW131,AV131)</f>
        <v>765.23849999999993</v>
      </c>
      <c r="BA132" s="552">
        <f>AVERAGE(BA131,AZ131,AX131,AW131)</f>
        <v>744.02350000000001</v>
      </c>
      <c r="BB132" s="552">
        <f>AVERAGE(BB131,BA131,AZ131,AX131)</f>
        <v>723.91225000000009</v>
      </c>
      <c r="BC132" s="552">
        <f>AVERAGE(BC131,BB131,BA131,AZ131)</f>
        <v>713.66375000000005</v>
      </c>
      <c r="BD132" s="788">
        <f>AVERAGE(BD131,AY131)</f>
        <v>730.82099999999991</v>
      </c>
      <c r="BE132" s="552">
        <f>AVERAGE(BE131,BC131,BB131,BA131)</f>
        <v>708.60850000000005</v>
      </c>
      <c r="BF132" s="552">
        <f>AVERAGE(BF131,BE131,BC131,BB131)</f>
        <v>706.10800000000006</v>
      </c>
      <c r="BG132" s="552">
        <f>AVERAGE(BG131,BF131,BE131,BC131)</f>
        <v>715.65700000000004</v>
      </c>
      <c r="BH132" s="552">
        <f>AVERAGE(BH131,BG131,BF131,BE131)</f>
        <v>725.45949999999993</v>
      </c>
      <c r="BI132" s="788">
        <f>AVERAGE(BI131,BD131)</f>
        <v>729.92900000000009</v>
      </c>
      <c r="BJ132" s="552">
        <f>AVERAGE(BJ131,BH131,BG131,BF131)</f>
        <v>729.92075</v>
      </c>
      <c r="BK132" s="552">
        <f>AVERAGE(BK131,BJ131,BH131,BG131)</f>
        <v>736.60699999999997</v>
      </c>
      <c r="BL132" s="597">
        <f>AVERAGE(BL131,BK131,BJ131,BH131)</f>
        <v>736.59849999999994</v>
      </c>
      <c r="BM132" s="552" t="e">
        <f>AVERAGE(BM131,BL131,BK131,BJ131)</f>
        <v>#REF!</v>
      </c>
      <c r="BN132" s="788" t="e">
        <f>AVERAGE(BN131,BI131)</f>
        <v>#REF!</v>
      </c>
      <c r="BO132" s="552" t="e">
        <f>AVERAGE(BO131,BM131,BL131,BK131)</f>
        <v>#REF!</v>
      </c>
      <c r="BP132" s="552" t="e">
        <f>AVERAGE(BP131,BO131,BM131,BL131)</f>
        <v>#REF!</v>
      </c>
      <c r="BQ132" s="552" t="e">
        <f>AVERAGE(BQ131,BP131,BO131,BM131)</f>
        <v>#REF!</v>
      </c>
      <c r="BR132" s="552" t="e">
        <f>AVERAGE(BR131,BQ131,BP131,BO131)</f>
        <v>#REF!</v>
      </c>
      <c r="BS132" s="788" t="e">
        <f>AVERAGE(BS131,BN131)</f>
        <v>#REF!</v>
      </c>
      <c r="BT132" s="788" t="e">
        <f>AVERAGE(BT131,BS131)</f>
        <v>#REF!</v>
      </c>
      <c r="BU132" s="788" t="e">
        <f>AVERAGE(BU131,BT131)</f>
        <v>#REF!</v>
      </c>
      <c r="BV132" s="788" t="e">
        <f>AVERAGE(BV131,BU131)</f>
        <v>#REF!</v>
      </c>
      <c r="BW132" s="552"/>
    </row>
    <row r="133" spans="1:75" s="483" customFormat="1" collapsed="1">
      <c r="A133" s="104" t="s">
        <v>662</v>
      </c>
      <c r="B133" s="105"/>
      <c r="C133" s="801"/>
      <c r="D133" s="801"/>
      <c r="E133" s="801" t="str">
        <f>IF(E132&lt;0,"NMF",IF(ABS(E130/E132)&gt;1,"NMF",E130/E132))</f>
        <v>NMF</v>
      </c>
      <c r="F133" s="801">
        <f>IF(F132&lt;0,"NMF",IF(ABS(F130/F132)&gt;1,"NMF",F130/F132))</f>
        <v>-0.19396188055908528</v>
      </c>
      <c r="G133" s="61"/>
      <c r="H133" s="61"/>
      <c r="I133" s="61"/>
      <c r="J133" s="61"/>
      <c r="K133" s="801">
        <f t="shared" ref="K133:AP133" si="295">IF(K132&lt;0,"NMF",IF(ABS(K130/K132)&gt;1,"NMF",K130/K132))</f>
        <v>5.6165423333767672E-2</v>
      </c>
      <c r="L133" s="61">
        <f t="shared" si="295"/>
        <v>4.4351223379135562E-3</v>
      </c>
      <c r="M133" s="61">
        <f t="shared" si="295"/>
        <v>1.2032193040880877E-2</v>
      </c>
      <c r="N133" s="61">
        <f t="shared" si="295"/>
        <v>2.166851472936096E-2</v>
      </c>
      <c r="O133" s="61">
        <f t="shared" si="295"/>
        <v>4.2164776340647858E-2</v>
      </c>
      <c r="P133" s="801">
        <f t="shared" si="295"/>
        <v>9.8632742526983674E-2</v>
      </c>
      <c r="Q133" s="61">
        <f t="shared" si="295"/>
        <v>5.7585584772510093E-2</v>
      </c>
      <c r="R133" s="61">
        <f t="shared" si="295"/>
        <v>6.4447840414254318E-2</v>
      </c>
      <c r="S133" s="61">
        <f t="shared" si="295"/>
        <v>5.9110165701656364E-2</v>
      </c>
      <c r="T133" s="61">
        <f t="shared" si="295"/>
        <v>4.2306660719388933E-2</v>
      </c>
      <c r="U133" s="801">
        <f t="shared" si="295"/>
        <v>4.5101695311951497E-2</v>
      </c>
      <c r="V133" s="61">
        <f t="shared" si="295"/>
        <v>3.8842740987295073E-2</v>
      </c>
      <c r="W133" s="61">
        <f t="shared" si="295"/>
        <v>4.2736524884188533E-2</v>
      </c>
      <c r="X133" s="61">
        <f t="shared" si="295"/>
        <v>6.3500129110329512E-2</v>
      </c>
      <c r="Y133" s="61">
        <f t="shared" si="295"/>
        <v>7.9184218309127294E-2</v>
      </c>
      <c r="Z133" s="801">
        <f t="shared" si="295"/>
        <v>7.9210770745852352E-2</v>
      </c>
      <c r="AA133" s="61">
        <f t="shared" si="295"/>
        <v>8.9991444915755767E-2</v>
      </c>
      <c r="AB133" s="61">
        <f t="shared" si="295"/>
        <v>9.71462322049675E-2</v>
      </c>
      <c r="AC133" s="61">
        <f t="shared" si="295"/>
        <v>0.10085529672859202</v>
      </c>
      <c r="AD133" s="61">
        <f t="shared" si="295"/>
        <v>8.5596256882572386E-2</v>
      </c>
      <c r="AE133" s="801">
        <f t="shared" si="295"/>
        <v>8.3828709790733522E-2</v>
      </c>
      <c r="AF133" s="61">
        <f t="shared" si="295"/>
        <v>6.0793279126956326E-2</v>
      </c>
      <c r="AG133" s="61">
        <f t="shared" si="295"/>
        <v>4.709959333235493E-2</v>
      </c>
      <c r="AH133" s="61">
        <f t="shared" si="295"/>
        <v>3.5442733864736529E-2</v>
      </c>
      <c r="AI133" s="61">
        <f t="shared" si="295"/>
        <v>5.0368561827409654E-2</v>
      </c>
      <c r="AJ133" s="801">
        <f t="shared" si="295"/>
        <v>5.0681823904698067E-2</v>
      </c>
      <c r="AK133" s="61">
        <f t="shared" si="295"/>
        <v>5.4906562712003226E-2</v>
      </c>
      <c r="AL133" s="61">
        <f t="shared" si="295"/>
        <v>6.1424547773170121E-2</v>
      </c>
      <c r="AM133" s="61">
        <f t="shared" si="295"/>
        <v>6.3278280944770005E-2</v>
      </c>
      <c r="AN133" s="61">
        <f t="shared" si="295"/>
        <v>5.1119653075106859E-2</v>
      </c>
      <c r="AO133" s="801">
        <f t="shared" si="295"/>
        <v>4.4666264956905399E-2</v>
      </c>
      <c r="AP133" s="61">
        <f t="shared" si="295"/>
        <v>3.2379530764464488E-2</v>
      </c>
      <c r="AQ133" s="61">
        <f t="shared" ref="AQ133:BA133" si="296">IF(AQ132&lt;0,"NMF",IF(ABS(AQ130/AQ132)&gt;1,"NMF",AQ130/AQ132))</f>
        <v>-1.6366203124172453E-2</v>
      </c>
      <c r="AR133" s="61">
        <f t="shared" si="296"/>
        <v>-3.0004132455638953E-2</v>
      </c>
      <c r="AS133" s="61">
        <f t="shared" si="296"/>
        <v>-2.4174884579985675E-2</v>
      </c>
      <c r="AT133" s="801">
        <f t="shared" si="296"/>
        <v>-2.41363135086438E-2</v>
      </c>
      <c r="AU133" s="61">
        <f t="shared" si="296"/>
        <v>-1.1855125173016928E-2</v>
      </c>
      <c r="AV133" s="61">
        <f t="shared" si="296"/>
        <v>2.2401132356942025E-2</v>
      </c>
      <c r="AW133" s="61">
        <f t="shared" si="296"/>
        <v>4.600050016514013E-2</v>
      </c>
      <c r="AX133" s="61">
        <f t="shared" si="296"/>
        <v>5.0157647441844228E-2</v>
      </c>
      <c r="AY133" s="801">
        <f t="shared" si="296"/>
        <v>4.9408040093358412E-2</v>
      </c>
      <c r="AZ133" s="61">
        <f t="shared" si="296"/>
        <v>5.8219757631117579E-2</v>
      </c>
      <c r="BA133" s="61">
        <f t="shared" si="296"/>
        <v>6.498316249419539E-2</v>
      </c>
      <c r="BB133" s="61">
        <f t="shared" ref="BB133:BG133" si="297">IF(BB132&lt;0,"NMF",IF(ABS(BB130/BB132)&gt;1,"NMF",BB130/BB132))</f>
        <v>5.4415435019921354E-2</v>
      </c>
      <c r="BC133" s="61">
        <f t="shared" si="297"/>
        <v>5.0930147425871312E-2</v>
      </c>
      <c r="BD133" s="801">
        <f t="shared" si="297"/>
        <v>4.9734476704966148E-2</v>
      </c>
      <c r="BE133" s="61">
        <f t="shared" si="297"/>
        <v>5.0922335817309719E-2</v>
      </c>
      <c r="BF133" s="61">
        <f t="shared" si="297"/>
        <v>6.0619621927523862E-2</v>
      </c>
      <c r="BG133" s="61">
        <f t="shared" si="297"/>
        <v>0.12843023962596603</v>
      </c>
      <c r="BH133" s="61">
        <f t="shared" ref="BH133:BN133" si="298">IF(BH132&lt;0,"NMF",IF(ABS(BH130/BH132)&gt;1,"NMF",BH130/BH132))</f>
        <v>0.13670370296343193</v>
      </c>
      <c r="BI133" s="801">
        <f t="shared" si="298"/>
        <v>0.13586663908407512</v>
      </c>
      <c r="BJ133" s="61">
        <f t="shared" si="298"/>
        <v>0.15687319479546219</v>
      </c>
      <c r="BK133" s="61">
        <f t="shared" si="298"/>
        <v>0.18709026658720315</v>
      </c>
      <c r="BL133" s="422">
        <f>IF(BL132&lt;0,"NMF",IF(ABS(BL130/BL132)&gt;1,"NMF",BL130/BL132))</f>
        <v>0.16024469232560198</v>
      </c>
      <c r="BM133" s="61" t="e">
        <f t="shared" si="298"/>
        <v>#REF!</v>
      </c>
      <c r="BN133" s="801" t="e">
        <f t="shared" si="298"/>
        <v>#REF!</v>
      </c>
      <c r="BO133" s="61" t="e">
        <f t="shared" ref="BO133:BV133" si="299">IF(BO132&lt;0,"NMF",IF(ABS(BO130/BO132)&gt;1,"NMF",BO130/BO132))</f>
        <v>#REF!</v>
      </c>
      <c r="BP133" s="61" t="e">
        <f t="shared" si="299"/>
        <v>#REF!</v>
      </c>
      <c r="BQ133" s="61" t="e">
        <f t="shared" si="299"/>
        <v>#REF!</v>
      </c>
      <c r="BR133" s="61" t="e">
        <f t="shared" si="299"/>
        <v>#REF!</v>
      </c>
      <c r="BS133" s="801" t="e">
        <f t="shared" si="299"/>
        <v>#REF!</v>
      </c>
      <c r="BT133" s="801" t="e">
        <f t="shared" si="299"/>
        <v>#REF!</v>
      </c>
      <c r="BU133" s="801" t="e">
        <f t="shared" si="299"/>
        <v>#REF!</v>
      </c>
      <c r="BV133" s="801" t="e">
        <f t="shared" si="299"/>
        <v>#REF!</v>
      </c>
      <c r="BW133" s="146"/>
    </row>
    <row r="134" spans="1:75" hidden="1" outlineLevel="1">
      <c r="A134" s="93" t="s">
        <v>92</v>
      </c>
      <c r="B134" s="94"/>
      <c r="C134" s="788">
        <f t="shared" ref="C134:AH134" ca="1" si="300">INDEX(SP_GF_NI,0,COLUMN())+INDEX(SP_GF_IE,0,COLUMN())*(1-INDEX(SP_GF_Tax,0,COLUMN())/INDEX(SP_GF_EBT,0,COLUMN()))+INDEX(SP_GF_NCI,0,COLUMN())</f>
        <v>-2.2759999999999985</v>
      </c>
      <c r="D134" s="788">
        <f t="shared" ca="1" si="300"/>
        <v>-9.7409999999999997</v>
      </c>
      <c r="E134" s="788">
        <f t="shared" ca="1" si="300"/>
        <v>-16.479000000000006</v>
      </c>
      <c r="F134" s="788">
        <f t="shared" ca="1" si="300"/>
        <v>-19.081000000000014</v>
      </c>
      <c r="G134" s="552">
        <f t="shared" ca="1" si="300"/>
        <v>-4.7989999999999942</v>
      </c>
      <c r="H134" s="552">
        <f t="shared" ca="1" si="300"/>
        <v>-0.87799999999999123</v>
      </c>
      <c r="I134" s="552">
        <f t="shared" ca="1" si="300"/>
        <v>-2.3220000000000058</v>
      </c>
      <c r="J134" s="552">
        <f t="shared" ca="1" si="300"/>
        <v>-2.0690000000000155</v>
      </c>
      <c r="K134" s="788">
        <f t="shared" ca="1" si="300"/>
        <v>-10.068000000000037</v>
      </c>
      <c r="L134" s="552">
        <f t="shared" ca="1" si="300"/>
        <v>-2.6544507164567945</v>
      </c>
      <c r="M134" s="552">
        <f t="shared" ca="1" si="300"/>
        <v>2.5649517994858559</v>
      </c>
      <c r="N134" s="552">
        <f t="shared" ca="1" si="300"/>
        <v>3.4668031197301685</v>
      </c>
      <c r="O134" s="552">
        <f t="shared" ca="1" si="300"/>
        <v>33.06628443337484</v>
      </c>
      <c r="P134" s="788">
        <f t="shared" ca="1" si="300"/>
        <v>35.260466755319172</v>
      </c>
      <c r="Q134" s="552">
        <f t="shared" ca="1" si="300"/>
        <v>-1.3299690805532909</v>
      </c>
      <c r="R134" s="552">
        <f t="shared" ca="1" si="300"/>
        <v>-0.85393139841689258</v>
      </c>
      <c r="S134" s="552">
        <f t="shared" ca="1" si="300"/>
        <v>-8.4208739451008157</v>
      </c>
      <c r="T134" s="552">
        <f t="shared" ca="1" si="300"/>
        <v>-21.834856425545251</v>
      </c>
      <c r="U134" s="788">
        <f t="shared" ca="1" si="300"/>
        <v>-33.877352182634404</v>
      </c>
      <c r="V134" s="552">
        <f t="shared" ca="1" si="300"/>
        <v>-15.79488776311095</v>
      </c>
      <c r="W134" s="552">
        <f t="shared" ca="1" si="300"/>
        <v>0.67569024390246279</v>
      </c>
      <c r="X134" s="552">
        <f t="shared" ca="1" si="300"/>
        <v>1.6373546130301782</v>
      </c>
      <c r="Y134" s="552">
        <f t="shared" ca="1" si="300"/>
        <v>7.7982452769080313</v>
      </c>
      <c r="Z134" s="788">
        <f t="shared" ca="1" si="300"/>
        <v>-7.1208614916287551</v>
      </c>
      <c r="AA134" s="552">
        <f t="shared" ca="1" si="300"/>
        <v>-4.7175079565546882</v>
      </c>
      <c r="AB134" s="552">
        <f t="shared" ca="1" si="300"/>
        <v>7.1186837510911314</v>
      </c>
      <c r="AC134" s="552">
        <f t="shared" ca="1" si="300"/>
        <v>7.0668276446380949</v>
      </c>
      <c r="AD134" s="552">
        <f t="shared" ca="1" si="300"/>
        <v>139.67716595803998</v>
      </c>
      <c r="AE134" s="788">
        <f t="shared" ca="1" si="300"/>
        <v>149.52104503864786</v>
      </c>
      <c r="AF134" s="552">
        <f t="shared" ca="1" si="300"/>
        <v>-4.984364372469634</v>
      </c>
      <c r="AG134" s="552">
        <f t="shared" ca="1" si="300"/>
        <v>7.5281731100045359</v>
      </c>
      <c r="AH134" s="552">
        <f t="shared" ca="1" si="300"/>
        <v>11.103806600475485</v>
      </c>
      <c r="AI134" s="552">
        <f t="shared" ref="AI134:BA134" ca="1" si="301">INDEX(SP_GF_NI,0,COLUMN())+INDEX(SP_GF_IE,0,COLUMN())*(1-INDEX(SP_GF_Tax,0,COLUMN())/INDEX(SP_GF_EBT,0,COLUMN()))+INDEX(SP_GF_NCI,0,COLUMN())</f>
        <v>24.002077005094165</v>
      </c>
      <c r="AJ134" s="788">
        <f t="shared" ca="1" si="301"/>
        <v>36.251579763035593</v>
      </c>
      <c r="AK134" s="552">
        <f t="shared" ca="1" si="301"/>
        <v>-6.0151112484548541</v>
      </c>
      <c r="AL134" s="552">
        <f t="shared" ca="1" si="301"/>
        <v>9.4406100820487602</v>
      </c>
      <c r="AM134" s="552">
        <f t="shared" ca="1" si="301"/>
        <v>7.803596527392358</v>
      </c>
      <c r="AN134" s="552">
        <f t="shared" ca="1" si="301"/>
        <v>15.135960507478748</v>
      </c>
      <c r="AO134" s="788">
        <f t="shared" ca="1" si="301"/>
        <v>29.932741756585663</v>
      </c>
      <c r="AP134" s="552">
        <f t="shared" ca="1" si="301"/>
        <v>-16.8159576547231</v>
      </c>
      <c r="AQ134" s="552">
        <f t="shared" ca="1" si="301"/>
        <v>-24.121465255064003</v>
      </c>
      <c r="AR134" s="552">
        <f t="shared" ca="1" si="301"/>
        <v>-1.0192657342657729</v>
      </c>
      <c r="AS134" s="552">
        <f t="shared" ca="1" si="301"/>
        <v>21.132959050564832</v>
      </c>
      <c r="AT134" s="788">
        <f t="shared" ca="1" si="301"/>
        <v>-20.680960911031988</v>
      </c>
      <c r="AU134" s="552">
        <f t="shared" ca="1" si="301"/>
        <v>-5.7828571428571438</v>
      </c>
      <c r="AV134" s="552">
        <f t="shared" ca="1" si="301"/>
        <v>3.9463079777365335</v>
      </c>
      <c r="AW134" s="552">
        <f t="shared" ca="1" si="301"/>
        <v>18.090483026938429</v>
      </c>
      <c r="AX134" s="552">
        <f t="shared" ca="1" si="301"/>
        <v>23.227849052871083</v>
      </c>
      <c r="AY134" s="788">
        <f t="shared" ca="1" si="301"/>
        <v>39.807480099649936</v>
      </c>
      <c r="AZ134" s="552">
        <f t="shared" ca="1" si="301"/>
        <v>-0.92070740005669438</v>
      </c>
      <c r="BA134" s="552">
        <f t="shared" ca="1" si="301"/>
        <v>7.7644962488458011</v>
      </c>
      <c r="BB134" s="552">
        <f t="shared" ref="BB134:BG134" ca="1" si="302">INDEX(SP_GF_NI,0,COLUMN())+INDEX(SP_GF_IE,0,COLUMN())*(1-INDEX(SP_GF_Tax,0,COLUMN())/INDEX(SP_GF_EBT,0,COLUMN()))+INDEX(SP_GF_NCI,0,COLUMN())</f>
        <v>7.9736682593856978</v>
      </c>
      <c r="BC134" s="552">
        <f t="shared" ca="1" si="302"/>
        <v>18.394021214258714</v>
      </c>
      <c r="BD134" s="788">
        <f t="shared" ca="1" si="302"/>
        <v>33.210766300278586</v>
      </c>
      <c r="BE134" s="552">
        <f t="shared" ca="1" si="302"/>
        <v>-4.6109061818182564</v>
      </c>
      <c r="BF134" s="552">
        <f t="shared" ca="1" si="302"/>
        <v>11.945792857142768</v>
      </c>
      <c r="BG134" s="552">
        <f t="shared" ca="1" si="302"/>
        <v>51.928570179274146</v>
      </c>
      <c r="BH134" s="552">
        <f t="shared" ref="BH134:BN134" ca="1" si="303">INDEX(SP_GF_NI,0,COLUMN())+INDEX(SP_GF_IE,0,COLUMN())*(1-INDEX(SP_GF_Tax,0,COLUMN())/INDEX(SP_GF_EBT,0,COLUMN()))+INDEX(SP_GF_NCI,0,COLUMN())</f>
        <v>22.765877892867699</v>
      </c>
      <c r="BI134" s="788">
        <f t="shared" ca="1" si="303"/>
        <v>80.702521868635813</v>
      </c>
      <c r="BJ134" s="552">
        <f t="shared" ca="1" si="303"/>
        <v>9.9214750013198749</v>
      </c>
      <c r="BK134" s="552">
        <f t="shared" ca="1" si="303"/>
        <v>33.915540953484211</v>
      </c>
      <c r="BL134" s="597">
        <f ca="1">INDEX(SP_GF_NI,0,COLUMN())+INDEX(SP_GF_IE,0,COLUMN())*(1-INDEX(SP_GF_Tax,0,COLUMN())/INDEX(SP_GF_EBT,0,COLUMN()))+INDEX(SP_GF_NCI,0,COLUMN())</f>
        <v>34.653285822986774</v>
      </c>
      <c r="BM134" s="552">
        <f t="shared" ca="1" si="303"/>
        <v>71.002643341562731</v>
      </c>
      <c r="BN134" s="788">
        <f t="shared" ca="1" si="303"/>
        <v>148.54937233481195</v>
      </c>
      <c r="BO134" s="552" t="e">
        <f t="shared" ref="BO134:BV134" ca="1" si="304">INDEX(SP_GF_NI,0,COLUMN())+INDEX(SP_GF_IE,0,COLUMN())*(1-INDEX(SP_GF_Tax,0,COLUMN())/INDEX(SP_GF_EBT,0,COLUMN()))+INDEX(SP_GF_NCI,0,COLUMN())</f>
        <v>#VALUE!</v>
      </c>
      <c r="BP134" s="552" t="e">
        <f t="shared" ca="1" si="304"/>
        <v>#VALUE!</v>
      </c>
      <c r="BQ134" s="552" t="e">
        <f t="shared" ca="1" si="304"/>
        <v>#VALUE!</v>
      </c>
      <c r="BR134" s="552" t="e">
        <f t="shared" ca="1" si="304"/>
        <v>#VALUE!</v>
      </c>
      <c r="BS134" s="788">
        <f t="shared" ca="1" si="304"/>
        <v>235.51991174473523</v>
      </c>
      <c r="BT134" s="788" t="e">
        <f t="shared" ca="1" si="304"/>
        <v>#VALUE!</v>
      </c>
      <c r="BU134" s="788" t="e">
        <f t="shared" ca="1" si="304"/>
        <v>#VALUE!</v>
      </c>
      <c r="BV134" s="788" t="e">
        <f t="shared" ca="1" si="304"/>
        <v>#VALUE!</v>
      </c>
      <c r="BW134" s="552"/>
    </row>
    <row r="135" spans="1:75" hidden="1" outlineLevel="1">
      <c r="A135" s="93" t="s">
        <v>663</v>
      </c>
      <c r="B135" s="94"/>
      <c r="C135" s="788">
        <f ca="1">C134</f>
        <v>-2.2759999999999985</v>
      </c>
      <c r="D135" s="788">
        <f ca="1">D134</f>
        <v>-9.7409999999999997</v>
      </c>
      <c r="E135" s="788">
        <f ca="1">E134</f>
        <v>-16.479000000000006</v>
      </c>
      <c r="F135" s="788">
        <f ca="1">F134</f>
        <v>-19.081000000000014</v>
      </c>
      <c r="G135" s="552"/>
      <c r="H135" s="552"/>
      <c r="I135" s="552"/>
      <c r="J135" s="552">
        <f ca="1">SUM(J134,I134,H134,G134)</f>
        <v>-10.068000000000007</v>
      </c>
      <c r="K135" s="788">
        <f ca="1">K134</f>
        <v>-10.068000000000037</v>
      </c>
      <c r="L135" s="552">
        <f ca="1">SUM(L134,J134,I134,H134)</f>
        <v>-7.9234507164568075</v>
      </c>
      <c r="M135" s="552">
        <f ca="1">SUM(M134,L134,J134,I134)</f>
        <v>-4.4804989169709604</v>
      </c>
      <c r="N135" s="552">
        <f ca="1">SUM(N134,M134,L134,J134)</f>
        <v>1.3083042027592144</v>
      </c>
      <c r="O135" s="552">
        <f ca="1">SUM(O134,N134,M134,L134)</f>
        <v>36.443588636134066</v>
      </c>
      <c r="P135" s="788">
        <f ca="1">P134</f>
        <v>35.260466755319172</v>
      </c>
      <c r="Q135" s="552">
        <f ca="1">SUM(Q134,O134,N134,M134)</f>
        <v>37.768070272037569</v>
      </c>
      <c r="R135" s="552">
        <f ca="1">SUM(R134,Q134,O134,N134)</f>
        <v>34.349187074134825</v>
      </c>
      <c r="S135" s="552">
        <f ca="1">SUM(S134,R134,Q134,O134)</f>
        <v>22.46151000930384</v>
      </c>
      <c r="T135" s="552">
        <f ca="1">SUM(T134,S134,R134,Q134)</f>
        <v>-32.43963084961625</v>
      </c>
      <c r="U135" s="788">
        <f ca="1">U134</f>
        <v>-33.877352182634404</v>
      </c>
      <c r="V135" s="552">
        <f ca="1">SUM(V134,T134,S134,R134)</f>
        <v>-46.90454953217391</v>
      </c>
      <c r="W135" s="552">
        <f ca="1">SUM(W134,V134,T134,S134)</f>
        <v>-45.374927889854554</v>
      </c>
      <c r="X135" s="552">
        <f ca="1">SUM(X134,W134,V134,T134)</f>
        <v>-35.316699331723555</v>
      </c>
      <c r="Y135" s="552">
        <f ca="1">SUM(Y134,X134,W134,V134)</f>
        <v>-5.6835976292702775</v>
      </c>
      <c r="Z135" s="788">
        <f ca="1">Z134</f>
        <v>-7.1208614916287551</v>
      </c>
      <c r="AA135" s="552">
        <f ca="1">SUM(AA134,Y134,X134,W134)</f>
        <v>5.393782177285984</v>
      </c>
      <c r="AB135" s="552">
        <f ca="1">SUM(AB134,AA134,Y134,X134)</f>
        <v>11.836775684474652</v>
      </c>
      <c r="AC135" s="552">
        <f ca="1">SUM(AC134,AB134,AA134,Y134)</f>
        <v>17.266248716082568</v>
      </c>
      <c r="AD135" s="552">
        <f ca="1">SUM(AD134,AC134,AB134,AA134)</f>
        <v>149.14516939721452</v>
      </c>
      <c r="AE135" s="788">
        <f ca="1">AE134</f>
        <v>149.52104503864786</v>
      </c>
      <c r="AF135" s="552">
        <f ca="1">SUM(AF134,AD134,AC134,AB134)</f>
        <v>148.87831298129959</v>
      </c>
      <c r="AG135" s="552">
        <f ca="1">SUM(AG134,AF134,AD134,AC134)</f>
        <v>149.28780234021298</v>
      </c>
      <c r="AH135" s="552">
        <f ca="1">SUM(AH134,AG134,AF134,AD134)</f>
        <v>153.32478129605036</v>
      </c>
      <c r="AI135" s="552">
        <f ca="1">SUM(AI134,AH134,AG134,AF134)</f>
        <v>37.649692343104554</v>
      </c>
      <c r="AJ135" s="788">
        <f ca="1">AJ134</f>
        <v>36.251579763035593</v>
      </c>
      <c r="AK135" s="552">
        <f ca="1">SUM(AK134,AI134,AH134,AG134)</f>
        <v>36.618945467119332</v>
      </c>
      <c r="AL135" s="552">
        <f ca="1">SUM(AL134,AK134,AI134,AH134)</f>
        <v>38.531382439163558</v>
      </c>
      <c r="AM135" s="552">
        <f ca="1">SUM(AM134,AL134,AK134,AI134)</f>
        <v>35.231172366080429</v>
      </c>
      <c r="AN135" s="552">
        <f ca="1">SUM(AN134,AM134,AL134,AK134)</f>
        <v>26.36505586846501</v>
      </c>
      <c r="AO135" s="788">
        <f ca="1">AO134</f>
        <v>29.932741756585663</v>
      </c>
      <c r="AP135" s="552">
        <f ca="1">SUM(AP134,AN134,AM134,AL134)</f>
        <v>15.564209462196766</v>
      </c>
      <c r="AQ135" s="552">
        <f ca="1">SUM(AQ134,AP134,AN134,AM134)</f>
        <v>-17.997865874915995</v>
      </c>
      <c r="AR135" s="552">
        <f ca="1">SUM(AR134,AQ134,AP134,AN134)</f>
        <v>-26.820728136574125</v>
      </c>
      <c r="AS135" s="552">
        <f ca="1">SUM(AS134,AR134,AQ134,AP134)</f>
        <v>-20.823729593488043</v>
      </c>
      <c r="AT135" s="788">
        <f ca="1">AT134</f>
        <v>-20.680960911031988</v>
      </c>
      <c r="AU135" s="552">
        <f ca="1">SUM(AU134,AS134,AR134,AQ134)</f>
        <v>-9.790629081622086</v>
      </c>
      <c r="AV135" s="552">
        <f ca="1">SUM(AV134,AU134,AS134,AR134)</f>
        <v>18.277144151178447</v>
      </c>
      <c r="AW135" s="552">
        <f ca="1">SUM(AW134,AV134,AU134,AS134)</f>
        <v>37.386892912382649</v>
      </c>
      <c r="AX135" s="552">
        <f ca="1">SUM(AX134,AW134,AV134,AU134)</f>
        <v>39.481782914688893</v>
      </c>
      <c r="AY135" s="788">
        <f ca="1">AY134</f>
        <v>39.807480099649936</v>
      </c>
      <c r="AZ135" s="552">
        <f ca="1">SUM(AZ134,AX134,AW134,AV134)</f>
        <v>44.343932657489347</v>
      </c>
      <c r="BA135" s="552">
        <f ca="1">SUM(BA134,AZ134,AX134,AW134)</f>
        <v>48.162120928598618</v>
      </c>
      <c r="BB135" s="552">
        <f ca="1">SUM(BB134,BA134,AZ134,AX134)</f>
        <v>38.045306161045886</v>
      </c>
      <c r="BC135" s="552">
        <f ca="1">SUM(BC134,BB134,BA134,AZ134)</f>
        <v>33.211478322433521</v>
      </c>
      <c r="BD135" s="788">
        <f ca="1">BD134</f>
        <v>33.210766300278586</v>
      </c>
      <c r="BE135" s="552">
        <f ca="1">SUM(BE134,BC134,BB134,BA134)</f>
        <v>29.521279540671959</v>
      </c>
      <c r="BF135" s="552">
        <f ca="1">SUM(BF134,BE134,BC134,BB134)</f>
        <v>33.702576148968923</v>
      </c>
      <c r="BG135" s="552">
        <f ca="1">SUM(BG134,BF134,BE134,BC134)</f>
        <v>77.657478068857372</v>
      </c>
      <c r="BH135" s="552">
        <f ca="1">SUM(BH134,BG134,BF134,BE134)</f>
        <v>82.029334747466365</v>
      </c>
      <c r="BI135" s="788">
        <f ca="1">BI134</f>
        <v>80.702521868635813</v>
      </c>
      <c r="BJ135" s="552">
        <f ca="1">SUM(BJ134,BH134,BG134,BF134)</f>
        <v>96.561715930604478</v>
      </c>
      <c r="BK135" s="552">
        <f ca="1">SUM(BK134,BJ134,BH134,BG134)</f>
        <v>118.53146402694594</v>
      </c>
      <c r="BL135" s="597">
        <f ca="1">SUM(BL134,BK134,BJ134,BH134)</f>
        <v>101.25617967065855</v>
      </c>
      <c r="BM135" s="552">
        <f ca="1">SUM(BM134,BL134,BK134,BJ134)</f>
        <v>149.49294511935358</v>
      </c>
      <c r="BN135" s="788">
        <f ca="1">BN134</f>
        <v>148.54937233481195</v>
      </c>
      <c r="BO135" s="552" t="e">
        <f ca="1">SUM(BO134,BM134,BL134,BK134)</f>
        <v>#VALUE!</v>
      </c>
      <c r="BP135" s="552" t="e">
        <f ca="1">SUM(BP134,BO134,BM134,BL134)</f>
        <v>#VALUE!</v>
      </c>
      <c r="BQ135" s="552" t="e">
        <f ca="1">SUM(BQ134,BP134,BO134,BM134)</f>
        <v>#VALUE!</v>
      </c>
      <c r="BR135" s="552" t="e">
        <f ca="1">SUM(BR134,BQ134,BP134,BO134)</f>
        <v>#VALUE!</v>
      </c>
      <c r="BS135" s="788">
        <f ca="1">BS134</f>
        <v>235.51991174473523</v>
      </c>
      <c r="BT135" s="788" t="e">
        <f ca="1">BT134</f>
        <v>#VALUE!</v>
      </c>
      <c r="BU135" s="788" t="e">
        <f ca="1">BU134</f>
        <v>#VALUE!</v>
      </c>
      <c r="BV135" s="788" t="e">
        <f ca="1">BV134</f>
        <v>#VALUE!</v>
      </c>
      <c r="BW135" s="552"/>
    </row>
    <row r="136" spans="1:75" hidden="1" outlineLevel="1">
      <c r="A136" s="93" t="s">
        <v>527</v>
      </c>
      <c r="B136" s="94"/>
      <c r="C136" s="788">
        <f t="shared" ref="C136:AH136" si="305">INDEX(MO_BS_TA,0,COLUMN())</f>
        <v>20.817</v>
      </c>
      <c r="D136" s="788">
        <f t="shared" si="305"/>
        <v>41.015000000000001</v>
      </c>
      <c r="E136" s="788">
        <f t="shared" si="305"/>
        <v>43.821000000000005</v>
      </c>
      <c r="F136" s="788">
        <f t="shared" si="305"/>
        <v>187.696</v>
      </c>
      <c r="G136" s="552">
        <f t="shared" si="305"/>
        <v>187.29399999999998</v>
      </c>
      <c r="H136" s="552">
        <f t="shared" si="305"/>
        <v>197.542</v>
      </c>
      <c r="I136" s="552">
        <f t="shared" si="305"/>
        <v>224.33</v>
      </c>
      <c r="J136" s="552">
        <f t="shared" si="305"/>
        <v>515.97699999999998</v>
      </c>
      <c r="K136" s="788">
        <f t="shared" si="305"/>
        <v>515.97699999999998</v>
      </c>
      <c r="L136" s="552">
        <f t="shared" si="305"/>
        <v>533.47399999999993</v>
      </c>
      <c r="M136" s="552">
        <f t="shared" si="305"/>
        <v>553.15600000000006</v>
      </c>
      <c r="N136" s="552">
        <f t="shared" si="305"/>
        <v>577.399</v>
      </c>
      <c r="O136" s="552">
        <f t="shared" si="305"/>
        <v>629.65000000000009</v>
      </c>
      <c r="P136" s="788">
        <f t="shared" si="305"/>
        <v>629.65000000000009</v>
      </c>
      <c r="Q136" s="552">
        <f t="shared" si="305"/>
        <v>715.88599999999997</v>
      </c>
      <c r="R136" s="552">
        <f t="shared" si="305"/>
        <v>741.38700000000006</v>
      </c>
      <c r="S136" s="552">
        <f t="shared" si="305"/>
        <v>764.40499999999997</v>
      </c>
      <c r="T136" s="552">
        <f t="shared" si="305"/>
        <v>755.42699999999991</v>
      </c>
      <c r="U136" s="788">
        <f t="shared" si="305"/>
        <v>755.42699999999991</v>
      </c>
      <c r="V136" s="552">
        <f t="shared" si="305"/>
        <v>772.96699999999987</v>
      </c>
      <c r="W136" s="552">
        <f t="shared" si="305"/>
        <v>799.798</v>
      </c>
      <c r="X136" s="552">
        <f t="shared" si="305"/>
        <v>845.58799999999997</v>
      </c>
      <c r="Y136" s="552">
        <f t="shared" si="305"/>
        <v>885.20600000000013</v>
      </c>
      <c r="Z136" s="788">
        <f t="shared" si="305"/>
        <v>885.20600000000013</v>
      </c>
      <c r="AA136" s="552">
        <f t="shared" si="305"/>
        <v>922.17100000000005</v>
      </c>
      <c r="AB136" s="552">
        <f t="shared" si="305"/>
        <v>970.11500000000001</v>
      </c>
      <c r="AC136" s="552">
        <f t="shared" si="305"/>
        <v>1027.115</v>
      </c>
      <c r="AD136" s="552">
        <f t="shared" si="305"/>
        <v>1225.6010000000001</v>
      </c>
      <c r="AE136" s="788">
        <f t="shared" si="305"/>
        <v>1225.6010000000001</v>
      </c>
      <c r="AF136" s="552">
        <f t="shared" si="305"/>
        <v>1218.499</v>
      </c>
      <c r="AG136" s="552">
        <f t="shared" si="305"/>
        <v>1198.2240000000002</v>
      </c>
      <c r="AH136" s="552">
        <f t="shared" si="305"/>
        <v>1233.2570000000001</v>
      </c>
      <c r="AI136" s="552">
        <f t="shared" ref="AI136:BA136" si="306">INDEX(MO_BS_TA,0,COLUMN())</f>
        <v>1175.5630000000001</v>
      </c>
      <c r="AJ136" s="788">
        <f t="shared" si="306"/>
        <v>1175.5630000000001</v>
      </c>
      <c r="AK136" s="552">
        <f t="shared" si="306"/>
        <v>1337.86</v>
      </c>
      <c r="AL136" s="552">
        <f t="shared" si="306"/>
        <v>1083.433</v>
      </c>
      <c r="AM136" s="552">
        <f t="shared" si="306"/>
        <v>1028.769</v>
      </c>
      <c r="AN136" s="552">
        <f t="shared" si="306"/>
        <v>1070.7</v>
      </c>
      <c r="AO136" s="788">
        <f t="shared" si="306"/>
        <v>1070.7</v>
      </c>
      <c r="AP136" s="552">
        <f t="shared" si="306"/>
        <v>1085.2239999999999</v>
      </c>
      <c r="AQ136" s="552">
        <f t="shared" si="306"/>
        <v>1073.4849999999999</v>
      </c>
      <c r="AR136" s="552">
        <f t="shared" si="306"/>
        <v>1138.95</v>
      </c>
      <c r="AS136" s="552">
        <f t="shared" si="306"/>
        <v>1154.9470000000001</v>
      </c>
      <c r="AT136" s="788">
        <f t="shared" si="306"/>
        <v>1154.9470000000001</v>
      </c>
      <c r="AU136" s="552">
        <f t="shared" si="306"/>
        <v>1135.3779999999999</v>
      </c>
      <c r="AV136" s="552">
        <f t="shared" si="306"/>
        <v>1105.2440000000001</v>
      </c>
      <c r="AW136" s="552">
        <f t="shared" si="306"/>
        <v>1079.068</v>
      </c>
      <c r="AX136" s="552">
        <f t="shared" si="306"/>
        <v>1050.5280000000002</v>
      </c>
      <c r="AY136" s="788">
        <f t="shared" si="306"/>
        <v>1050.5280000000002</v>
      </c>
      <c r="AZ136" s="552">
        <f t="shared" si="306"/>
        <v>1044.9059999999999</v>
      </c>
      <c r="BA136" s="552">
        <f t="shared" si="306"/>
        <v>1023.1679999999999</v>
      </c>
      <c r="BB136" s="552">
        <f t="shared" ref="BB136:BG136" si="307">INDEX(MO_BS_TA,0,COLUMN())</f>
        <v>1030.3340000000001</v>
      </c>
      <c r="BC136" s="552">
        <f t="shared" si="307"/>
        <v>1015.922</v>
      </c>
      <c r="BD136" s="788">
        <f t="shared" si="307"/>
        <v>1015.922</v>
      </c>
      <c r="BE136" s="552">
        <f t="shared" si="307"/>
        <v>1021.682</v>
      </c>
      <c r="BF136" s="552">
        <f t="shared" si="307"/>
        <v>1033.288</v>
      </c>
      <c r="BG136" s="552">
        <f t="shared" si="307"/>
        <v>1027.3180000000002</v>
      </c>
      <c r="BH136" s="552">
        <f t="shared" ref="BH136:BN136" si="308">INDEX(MO_BS_TA,0,COLUMN())</f>
        <v>1014.723</v>
      </c>
      <c r="BI136" s="788">
        <f t="shared" si="308"/>
        <v>1014.723</v>
      </c>
      <c r="BJ136" s="552">
        <f t="shared" si="308"/>
        <v>993.47700000000009</v>
      </c>
      <c r="BK136" s="552">
        <f t="shared" si="308"/>
        <v>964.97800000000007</v>
      </c>
      <c r="BL136" s="597">
        <f>INDEX(MO_BS_TA,0,COLUMN())</f>
        <v>980.20799999999997</v>
      </c>
      <c r="BM136" s="552" t="e">
        <f t="shared" si="308"/>
        <v>#REF!</v>
      </c>
      <c r="BN136" s="788" t="e">
        <f t="shared" si="308"/>
        <v>#REF!</v>
      </c>
      <c r="BO136" s="552" t="e">
        <f t="shared" ref="BO136:BV136" si="309">INDEX(MO_BS_TA,0,COLUMN())</f>
        <v>#REF!</v>
      </c>
      <c r="BP136" s="552" t="e">
        <f t="shared" si="309"/>
        <v>#REF!</v>
      </c>
      <c r="BQ136" s="552" t="e">
        <f t="shared" si="309"/>
        <v>#REF!</v>
      </c>
      <c r="BR136" s="552" t="e">
        <f t="shared" si="309"/>
        <v>#REF!</v>
      </c>
      <c r="BS136" s="788" t="e">
        <f t="shared" si="309"/>
        <v>#REF!</v>
      </c>
      <c r="BT136" s="788" t="e">
        <f t="shared" si="309"/>
        <v>#REF!</v>
      </c>
      <c r="BU136" s="788" t="e">
        <f t="shared" si="309"/>
        <v>#REF!</v>
      </c>
      <c r="BV136" s="788" t="e">
        <f t="shared" si="309"/>
        <v>#REF!</v>
      </c>
      <c r="BW136" s="552"/>
    </row>
    <row r="137" spans="1:75" hidden="1" outlineLevel="1">
      <c r="A137" s="93" t="s">
        <v>664</v>
      </c>
      <c r="B137" s="94"/>
      <c r="C137" s="788">
        <f>C136</f>
        <v>20.817</v>
      </c>
      <c r="D137" s="788">
        <f>AVERAGE(D136,C136)</f>
        <v>30.916</v>
      </c>
      <c r="E137" s="788">
        <f>AVERAGE(E136,D136)</f>
        <v>42.418000000000006</v>
      </c>
      <c r="F137" s="788">
        <f>AVERAGE(F136,E136)</f>
        <v>115.7585</v>
      </c>
      <c r="G137" s="552"/>
      <c r="H137" s="552"/>
      <c r="I137" s="552"/>
      <c r="J137" s="552">
        <f>AVERAGE(J136,I136,H136,G136)</f>
        <v>281.28575000000001</v>
      </c>
      <c r="K137" s="788">
        <f>AVERAGE(K136,F136)</f>
        <v>351.8365</v>
      </c>
      <c r="L137" s="552">
        <f>AVERAGE(L136,J136,I136,H136)</f>
        <v>367.83074999999997</v>
      </c>
      <c r="M137" s="552">
        <f>AVERAGE(M136,L136,J136,I136)</f>
        <v>456.73424999999997</v>
      </c>
      <c r="N137" s="552">
        <f>AVERAGE(N136,M136,L136,J136)</f>
        <v>545.00149999999996</v>
      </c>
      <c r="O137" s="552">
        <f>AVERAGE(O136,N136,M136,L136)</f>
        <v>573.41975000000002</v>
      </c>
      <c r="P137" s="788">
        <f>AVERAGE(P136,K136)</f>
        <v>572.81349999999998</v>
      </c>
      <c r="Q137" s="552">
        <f>AVERAGE(Q136,O136,N136,M136)</f>
        <v>619.02274999999997</v>
      </c>
      <c r="R137" s="552">
        <f>AVERAGE(R136,Q136,O136,N136)</f>
        <v>666.08050000000003</v>
      </c>
      <c r="S137" s="552">
        <f>AVERAGE(S136,R136,Q136,O136)</f>
        <v>712.83199999999999</v>
      </c>
      <c r="T137" s="552">
        <f>AVERAGE(T136,S136,R136,Q136)</f>
        <v>744.27625</v>
      </c>
      <c r="U137" s="788">
        <f>AVERAGE(U136,P136)</f>
        <v>692.5385</v>
      </c>
      <c r="V137" s="552">
        <f>AVERAGE(V136,T136,S136,R136)</f>
        <v>758.54650000000004</v>
      </c>
      <c r="W137" s="552">
        <f>AVERAGE(W136,V136,T136,S136)</f>
        <v>773.14924999999994</v>
      </c>
      <c r="X137" s="552">
        <f>AVERAGE(X136,W136,V136,T136)</f>
        <v>793.44499999999994</v>
      </c>
      <c r="Y137" s="552">
        <f>AVERAGE(Y136,X136,W136,V136)</f>
        <v>825.88975000000005</v>
      </c>
      <c r="Z137" s="788">
        <f>AVERAGE(Z136,U136)</f>
        <v>820.31650000000002</v>
      </c>
      <c r="AA137" s="552">
        <f>AVERAGE(AA136,Y136,X136,W136)</f>
        <v>863.19074999999998</v>
      </c>
      <c r="AB137" s="552">
        <f>AVERAGE(AB136,AA136,Y136,X136)</f>
        <v>905.77</v>
      </c>
      <c r="AC137" s="552">
        <f>AVERAGE(AC136,AB136,AA136,Y136)</f>
        <v>951.15174999999999</v>
      </c>
      <c r="AD137" s="552">
        <f>AVERAGE(AD136,AC136,AB136,AA136)</f>
        <v>1036.2505000000001</v>
      </c>
      <c r="AE137" s="788">
        <f>AVERAGE(AE136,Z136)</f>
        <v>1055.4035000000001</v>
      </c>
      <c r="AF137" s="552">
        <f>AVERAGE(AF136,AD136,AC136,AB136)</f>
        <v>1110.3325</v>
      </c>
      <c r="AG137" s="552">
        <f>AVERAGE(AG136,AF136,AD136,AC136)</f>
        <v>1167.3597500000001</v>
      </c>
      <c r="AH137" s="552">
        <f>AVERAGE(AH136,AG136,AF136,AD136)</f>
        <v>1218.89525</v>
      </c>
      <c r="AI137" s="552">
        <f>AVERAGE(AI136,AH136,AG136,AF136)</f>
        <v>1206.3857500000001</v>
      </c>
      <c r="AJ137" s="788">
        <f>AVERAGE(AJ136,AE136)</f>
        <v>1200.5820000000001</v>
      </c>
      <c r="AK137" s="552">
        <f>AVERAGE(AK136,AI136,AH136,AG136)</f>
        <v>1236.2260000000001</v>
      </c>
      <c r="AL137" s="552">
        <f>AVERAGE(AL136,AK136,AI136,AH136)</f>
        <v>1207.5282499999998</v>
      </c>
      <c r="AM137" s="552">
        <f>AVERAGE(AM136,AL136,AK136,AI136)</f>
        <v>1156.40625</v>
      </c>
      <c r="AN137" s="552">
        <f>AVERAGE(AN136,AM136,AL136,AK136)</f>
        <v>1130.1904999999999</v>
      </c>
      <c r="AO137" s="788">
        <f>AVERAGE(AO136,AJ136)</f>
        <v>1123.1315</v>
      </c>
      <c r="AP137" s="552">
        <f>AVERAGE(AP136,AN136,AM136,AL136)</f>
        <v>1067.0315000000001</v>
      </c>
      <c r="AQ137" s="552">
        <f>AVERAGE(AQ136,AP136,AN136,AM136)</f>
        <v>1064.5445</v>
      </c>
      <c r="AR137" s="552">
        <f>AVERAGE(AR136,AQ136,AP136,AN136)</f>
        <v>1092.0897499999999</v>
      </c>
      <c r="AS137" s="552">
        <f>AVERAGE(AS136,AR136,AQ136,AP136)</f>
        <v>1113.1514999999999</v>
      </c>
      <c r="AT137" s="788">
        <f>AVERAGE(AT136,AO136)</f>
        <v>1112.8235</v>
      </c>
      <c r="AU137" s="552">
        <f>AVERAGE(AU136,AS136,AR136,AQ136)</f>
        <v>1125.6899999999998</v>
      </c>
      <c r="AV137" s="552">
        <f>AVERAGE(AV136,AU136,AS136,AR136)</f>
        <v>1133.6297500000001</v>
      </c>
      <c r="AW137" s="552">
        <f>AVERAGE(AW136,AV136,AU136,AS136)</f>
        <v>1118.6592499999999</v>
      </c>
      <c r="AX137" s="552">
        <f>AVERAGE(AX136,AW136,AV136,AU136)</f>
        <v>1092.5545000000002</v>
      </c>
      <c r="AY137" s="788">
        <f>AVERAGE(AY136,AT136)</f>
        <v>1102.7375000000002</v>
      </c>
      <c r="AZ137" s="552">
        <f>AVERAGE(AZ136,AX136,AW136,AV136)</f>
        <v>1069.9365000000003</v>
      </c>
      <c r="BA137" s="552">
        <f>AVERAGE(BA136,AZ136,AX136,AW136)</f>
        <v>1049.4175</v>
      </c>
      <c r="BB137" s="552">
        <f>AVERAGE(BB136,BA136,AZ136,AX136)</f>
        <v>1037.2339999999999</v>
      </c>
      <c r="BC137" s="552">
        <f>AVERAGE(BC136,BB136,BA136,AZ136)</f>
        <v>1028.5825</v>
      </c>
      <c r="BD137" s="788">
        <f>AVERAGE(BD136,AY136)</f>
        <v>1033.2250000000001</v>
      </c>
      <c r="BE137" s="552">
        <f>AVERAGE(BE136,BC136,BB136,BA136)</f>
        <v>1022.7764999999999</v>
      </c>
      <c r="BF137" s="552">
        <f>AVERAGE(BF136,BE136,BC136,BB136)</f>
        <v>1025.3065000000001</v>
      </c>
      <c r="BG137" s="552">
        <f>AVERAGE(BG136,BF136,BE136,BC136)</f>
        <v>1024.5525000000002</v>
      </c>
      <c r="BH137" s="552">
        <f>AVERAGE(BH136,BG136,BF136,BE136)</f>
        <v>1024.2527500000001</v>
      </c>
      <c r="BI137" s="788">
        <f>AVERAGE(BI136,BD136)</f>
        <v>1015.3225</v>
      </c>
      <c r="BJ137" s="552">
        <f>AVERAGE(BJ136,BH136,BG136,BF136)</f>
        <v>1017.2015</v>
      </c>
      <c r="BK137" s="552">
        <f>AVERAGE(BK136,BJ136,BH136,BG136)</f>
        <v>1000.124</v>
      </c>
      <c r="BL137" s="597">
        <f>AVERAGE(BL136,BK136,BJ136,BH136)</f>
        <v>988.34650000000011</v>
      </c>
      <c r="BM137" s="552" t="e">
        <f>AVERAGE(BM136,BL136,BK136,BJ136)</f>
        <v>#REF!</v>
      </c>
      <c r="BN137" s="788" t="e">
        <f>AVERAGE(BN136,BI136)</f>
        <v>#REF!</v>
      </c>
      <c r="BO137" s="552" t="e">
        <f>AVERAGE(BO136,BM136,BL136,BK136)</f>
        <v>#REF!</v>
      </c>
      <c r="BP137" s="552" t="e">
        <f>AVERAGE(BP136,BO136,BM136,BL136)</f>
        <v>#REF!</v>
      </c>
      <c r="BQ137" s="552" t="e">
        <f>AVERAGE(BQ136,BP136,BO136,BM136)</f>
        <v>#REF!</v>
      </c>
      <c r="BR137" s="552" t="e">
        <f>AVERAGE(BR136,BQ136,BP136,BO136)</f>
        <v>#REF!</v>
      </c>
      <c r="BS137" s="788" t="e">
        <f>AVERAGE(BS136,BN136)</f>
        <v>#REF!</v>
      </c>
      <c r="BT137" s="788" t="e">
        <f>AVERAGE(BT136,BS136)</f>
        <v>#REF!</v>
      </c>
      <c r="BU137" s="788" t="e">
        <f>AVERAGE(BU136,BT136)</f>
        <v>#REF!</v>
      </c>
      <c r="BV137" s="788" t="e">
        <f>AVERAGE(BV136,BU136)</f>
        <v>#REF!</v>
      </c>
      <c r="BW137" s="552"/>
    </row>
    <row r="138" spans="1:75" s="483" customFormat="1" ht="15" customHeight="1" collapsed="1">
      <c r="A138" s="104" t="s">
        <v>665</v>
      </c>
      <c r="B138" s="105"/>
      <c r="C138" s="801">
        <f ca="1">IF(C137&lt;0,"NMF",IF(ABS(C135/C137)&gt;1,"NMF",C135/C137))</f>
        <v>-0.10933371763462547</v>
      </c>
      <c r="D138" s="801">
        <f ca="1">IF(D137&lt;0,"NMF",IF(ABS(D135/D137)&gt;1,"NMF",D135/D137))</f>
        <v>-0.31507957044895846</v>
      </c>
      <c r="E138" s="801">
        <f ca="1">IF(E137&lt;0,"NMF",IF(ABS(E135/E137)&gt;1,"NMF",E135/E137))</f>
        <v>-0.38849073506530257</v>
      </c>
      <c r="F138" s="801">
        <f ca="1">IF(F137&lt;0,"NMF",IF(ABS(F135/F137)&gt;1,"NMF",F135/F137))</f>
        <v>-0.1648345477869877</v>
      </c>
      <c r="G138" s="61"/>
      <c r="H138" s="61"/>
      <c r="I138" s="61"/>
      <c r="J138" s="61"/>
      <c r="K138" s="801">
        <f t="shared" ref="K138:AP138" ca="1" si="310">IF(K137&lt;0,"NMF",IF(ABS(K135/K137)&gt;1,"NMF",K135/K137))</f>
        <v>-2.8615564331728051E-2</v>
      </c>
      <c r="L138" s="61">
        <f t="shared" ca="1" si="310"/>
        <v>-2.1541023191934901E-2</v>
      </c>
      <c r="M138" s="61">
        <f t="shared" ca="1" si="310"/>
        <v>-9.8098597093845292E-3</v>
      </c>
      <c r="N138" s="61">
        <f t="shared" ca="1" si="310"/>
        <v>2.4005515631777426E-3</v>
      </c>
      <c r="O138" s="61">
        <f t="shared" ca="1" si="310"/>
        <v>6.3554819372953347E-2</v>
      </c>
      <c r="P138" s="801">
        <f t="shared" ca="1" si="310"/>
        <v>6.1556626642561972E-2</v>
      </c>
      <c r="Q138" s="61">
        <f t="shared" ca="1" si="310"/>
        <v>6.1012410726483918E-2</v>
      </c>
      <c r="R138" s="61">
        <f t="shared" ca="1" si="310"/>
        <v>5.1569122762391069E-2</v>
      </c>
      <c r="S138" s="61">
        <f t="shared" ca="1" si="310"/>
        <v>3.1510243660924087E-2</v>
      </c>
      <c r="T138" s="61">
        <f t="shared" ca="1" si="310"/>
        <v>-4.3585470918380442E-2</v>
      </c>
      <c r="U138" s="801">
        <f t="shared" ca="1" si="310"/>
        <v>-4.8917644553529378E-2</v>
      </c>
      <c r="V138" s="61">
        <f t="shared" ca="1" si="310"/>
        <v>-6.1834771542909901E-2</v>
      </c>
      <c r="W138" s="61">
        <f t="shared" ca="1" si="310"/>
        <v>-5.8688445846457923E-2</v>
      </c>
      <c r="X138" s="61">
        <f t="shared" ca="1" si="310"/>
        <v>-4.4510582752079295E-2</v>
      </c>
      <c r="Y138" s="61">
        <f t="shared" ca="1" si="310"/>
        <v>-6.8817873442191006E-3</v>
      </c>
      <c r="Z138" s="801">
        <f t="shared" ca="1" si="310"/>
        <v>-8.6806269185476029E-3</v>
      </c>
      <c r="AA138" s="61">
        <f t="shared" ca="1" si="310"/>
        <v>6.2486561368805035E-3</v>
      </c>
      <c r="AB138" s="61">
        <f t="shared" ca="1" si="310"/>
        <v>1.3068191355945386E-2</v>
      </c>
      <c r="AC138" s="61">
        <f t="shared" ca="1" si="310"/>
        <v>1.8152990536034412E-2</v>
      </c>
      <c r="AD138" s="61">
        <f t="shared" ca="1" si="310"/>
        <v>0.1439277176678945</v>
      </c>
      <c r="AE138" s="801">
        <f t="shared" ca="1" si="310"/>
        <v>0.14167192456595779</v>
      </c>
      <c r="AF138" s="61">
        <f t="shared" ca="1" si="310"/>
        <v>0.13408444135544947</v>
      </c>
      <c r="AG138" s="61">
        <f t="shared" ca="1" si="310"/>
        <v>0.12788500060946334</v>
      </c>
      <c r="AH138" s="61">
        <f t="shared" ca="1" si="310"/>
        <v>0.12578995717314539</v>
      </c>
      <c r="AI138" s="61">
        <f t="shared" ca="1" si="310"/>
        <v>3.1208667992890789E-2</v>
      </c>
      <c r="AJ138" s="801">
        <f t="shared" ca="1" si="310"/>
        <v>3.0195005224995537E-2</v>
      </c>
      <c r="AK138" s="61">
        <f t="shared" ca="1" si="310"/>
        <v>2.9621562292913534E-2</v>
      </c>
      <c r="AL138" s="61">
        <f t="shared" ca="1" si="310"/>
        <v>3.1909301036363795E-2</v>
      </c>
      <c r="AM138" s="61">
        <f t="shared" ca="1" si="310"/>
        <v>3.046608608876027E-2</v>
      </c>
      <c r="AN138" s="61">
        <f t="shared" ca="1" si="310"/>
        <v>2.3327975123189421E-2</v>
      </c>
      <c r="AO138" s="801">
        <f t="shared" ca="1" si="310"/>
        <v>2.66511461539327E-2</v>
      </c>
      <c r="AP138" s="61">
        <f t="shared" ca="1" si="310"/>
        <v>1.4586457346570148E-2</v>
      </c>
      <c r="AQ138" s="61">
        <f t="shared" ref="AQ138:BA138" ca="1" si="311">IF(AQ137&lt;0,"NMF",IF(ABS(AQ135/AQ137)&gt;1,"NMF",AQ135/AQ137))</f>
        <v>-1.69066355374679E-2</v>
      </c>
      <c r="AR138" s="61">
        <f t="shared" ca="1" si="311"/>
        <v>-2.4559087874026955E-2</v>
      </c>
      <c r="AS138" s="61">
        <f t="shared" ca="1" si="311"/>
        <v>-1.8707004027293719E-2</v>
      </c>
      <c r="AT138" s="801">
        <f t="shared" ca="1" si="311"/>
        <v>-1.8584223743506486E-2</v>
      </c>
      <c r="AU138" s="61">
        <f t="shared" ca="1" si="311"/>
        <v>-8.697446971743631E-3</v>
      </c>
      <c r="AV138" s="61">
        <f t="shared" ca="1" si="311"/>
        <v>1.612267510726359E-2</v>
      </c>
      <c r="AW138" s="61">
        <f t="shared" ca="1" si="311"/>
        <v>3.3421162800363606E-2</v>
      </c>
      <c r="AX138" s="61">
        <f t="shared" ca="1" si="311"/>
        <v>3.6137129007924901E-2</v>
      </c>
      <c r="AY138" s="801">
        <f t="shared" ca="1" si="311"/>
        <v>3.6098781532005512E-2</v>
      </c>
      <c r="AZ138" s="61">
        <f t="shared" ca="1" si="311"/>
        <v>4.1445387326714565E-2</v>
      </c>
      <c r="BA138" s="61">
        <f t="shared" ca="1" si="311"/>
        <v>4.5894146923029795E-2</v>
      </c>
      <c r="BB138" s="61">
        <f t="shared" ref="BB138:BG138" ca="1" si="312">IF(BB137&lt;0,"NMF",IF(ABS(BB135/BB137)&gt;1,"NMF",BB135/BB137))</f>
        <v>3.6679578726734649E-2</v>
      </c>
      <c r="BC138" s="61">
        <f t="shared" ca="1" si="312"/>
        <v>3.2288589707129493E-2</v>
      </c>
      <c r="BD138" s="801">
        <f t="shared" ca="1" si="312"/>
        <v>3.2142821070220505E-2</v>
      </c>
      <c r="BE138" s="61">
        <f t="shared" ca="1" si="312"/>
        <v>2.8863861792553857E-2</v>
      </c>
      <c r="BF138" s="61">
        <f t="shared" ca="1" si="312"/>
        <v>3.287073294567909E-2</v>
      </c>
      <c r="BG138" s="61">
        <f t="shared" ca="1" si="312"/>
        <v>7.579648487398874E-2</v>
      </c>
      <c r="BH138" s="61">
        <f t="shared" ref="BH138:BN138" ca="1" si="313">IF(BH137&lt;0,"NMF",IF(ABS(BH135/BH137)&gt;1,"NMF",BH135/BH137))</f>
        <v>8.008700464554902E-2</v>
      </c>
      <c r="BI138" s="801">
        <f t="shared" ca="1" si="313"/>
        <v>7.948461879711699E-2</v>
      </c>
      <c r="BJ138" s="61">
        <f t="shared" ca="1" si="313"/>
        <v>9.4928798208225681E-2</v>
      </c>
      <c r="BK138" s="61">
        <f t="shared" ca="1" si="313"/>
        <v>0.11851676794772043</v>
      </c>
      <c r="BL138" s="422">
        <f ca="1">IF(BL137&lt;0,"NMF",IF(ABS(BL135/BL137)&gt;1,"NMF",BL135/BL137))</f>
        <v>0.10245008169772296</v>
      </c>
      <c r="BM138" s="61" t="e">
        <f t="shared" si="313"/>
        <v>#REF!</v>
      </c>
      <c r="BN138" s="801" t="e">
        <f t="shared" si="313"/>
        <v>#REF!</v>
      </c>
      <c r="BO138" s="61" t="e">
        <f t="shared" ref="BO138:BV138" si="314">IF(BO137&lt;0,"NMF",IF(ABS(BO135/BO137)&gt;1,"NMF",BO135/BO137))</f>
        <v>#REF!</v>
      </c>
      <c r="BP138" s="61" t="e">
        <f t="shared" si="314"/>
        <v>#REF!</v>
      </c>
      <c r="BQ138" s="61" t="e">
        <f t="shared" si="314"/>
        <v>#REF!</v>
      </c>
      <c r="BR138" s="61" t="e">
        <f t="shared" si="314"/>
        <v>#REF!</v>
      </c>
      <c r="BS138" s="801" t="e">
        <f t="shared" si="314"/>
        <v>#REF!</v>
      </c>
      <c r="BT138" s="801" t="e">
        <f t="shared" si="314"/>
        <v>#REF!</v>
      </c>
      <c r="BU138" s="801" t="e">
        <f t="shared" si="314"/>
        <v>#REF!</v>
      </c>
      <c r="BV138" s="801" t="e">
        <f t="shared" si="314"/>
        <v>#REF!</v>
      </c>
      <c r="BW138" s="146"/>
    </row>
    <row r="139" spans="1:75" ht="15" hidden="1" customHeight="1" outlineLevel="1">
      <c r="A139" s="93" t="s">
        <v>666</v>
      </c>
      <c r="B139" s="94"/>
      <c r="C139" s="788">
        <f t="shared" ref="C139:AH139" si="315">INDEX(MO_BSS_Debt_Net,0,COLUMN())+INDEX(MO_BSS_Cash,0,COLUMN())</f>
        <v>0</v>
      </c>
      <c r="D139" s="788">
        <f t="shared" si="315"/>
        <v>0</v>
      </c>
      <c r="E139" s="788">
        <f t="shared" si="315"/>
        <v>0</v>
      </c>
      <c r="F139" s="788">
        <f t="shared" si="315"/>
        <v>0</v>
      </c>
      <c r="G139" s="552">
        <f t="shared" si="315"/>
        <v>0</v>
      </c>
      <c r="H139" s="552">
        <f t="shared" si="315"/>
        <v>0</v>
      </c>
      <c r="I139" s="552">
        <f t="shared" si="315"/>
        <v>0</v>
      </c>
      <c r="J139" s="552">
        <f t="shared" si="315"/>
        <v>0</v>
      </c>
      <c r="K139" s="788">
        <f t="shared" si="315"/>
        <v>0</v>
      </c>
      <c r="L139" s="552">
        <f t="shared" si="315"/>
        <v>0</v>
      </c>
      <c r="M139" s="552">
        <f t="shared" si="315"/>
        <v>0</v>
      </c>
      <c r="N139" s="552">
        <f t="shared" si="315"/>
        <v>0</v>
      </c>
      <c r="O139" s="552">
        <f t="shared" si="315"/>
        <v>0</v>
      </c>
      <c r="P139" s="788">
        <f t="shared" si="315"/>
        <v>0</v>
      </c>
      <c r="Q139" s="552">
        <f t="shared" si="315"/>
        <v>0</v>
      </c>
      <c r="R139" s="552">
        <f t="shared" si="315"/>
        <v>0</v>
      </c>
      <c r="S139" s="552">
        <f t="shared" si="315"/>
        <v>0</v>
      </c>
      <c r="T139" s="552">
        <f t="shared" si="315"/>
        <v>0</v>
      </c>
      <c r="U139" s="788">
        <f t="shared" si="315"/>
        <v>0</v>
      </c>
      <c r="V139" s="552">
        <f t="shared" si="315"/>
        <v>0</v>
      </c>
      <c r="W139" s="552">
        <f t="shared" si="315"/>
        <v>0</v>
      </c>
      <c r="X139" s="552">
        <f t="shared" si="315"/>
        <v>0</v>
      </c>
      <c r="Y139" s="552">
        <f t="shared" si="315"/>
        <v>0</v>
      </c>
      <c r="Z139" s="788">
        <f t="shared" si="315"/>
        <v>0</v>
      </c>
      <c r="AA139" s="552">
        <f t="shared" si="315"/>
        <v>0</v>
      </c>
      <c r="AB139" s="552">
        <f t="shared" si="315"/>
        <v>0</v>
      </c>
      <c r="AC139" s="552">
        <f t="shared" si="315"/>
        <v>0</v>
      </c>
      <c r="AD139" s="552">
        <f t="shared" si="315"/>
        <v>0</v>
      </c>
      <c r="AE139" s="788">
        <f t="shared" si="315"/>
        <v>0</v>
      </c>
      <c r="AF139" s="552">
        <f t="shared" si="315"/>
        <v>0</v>
      </c>
      <c r="AG139" s="552">
        <f t="shared" si="315"/>
        <v>0</v>
      </c>
      <c r="AH139" s="552">
        <f t="shared" si="315"/>
        <v>0</v>
      </c>
      <c r="AI139" s="552">
        <f t="shared" ref="AI139:BA139" si="316">INDEX(MO_BSS_Debt_Net,0,COLUMN())+INDEX(MO_BSS_Cash,0,COLUMN())</f>
        <v>0</v>
      </c>
      <c r="AJ139" s="788">
        <f t="shared" si="316"/>
        <v>0</v>
      </c>
      <c r="AK139" s="552">
        <f t="shared" si="316"/>
        <v>264.12299999999999</v>
      </c>
      <c r="AL139" s="552">
        <f t="shared" si="316"/>
        <v>253.77199999999999</v>
      </c>
      <c r="AM139" s="552">
        <f t="shared" si="316"/>
        <v>243.06900000000002</v>
      </c>
      <c r="AN139" s="552">
        <f t="shared" si="316"/>
        <v>232.26300000000001</v>
      </c>
      <c r="AO139" s="788">
        <f t="shared" si="316"/>
        <v>232.26300000000001</v>
      </c>
      <c r="AP139" s="552">
        <f t="shared" si="316"/>
        <v>237.41500000000002</v>
      </c>
      <c r="AQ139" s="552">
        <f t="shared" si="316"/>
        <v>220.94299999999998</v>
      </c>
      <c r="AR139" s="552">
        <f t="shared" si="316"/>
        <v>209.69299999999998</v>
      </c>
      <c r="AS139" s="552">
        <f t="shared" si="316"/>
        <v>200.096</v>
      </c>
      <c r="AT139" s="788">
        <f t="shared" si="316"/>
        <v>200.096</v>
      </c>
      <c r="AU139" s="552">
        <f t="shared" si="316"/>
        <v>197.80200000000002</v>
      </c>
      <c r="AV139" s="552">
        <f t="shared" si="316"/>
        <v>182.30600000000004</v>
      </c>
      <c r="AW139" s="552">
        <f t="shared" si="316"/>
        <v>178.05600000000004</v>
      </c>
      <c r="AX139" s="552">
        <f t="shared" si="316"/>
        <v>168.21600000000001</v>
      </c>
      <c r="AY139" s="788">
        <f t="shared" si="316"/>
        <v>168.21600000000001</v>
      </c>
      <c r="AZ139" s="552">
        <f t="shared" si="316"/>
        <v>158.52800000000002</v>
      </c>
      <c r="BA139" s="552">
        <f t="shared" si="316"/>
        <v>146.98599999999999</v>
      </c>
      <c r="BB139" s="552">
        <f t="shared" ref="BB139:BG139" si="317">INDEX(MO_BSS_Debt_Net,0,COLUMN())+INDEX(MO_BSS_Cash,0,COLUMN())</f>
        <v>135.31599999999997</v>
      </c>
      <c r="BC139" s="552">
        <f t="shared" si="317"/>
        <v>126.33500000000004</v>
      </c>
      <c r="BD139" s="788">
        <f t="shared" si="317"/>
        <v>126.33500000000004</v>
      </c>
      <c r="BE139" s="552">
        <f t="shared" si="317"/>
        <v>116.20699999999999</v>
      </c>
      <c r="BF139" s="552">
        <f t="shared" si="317"/>
        <v>106.02299999999997</v>
      </c>
      <c r="BG139" s="552">
        <f t="shared" si="317"/>
        <v>96.259999999999991</v>
      </c>
      <c r="BH139" s="552">
        <f t="shared" ref="BH139:BN139" si="318">INDEX(MO_BSS_Debt_Net,0,COLUMN())+INDEX(MO_BSS_Cash,0,COLUMN())</f>
        <v>87.299000000000035</v>
      </c>
      <c r="BI139" s="788">
        <f t="shared" si="318"/>
        <v>87.299000000000035</v>
      </c>
      <c r="BJ139" s="552">
        <f t="shared" si="318"/>
        <v>77.37299999999999</v>
      </c>
      <c r="BK139" s="552">
        <f t="shared" si="318"/>
        <v>67.617000000000019</v>
      </c>
      <c r="BL139" s="597">
        <f>INDEX(MO_BSS_Debt_Net,0,COLUMN())+INDEX(MO_BSS_Cash,0,COLUMN())</f>
        <v>53.927000000000021</v>
      </c>
      <c r="BM139" s="552" t="e">
        <f t="shared" si="318"/>
        <v>#REF!</v>
      </c>
      <c r="BN139" s="788" t="e">
        <f t="shared" si="318"/>
        <v>#REF!</v>
      </c>
      <c r="BO139" s="552" t="e">
        <f t="shared" ref="BO139:BV139" si="319">INDEX(MO_BSS_Debt_Net,0,COLUMN())+INDEX(MO_BSS_Cash,0,COLUMN())</f>
        <v>#REF!</v>
      </c>
      <c r="BP139" s="552" t="e">
        <f t="shared" si="319"/>
        <v>#REF!</v>
      </c>
      <c r="BQ139" s="552" t="e">
        <f t="shared" si="319"/>
        <v>#REF!</v>
      </c>
      <c r="BR139" s="552" t="e">
        <f t="shared" si="319"/>
        <v>#REF!</v>
      </c>
      <c r="BS139" s="788" t="e">
        <f t="shared" si="319"/>
        <v>#REF!</v>
      </c>
      <c r="BT139" s="788" t="e">
        <f t="shared" si="319"/>
        <v>#REF!</v>
      </c>
      <c r="BU139" s="788" t="e">
        <f t="shared" si="319"/>
        <v>#REF!</v>
      </c>
      <c r="BV139" s="788" t="e">
        <f t="shared" si="319"/>
        <v>#REF!</v>
      </c>
      <c r="BW139" s="552"/>
    </row>
    <row r="140" spans="1:75" ht="15" hidden="1" customHeight="1" outlineLevel="1">
      <c r="A140" s="93" t="s">
        <v>667</v>
      </c>
      <c r="B140" s="94"/>
      <c r="C140" s="788">
        <f>C139</f>
        <v>0</v>
      </c>
      <c r="D140" s="788">
        <f>AVERAGE(D139,C139)</f>
        <v>0</v>
      </c>
      <c r="E140" s="788">
        <f>AVERAGE(E139,D139)</f>
        <v>0</v>
      </c>
      <c r="F140" s="788">
        <f>AVERAGE(F139,E139)</f>
        <v>0</v>
      </c>
      <c r="G140" s="552"/>
      <c r="H140" s="552"/>
      <c r="I140" s="552"/>
      <c r="J140" s="552">
        <f>AVERAGE(J139,I139,H139,G139)</f>
        <v>0</v>
      </c>
      <c r="K140" s="788">
        <f>AVERAGE(K139,F139)</f>
        <v>0</v>
      </c>
      <c r="L140" s="552">
        <f>AVERAGE(L139,J139,I139,H139)</f>
        <v>0</v>
      </c>
      <c r="M140" s="552">
        <f>AVERAGE(M139,L139,J139,I139)</f>
        <v>0</v>
      </c>
      <c r="N140" s="552">
        <f>AVERAGE(N139,M139,L139,J139)</f>
        <v>0</v>
      </c>
      <c r="O140" s="552">
        <f>AVERAGE(O139,N139,M139,L139)</f>
        <v>0</v>
      </c>
      <c r="P140" s="788">
        <f>AVERAGE(P139,K139)</f>
        <v>0</v>
      </c>
      <c r="Q140" s="552">
        <f>AVERAGE(Q139,O139,N139,M139)</f>
        <v>0</v>
      </c>
      <c r="R140" s="552">
        <f>AVERAGE(R139,Q139,O139,N139)</f>
        <v>0</v>
      </c>
      <c r="S140" s="552">
        <f>AVERAGE(S139,R139,Q139,O139)</f>
        <v>0</v>
      </c>
      <c r="T140" s="552">
        <f>AVERAGE(T139,S139,R139,Q139)</f>
        <v>0</v>
      </c>
      <c r="U140" s="788">
        <f>AVERAGE(U139,P139)</f>
        <v>0</v>
      </c>
      <c r="V140" s="552">
        <f>AVERAGE(V139,T139,S139,R139)</f>
        <v>0</v>
      </c>
      <c r="W140" s="552">
        <f>AVERAGE(W139,V139,T139,S139)</f>
        <v>0</v>
      </c>
      <c r="X140" s="552">
        <f>AVERAGE(X139,W139,V139,T139)</f>
        <v>0</v>
      </c>
      <c r="Y140" s="552">
        <f>AVERAGE(Y139,X139,W139,V139)</f>
        <v>0</v>
      </c>
      <c r="Z140" s="788">
        <f>AVERAGE(Z139,U139)</f>
        <v>0</v>
      </c>
      <c r="AA140" s="552">
        <f>AVERAGE(AA139,Y139,X139,W139)</f>
        <v>0</v>
      </c>
      <c r="AB140" s="552">
        <f>AVERAGE(AB139,AA139,Y139,X139)</f>
        <v>0</v>
      </c>
      <c r="AC140" s="552">
        <f>AVERAGE(AC139,AB139,AA139,Y139)</f>
        <v>0</v>
      </c>
      <c r="AD140" s="552">
        <f>AVERAGE(AD139,AC139,AB139,AA139)</f>
        <v>0</v>
      </c>
      <c r="AE140" s="788">
        <f>AVERAGE(AE139,Z139)</f>
        <v>0</v>
      </c>
      <c r="AF140" s="552">
        <f>AVERAGE(AF139,AD139,AC139,AB139)</f>
        <v>0</v>
      </c>
      <c r="AG140" s="552">
        <f>AVERAGE(AG139,AF139,AD139,AC139)</f>
        <v>0</v>
      </c>
      <c r="AH140" s="552">
        <f>AVERAGE(AH139,AG139,AF139,AD139)</f>
        <v>0</v>
      </c>
      <c r="AI140" s="552">
        <f>AVERAGE(AI139,AH139,AG139,AF139)</f>
        <v>0</v>
      </c>
      <c r="AJ140" s="788">
        <f>AVERAGE(AJ139,AE139)</f>
        <v>0</v>
      </c>
      <c r="AK140" s="552">
        <f>AVERAGE(AK139,AI139,AH139,AG139)</f>
        <v>66.030749999999998</v>
      </c>
      <c r="AL140" s="552">
        <f>AVERAGE(AL139,AK139,AI139,AH139)</f>
        <v>129.47375</v>
      </c>
      <c r="AM140" s="552">
        <f>AVERAGE(AM139,AL139,AK139,AI139)</f>
        <v>190.24099999999999</v>
      </c>
      <c r="AN140" s="552">
        <f>AVERAGE(AN139,AM139,AL139,AK139)</f>
        <v>248.30675000000002</v>
      </c>
      <c r="AO140" s="788">
        <f>AVERAGE(AO139,AJ139)</f>
        <v>116.1315</v>
      </c>
      <c r="AP140" s="552">
        <f>AVERAGE(AP139,AN139,AM139,AL139)</f>
        <v>241.62975</v>
      </c>
      <c r="AQ140" s="552">
        <f>AVERAGE(AQ139,AP139,AN139,AM139)</f>
        <v>233.42250000000001</v>
      </c>
      <c r="AR140" s="552">
        <f>AVERAGE(AR139,AQ139,AP139,AN139)</f>
        <v>225.07849999999999</v>
      </c>
      <c r="AS140" s="552">
        <f>AVERAGE(AS139,AR139,AQ139,AP139)</f>
        <v>217.03674999999998</v>
      </c>
      <c r="AT140" s="788">
        <f>AVERAGE(AT139,AO139)</f>
        <v>216.17950000000002</v>
      </c>
      <c r="AU140" s="552">
        <f>AVERAGE(AU139,AS139,AR139,AQ139)</f>
        <v>207.1335</v>
      </c>
      <c r="AV140" s="552">
        <f>AVERAGE(AV139,AU139,AS139,AR139)</f>
        <v>197.47425000000001</v>
      </c>
      <c r="AW140" s="552">
        <f>AVERAGE(AW139,AV139,AU139,AS139)</f>
        <v>189.56500000000003</v>
      </c>
      <c r="AX140" s="552">
        <f>AVERAGE(AX139,AW139,AV139,AU139)</f>
        <v>181.59500000000003</v>
      </c>
      <c r="AY140" s="788">
        <f>AVERAGE(AY139,AT139)</f>
        <v>184.15600000000001</v>
      </c>
      <c r="AZ140" s="552">
        <f>AVERAGE(AZ139,AX139,AW139,AV139)</f>
        <v>171.77650000000003</v>
      </c>
      <c r="BA140" s="552">
        <f>AVERAGE(BA139,AZ139,AX139,AW139)</f>
        <v>162.94650000000001</v>
      </c>
      <c r="BB140" s="552">
        <f>AVERAGE(BB139,BA139,AZ139,AX139)</f>
        <v>152.26150000000001</v>
      </c>
      <c r="BC140" s="552">
        <f>AVERAGE(BC139,BB139,BA139,AZ139)</f>
        <v>141.79124999999999</v>
      </c>
      <c r="BD140" s="788">
        <f>AVERAGE(BD139,AY139)</f>
        <v>147.27550000000002</v>
      </c>
      <c r="BE140" s="552">
        <f>AVERAGE(BE139,BC139,BB139,BA139)</f>
        <v>131.21100000000001</v>
      </c>
      <c r="BF140" s="552">
        <f>AVERAGE(BF139,BE139,BC139,BB139)</f>
        <v>120.97024999999999</v>
      </c>
      <c r="BG140" s="552">
        <f>AVERAGE(BG139,BF139,BE139,BC139)</f>
        <v>111.20625</v>
      </c>
      <c r="BH140" s="552">
        <f>AVERAGE(BH139,BG139,BF139,BE139)</f>
        <v>101.44725</v>
      </c>
      <c r="BI140" s="788">
        <f>AVERAGE(BI139,BD139)</f>
        <v>106.81700000000004</v>
      </c>
      <c r="BJ140" s="552">
        <f>AVERAGE(BJ139,BH139,BG139,BF139)</f>
        <v>91.738749999999996</v>
      </c>
      <c r="BK140" s="552">
        <f>AVERAGE(BK139,BJ139,BH139,BG139)</f>
        <v>82.137250000000009</v>
      </c>
      <c r="BL140" s="597">
        <f>AVERAGE(BL139,BK139,BJ139,BH139)</f>
        <v>71.554000000000016</v>
      </c>
      <c r="BM140" s="552" t="e">
        <f>AVERAGE(BM139,BL139,BK139,BJ139)</f>
        <v>#REF!</v>
      </c>
      <c r="BN140" s="788" t="e">
        <f>AVERAGE(BN139,BI139)</f>
        <v>#REF!</v>
      </c>
      <c r="BO140" s="552" t="e">
        <f>AVERAGE(BO139,BM139,BL139,BK139)</f>
        <v>#REF!</v>
      </c>
      <c r="BP140" s="552" t="e">
        <f>AVERAGE(BP139,BO139,BM139,BL139)</f>
        <v>#REF!</v>
      </c>
      <c r="BQ140" s="552" t="e">
        <f>AVERAGE(BQ139,BP139,BO139,BM139)</f>
        <v>#REF!</v>
      </c>
      <c r="BR140" s="552" t="e">
        <f>AVERAGE(BR139,BQ139,BP139,BO139)</f>
        <v>#REF!</v>
      </c>
      <c r="BS140" s="788" t="e">
        <f>AVERAGE(BS139,BN139)</f>
        <v>#REF!</v>
      </c>
      <c r="BT140" s="788" t="e">
        <f>AVERAGE(BT139,BS139)</f>
        <v>#REF!</v>
      </c>
      <c r="BU140" s="788" t="e">
        <f>AVERAGE(BU139,BT139)</f>
        <v>#REF!</v>
      </c>
      <c r="BV140" s="788" t="e">
        <f>AVERAGE(BV139,BU139)</f>
        <v>#REF!</v>
      </c>
      <c r="BW140" s="552"/>
    </row>
    <row r="141" spans="1:75" ht="15" hidden="1" customHeight="1" outlineLevel="1">
      <c r="A141" s="93" t="s">
        <v>668</v>
      </c>
      <c r="B141" s="94"/>
      <c r="C141" s="788">
        <f t="shared" ref="C141:AH141" si="320">SUM(INDEX(SP_BSR_Debt_Avg,0,COLUMN()),INDEX(SP_BSR_SE_Avg,0,COLUMN()))</f>
        <v>0</v>
      </c>
      <c r="D141" s="788">
        <f t="shared" si="320"/>
        <v>0</v>
      </c>
      <c r="E141" s="788">
        <f t="shared" si="320"/>
        <v>15.544</v>
      </c>
      <c r="F141" s="788">
        <f t="shared" si="320"/>
        <v>98.375</v>
      </c>
      <c r="G141" s="552">
        <f t="shared" si="320"/>
        <v>0</v>
      </c>
      <c r="H141" s="552">
        <f t="shared" si="320"/>
        <v>0</v>
      </c>
      <c r="I141" s="552">
        <f t="shared" si="320"/>
        <v>0</v>
      </c>
      <c r="J141" s="552">
        <f t="shared" si="320"/>
        <v>255.71125000000001</v>
      </c>
      <c r="K141" s="788">
        <f t="shared" si="320"/>
        <v>326.07250000000005</v>
      </c>
      <c r="L141" s="552">
        <f t="shared" si="320"/>
        <v>339.33674999999999</v>
      </c>
      <c r="M141" s="552">
        <f t="shared" si="320"/>
        <v>426.02375000000001</v>
      </c>
      <c r="N141" s="552">
        <f t="shared" si="320"/>
        <v>511.57174999999995</v>
      </c>
      <c r="O141" s="552">
        <f t="shared" si="320"/>
        <v>536.98849999999993</v>
      </c>
      <c r="P141" s="788">
        <f t="shared" si="320"/>
        <v>537.31650000000002</v>
      </c>
      <c r="Q141" s="552">
        <f t="shared" si="320"/>
        <v>576.16849999999999</v>
      </c>
      <c r="R141" s="552">
        <f t="shared" si="320"/>
        <v>617.39850000000001</v>
      </c>
      <c r="S141" s="552">
        <f t="shared" si="320"/>
        <v>656.85825</v>
      </c>
      <c r="T141" s="552">
        <f t="shared" si="320"/>
        <v>683.22574999999995</v>
      </c>
      <c r="U141" s="788">
        <f t="shared" si="320"/>
        <v>640.88499999999999</v>
      </c>
      <c r="V141" s="552">
        <f t="shared" si="320"/>
        <v>694.23524999999995</v>
      </c>
      <c r="W141" s="552">
        <f t="shared" si="320"/>
        <v>704.97074999999995</v>
      </c>
      <c r="X141" s="552">
        <f t="shared" si="320"/>
        <v>722.25049999999999</v>
      </c>
      <c r="Y141" s="552">
        <f t="shared" si="320"/>
        <v>750.64199999999994</v>
      </c>
      <c r="Z141" s="788">
        <f t="shared" si="320"/>
        <v>750.40300000000002</v>
      </c>
      <c r="AA141" s="552">
        <f t="shared" si="320"/>
        <v>783.45225000000005</v>
      </c>
      <c r="AB141" s="552">
        <f t="shared" si="320"/>
        <v>822.8420000000001</v>
      </c>
      <c r="AC141" s="552">
        <f t="shared" si="320"/>
        <v>862.77074999999991</v>
      </c>
      <c r="AD141" s="552">
        <f t="shared" si="320"/>
        <v>938.14850000000001</v>
      </c>
      <c r="AE141" s="788">
        <f t="shared" si="320"/>
        <v>957.94150000000002</v>
      </c>
      <c r="AF141" s="552">
        <f t="shared" si="320"/>
        <v>1003.203</v>
      </c>
      <c r="AG141" s="552">
        <f t="shared" si="320"/>
        <v>1056.145</v>
      </c>
      <c r="AH141" s="552">
        <f t="shared" si="320"/>
        <v>1107.1945000000001</v>
      </c>
      <c r="AI141" s="552">
        <f t="shared" ref="AI141:BA141" si="321">SUM(INDEX(SP_BSR_Debt_Avg,0,COLUMN()),INDEX(SP_BSR_SE_Avg,0,COLUMN()))</f>
        <v>1098.89975</v>
      </c>
      <c r="AJ141" s="788">
        <f t="shared" si="321"/>
        <v>1092.1075000000001</v>
      </c>
      <c r="AK141" s="552">
        <f t="shared" si="321"/>
        <v>1140.6017499999998</v>
      </c>
      <c r="AL141" s="552">
        <f t="shared" si="321"/>
        <v>1116.0500000000002</v>
      </c>
      <c r="AM141" s="552">
        <f t="shared" si="321"/>
        <v>1070.08475</v>
      </c>
      <c r="AN141" s="552">
        <f t="shared" si="321"/>
        <v>1048.01875</v>
      </c>
      <c r="AO141" s="788">
        <f t="shared" si="321"/>
        <v>1031.386</v>
      </c>
      <c r="AP141" s="552">
        <f t="shared" si="321"/>
        <v>983.24025000000006</v>
      </c>
      <c r="AQ141" s="552">
        <f t="shared" si="321"/>
        <v>983.74924999999996</v>
      </c>
      <c r="AR141" s="552">
        <f t="shared" si="321"/>
        <v>1003.67125</v>
      </c>
      <c r="AS141" s="552">
        <f t="shared" si="321"/>
        <v>1020.5152499999999</v>
      </c>
      <c r="AT141" s="788">
        <f t="shared" si="321"/>
        <v>1020.942</v>
      </c>
      <c r="AU141" s="552">
        <f t="shared" si="321"/>
        <v>1026.779</v>
      </c>
      <c r="AV141" s="552">
        <f t="shared" si="321"/>
        <v>1022.65575</v>
      </c>
      <c r="AW141" s="552">
        <f t="shared" si="321"/>
        <v>1006.2952500000001</v>
      </c>
      <c r="AX141" s="552">
        <f t="shared" si="321"/>
        <v>972.52125000000001</v>
      </c>
      <c r="AY141" s="788">
        <f t="shared" si="321"/>
        <v>987.08200000000011</v>
      </c>
      <c r="AZ141" s="552">
        <f t="shared" si="321"/>
        <v>937.01499999999999</v>
      </c>
      <c r="BA141" s="552">
        <f t="shared" si="321"/>
        <v>906.97</v>
      </c>
      <c r="BB141" s="552">
        <f t="shared" ref="BB141:BG141" si="322">SUM(INDEX(SP_BSR_Debt_Avg,0,COLUMN()),INDEX(SP_BSR_SE_Avg,0,COLUMN()))</f>
        <v>876.17375000000015</v>
      </c>
      <c r="BC141" s="552">
        <f t="shared" si="322"/>
        <v>855.45500000000004</v>
      </c>
      <c r="BD141" s="788">
        <f t="shared" si="322"/>
        <v>878.09649999999988</v>
      </c>
      <c r="BE141" s="552">
        <f t="shared" si="322"/>
        <v>839.81950000000006</v>
      </c>
      <c r="BF141" s="552">
        <f t="shared" si="322"/>
        <v>827.07825000000003</v>
      </c>
      <c r="BG141" s="552">
        <f t="shared" si="322"/>
        <v>826.86324999999999</v>
      </c>
      <c r="BH141" s="552">
        <f t="shared" ref="BH141:BN141" si="323">SUM(INDEX(SP_BSR_Debt_Avg,0,COLUMN()),INDEX(SP_BSR_SE_Avg,0,COLUMN()))</f>
        <v>826.90674999999987</v>
      </c>
      <c r="BI141" s="788">
        <f t="shared" si="323"/>
        <v>836.74600000000009</v>
      </c>
      <c r="BJ141" s="552">
        <f t="shared" si="323"/>
        <v>821.65949999999998</v>
      </c>
      <c r="BK141" s="552">
        <f t="shared" si="323"/>
        <v>818.74424999999997</v>
      </c>
      <c r="BL141" s="597">
        <f>SUM(INDEX(SP_BSR_Debt_Avg,0,COLUMN()),INDEX(SP_BSR_SE_Avg,0,COLUMN()))</f>
        <v>808.15249999999992</v>
      </c>
      <c r="BM141" s="552" t="e">
        <f t="shared" si="323"/>
        <v>#REF!</v>
      </c>
      <c r="BN141" s="788" t="e">
        <f t="shared" si="323"/>
        <v>#REF!</v>
      </c>
      <c r="BO141" s="552" t="e">
        <f t="shared" ref="BO141:BV141" si="324">SUM(INDEX(SP_BSR_Debt_Avg,0,COLUMN()),INDEX(SP_BSR_SE_Avg,0,COLUMN()))</f>
        <v>#REF!</v>
      </c>
      <c r="BP141" s="552" t="e">
        <f t="shared" si="324"/>
        <v>#REF!</v>
      </c>
      <c r="BQ141" s="552" t="e">
        <f t="shared" si="324"/>
        <v>#REF!</v>
      </c>
      <c r="BR141" s="552" t="e">
        <f t="shared" si="324"/>
        <v>#REF!</v>
      </c>
      <c r="BS141" s="788" t="e">
        <f t="shared" si="324"/>
        <v>#REF!</v>
      </c>
      <c r="BT141" s="788" t="e">
        <f t="shared" si="324"/>
        <v>#REF!</v>
      </c>
      <c r="BU141" s="788" t="e">
        <f t="shared" si="324"/>
        <v>#REF!</v>
      </c>
      <c r="BV141" s="788" t="e">
        <f t="shared" si="324"/>
        <v>#REF!</v>
      </c>
      <c r="BW141" s="552"/>
    </row>
    <row r="142" spans="1:75" s="483" customFormat="1" ht="15" customHeight="1" collapsed="1">
      <c r="A142" s="104" t="s">
        <v>669</v>
      </c>
      <c r="B142" s="105"/>
      <c r="C142" s="801"/>
      <c r="D142" s="801"/>
      <c r="E142" s="801" t="str">
        <f ca="1">IF(E141&lt;0,"NMF",IF(ABS(E135/E141)&gt;1,"NMF",E135/E141))</f>
        <v>NMF</v>
      </c>
      <c r="F142" s="801">
        <f ca="1">IF(F141&lt;0,"NMF",IF(ABS(F135/F141)&gt;1,"NMF",F135/F141))</f>
        <v>-0.19396188055908528</v>
      </c>
      <c r="G142" s="61"/>
      <c r="H142" s="61"/>
      <c r="I142" s="61"/>
      <c r="J142" s="61">
        <f t="shared" ref="J142:AO142" ca="1" si="325">IF(J141&lt;0,"NMF",IF(ABS(J135/J141)&gt;1,"NMF",J135/J141))</f>
        <v>-3.9372534450478835E-2</v>
      </c>
      <c r="K142" s="801">
        <f t="shared" ca="1" si="325"/>
        <v>-3.0876568861219623E-2</v>
      </c>
      <c r="L142" s="61">
        <f t="shared" ca="1" si="325"/>
        <v>-2.3349816123531587E-2</v>
      </c>
      <c r="M142" s="61">
        <f t="shared" ca="1" si="325"/>
        <v>-1.0517016755453095E-2</v>
      </c>
      <c r="N142" s="61">
        <f t="shared" ca="1" si="325"/>
        <v>2.557420738653404E-3</v>
      </c>
      <c r="O142" s="61">
        <f t="shared" ca="1" si="325"/>
        <v>6.786660912875056E-2</v>
      </c>
      <c r="P142" s="801">
        <f t="shared" ca="1" si="325"/>
        <v>6.5623271861778243E-2</v>
      </c>
      <c r="Q142" s="61">
        <f t="shared" ca="1" si="325"/>
        <v>6.5550390679180781E-2</v>
      </c>
      <c r="R142" s="61">
        <f t="shared" ca="1" si="325"/>
        <v>5.5635358806564679E-2</v>
      </c>
      <c r="S142" s="61">
        <f t="shared" ca="1" si="325"/>
        <v>3.4195368649634593E-2</v>
      </c>
      <c r="T142" s="61">
        <f t="shared" ca="1" si="325"/>
        <v>-4.7480105733158112E-2</v>
      </c>
      <c r="U142" s="801">
        <f t="shared" ca="1" si="325"/>
        <v>-5.2860266947477946E-2</v>
      </c>
      <c r="V142" s="61">
        <f t="shared" ca="1" si="325"/>
        <v>-6.7562903975524016E-2</v>
      </c>
      <c r="W142" s="61">
        <f t="shared" ca="1" si="325"/>
        <v>-6.436427027625552E-2</v>
      </c>
      <c r="X142" s="61">
        <f t="shared" ca="1" si="325"/>
        <v>-4.8898130678654506E-2</v>
      </c>
      <c r="Y142" s="61">
        <f t="shared" ca="1" si="325"/>
        <v>-7.5716488409525154E-3</v>
      </c>
      <c r="Z142" s="801">
        <f t="shared" ca="1" si="325"/>
        <v>-9.4893830270251518E-3</v>
      </c>
      <c r="AA142" s="61">
        <f t="shared" ca="1" si="325"/>
        <v>6.8846342291900798E-3</v>
      </c>
      <c r="AB142" s="61">
        <f t="shared" ca="1" si="325"/>
        <v>1.4385235178168653E-2</v>
      </c>
      <c r="AC142" s="61">
        <f t="shared" ca="1" si="325"/>
        <v>2.0012556888469583E-2</v>
      </c>
      <c r="AD142" s="61">
        <f t="shared" ca="1" si="325"/>
        <v>0.15897821016311864</v>
      </c>
      <c r="AE142" s="801">
        <f t="shared" ca="1" si="325"/>
        <v>0.15608577876482838</v>
      </c>
      <c r="AF142" s="61">
        <f t="shared" ca="1" si="325"/>
        <v>0.1484029782419905</v>
      </c>
      <c r="AG142" s="61">
        <f t="shared" ca="1" si="325"/>
        <v>0.1413516158673411</v>
      </c>
      <c r="AH142" s="61">
        <f t="shared" ca="1" si="325"/>
        <v>0.13848043979269256</v>
      </c>
      <c r="AI142" s="61">
        <f t="shared" ca="1" si="325"/>
        <v>3.4261262087924356E-2</v>
      </c>
      <c r="AJ142" s="801">
        <f t="shared" ca="1" si="325"/>
        <v>3.3194149626328537E-2</v>
      </c>
      <c r="AK142" s="61">
        <f t="shared" ca="1" si="325"/>
        <v>3.2104935370403681E-2</v>
      </c>
      <c r="AL142" s="61">
        <f t="shared" ca="1" si="325"/>
        <v>3.4524781541296137E-2</v>
      </c>
      <c r="AM142" s="61">
        <f t="shared" ca="1" si="325"/>
        <v>3.2923721570726455E-2</v>
      </c>
      <c r="AN142" s="61">
        <f t="shared" ca="1" si="325"/>
        <v>2.5157045967417101E-2</v>
      </c>
      <c r="AO142" s="801">
        <f t="shared" ca="1" si="325"/>
        <v>2.9021861608152198E-2</v>
      </c>
      <c r="AP142" s="61">
        <f t="shared" ref="AP142:BA142" ca="1" si="326">IF(AP141&lt;0,"NMF",IF(ABS(AP135/AP141)&gt;1,"NMF",AP135/AP141))</f>
        <v>1.5829508059903737E-2</v>
      </c>
      <c r="AQ142" s="61">
        <f t="shared" ca="1" si="326"/>
        <v>-1.8295176209705874E-2</v>
      </c>
      <c r="AR142" s="61">
        <f t="shared" ca="1" si="326"/>
        <v>-2.6722622707957538E-2</v>
      </c>
      <c r="AS142" s="61">
        <f t="shared" ca="1" si="326"/>
        <v>-2.04051135869729E-2</v>
      </c>
      <c r="AT142" s="801">
        <f t="shared" ca="1" si="326"/>
        <v>-2.0256744174529003E-2</v>
      </c>
      <c r="AU142" s="61">
        <f t="shared" ca="1" si="326"/>
        <v>-9.5352837189133059E-3</v>
      </c>
      <c r="AV142" s="61">
        <f t="shared" ca="1" si="326"/>
        <v>1.7872235257249028E-2</v>
      </c>
      <c r="AW142" s="61">
        <f t="shared" ca="1" si="326"/>
        <v>3.7153005454793359E-2</v>
      </c>
      <c r="AX142" s="61">
        <f t="shared" ca="1" si="326"/>
        <v>4.0597347271012219E-2</v>
      </c>
      <c r="AY142" s="801">
        <f t="shared" ca="1" si="326"/>
        <v>4.0328442925359732E-2</v>
      </c>
      <c r="AZ142" s="61">
        <f t="shared" ca="1" si="326"/>
        <v>4.7324677467798643E-2</v>
      </c>
      <c r="BA142" s="61">
        <f t="shared" ca="1" si="326"/>
        <v>5.310222050188939E-2</v>
      </c>
      <c r="BB142" s="61">
        <f t="shared" ref="BB142:BG142" ca="1" si="327">IF(BB141&lt;0,"NMF",IF(ABS(BB135/BB141)&gt;1,"NMF",BB135/BB141))</f>
        <v>4.3422102249748844E-2</v>
      </c>
      <c r="BC142" s="61">
        <f t="shared" ca="1" si="327"/>
        <v>3.8823174009659796E-2</v>
      </c>
      <c r="BD142" s="801">
        <f t="shared" ca="1" si="327"/>
        <v>3.7821317247339663E-2</v>
      </c>
      <c r="BE142" s="61">
        <f t="shared" ca="1" si="327"/>
        <v>3.5151933886593434E-2</v>
      </c>
      <c r="BF142" s="61">
        <f t="shared" ca="1" si="327"/>
        <v>4.074895712584501E-2</v>
      </c>
      <c r="BG142" s="61">
        <f t="shared" ca="1" si="327"/>
        <v>9.3918163697391768E-2</v>
      </c>
      <c r="BH142" s="61">
        <f t="shared" ref="BH142:BN142" ca="1" si="328">IF(BH141&lt;0,"NMF",IF(ABS(BH135/BH141)&gt;1,"NMF",BH135/BH141))</f>
        <v>9.9200223903682466E-2</v>
      </c>
      <c r="BI142" s="801">
        <f t="shared" ca="1" si="328"/>
        <v>9.6448052179079202E-2</v>
      </c>
      <c r="BJ142" s="61">
        <f t="shared" ca="1" si="328"/>
        <v>0.11752035475839381</v>
      </c>
      <c r="BK142" s="61">
        <f t="shared" ca="1" si="328"/>
        <v>0.14477227049465807</v>
      </c>
      <c r="BL142" s="422">
        <f ca="1">IF(BL141&lt;0,"NMF",IF(ABS(BL135/BL141)&gt;1,"NMF",BL135/BL141))</f>
        <v>0.12529340646803488</v>
      </c>
      <c r="BM142" s="61" t="e">
        <f t="shared" si="328"/>
        <v>#REF!</v>
      </c>
      <c r="BN142" s="801" t="e">
        <f t="shared" si="328"/>
        <v>#REF!</v>
      </c>
      <c r="BO142" s="61" t="e">
        <f t="shared" ref="BO142:BV142" si="329">IF(BO141&lt;0,"NMF",IF(ABS(BO135/BO141)&gt;1,"NMF",BO135/BO141))</f>
        <v>#REF!</v>
      </c>
      <c r="BP142" s="61" t="e">
        <f t="shared" si="329"/>
        <v>#REF!</v>
      </c>
      <c r="BQ142" s="61" t="e">
        <f t="shared" si="329"/>
        <v>#REF!</v>
      </c>
      <c r="BR142" s="61" t="e">
        <f t="shared" si="329"/>
        <v>#REF!</v>
      </c>
      <c r="BS142" s="801" t="e">
        <f t="shared" si="329"/>
        <v>#REF!</v>
      </c>
      <c r="BT142" s="801" t="e">
        <f t="shared" si="329"/>
        <v>#REF!</v>
      </c>
      <c r="BU142" s="801" t="e">
        <f t="shared" si="329"/>
        <v>#REF!</v>
      </c>
      <c r="BV142" s="801" t="e">
        <f t="shared" si="329"/>
        <v>#REF!</v>
      </c>
      <c r="BW142" s="146"/>
    </row>
    <row r="143" spans="1:75" ht="15" hidden="1" customHeight="1" outlineLevel="1">
      <c r="A143" s="93" t="s">
        <v>13</v>
      </c>
      <c r="B143" s="94"/>
      <c r="C143" s="788">
        <f t="shared" ref="C143:AH143" si="330">INDEX(MO_RIS_EBIT,0,COLUMN())</f>
        <v>-2.3329999999999984</v>
      </c>
      <c r="D143" s="788">
        <f t="shared" si="330"/>
        <v>-9.5060000000000002</v>
      </c>
      <c r="E143" s="788">
        <f t="shared" si="330"/>
        <v>-16.171000000000006</v>
      </c>
      <c r="F143" s="788">
        <f t="shared" si="330"/>
        <v>-18.765000000000015</v>
      </c>
      <c r="G143" s="552">
        <f t="shared" si="330"/>
        <v>-4.5539999999999949</v>
      </c>
      <c r="H143" s="552">
        <f t="shared" si="330"/>
        <v>-0.57999999999999119</v>
      </c>
      <c r="I143" s="552">
        <f t="shared" si="330"/>
        <v>-1.7810000000000059</v>
      </c>
      <c r="J143" s="552">
        <f t="shared" si="330"/>
        <v>-1.9080000000000155</v>
      </c>
      <c r="K143" s="788">
        <f t="shared" si="330"/>
        <v>-8.8230000000000359</v>
      </c>
      <c r="L143" s="552">
        <f t="shared" si="330"/>
        <v>-4.6039999999999992</v>
      </c>
      <c r="M143" s="552">
        <f t="shared" si="330"/>
        <v>3.1269999999999953</v>
      </c>
      <c r="N143" s="552">
        <f t="shared" si="330"/>
        <v>4.5439999999999827</v>
      </c>
      <c r="O143" s="552">
        <f t="shared" si="330"/>
        <v>7.9919999999999902</v>
      </c>
      <c r="P143" s="788">
        <f t="shared" si="330"/>
        <v>11.059000000000026</v>
      </c>
      <c r="Q143" s="552">
        <f t="shared" si="330"/>
        <v>-4.2489999999999952</v>
      </c>
      <c r="R143" s="552">
        <f t="shared" si="330"/>
        <v>5.0000000000011369E-2</v>
      </c>
      <c r="S143" s="552">
        <f t="shared" si="330"/>
        <v>-10.711999999999989</v>
      </c>
      <c r="T143" s="552">
        <f t="shared" si="330"/>
        <v>-6.4129999999999825</v>
      </c>
      <c r="U143" s="788">
        <f t="shared" si="330"/>
        <v>-21.323999999999955</v>
      </c>
      <c r="V143" s="552">
        <f t="shared" si="330"/>
        <v>-14.272999999999996</v>
      </c>
      <c r="W143" s="552">
        <f t="shared" si="330"/>
        <v>-1.1869999999999834</v>
      </c>
      <c r="X143" s="552">
        <f t="shared" si="330"/>
        <v>1.960000000000008</v>
      </c>
      <c r="Y143" s="552">
        <f t="shared" si="330"/>
        <v>8.5209999999999013</v>
      </c>
      <c r="Z143" s="788">
        <f t="shared" si="330"/>
        <v>-4.9790000000001555</v>
      </c>
      <c r="AA143" s="552">
        <f t="shared" si="330"/>
        <v>-4.6910000000000025</v>
      </c>
      <c r="AB143" s="552">
        <f t="shared" si="330"/>
        <v>7.1549999999999727</v>
      </c>
      <c r="AC143" s="552">
        <f t="shared" si="330"/>
        <v>6.8909999999999911</v>
      </c>
      <c r="AD143" s="552">
        <f t="shared" si="330"/>
        <v>170.267</v>
      </c>
      <c r="AE143" s="788">
        <f t="shared" si="330"/>
        <v>179.62199999999996</v>
      </c>
      <c r="AF143" s="552">
        <f t="shared" si="330"/>
        <v>-4.8269999999999982</v>
      </c>
      <c r="AG143" s="552">
        <f t="shared" si="330"/>
        <v>7.6210000000000093</v>
      </c>
      <c r="AH143" s="552">
        <f t="shared" si="330"/>
        <v>10.381000000000029</v>
      </c>
      <c r="AI143" s="552">
        <f t="shared" ref="AI143:BA143" si="331">INDEX(MO_RIS_EBIT,0,COLUMN())</f>
        <v>12.72199999999998</v>
      </c>
      <c r="AJ143" s="788">
        <f t="shared" si="331"/>
        <v>25.897000000000048</v>
      </c>
      <c r="AK143" s="552">
        <f t="shared" si="331"/>
        <v>-3.882000000000005</v>
      </c>
      <c r="AL143" s="552">
        <f t="shared" si="331"/>
        <v>12.197000000000031</v>
      </c>
      <c r="AM143" s="552">
        <f t="shared" si="331"/>
        <v>9.5499999999999829</v>
      </c>
      <c r="AN143" s="552">
        <f t="shared" si="331"/>
        <v>17.645999999999844</v>
      </c>
      <c r="AO143" s="788">
        <f t="shared" si="331"/>
        <v>35.510999999999967</v>
      </c>
      <c r="AP143" s="552">
        <f t="shared" si="331"/>
        <v>-27.249999999999972</v>
      </c>
      <c r="AQ143" s="552">
        <f t="shared" si="331"/>
        <v>-35.349000000000018</v>
      </c>
      <c r="AR143" s="552">
        <f t="shared" si="331"/>
        <v>9.3249999999999602</v>
      </c>
      <c r="AS143" s="552">
        <f t="shared" si="331"/>
        <v>14.479000000000013</v>
      </c>
      <c r="AT143" s="788">
        <f t="shared" si="331"/>
        <v>-38.794999999999959</v>
      </c>
      <c r="AU143" s="552">
        <f t="shared" si="331"/>
        <v>-8.6430000000000007</v>
      </c>
      <c r="AV143" s="552">
        <f t="shared" si="331"/>
        <v>-1.0810000000000173</v>
      </c>
      <c r="AW143" s="552">
        <f t="shared" si="331"/>
        <v>21.644999999999953</v>
      </c>
      <c r="AX143" s="552">
        <f t="shared" si="331"/>
        <v>19.593000000000018</v>
      </c>
      <c r="AY143" s="788">
        <f t="shared" si="331"/>
        <v>31.513999999999896</v>
      </c>
      <c r="AZ143" s="552">
        <f t="shared" si="331"/>
        <v>-4.4559999999999889</v>
      </c>
      <c r="BA143" s="552">
        <f t="shared" si="331"/>
        <v>16.001000000000005</v>
      </c>
      <c r="BB143" s="552">
        <f t="shared" ref="BB143:BG143" si="332">INDEX(MO_RIS_EBIT,0,COLUMN())</f>
        <v>13.424000000000035</v>
      </c>
      <c r="BC143" s="552">
        <f t="shared" si="332"/>
        <v>33.384000000000128</v>
      </c>
      <c r="BD143" s="788">
        <f t="shared" si="332"/>
        <v>58.353000000000065</v>
      </c>
      <c r="BE143" s="552">
        <f t="shared" si="332"/>
        <v>-6.5870000000000459</v>
      </c>
      <c r="BF143" s="552">
        <f t="shared" si="332"/>
        <v>18.741999999999905</v>
      </c>
      <c r="BG143" s="552">
        <f t="shared" si="332"/>
        <v>41.87299999999999</v>
      </c>
      <c r="BH143" s="552">
        <f t="shared" ref="BH143:BN143" si="333">INDEX(MO_RIS_EBIT,0,COLUMN())</f>
        <v>25.014999999999986</v>
      </c>
      <c r="BI143" s="788">
        <f t="shared" si="333"/>
        <v>79.042999999999893</v>
      </c>
      <c r="BJ143" s="552">
        <f t="shared" si="333"/>
        <v>11.216999999999985</v>
      </c>
      <c r="BK143" s="552">
        <f t="shared" si="333"/>
        <v>39.747000000000014</v>
      </c>
      <c r="BL143" s="597">
        <f>INDEX(MO_RIS_EBIT,0,COLUMN())</f>
        <v>46.65199999999993</v>
      </c>
      <c r="BM143" s="552">
        <f t="shared" si="333"/>
        <v>39.547857583238851</v>
      </c>
      <c r="BN143" s="788">
        <f t="shared" si="333"/>
        <v>137.16385758323918</v>
      </c>
      <c r="BO143" s="552">
        <f t="shared" ref="BO143:BV143" si="334">INDEX(MO_RIS_EBIT,0,COLUMN())</f>
        <v>18.653267651904059</v>
      </c>
      <c r="BP143" s="552">
        <f t="shared" si="334"/>
        <v>48.315275475650594</v>
      </c>
      <c r="BQ143" s="552">
        <f t="shared" si="334"/>
        <v>42.490060332534426</v>
      </c>
      <c r="BR143" s="552">
        <f t="shared" si="334"/>
        <v>45.657619511944631</v>
      </c>
      <c r="BS143" s="788">
        <f t="shared" si="334"/>
        <v>155.11622297203348</v>
      </c>
      <c r="BT143" s="788">
        <f t="shared" si="334"/>
        <v>165.51410233471483</v>
      </c>
      <c r="BU143" s="788">
        <f t="shared" si="334"/>
        <v>197.28051578431973</v>
      </c>
      <c r="BV143" s="788">
        <f t="shared" si="334"/>
        <v>144.81899430920475</v>
      </c>
      <c r="BW143" s="552"/>
    </row>
    <row r="144" spans="1:75" ht="15" hidden="1" customHeight="1" outlineLevel="1">
      <c r="A144" s="93" t="s">
        <v>670</v>
      </c>
      <c r="B144" s="94"/>
      <c r="C144" s="788">
        <f>C143</f>
        <v>-2.3329999999999984</v>
      </c>
      <c r="D144" s="788">
        <f>D143</f>
        <v>-9.5060000000000002</v>
      </c>
      <c r="E144" s="788">
        <f>E143</f>
        <v>-16.171000000000006</v>
      </c>
      <c r="F144" s="788">
        <f>F143</f>
        <v>-18.765000000000015</v>
      </c>
      <c r="G144" s="552"/>
      <c r="H144" s="552"/>
      <c r="I144" s="552"/>
      <c r="J144" s="552">
        <f>SUM(J143,I143,H143,G143)</f>
        <v>-8.8230000000000075</v>
      </c>
      <c r="K144" s="788">
        <f>K143</f>
        <v>-8.8230000000000359</v>
      </c>
      <c r="L144" s="552">
        <f>SUM(L143,J143,I143,H143)</f>
        <v>-8.8730000000000118</v>
      </c>
      <c r="M144" s="552">
        <f>SUM(M143,L143,J143,I143)</f>
        <v>-5.1660000000000252</v>
      </c>
      <c r="N144" s="552">
        <f>SUM(N143,M143,L143,J143)</f>
        <v>1.1589999999999634</v>
      </c>
      <c r="O144" s="552">
        <f>SUM(O143,N143,M143,L143)</f>
        <v>11.058999999999969</v>
      </c>
      <c r="P144" s="788">
        <f>P143</f>
        <v>11.059000000000026</v>
      </c>
      <c r="Q144" s="552">
        <f>SUM(Q143,O143,N143,M143)</f>
        <v>11.413999999999973</v>
      </c>
      <c r="R144" s="552">
        <f>SUM(R143,Q143,O143,N143)</f>
        <v>8.3369999999999891</v>
      </c>
      <c r="S144" s="552">
        <f>SUM(S143,R143,Q143,O143)</f>
        <v>-6.9189999999999827</v>
      </c>
      <c r="T144" s="552">
        <f>SUM(T143,S143,R143,Q143)</f>
        <v>-21.323999999999955</v>
      </c>
      <c r="U144" s="788">
        <f>U143</f>
        <v>-21.323999999999955</v>
      </c>
      <c r="V144" s="552">
        <f>SUM(V143,T143,S143,R143)</f>
        <v>-31.347999999999956</v>
      </c>
      <c r="W144" s="552">
        <f>SUM(W143,V143,T143,S143)</f>
        <v>-32.584999999999951</v>
      </c>
      <c r="X144" s="552">
        <f>SUM(X143,W143,V143,T143)</f>
        <v>-19.912999999999954</v>
      </c>
      <c r="Y144" s="552">
        <f>SUM(Y143,X143,W143,V143)</f>
        <v>-4.9790000000000703</v>
      </c>
      <c r="Z144" s="788">
        <f>Z143</f>
        <v>-4.9790000000001555</v>
      </c>
      <c r="AA144" s="552">
        <f>SUM(AA143,Y143,X143,W143)</f>
        <v>4.6029999999999234</v>
      </c>
      <c r="AB144" s="552">
        <f>SUM(AB143,AA143,Y143,X143)</f>
        <v>12.944999999999879</v>
      </c>
      <c r="AC144" s="552">
        <f>SUM(AC143,AB143,AA143,Y143)</f>
        <v>17.875999999999863</v>
      </c>
      <c r="AD144" s="552">
        <f>SUM(AD143,AC143,AB143,AA143)</f>
        <v>179.62199999999996</v>
      </c>
      <c r="AE144" s="788">
        <f>AE143</f>
        <v>179.62199999999996</v>
      </c>
      <c r="AF144" s="552">
        <f>SUM(AF143,AD143,AC143,AB143)</f>
        <v>179.48599999999996</v>
      </c>
      <c r="AG144" s="552">
        <f>SUM(AG143,AF143,AD143,AC143)</f>
        <v>179.952</v>
      </c>
      <c r="AH144" s="552">
        <f>SUM(AH143,AG143,AF143,AD143)</f>
        <v>183.44200000000004</v>
      </c>
      <c r="AI144" s="552">
        <f>SUM(AI143,AH143,AG143,AF143)</f>
        <v>25.89700000000002</v>
      </c>
      <c r="AJ144" s="788">
        <f>AJ143</f>
        <v>25.897000000000048</v>
      </c>
      <c r="AK144" s="552">
        <f>SUM(AK143,AI143,AH143,AG143)</f>
        <v>26.842000000000013</v>
      </c>
      <c r="AL144" s="552">
        <f>SUM(AL143,AK143,AI143,AH143)</f>
        <v>31.418000000000035</v>
      </c>
      <c r="AM144" s="552">
        <f>SUM(AM143,AL143,AK143,AI143)</f>
        <v>30.586999999999989</v>
      </c>
      <c r="AN144" s="552">
        <f>SUM(AN143,AM143,AL143,AK143)</f>
        <v>35.510999999999854</v>
      </c>
      <c r="AO144" s="788">
        <f>AO143</f>
        <v>35.510999999999967</v>
      </c>
      <c r="AP144" s="552">
        <f>SUM(AP143,AN143,AM143,AL143)</f>
        <v>12.142999999999887</v>
      </c>
      <c r="AQ144" s="552">
        <f>SUM(AQ143,AP143,AN143,AM143)</f>
        <v>-35.403000000000162</v>
      </c>
      <c r="AR144" s="552">
        <f>SUM(AR143,AQ143,AP143,AN143)</f>
        <v>-35.628000000000185</v>
      </c>
      <c r="AS144" s="552">
        <f>SUM(AS143,AR143,AQ143,AP143)</f>
        <v>-38.795000000000016</v>
      </c>
      <c r="AT144" s="788">
        <f>AT143</f>
        <v>-38.794999999999959</v>
      </c>
      <c r="AU144" s="552">
        <f>SUM(AU143,AS143,AR143,AQ143)</f>
        <v>-20.188000000000045</v>
      </c>
      <c r="AV144" s="552">
        <f>SUM(AV143,AU143,AS143,AR143)</f>
        <v>14.079999999999956</v>
      </c>
      <c r="AW144" s="552">
        <f>SUM(AW143,AV143,AU143,AS143)</f>
        <v>26.399999999999949</v>
      </c>
      <c r="AX144" s="552">
        <f>SUM(AX143,AW143,AV143,AU143)</f>
        <v>31.513999999999953</v>
      </c>
      <c r="AY144" s="788">
        <f>AY143</f>
        <v>31.513999999999896</v>
      </c>
      <c r="AZ144" s="552">
        <f>SUM(AZ143,AX143,AW143,AV143)</f>
        <v>35.700999999999965</v>
      </c>
      <c r="BA144" s="552">
        <f>SUM(BA143,AZ143,AX143,AW143)</f>
        <v>52.782999999999987</v>
      </c>
      <c r="BB144" s="552">
        <f>SUM(BB143,BA143,AZ143,AX143)</f>
        <v>44.562000000000069</v>
      </c>
      <c r="BC144" s="552">
        <f>SUM(BC143,BB143,BA143,AZ143)</f>
        <v>58.353000000000179</v>
      </c>
      <c r="BD144" s="788">
        <f>BD143</f>
        <v>58.353000000000065</v>
      </c>
      <c r="BE144" s="552">
        <f>SUM(BE143,BC143,BB143,BA143)</f>
        <v>56.222000000000122</v>
      </c>
      <c r="BF144" s="552">
        <f>SUM(BF143,BE143,BC143,BB143)</f>
        <v>58.963000000000022</v>
      </c>
      <c r="BG144" s="552">
        <f>SUM(BG143,BF143,BE143,BC143)</f>
        <v>87.411999999999978</v>
      </c>
      <c r="BH144" s="552">
        <f>SUM(BH143,BG143,BF143,BE143)</f>
        <v>79.042999999999836</v>
      </c>
      <c r="BI144" s="788">
        <f>BI143</f>
        <v>79.042999999999893</v>
      </c>
      <c r="BJ144" s="552">
        <f>SUM(BJ143,BH143,BG143,BF143)</f>
        <v>96.846999999999866</v>
      </c>
      <c r="BK144" s="552">
        <f>SUM(BK143,BJ143,BH143,BG143)</f>
        <v>117.85199999999998</v>
      </c>
      <c r="BL144" s="597">
        <f>SUM(BL143,BK143,BJ143,BH143)</f>
        <v>122.63099999999991</v>
      </c>
      <c r="BM144" s="552">
        <f>SUM(BM143,BL143,BK143,BJ143)</f>
        <v>137.16385758323878</v>
      </c>
      <c r="BN144" s="788">
        <f>BN143</f>
        <v>137.16385758323918</v>
      </c>
      <c r="BO144" s="552">
        <f>SUM(BO143,BM143,BL143,BK143)</f>
        <v>144.60012523514285</v>
      </c>
      <c r="BP144" s="552">
        <f>SUM(BP143,BO143,BM143,BL143)</f>
        <v>153.16840071079343</v>
      </c>
      <c r="BQ144" s="552">
        <f>SUM(BQ143,BP143,BO143,BM143)</f>
        <v>149.00646104332793</v>
      </c>
      <c r="BR144" s="552">
        <f>SUM(BR143,BQ143,BP143,BO143)</f>
        <v>155.11622297203371</v>
      </c>
      <c r="BS144" s="788">
        <f>BS143</f>
        <v>155.11622297203348</v>
      </c>
      <c r="BT144" s="788">
        <f>BT143</f>
        <v>165.51410233471483</v>
      </c>
      <c r="BU144" s="788">
        <f>BU143</f>
        <v>197.28051578431973</v>
      </c>
      <c r="BV144" s="788">
        <f>BV143</f>
        <v>144.81899430920475</v>
      </c>
      <c r="BW144" s="552"/>
    </row>
    <row r="145" spans="1:75" ht="15" hidden="1" customHeight="1" outlineLevel="1">
      <c r="A145" s="93" t="s">
        <v>528</v>
      </c>
      <c r="B145" s="94"/>
      <c r="C145" s="788">
        <f t="shared" ref="C145:AH145" si="335">INDEX(MO_BS_CL,0,COLUMN())</f>
        <v>0</v>
      </c>
      <c r="D145" s="788">
        <f t="shared" si="335"/>
        <v>0</v>
      </c>
      <c r="E145" s="788">
        <f t="shared" si="335"/>
        <v>12.73</v>
      </c>
      <c r="F145" s="788">
        <f t="shared" si="335"/>
        <v>20.113999999999997</v>
      </c>
      <c r="G145" s="552">
        <f t="shared" si="335"/>
        <v>21.259</v>
      </c>
      <c r="H145" s="552">
        <f t="shared" si="335"/>
        <v>22.356999999999999</v>
      </c>
      <c r="I145" s="552">
        <f t="shared" si="335"/>
        <v>27.099999999999998</v>
      </c>
      <c r="J145" s="552">
        <f t="shared" si="335"/>
        <v>24.989000000000001</v>
      </c>
      <c r="K145" s="788">
        <f t="shared" si="335"/>
        <v>24.989000000000001</v>
      </c>
      <c r="L145" s="552">
        <f t="shared" si="335"/>
        <v>27.754000000000001</v>
      </c>
      <c r="M145" s="552">
        <f t="shared" si="335"/>
        <v>25.486999999999998</v>
      </c>
      <c r="N145" s="552">
        <f t="shared" si="335"/>
        <v>31.785999999999998</v>
      </c>
      <c r="O145" s="552">
        <f t="shared" si="335"/>
        <v>33.972999999999999</v>
      </c>
      <c r="P145" s="788">
        <f t="shared" si="335"/>
        <v>33.972999999999999</v>
      </c>
      <c r="Q145" s="552">
        <f t="shared" si="335"/>
        <v>47.381</v>
      </c>
      <c r="R145" s="552">
        <f t="shared" si="335"/>
        <v>41.968000000000004</v>
      </c>
      <c r="S145" s="552">
        <f t="shared" si="335"/>
        <v>55.094000000000001</v>
      </c>
      <c r="T145" s="552">
        <f t="shared" si="335"/>
        <v>49.776999999999994</v>
      </c>
      <c r="U145" s="788">
        <f t="shared" si="335"/>
        <v>49.776999999999994</v>
      </c>
      <c r="V145" s="552">
        <f t="shared" si="335"/>
        <v>58.941000000000003</v>
      </c>
      <c r="W145" s="552">
        <f t="shared" si="335"/>
        <v>56.225000000000009</v>
      </c>
      <c r="X145" s="552">
        <f t="shared" si="335"/>
        <v>63.561999999999998</v>
      </c>
      <c r="Y145" s="552">
        <f t="shared" si="335"/>
        <v>60.399000000000001</v>
      </c>
      <c r="Z145" s="788">
        <f t="shared" si="335"/>
        <v>60.399000000000001</v>
      </c>
      <c r="AA145" s="552">
        <f t="shared" si="335"/>
        <v>72.353999999999985</v>
      </c>
      <c r="AB145" s="552">
        <f t="shared" si="335"/>
        <v>65.129000000000005</v>
      </c>
      <c r="AC145" s="552">
        <f t="shared" si="335"/>
        <v>80.304000000000002</v>
      </c>
      <c r="AD145" s="552">
        <f t="shared" si="335"/>
        <v>86.167000000000002</v>
      </c>
      <c r="AE145" s="788">
        <f t="shared" si="335"/>
        <v>86.167000000000002</v>
      </c>
      <c r="AF145" s="552">
        <f t="shared" si="335"/>
        <v>93.507000000000005</v>
      </c>
      <c r="AG145" s="552">
        <f t="shared" si="335"/>
        <v>65.945000000000007</v>
      </c>
      <c r="AH145" s="552">
        <f t="shared" si="335"/>
        <v>68.784999999999997</v>
      </c>
      <c r="AI145" s="552">
        <f t="shared" ref="AI145:BA145" si="336">INDEX(MO_BS_CL,0,COLUMN())</f>
        <v>64.905000000000001</v>
      </c>
      <c r="AJ145" s="788">
        <f t="shared" si="336"/>
        <v>64.905000000000001</v>
      </c>
      <c r="AK145" s="552">
        <f t="shared" si="336"/>
        <v>130.751</v>
      </c>
      <c r="AL145" s="552">
        <f t="shared" si="336"/>
        <v>135.70699999999999</v>
      </c>
      <c r="AM145" s="552">
        <f t="shared" si="336"/>
        <v>136.113</v>
      </c>
      <c r="AN145" s="552">
        <f t="shared" si="336"/>
        <v>134.155</v>
      </c>
      <c r="AO145" s="788">
        <f t="shared" si="336"/>
        <v>134.155</v>
      </c>
      <c r="AP145" s="552">
        <f t="shared" si="336"/>
        <v>140.68099999999998</v>
      </c>
      <c r="AQ145" s="552">
        <f t="shared" si="336"/>
        <v>120.53</v>
      </c>
      <c r="AR145" s="552">
        <f t="shared" si="336"/>
        <v>162.505</v>
      </c>
      <c r="AS145" s="552">
        <f t="shared" si="336"/>
        <v>143.03</v>
      </c>
      <c r="AT145" s="788">
        <f t="shared" si="336"/>
        <v>143.03</v>
      </c>
      <c r="AU145" s="552">
        <f t="shared" si="336"/>
        <v>156.05099999999999</v>
      </c>
      <c r="AV145" s="552">
        <f t="shared" si="336"/>
        <v>159.22300000000001</v>
      </c>
      <c r="AW145" s="552">
        <f t="shared" si="336"/>
        <v>150.53200000000001</v>
      </c>
      <c r="AX145" s="552">
        <f t="shared" si="336"/>
        <v>164.01300000000001</v>
      </c>
      <c r="AY145" s="788">
        <f t="shared" si="336"/>
        <v>164.01300000000001</v>
      </c>
      <c r="AZ145" s="552">
        <f t="shared" si="336"/>
        <v>195.63099999999997</v>
      </c>
      <c r="BA145" s="552">
        <f t="shared" si="336"/>
        <v>180.00599999999997</v>
      </c>
      <c r="BB145" s="552">
        <f t="shared" ref="BB145:BG145" si="337">INDEX(MO_BS_CL,0,COLUMN())</f>
        <v>199.38399999999999</v>
      </c>
      <c r="BC145" s="552">
        <f t="shared" si="337"/>
        <v>182.82399999999998</v>
      </c>
      <c r="BD145" s="788">
        <f t="shared" si="337"/>
        <v>182.82399999999998</v>
      </c>
      <c r="BE145" s="552">
        <f t="shared" si="337"/>
        <v>199.297</v>
      </c>
      <c r="BF145" s="552">
        <f t="shared" si="337"/>
        <v>215.53100000000001</v>
      </c>
      <c r="BG145" s="552">
        <f t="shared" si="337"/>
        <v>189.68600000000001</v>
      </c>
      <c r="BH145" s="552">
        <f t="shared" ref="BH145:BN145" si="338">INDEX(MO_BS_CL,0,COLUMN())</f>
        <v>175.864</v>
      </c>
      <c r="BI145" s="788">
        <f t="shared" si="338"/>
        <v>175.864</v>
      </c>
      <c r="BJ145" s="552">
        <f t="shared" si="338"/>
        <v>191.29600000000002</v>
      </c>
      <c r="BK145" s="552">
        <f t="shared" si="338"/>
        <v>158.07300000000001</v>
      </c>
      <c r="BL145" s="597">
        <f>INDEX(MO_BS_CL,0,COLUMN())</f>
        <v>170.369</v>
      </c>
      <c r="BM145" s="552">
        <f t="shared" si="338"/>
        <v>237.90653530983138</v>
      </c>
      <c r="BN145" s="788">
        <f t="shared" si="338"/>
        <v>237.90653530983138</v>
      </c>
      <c r="BO145" s="552">
        <f t="shared" ref="BO145:BV145" si="339">INDEX(MO_BS_CL,0,COLUMN())</f>
        <v>164.08458909317159</v>
      </c>
      <c r="BP145" s="552">
        <f t="shared" si="339"/>
        <v>132.9863769149965</v>
      </c>
      <c r="BQ145" s="552">
        <f t="shared" si="339"/>
        <v>234.30654029660502</v>
      </c>
      <c r="BR145" s="552">
        <f t="shared" si="339"/>
        <v>331.3698443514329</v>
      </c>
      <c r="BS145" s="788">
        <f t="shared" si="339"/>
        <v>331.3698443514329</v>
      </c>
      <c r="BT145" s="788">
        <f t="shared" si="339"/>
        <v>320.34686715836472</v>
      </c>
      <c r="BU145" s="788">
        <f t="shared" si="339"/>
        <v>311.0224832674802</v>
      </c>
      <c r="BV145" s="788">
        <f t="shared" si="339"/>
        <v>345.22300748003738</v>
      </c>
      <c r="BW145" s="552"/>
    </row>
    <row r="146" spans="1:75" ht="15" hidden="1" customHeight="1" outlineLevel="1">
      <c r="A146" s="93" t="s">
        <v>671</v>
      </c>
      <c r="B146" s="94"/>
      <c r="C146" s="788">
        <f>C145</f>
        <v>0</v>
      </c>
      <c r="D146" s="788">
        <f>AVERAGE(D145,C145)</f>
        <v>0</v>
      </c>
      <c r="E146" s="788">
        <f>AVERAGE(E145,D145)</f>
        <v>6.3650000000000002</v>
      </c>
      <c r="F146" s="788">
        <f>AVERAGE(F145,E145)</f>
        <v>16.421999999999997</v>
      </c>
      <c r="G146" s="552"/>
      <c r="H146" s="552"/>
      <c r="I146" s="552"/>
      <c r="J146" s="552">
        <f>AVERAGE(J145,I145,H145,G145)</f>
        <v>23.92625</v>
      </c>
      <c r="K146" s="788">
        <f>AVERAGE(K145,F145)</f>
        <v>22.551499999999997</v>
      </c>
      <c r="L146" s="552">
        <f>AVERAGE(L145,J145,I145,H145)</f>
        <v>25.55</v>
      </c>
      <c r="M146" s="552">
        <f>AVERAGE(M145,L145,J145,I145)</f>
        <v>26.3325</v>
      </c>
      <c r="N146" s="552">
        <f>AVERAGE(N145,M145,L145,J145)</f>
        <v>27.504000000000001</v>
      </c>
      <c r="O146" s="552">
        <f>AVERAGE(O145,N145,M145,L145)</f>
        <v>29.75</v>
      </c>
      <c r="P146" s="788">
        <f>AVERAGE(P145,K145)</f>
        <v>29.481000000000002</v>
      </c>
      <c r="Q146" s="552">
        <f>AVERAGE(Q145,O145,N145,M145)</f>
        <v>34.656750000000002</v>
      </c>
      <c r="R146" s="552">
        <f>AVERAGE(R145,Q145,O145,N145)</f>
        <v>38.777000000000001</v>
      </c>
      <c r="S146" s="552">
        <f>AVERAGE(S145,R145,Q145,O145)</f>
        <v>44.603999999999999</v>
      </c>
      <c r="T146" s="552">
        <f>AVERAGE(T145,S145,R145,Q145)</f>
        <v>48.555</v>
      </c>
      <c r="U146" s="788">
        <f>AVERAGE(U145,P145)</f>
        <v>41.875</v>
      </c>
      <c r="V146" s="552">
        <f>AVERAGE(V145,T145,S145,R145)</f>
        <v>51.444999999999993</v>
      </c>
      <c r="W146" s="552">
        <f>AVERAGE(W145,V145,T145,S145)</f>
        <v>55.009250000000002</v>
      </c>
      <c r="X146" s="552">
        <f>AVERAGE(X145,W145,V145,T145)</f>
        <v>57.126249999999999</v>
      </c>
      <c r="Y146" s="552">
        <f>AVERAGE(Y145,X145,W145,V145)</f>
        <v>59.781750000000002</v>
      </c>
      <c r="Z146" s="788">
        <f>AVERAGE(Z145,U145)</f>
        <v>55.087999999999994</v>
      </c>
      <c r="AA146" s="552">
        <f>AVERAGE(AA145,Y145,X145,W145)</f>
        <v>63.135000000000005</v>
      </c>
      <c r="AB146" s="552">
        <f>AVERAGE(AB145,AA145,Y145,X145)</f>
        <v>65.361000000000004</v>
      </c>
      <c r="AC146" s="552">
        <f>AVERAGE(AC145,AB145,AA145,Y145)</f>
        <v>69.546499999999995</v>
      </c>
      <c r="AD146" s="552">
        <f>AVERAGE(AD145,AC145,AB145,AA145)</f>
        <v>75.988500000000002</v>
      </c>
      <c r="AE146" s="788">
        <f>AVERAGE(AE145,Z145)</f>
        <v>73.283000000000001</v>
      </c>
      <c r="AF146" s="552">
        <f>AVERAGE(AF145,AD145,AC145,AB145)</f>
        <v>81.276750000000007</v>
      </c>
      <c r="AG146" s="552">
        <f>AVERAGE(AG145,AF145,AD145,AC145)</f>
        <v>81.48075</v>
      </c>
      <c r="AH146" s="552">
        <f>AVERAGE(AH145,AG145,AF145,AD145)</f>
        <v>78.600999999999999</v>
      </c>
      <c r="AI146" s="552">
        <f>AVERAGE(AI145,AH145,AG145,AF145)</f>
        <v>73.285499999999999</v>
      </c>
      <c r="AJ146" s="788">
        <f>AVERAGE(AJ145,AE145)</f>
        <v>75.536000000000001</v>
      </c>
      <c r="AK146" s="552">
        <f>AVERAGE(AK145,AI145,AH145,AG145)</f>
        <v>82.596500000000006</v>
      </c>
      <c r="AL146" s="552">
        <f>AVERAGE(AL145,AK145,AI145,AH145)</f>
        <v>100.03699999999998</v>
      </c>
      <c r="AM146" s="552">
        <f>AVERAGE(AM145,AL145,AK145,AI145)</f>
        <v>116.869</v>
      </c>
      <c r="AN146" s="552">
        <f>AVERAGE(AN145,AM145,AL145,AK145)</f>
        <v>134.1815</v>
      </c>
      <c r="AO146" s="788">
        <f>AVERAGE(AO145,AJ145)</f>
        <v>99.53</v>
      </c>
      <c r="AP146" s="552">
        <f>AVERAGE(AP145,AN145,AM145,AL145)</f>
        <v>136.66399999999999</v>
      </c>
      <c r="AQ146" s="552">
        <f>AVERAGE(AQ145,AP145,AN145,AM145)</f>
        <v>132.86975000000001</v>
      </c>
      <c r="AR146" s="552">
        <f>AVERAGE(AR145,AQ145,AP145,AN145)</f>
        <v>139.46775</v>
      </c>
      <c r="AS146" s="552">
        <f>AVERAGE(AS145,AR145,AQ145,AP145)</f>
        <v>141.68649999999997</v>
      </c>
      <c r="AT146" s="788">
        <f>AVERAGE(AT145,AO145)</f>
        <v>138.5925</v>
      </c>
      <c r="AU146" s="552">
        <f>AVERAGE(AU145,AS145,AR145,AQ145)</f>
        <v>145.529</v>
      </c>
      <c r="AV146" s="552">
        <f>AVERAGE(AV145,AU145,AS145,AR145)</f>
        <v>155.20224999999999</v>
      </c>
      <c r="AW146" s="552">
        <f>AVERAGE(AW145,AV145,AU145,AS145)</f>
        <v>152.209</v>
      </c>
      <c r="AX146" s="552">
        <f>AVERAGE(AX145,AW145,AV145,AU145)</f>
        <v>157.45474999999999</v>
      </c>
      <c r="AY146" s="788">
        <f>AVERAGE(AY145,AT145)</f>
        <v>153.5215</v>
      </c>
      <c r="AZ146" s="552">
        <f>AVERAGE(AZ145,AX145,AW145,AV145)</f>
        <v>167.34975000000003</v>
      </c>
      <c r="BA146" s="552">
        <f>AVERAGE(BA145,AZ145,AX145,AW145)</f>
        <v>172.5455</v>
      </c>
      <c r="BB146" s="552">
        <f>AVERAGE(BB145,BA145,AZ145,AX145)</f>
        <v>184.7585</v>
      </c>
      <c r="BC146" s="552">
        <f>AVERAGE(BC145,BB145,BA145,AZ145)</f>
        <v>189.46124999999998</v>
      </c>
      <c r="BD146" s="788">
        <f>AVERAGE(BD145,AY145)</f>
        <v>173.41849999999999</v>
      </c>
      <c r="BE146" s="552">
        <f>AVERAGE(BE145,BC145,BB145,BA145)</f>
        <v>190.37774999999999</v>
      </c>
      <c r="BF146" s="552">
        <f>AVERAGE(BF145,BE145,BC145,BB145)</f>
        <v>199.25899999999999</v>
      </c>
      <c r="BG146" s="552">
        <f>AVERAGE(BG145,BF145,BE145,BC145)</f>
        <v>196.83449999999999</v>
      </c>
      <c r="BH146" s="552">
        <f>AVERAGE(BH145,BG145,BF145,BE145)</f>
        <v>195.09450000000001</v>
      </c>
      <c r="BI146" s="788">
        <f>AVERAGE(BI145,BD145)</f>
        <v>179.34399999999999</v>
      </c>
      <c r="BJ146" s="552">
        <f>AVERAGE(BJ145,BH145,BG145,BF145)</f>
        <v>193.09424999999999</v>
      </c>
      <c r="BK146" s="552">
        <f>AVERAGE(BK145,BJ145,BH145,BG145)</f>
        <v>178.72975000000002</v>
      </c>
      <c r="BL146" s="597">
        <f>AVERAGE(BL145,BK145,BJ145,BH145)</f>
        <v>173.90050000000002</v>
      </c>
      <c r="BM146" s="552">
        <f>AVERAGE(BM145,BL145,BK145,BJ145)</f>
        <v>189.41113382745786</v>
      </c>
      <c r="BN146" s="788">
        <f>AVERAGE(BN145,BI145)</f>
        <v>206.88526765491571</v>
      </c>
      <c r="BO146" s="552">
        <f>AVERAGE(BO145,BM145,BL145,BK145)</f>
        <v>182.60828110075073</v>
      </c>
      <c r="BP146" s="552">
        <f>AVERAGE(BP145,BO145,BM145,BL145)</f>
        <v>176.33662532949987</v>
      </c>
      <c r="BQ146" s="552">
        <f>AVERAGE(BQ145,BP145,BO145,BM145)</f>
        <v>192.32101040365112</v>
      </c>
      <c r="BR146" s="552">
        <f>AVERAGE(BR145,BQ145,BP145,BO145)</f>
        <v>215.6868376640515</v>
      </c>
      <c r="BS146" s="788">
        <f>AVERAGE(BS145,BN145)</f>
        <v>284.63818983063214</v>
      </c>
      <c r="BT146" s="788">
        <f>AVERAGE(BT145,BS145)</f>
        <v>325.85835575489881</v>
      </c>
      <c r="BU146" s="788">
        <f>AVERAGE(BU145,BT145)</f>
        <v>315.68467521292246</v>
      </c>
      <c r="BV146" s="788">
        <f>AVERAGE(BV145,BU145)</f>
        <v>328.12274537375879</v>
      </c>
      <c r="BW146" s="552"/>
    </row>
    <row r="147" spans="1:75" ht="15" hidden="1" customHeight="1" outlineLevel="1">
      <c r="A147" s="93" t="s">
        <v>672</v>
      </c>
      <c r="B147" s="94"/>
      <c r="C147" s="788">
        <f t="shared" ref="C147:AH147" si="340">INDEX(SP_BSR_TA_Avg,0,COLUMN())-INDEX(SP_BSR_CL_Avg,0,COLUMN())</f>
        <v>20.817</v>
      </c>
      <c r="D147" s="788">
        <f t="shared" si="340"/>
        <v>30.916</v>
      </c>
      <c r="E147" s="788">
        <f t="shared" si="340"/>
        <v>36.053000000000004</v>
      </c>
      <c r="F147" s="788">
        <f t="shared" si="340"/>
        <v>99.336500000000001</v>
      </c>
      <c r="G147" s="552">
        <f t="shared" si="340"/>
        <v>0</v>
      </c>
      <c r="H147" s="552">
        <f t="shared" si="340"/>
        <v>0</v>
      </c>
      <c r="I147" s="552">
        <f t="shared" si="340"/>
        <v>0</v>
      </c>
      <c r="J147" s="552">
        <f t="shared" si="340"/>
        <v>257.35950000000003</v>
      </c>
      <c r="K147" s="788">
        <f t="shared" si="340"/>
        <v>329.28500000000003</v>
      </c>
      <c r="L147" s="552">
        <f t="shared" si="340"/>
        <v>342.28074999999995</v>
      </c>
      <c r="M147" s="552">
        <f t="shared" si="340"/>
        <v>430.40174999999999</v>
      </c>
      <c r="N147" s="552">
        <f t="shared" si="340"/>
        <v>517.49749999999995</v>
      </c>
      <c r="O147" s="552">
        <f t="shared" si="340"/>
        <v>543.66975000000002</v>
      </c>
      <c r="P147" s="788">
        <f t="shared" si="340"/>
        <v>543.33249999999998</v>
      </c>
      <c r="Q147" s="552">
        <f t="shared" si="340"/>
        <v>584.36599999999999</v>
      </c>
      <c r="R147" s="552">
        <f t="shared" si="340"/>
        <v>627.30349999999999</v>
      </c>
      <c r="S147" s="552">
        <f t="shared" si="340"/>
        <v>668.22799999999995</v>
      </c>
      <c r="T147" s="552">
        <f t="shared" si="340"/>
        <v>695.72125000000005</v>
      </c>
      <c r="U147" s="788">
        <f t="shared" si="340"/>
        <v>650.6635</v>
      </c>
      <c r="V147" s="552">
        <f t="shared" si="340"/>
        <v>707.10149999999999</v>
      </c>
      <c r="W147" s="552">
        <f t="shared" si="340"/>
        <v>718.14</v>
      </c>
      <c r="X147" s="552">
        <f t="shared" si="340"/>
        <v>736.31874999999991</v>
      </c>
      <c r="Y147" s="552">
        <f t="shared" si="340"/>
        <v>766.10800000000006</v>
      </c>
      <c r="Z147" s="788">
        <f t="shared" si="340"/>
        <v>765.22850000000005</v>
      </c>
      <c r="AA147" s="552">
        <f t="shared" si="340"/>
        <v>800.05574999999999</v>
      </c>
      <c r="AB147" s="552">
        <f t="shared" si="340"/>
        <v>840.40899999999999</v>
      </c>
      <c r="AC147" s="552">
        <f t="shared" si="340"/>
        <v>881.60524999999996</v>
      </c>
      <c r="AD147" s="552">
        <f t="shared" si="340"/>
        <v>960.26200000000006</v>
      </c>
      <c r="AE147" s="788">
        <f t="shared" si="340"/>
        <v>982.12050000000011</v>
      </c>
      <c r="AF147" s="552">
        <f t="shared" si="340"/>
        <v>1029.05575</v>
      </c>
      <c r="AG147" s="552">
        <f t="shared" si="340"/>
        <v>1085.8790000000001</v>
      </c>
      <c r="AH147" s="552">
        <f t="shared" si="340"/>
        <v>1140.2942499999999</v>
      </c>
      <c r="AI147" s="552">
        <f t="shared" ref="AI147:BA147" si="341">INDEX(SP_BSR_TA_Avg,0,COLUMN())-INDEX(SP_BSR_CL_Avg,0,COLUMN())</f>
        <v>1133.1002500000002</v>
      </c>
      <c r="AJ147" s="788">
        <f t="shared" si="341"/>
        <v>1125.046</v>
      </c>
      <c r="AK147" s="552">
        <f t="shared" si="341"/>
        <v>1153.6295</v>
      </c>
      <c r="AL147" s="552">
        <f t="shared" si="341"/>
        <v>1107.4912499999998</v>
      </c>
      <c r="AM147" s="552">
        <f t="shared" si="341"/>
        <v>1039.5372500000001</v>
      </c>
      <c r="AN147" s="552">
        <f t="shared" si="341"/>
        <v>996.0089999999999</v>
      </c>
      <c r="AO147" s="788">
        <f t="shared" si="341"/>
        <v>1023.6015</v>
      </c>
      <c r="AP147" s="552">
        <f t="shared" si="341"/>
        <v>930.36750000000006</v>
      </c>
      <c r="AQ147" s="552">
        <f t="shared" si="341"/>
        <v>931.6747499999999</v>
      </c>
      <c r="AR147" s="552">
        <f t="shared" si="341"/>
        <v>952.62199999999984</v>
      </c>
      <c r="AS147" s="552">
        <f t="shared" si="341"/>
        <v>971.46499999999992</v>
      </c>
      <c r="AT147" s="788">
        <f t="shared" si="341"/>
        <v>974.23099999999999</v>
      </c>
      <c r="AU147" s="552">
        <f t="shared" si="341"/>
        <v>980.16099999999983</v>
      </c>
      <c r="AV147" s="552">
        <f t="shared" si="341"/>
        <v>978.42750000000001</v>
      </c>
      <c r="AW147" s="552">
        <f t="shared" si="341"/>
        <v>966.45024999999987</v>
      </c>
      <c r="AX147" s="552">
        <f t="shared" si="341"/>
        <v>935.0997500000002</v>
      </c>
      <c r="AY147" s="788">
        <f t="shared" si="341"/>
        <v>949.21600000000012</v>
      </c>
      <c r="AZ147" s="552">
        <f t="shared" si="341"/>
        <v>902.58675000000017</v>
      </c>
      <c r="BA147" s="552">
        <f t="shared" si="341"/>
        <v>876.87200000000007</v>
      </c>
      <c r="BB147" s="552">
        <f t="shared" ref="BB147:BG147" si="342">INDEX(SP_BSR_TA_Avg,0,COLUMN())-INDEX(SP_BSR_CL_Avg,0,COLUMN())</f>
        <v>852.4754999999999</v>
      </c>
      <c r="BC147" s="552">
        <f t="shared" si="342"/>
        <v>839.12125000000003</v>
      </c>
      <c r="BD147" s="788">
        <f t="shared" si="342"/>
        <v>859.80650000000014</v>
      </c>
      <c r="BE147" s="552">
        <f t="shared" si="342"/>
        <v>832.39874999999995</v>
      </c>
      <c r="BF147" s="552">
        <f t="shared" si="342"/>
        <v>826.04750000000013</v>
      </c>
      <c r="BG147" s="552">
        <f t="shared" si="342"/>
        <v>827.7180000000003</v>
      </c>
      <c r="BH147" s="552">
        <f t="shared" ref="BH147:BN147" si="343">INDEX(SP_BSR_TA_Avg,0,COLUMN())-INDEX(SP_BSR_CL_Avg,0,COLUMN())</f>
        <v>829.15825000000007</v>
      </c>
      <c r="BI147" s="788">
        <f t="shared" si="343"/>
        <v>835.97849999999994</v>
      </c>
      <c r="BJ147" s="552">
        <f t="shared" si="343"/>
        <v>824.10725000000002</v>
      </c>
      <c r="BK147" s="552">
        <f t="shared" si="343"/>
        <v>821.39425000000006</v>
      </c>
      <c r="BL147" s="597">
        <f>INDEX(SP_BSR_TA_Avg,0,COLUMN())-INDEX(SP_BSR_CL_Avg,0,COLUMN())</f>
        <v>814.44600000000014</v>
      </c>
      <c r="BM147" s="552" t="e">
        <f t="shared" si="343"/>
        <v>#REF!</v>
      </c>
      <c r="BN147" s="788" t="e">
        <f t="shared" si="343"/>
        <v>#REF!</v>
      </c>
      <c r="BO147" s="552" t="e">
        <f t="shared" ref="BO147:BV147" si="344">INDEX(SP_BSR_TA_Avg,0,COLUMN())-INDEX(SP_BSR_CL_Avg,0,COLUMN())</f>
        <v>#REF!</v>
      </c>
      <c r="BP147" s="552" t="e">
        <f t="shared" si="344"/>
        <v>#REF!</v>
      </c>
      <c r="BQ147" s="552" t="e">
        <f t="shared" si="344"/>
        <v>#REF!</v>
      </c>
      <c r="BR147" s="552" t="e">
        <f t="shared" si="344"/>
        <v>#REF!</v>
      </c>
      <c r="BS147" s="788" t="e">
        <f t="shared" si="344"/>
        <v>#REF!</v>
      </c>
      <c r="BT147" s="788" t="e">
        <f t="shared" si="344"/>
        <v>#REF!</v>
      </c>
      <c r="BU147" s="788" t="e">
        <f t="shared" si="344"/>
        <v>#REF!</v>
      </c>
      <c r="BV147" s="788" t="e">
        <f t="shared" si="344"/>
        <v>#REF!</v>
      </c>
      <c r="BW147" s="552"/>
    </row>
    <row r="148" spans="1:75" s="483" customFormat="1" ht="15" customHeight="1" collapsed="1">
      <c r="A148" s="104" t="s">
        <v>673</v>
      </c>
      <c r="B148" s="105"/>
      <c r="C148" s="801">
        <f>IF(C147&lt;0,"NMF",IF(ABS(C144/C147)&gt;1,"NMF",C144/C147))</f>
        <v>-0.11207186434164378</v>
      </c>
      <c r="D148" s="801">
        <f>IF(D147&lt;0,"NMF",IF(ABS(D144/D147)&gt;1,"NMF",D144/D147))</f>
        <v>-0.30747832837365768</v>
      </c>
      <c r="E148" s="801">
        <f>IF(E147&lt;0,"NMF",IF(ABS(E144/E147)&gt;1,"NMF",E144/E147))</f>
        <v>-0.44853410257121473</v>
      </c>
      <c r="F148" s="801">
        <f>IF(F147&lt;0,"NMF",IF(ABS(F144/F147)&gt;1,"NMF",F144/F147))</f>
        <v>-0.18890337388573197</v>
      </c>
      <c r="G148" s="61"/>
      <c r="H148" s="61"/>
      <c r="I148" s="61"/>
      <c r="J148" s="61">
        <f t="shared" ref="J148:AO148" si="345">IF(J147&lt;0,"NMF",IF(ABS(J144/J147)&gt;1,"NMF",J144/J147))</f>
        <v>-3.4282783421633968E-2</v>
      </c>
      <c r="K148" s="801">
        <f t="shared" si="345"/>
        <v>-2.6794418209150236E-2</v>
      </c>
      <c r="L148" s="61">
        <f t="shared" si="345"/>
        <v>-2.5923163952398763E-2</v>
      </c>
      <c r="M148" s="61">
        <f t="shared" si="345"/>
        <v>-1.2002739301129758E-2</v>
      </c>
      <c r="N148" s="61">
        <f t="shared" si="345"/>
        <v>2.239624346011263E-3</v>
      </c>
      <c r="O148" s="61">
        <f t="shared" si="345"/>
        <v>2.0341392913620759E-2</v>
      </c>
      <c r="P148" s="801">
        <f t="shared" si="345"/>
        <v>2.0354018947881872E-2</v>
      </c>
      <c r="Q148" s="61">
        <f t="shared" si="345"/>
        <v>1.9532279427618947E-2</v>
      </c>
      <c r="R148" s="61">
        <f t="shared" si="345"/>
        <v>1.3290217574108847E-2</v>
      </c>
      <c r="S148" s="61">
        <f t="shared" si="345"/>
        <v>-1.0354250345690368E-2</v>
      </c>
      <c r="T148" s="61">
        <f t="shared" si="345"/>
        <v>-3.0650206530273373E-2</v>
      </c>
      <c r="U148" s="801">
        <f t="shared" si="345"/>
        <v>-3.2772700481892646E-2</v>
      </c>
      <c r="V148" s="61">
        <f t="shared" si="345"/>
        <v>-4.4333097865016491E-2</v>
      </c>
      <c r="W148" s="61">
        <f t="shared" si="345"/>
        <v>-4.5374161027097716E-2</v>
      </c>
      <c r="X148" s="61">
        <f t="shared" si="345"/>
        <v>-2.7043994194090475E-2</v>
      </c>
      <c r="Y148" s="61">
        <f t="shared" si="345"/>
        <v>-6.4990836801078564E-3</v>
      </c>
      <c r="Z148" s="801">
        <f t="shared" si="345"/>
        <v>-6.5065532713433375E-3</v>
      </c>
      <c r="AA148" s="61">
        <f t="shared" si="345"/>
        <v>5.7533490634870425E-3</v>
      </c>
      <c r="AB148" s="61">
        <f t="shared" si="345"/>
        <v>1.5403214387280336E-2</v>
      </c>
      <c r="AC148" s="61">
        <f t="shared" si="345"/>
        <v>2.0276648760882338E-2</v>
      </c>
      <c r="AD148" s="61">
        <f t="shared" si="345"/>
        <v>0.18705519951846469</v>
      </c>
      <c r="AE148" s="801">
        <f t="shared" si="345"/>
        <v>0.18289201783284223</v>
      </c>
      <c r="AF148" s="61">
        <f t="shared" si="345"/>
        <v>0.1744181498427077</v>
      </c>
      <c r="AG148" s="61">
        <f t="shared" si="345"/>
        <v>0.16572012167101488</v>
      </c>
      <c r="AH148" s="61">
        <f t="shared" si="345"/>
        <v>0.16087251163460664</v>
      </c>
      <c r="AI148" s="61">
        <f t="shared" si="345"/>
        <v>2.2854994516151608E-2</v>
      </c>
      <c r="AJ148" s="801">
        <f t="shared" si="345"/>
        <v>2.3018614349991064E-2</v>
      </c>
      <c r="AK148" s="61">
        <f t="shared" si="345"/>
        <v>2.3267435515475301E-2</v>
      </c>
      <c r="AL148" s="61">
        <f t="shared" si="345"/>
        <v>2.8368621422516917E-2</v>
      </c>
      <c r="AM148" s="61">
        <f t="shared" si="345"/>
        <v>2.9423669041200771E-2</v>
      </c>
      <c r="AN148" s="61">
        <f t="shared" si="345"/>
        <v>3.5653292289527364E-2</v>
      </c>
      <c r="AO148" s="801">
        <f t="shared" si="345"/>
        <v>3.4692211764050726E-2</v>
      </c>
      <c r="AP148" s="61">
        <f t="shared" ref="AP148:BA148" si="346">IF(AP147&lt;0,"NMF",IF(ABS(AP144/AP147)&gt;1,"NMF",AP144/AP147))</f>
        <v>1.3051831668668442E-2</v>
      </c>
      <c r="AQ148" s="61">
        <f t="shared" si="346"/>
        <v>-3.7999312528326182E-2</v>
      </c>
      <c r="AR148" s="61">
        <f t="shared" si="346"/>
        <v>-3.739993407668539E-2</v>
      </c>
      <c r="AS148" s="61">
        <f t="shared" si="346"/>
        <v>-3.9934531866819722E-2</v>
      </c>
      <c r="AT148" s="801">
        <f t="shared" si="346"/>
        <v>-3.9821151246470253E-2</v>
      </c>
      <c r="AU148" s="61">
        <f t="shared" si="346"/>
        <v>-2.0596616270184234E-2</v>
      </c>
      <c r="AV148" s="61">
        <f t="shared" si="346"/>
        <v>1.4390437717664267E-2</v>
      </c>
      <c r="AW148" s="61">
        <f t="shared" si="346"/>
        <v>2.7316460417905579E-2</v>
      </c>
      <c r="AX148" s="61">
        <f t="shared" si="346"/>
        <v>3.3701217436963221E-2</v>
      </c>
      <c r="AY148" s="801">
        <f t="shared" si="346"/>
        <v>3.320003034082853E-2</v>
      </c>
      <c r="AZ148" s="61">
        <f t="shared" si="346"/>
        <v>3.9554092722943204E-2</v>
      </c>
      <c r="BA148" s="61">
        <f t="shared" si="346"/>
        <v>6.0194646425019822E-2</v>
      </c>
      <c r="BB148" s="61">
        <f t="shared" ref="BB148:BG148" si="347">IF(BB147&lt;0,"NMF",IF(ABS(BB144/BB147)&gt;1,"NMF",BB144/BB147))</f>
        <v>5.2273643054844478E-2</v>
      </c>
      <c r="BC148" s="61">
        <f t="shared" si="347"/>
        <v>6.9540605722951454E-2</v>
      </c>
      <c r="BD148" s="801">
        <f t="shared" si="347"/>
        <v>6.7867595790448265E-2</v>
      </c>
      <c r="BE148" s="61">
        <f t="shared" si="347"/>
        <v>6.7542148519564846E-2</v>
      </c>
      <c r="BF148" s="61">
        <f t="shared" si="347"/>
        <v>7.1379672476461722E-2</v>
      </c>
      <c r="BG148" s="61">
        <f t="shared" si="347"/>
        <v>0.10560601557535289</v>
      </c>
      <c r="BH148" s="61">
        <f t="shared" ref="BH148:BN148" si="348">IF(BH147&lt;0,"NMF",IF(ABS(BH144/BH147)&gt;1,"NMF",BH144/BH147))</f>
        <v>9.5329208869356155E-2</v>
      </c>
      <c r="BI148" s="801">
        <f t="shared" si="348"/>
        <v>9.4551474708978636E-2</v>
      </c>
      <c r="BJ148" s="61">
        <f t="shared" si="348"/>
        <v>0.11751747117866014</v>
      </c>
      <c r="BK148" s="61">
        <f t="shared" si="348"/>
        <v>0.14347799488491667</v>
      </c>
      <c r="BL148" s="422">
        <f>IF(BL147&lt;0,"NMF",IF(ABS(BL144/BL147)&gt;1,"NMF",BL144/BL147))</f>
        <v>0.15056983520086034</v>
      </c>
      <c r="BM148" s="61" t="e">
        <f t="shared" si="348"/>
        <v>#REF!</v>
      </c>
      <c r="BN148" s="801" t="e">
        <f t="shared" si="348"/>
        <v>#REF!</v>
      </c>
      <c r="BO148" s="61" t="e">
        <f t="shared" ref="BO148:BV148" si="349">IF(BO147&lt;0,"NMF",IF(ABS(BO144/BO147)&gt;1,"NMF",BO144/BO147))</f>
        <v>#REF!</v>
      </c>
      <c r="BP148" s="61" t="e">
        <f t="shared" si="349"/>
        <v>#REF!</v>
      </c>
      <c r="BQ148" s="61" t="e">
        <f t="shared" si="349"/>
        <v>#REF!</v>
      </c>
      <c r="BR148" s="61" t="e">
        <f t="shared" si="349"/>
        <v>#REF!</v>
      </c>
      <c r="BS148" s="801" t="e">
        <f t="shared" si="349"/>
        <v>#REF!</v>
      </c>
      <c r="BT148" s="801" t="e">
        <f t="shared" si="349"/>
        <v>#REF!</v>
      </c>
      <c r="BU148" s="801" t="e">
        <f t="shared" si="349"/>
        <v>#REF!</v>
      </c>
      <c r="BV148" s="801" t="e">
        <f t="shared" si="349"/>
        <v>#REF!</v>
      </c>
      <c r="BW148" s="146"/>
    </row>
    <row r="149" spans="1:75" s="479" customFormat="1" ht="15" customHeight="1">
      <c r="A149" s="92"/>
      <c r="B149" s="97"/>
      <c r="C149" s="787"/>
      <c r="D149" s="787"/>
      <c r="E149" s="787"/>
      <c r="F149" s="787"/>
      <c r="G149" s="551"/>
      <c r="H149" s="551"/>
      <c r="I149" s="551"/>
      <c r="J149" s="551"/>
      <c r="K149" s="787"/>
      <c r="L149" s="551"/>
      <c r="M149" s="551"/>
      <c r="N149" s="551"/>
      <c r="O149" s="551"/>
      <c r="P149" s="787"/>
      <c r="Q149" s="551"/>
      <c r="R149" s="551"/>
      <c r="S149" s="551"/>
      <c r="T149" s="551"/>
      <c r="U149" s="787"/>
      <c r="V149" s="551"/>
      <c r="W149" s="551"/>
      <c r="X149" s="551"/>
      <c r="Y149" s="551"/>
      <c r="Z149" s="787"/>
      <c r="AA149" s="551"/>
      <c r="AB149" s="551"/>
      <c r="AC149" s="551"/>
      <c r="AD149" s="551"/>
      <c r="AE149" s="787"/>
      <c r="AF149" s="551"/>
      <c r="AG149" s="551"/>
      <c r="AH149" s="551"/>
      <c r="AI149" s="551"/>
      <c r="AJ149" s="787"/>
      <c r="AK149" s="551"/>
      <c r="AL149" s="551"/>
      <c r="AM149" s="551"/>
      <c r="AN149" s="551"/>
      <c r="AO149" s="787"/>
      <c r="AP149" s="551"/>
      <c r="AQ149" s="551"/>
      <c r="AR149" s="551"/>
      <c r="AS149" s="551"/>
      <c r="AT149" s="787"/>
      <c r="AU149" s="551"/>
      <c r="AV149" s="551"/>
      <c r="AW149" s="551"/>
      <c r="AX149" s="551"/>
      <c r="AY149" s="787"/>
      <c r="AZ149" s="551"/>
      <c r="BA149" s="551"/>
      <c r="BB149" s="551"/>
      <c r="BC149" s="551"/>
      <c r="BD149" s="787"/>
      <c r="BE149" s="551"/>
      <c r="BF149" s="551"/>
      <c r="BG149" s="551"/>
      <c r="BH149" s="551"/>
      <c r="BI149" s="787"/>
      <c r="BJ149" s="551"/>
      <c r="BK149" s="551"/>
      <c r="BL149" s="596"/>
      <c r="BM149" s="551"/>
      <c r="BN149" s="787"/>
      <c r="BO149" s="551"/>
      <c r="BP149" s="551"/>
      <c r="BQ149" s="551"/>
      <c r="BR149" s="551"/>
      <c r="BS149" s="787"/>
      <c r="BT149" s="787"/>
      <c r="BU149" s="787"/>
      <c r="BV149" s="787"/>
      <c r="BW149" s="551"/>
    </row>
    <row r="150" spans="1:75" s="479" customFormat="1" ht="15" customHeight="1">
      <c r="A150" s="55" t="s">
        <v>674</v>
      </c>
      <c r="B150" s="553"/>
      <c r="C150" s="553"/>
      <c r="D150" s="553"/>
      <c r="E150" s="553"/>
      <c r="F150" s="553"/>
      <c r="G150" s="553"/>
      <c r="H150" s="553"/>
      <c r="I150" s="553"/>
      <c r="J150" s="553"/>
      <c r="K150" s="553"/>
      <c r="L150" s="553"/>
      <c r="M150" s="553"/>
      <c r="N150" s="553"/>
      <c r="O150" s="553"/>
      <c r="P150" s="553"/>
      <c r="Q150" s="553"/>
      <c r="R150" s="553"/>
      <c r="S150" s="553"/>
      <c r="T150" s="553"/>
      <c r="U150" s="553"/>
      <c r="V150" s="553"/>
      <c r="W150" s="553"/>
      <c r="X150" s="553"/>
      <c r="Y150" s="553"/>
      <c r="Z150" s="553"/>
      <c r="AA150" s="553"/>
      <c r="AB150" s="553"/>
      <c r="AC150" s="553"/>
      <c r="AD150" s="553"/>
      <c r="AE150" s="553"/>
      <c r="AF150" s="553"/>
      <c r="AG150" s="553"/>
      <c r="AH150" s="553"/>
      <c r="AI150" s="553"/>
      <c r="AJ150" s="553"/>
      <c r="AK150" s="553"/>
      <c r="AL150" s="553"/>
      <c r="AM150" s="553"/>
      <c r="AN150" s="553"/>
      <c r="AO150" s="553"/>
      <c r="AP150" s="553"/>
      <c r="AQ150" s="553"/>
      <c r="AR150" s="553"/>
      <c r="AS150" s="553"/>
      <c r="AT150" s="553"/>
      <c r="AU150" s="553"/>
      <c r="AV150" s="553"/>
      <c r="AW150" s="553"/>
      <c r="AX150" s="553"/>
      <c r="AY150" s="553"/>
      <c r="AZ150" s="553"/>
      <c r="BA150" s="553"/>
      <c r="BB150" s="553"/>
      <c r="BC150" s="553"/>
      <c r="BD150" s="553"/>
      <c r="BE150" s="553"/>
      <c r="BF150" s="553"/>
      <c r="BG150" s="553"/>
      <c r="BH150" s="553"/>
      <c r="BI150" s="553"/>
      <c r="BJ150" s="553"/>
      <c r="BK150" s="553"/>
      <c r="BL150" s="600"/>
      <c r="BM150" s="553"/>
      <c r="BN150" s="553"/>
      <c r="BO150" s="553"/>
      <c r="BP150" s="553"/>
      <c r="BQ150" s="553"/>
      <c r="BR150" s="553"/>
      <c r="BS150" s="553"/>
      <c r="BT150" s="553"/>
      <c r="BU150" s="553"/>
      <c r="BV150" s="553"/>
      <c r="BW150" s="551"/>
    </row>
    <row r="151" spans="1:75" s="482" customFormat="1" ht="15" customHeight="1">
      <c r="A151" s="98" t="s">
        <v>675</v>
      </c>
      <c r="B151" s="99"/>
      <c r="C151" s="790"/>
      <c r="D151" s="790"/>
      <c r="E151" s="790"/>
      <c r="F151" s="790"/>
      <c r="G151" s="58"/>
      <c r="H151" s="58"/>
      <c r="I151" s="58"/>
      <c r="J151" s="58"/>
      <c r="K151" s="790">
        <f t="shared" ref="K151:AP151" si="350">IFERROR(IF(OR(INDEX(SP_GF_Rev,0,COLUMN())&lt;=0,F61&lt;=0),"NMF",IF(ABS((INDEX(SP_GF_Rev,0,COLUMN())/INDEX(SP_GF_ShareCount,0,COLUMN()))/(F61/F80)-1)&gt;10,"NMF",(INDEX(SP_GF_Rev,0,COLUMN())/INDEX(SP_GF_ShareCount,0,COLUMN()))/(F61/F80)-1)),"N/A")</f>
        <v>0.39661203110061494</v>
      </c>
      <c r="L151" s="58">
        <f t="shared" si="350"/>
        <v>0.48314203746910245</v>
      </c>
      <c r="M151" s="58">
        <f t="shared" si="350"/>
        <v>0.35228987298153691</v>
      </c>
      <c r="N151" s="58">
        <f t="shared" si="350"/>
        <v>0.4197103035679639</v>
      </c>
      <c r="O151" s="58">
        <f t="shared" si="350"/>
        <v>0.38686391108508733</v>
      </c>
      <c r="P151" s="790">
        <f t="shared" si="350"/>
        <v>0.38706067722359205</v>
      </c>
      <c r="Q151" s="58">
        <f t="shared" si="350"/>
        <v>0.41705173473189316</v>
      </c>
      <c r="R151" s="58">
        <f t="shared" si="350"/>
        <v>0.47582468719720028</v>
      </c>
      <c r="S151" s="58">
        <f t="shared" si="350"/>
        <v>0.39383354140258997</v>
      </c>
      <c r="T151" s="58">
        <f t="shared" si="350"/>
        <v>0.38189938706974846</v>
      </c>
      <c r="U151" s="790">
        <f t="shared" si="350"/>
        <v>0.43057516977395838</v>
      </c>
      <c r="V151" s="58">
        <f t="shared" si="350"/>
        <v>0.33872530907926124</v>
      </c>
      <c r="W151" s="58">
        <f t="shared" si="350"/>
        <v>0.28640548271385091</v>
      </c>
      <c r="X151" s="58">
        <f t="shared" si="350"/>
        <v>0.21569233360707862</v>
      </c>
      <c r="Y151" s="58">
        <f t="shared" si="350"/>
        <v>0.17403030599203317</v>
      </c>
      <c r="Z151" s="790">
        <f t="shared" si="350"/>
        <v>0.24728135781202454</v>
      </c>
      <c r="AA151" s="58">
        <f t="shared" si="350"/>
        <v>0.14329637030788578</v>
      </c>
      <c r="AB151" s="58">
        <f t="shared" si="350"/>
        <v>0.13095919097670494</v>
      </c>
      <c r="AC151" s="58">
        <f t="shared" si="350"/>
        <v>0.13704415982118223</v>
      </c>
      <c r="AD151" s="58">
        <f t="shared" si="350"/>
        <v>6.7069498250155402E-2</v>
      </c>
      <c r="AE151" s="790">
        <f t="shared" si="350"/>
        <v>0.11151223425553569</v>
      </c>
      <c r="AF151" s="58">
        <f t="shared" si="350"/>
        <v>0.14344846529617472</v>
      </c>
      <c r="AG151" s="58">
        <f t="shared" si="350"/>
        <v>7.0849545035934769E-2</v>
      </c>
      <c r="AH151" s="58">
        <f t="shared" si="350"/>
        <v>6.4047053330495984E-2</v>
      </c>
      <c r="AI151" s="58">
        <f t="shared" si="350"/>
        <v>0.14647835359864603</v>
      </c>
      <c r="AJ151" s="790">
        <f t="shared" si="350"/>
        <v>8.8817335481310211E-2</v>
      </c>
      <c r="AK151" s="58">
        <f t="shared" si="350"/>
        <v>4.1500215393718287E-2</v>
      </c>
      <c r="AL151" s="58">
        <f t="shared" si="350"/>
        <v>0.18700148153215457</v>
      </c>
      <c r="AM151" s="58">
        <f t="shared" si="350"/>
        <v>0.31038587456980249</v>
      </c>
      <c r="AN151" s="58">
        <f t="shared" si="350"/>
        <v>0.30388555280892926</v>
      </c>
      <c r="AO151" s="790">
        <f t="shared" si="350"/>
        <v>0.22393856738666629</v>
      </c>
      <c r="AP151" s="58">
        <f t="shared" si="350"/>
        <v>0.25958781519447482</v>
      </c>
      <c r="AQ151" s="58">
        <f t="shared" ref="AQ151:BN151" si="351">IFERROR(IF(OR(INDEX(SP_GF_Rev,0,COLUMN())&lt;=0,AL61&lt;=0),"NMF",IF(ABS((INDEX(SP_GF_Rev,0,COLUMN())/INDEX(SP_GF_ShareCount,0,COLUMN()))/(AL61/AL80)-1)&gt;10,"NMF",(INDEX(SP_GF_Rev,0,COLUMN())/INDEX(SP_GF_ShareCount,0,COLUMN()))/(AL61/AL80)-1)),"N/A")</f>
        <v>-0.2577246728045135</v>
      </c>
      <c r="AR151" s="58">
        <f t="shared" si="351"/>
        <v>-0.1564813515182446</v>
      </c>
      <c r="AS151" s="58">
        <f t="shared" si="351"/>
        <v>-0.17743316516028307</v>
      </c>
      <c r="AT151" s="790">
        <f t="shared" si="351"/>
        <v>-8.0759323597741517E-2</v>
      </c>
      <c r="AU151" s="58">
        <f t="shared" si="351"/>
        <v>-0.11688042044289393</v>
      </c>
      <c r="AV151" s="58">
        <f t="shared" si="351"/>
        <v>0.39498592115655429</v>
      </c>
      <c r="AW151" s="58">
        <f t="shared" si="351"/>
        <v>0.15743145996766539</v>
      </c>
      <c r="AX151" s="58">
        <f t="shared" si="351"/>
        <v>0.18654535745383094</v>
      </c>
      <c r="AY151" s="790">
        <f t="shared" si="351"/>
        <v>9.7672260655790266E-2</v>
      </c>
      <c r="AZ151" s="58">
        <f t="shared" si="351"/>
        <v>0.25186244942281477</v>
      </c>
      <c r="BA151" s="58">
        <f t="shared" si="351"/>
        <v>0.26021738493473712</v>
      </c>
      <c r="BB151" s="58">
        <f t="shared" si="351"/>
        <v>0.22287973890252255</v>
      </c>
      <c r="BC151" s="58">
        <f t="shared" si="351"/>
        <v>0.20080169169747597</v>
      </c>
      <c r="BD151" s="790">
        <f t="shared" si="351"/>
        <v>0.23884142073300096</v>
      </c>
      <c r="BE151" s="58">
        <f t="shared" si="351"/>
        <v>0.15886050664728057</v>
      </c>
      <c r="BF151" s="58">
        <f t="shared" si="351"/>
        <v>0.15323545876143574</v>
      </c>
      <c r="BG151" s="58">
        <f t="shared" si="351"/>
        <v>0.10350342704877358</v>
      </c>
      <c r="BH151" s="58">
        <f>IFERROR(IF(OR(INDEX(SP_GF_Rev,0,COLUMN())&lt;=0,BC61&lt;=0),"NMF",IF(ABS((INDEX(SP_GF_Rev,0,COLUMN())/INDEX(SP_GF_ShareCount,0,COLUMN()))/(BC61/BC80)-1)&gt;10,"NMF",(INDEX(SP_GF_Rev,0,COLUMN())/INDEX(SP_GF_ShareCount,0,COLUMN()))/(BC61/BC80)-1)),"N/A")</f>
        <v>8.4146101002681606E-2</v>
      </c>
      <c r="BI151" s="790">
        <f>IFERROR(IF(OR(INDEX(SP_GF_Rev,0,COLUMN())&lt;=0,BD61&lt;=0),"NMF",IF(ABS((INDEX(SP_GF_Rev,0,COLUMN())/INDEX(SP_GF_ShareCount,0,COLUMN()))/(BD61/BD80)-1)&gt;10,"NMF",(INDEX(SP_GF_Rev,0,COLUMN())/INDEX(SP_GF_ShareCount,0,COLUMN()))/(BD61/BD80)-1)),"N/A")</f>
        <v>0.11732784537136309</v>
      </c>
      <c r="BJ151" s="58">
        <f>IFERROR(IF(OR(INDEX(SP_GF_Rev,0,COLUMN())&lt;=0,BE61&lt;=0),"NMF",IF(ABS((INDEX(SP_GF_Rev,0,COLUMN())/INDEX(SP_GF_ShareCount,0,COLUMN()))/(BE61/BE80)-1)&gt;10,"NMF",(INDEX(SP_GF_Rev,0,COLUMN())/INDEX(SP_GF_ShareCount,0,COLUMN()))/(BE61/BE80)-1)),"N/A")</f>
        <v>2.9255205027174158E-2</v>
      </c>
      <c r="BK151" s="58">
        <f>IFERROR(IF(OR(INDEX(SP_GF_Rev,0,COLUMN())&lt;=0,BF61&lt;=0),"NMF",IF(ABS((INDEX(SP_GF_Rev,0,COLUMN())/INDEX(SP_GF_ShareCount,0,COLUMN()))/(BF61/BF80)-1)&gt;10,"NMF",(INDEX(SP_GF_Rev,0,COLUMN())/INDEX(SP_GF_ShareCount,0,COLUMN()))/(BF61/BF80)-1)),"N/A")</f>
        <v>7.093507313017966E-2</v>
      </c>
      <c r="BL151" s="414">
        <f>IFERROR(IF(OR(INDEX(SP_GF_Rev,0,COLUMN())&lt;=0,BG61&lt;=0),"NMF",IF(ABS((INDEX(SP_GF_Rev,0,COLUMN())/INDEX(SP_GF_ShareCount,0,COLUMN()))/(BG61/BG80)-1)&gt;10,"NMF",(INDEX(SP_GF_Rev,0,COLUMN())/INDEX(SP_GF_ShareCount,0,COLUMN()))/(BG61/BG80)-1)),"N/A")</f>
        <v>0.11057519852096731</v>
      </c>
      <c r="BM151" s="58" t="str">
        <f t="shared" si="351"/>
        <v>N/A</v>
      </c>
      <c r="BN151" s="790" t="str">
        <f t="shared" si="351"/>
        <v>N/A</v>
      </c>
      <c r="BO151" s="58" t="str">
        <f>IFERROR(IF(OR(INDEX(SP_GF_Rev,0,COLUMN())&lt;=0,BJ61&lt;=0),"NMF",IF(ABS((INDEX(SP_GF_Rev,0,COLUMN())/INDEX(SP_GF_ShareCount,0,COLUMN()))/(BJ61/BJ80)-1)&gt;10,"NMF",(INDEX(SP_GF_Rev,0,COLUMN())/INDEX(SP_GF_ShareCount,0,COLUMN()))/(BJ61/BJ80)-1)),"N/A")</f>
        <v>N/A</v>
      </c>
      <c r="BP151" s="58" t="str">
        <f>IFERROR(IF(OR(INDEX(SP_GF_Rev,0,COLUMN())&lt;=0,BK61&lt;=0),"NMF",IF(ABS((INDEX(SP_GF_Rev,0,COLUMN())/INDEX(SP_GF_ShareCount,0,COLUMN()))/(BK61/BK80)-1)&gt;10,"NMF",(INDEX(SP_GF_Rev,0,COLUMN())/INDEX(SP_GF_ShareCount,0,COLUMN()))/(BK61/BK80)-1)),"N/A")</f>
        <v>N/A</v>
      </c>
      <c r="BQ151" s="58" t="str">
        <f>IFERROR(IF(OR(INDEX(SP_GF_Rev,0,COLUMN())&lt;=0,BL61&lt;=0),"NMF",IF(ABS((INDEX(SP_GF_Rev,0,COLUMN())/INDEX(SP_GF_ShareCount,0,COLUMN()))/(BL61/BL80)-1)&gt;10,"NMF",(INDEX(SP_GF_Rev,0,COLUMN())/INDEX(SP_GF_ShareCount,0,COLUMN()))/(BL61/BL80)-1)),"N/A")</f>
        <v>N/A</v>
      </c>
      <c r="BR151" s="58" t="str">
        <f>IFERROR(IF(OR(INDEX(SP_GF_Rev,0,COLUMN())&lt;=0,BM61&lt;=0),"NMF",IF(ABS((INDEX(SP_GF_Rev,0,COLUMN())/INDEX(SP_GF_ShareCount,0,COLUMN()))/(BM61/BM80)-1)&gt;10,"NMF",(INDEX(SP_GF_Rev,0,COLUMN())/INDEX(SP_GF_ShareCount,0,COLUMN()))/(BM61/BM80)-1)),"N/A")</f>
        <v>N/A</v>
      </c>
      <c r="BS151" s="790" t="str">
        <f>IFERROR(IF(OR(INDEX(SP_GF_Rev,0,COLUMN())&lt;=0,BN61&lt;=0),"NMF",IF(ABS((INDEX(SP_GF_Rev,0,COLUMN())/INDEX(SP_GF_ShareCount,0,COLUMN()))/(BN61/BN80)-1)&gt;10,"NMF",(INDEX(SP_GF_Rev,0,COLUMN())/INDEX(SP_GF_ShareCount,0,COLUMN()))/(BN61/BN80)-1)),"N/A")</f>
        <v>N/A</v>
      </c>
      <c r="BT151" s="790" t="str">
        <f>IFERROR(IF(OR(INDEX(SP_GF_Rev,0,COLUMN())&lt;=0,BS61&lt;=0),"NMF",IF(ABS((INDEX(SP_GF_Rev,0,COLUMN())/INDEX(SP_GF_ShareCount,0,COLUMN()))/(BS61/BS80)-1)&gt;10,"NMF",(INDEX(SP_GF_Rev,0,COLUMN())/INDEX(SP_GF_ShareCount,0,COLUMN()))/(BS61/BS80)-1)),"N/A")</f>
        <v>N/A</v>
      </c>
      <c r="BU151" s="790" t="str">
        <f>IFERROR(IF(OR(INDEX(SP_GF_Rev,0,COLUMN())&lt;=0,BT61&lt;=0),"NMF",IF(ABS((INDEX(SP_GF_Rev,0,COLUMN())/INDEX(SP_GF_ShareCount,0,COLUMN()))/(BT61/BT80)-1)&gt;10,"NMF",(INDEX(SP_GF_Rev,0,COLUMN())/INDEX(SP_GF_ShareCount,0,COLUMN()))/(BT61/BT80)-1)),"N/A")</f>
        <v>N/A</v>
      </c>
      <c r="BV151" s="790" t="str">
        <f>IFERROR(IF(OR(INDEX(SP_GF_Rev,0,COLUMN())&lt;=0,BU61&lt;=0),"NMF",IF(ABS((INDEX(SP_GF_Rev,0,COLUMN())/INDEX(SP_GF_ShareCount,0,COLUMN()))/(BU61/BU80)-1)&gt;10,"NMF",(INDEX(SP_GF_Rev,0,COLUMN())/INDEX(SP_GF_ShareCount,0,COLUMN()))/(BU61/BU80)-1)),"N/A")</f>
        <v>N/A</v>
      </c>
      <c r="BW151" s="102"/>
    </row>
    <row r="152" spans="1:75" s="482" customFormat="1" ht="15" customHeight="1">
      <c r="A152" s="98" t="s">
        <v>676</v>
      </c>
      <c r="B152" s="99"/>
      <c r="C152" s="790"/>
      <c r="D152" s="790"/>
      <c r="E152" s="790"/>
      <c r="F152" s="790" t="str">
        <f>IFERROR(IF(OR(INDEX(SP_NGF_EBITDA,0,COLUMN())&lt;=0,E83&lt;=0),"NMF",IF(ABS((INDEX(SP_NGF_EBITDA,0,COLUMN())/INDEX(SP_GF_ShareCount,0,COLUMN()))/(E83/E80)-1)&gt;10,"NMF",(INDEX(SP_NGF_EBITDA,0,COLUMN())/INDEX(SP_GF_ShareCount,0,COLUMN()))/(E83/E80)-1)),"N/A")</f>
        <v>NMF</v>
      </c>
      <c r="G152" s="58"/>
      <c r="H152" s="58"/>
      <c r="I152" s="58"/>
      <c r="J152" s="58"/>
      <c r="K152" s="790">
        <f t="shared" ref="K152:AP152" si="352">IFERROR(IF(OR(INDEX(SP_NGF_EBITDA,0,COLUMN())&lt;=0,F83&lt;=0),"NMF",IF(ABS((INDEX(SP_NGF_EBITDA,0,COLUMN())/INDEX(SP_GF_ShareCount,0,COLUMN()))/(F83/F80)-1)&gt;10,"NMF",(INDEX(SP_NGF_EBITDA,0,COLUMN())/INDEX(SP_GF_ShareCount,0,COLUMN()))/(F83/F80)-1)),"N/A")</f>
        <v>4.2779227587852251</v>
      </c>
      <c r="L152" s="58">
        <f t="shared" si="352"/>
        <v>1.3793121360169041</v>
      </c>
      <c r="M152" s="58">
        <f t="shared" si="352"/>
        <v>0.88898715991739308</v>
      </c>
      <c r="N152" s="58">
        <f t="shared" si="352"/>
        <v>1.1132363642675216</v>
      </c>
      <c r="O152" s="58">
        <f t="shared" si="352"/>
        <v>1.150899791307471</v>
      </c>
      <c r="P152" s="790">
        <f t="shared" si="352"/>
        <v>1.0628901976008556</v>
      </c>
      <c r="Q152" s="58">
        <f t="shared" si="352"/>
        <v>0.75117224585961839</v>
      </c>
      <c r="R152" s="58">
        <f t="shared" si="352"/>
        <v>0.27008509638212552</v>
      </c>
      <c r="S152" s="58">
        <f t="shared" si="352"/>
        <v>-0.37869066878025814</v>
      </c>
      <c r="T152" s="58">
        <f t="shared" si="352"/>
        <v>-0.3097447818482838</v>
      </c>
      <c r="U152" s="790">
        <f t="shared" si="352"/>
        <v>-4.2431288847177839E-2</v>
      </c>
      <c r="V152" s="58">
        <f t="shared" si="352"/>
        <v>-0.20150698087366969</v>
      </c>
      <c r="W152" s="58">
        <f t="shared" si="352"/>
        <v>0.22794053966008976</v>
      </c>
      <c r="X152" s="58">
        <f t="shared" si="352"/>
        <v>1.5182795767401784</v>
      </c>
      <c r="Y152" s="58">
        <f t="shared" si="352"/>
        <v>1.391689317295119</v>
      </c>
      <c r="Z152" s="790">
        <f t="shared" si="352"/>
        <v>0.67044636601805574</v>
      </c>
      <c r="AA152" s="58">
        <f t="shared" si="352"/>
        <v>1.1092248093312929</v>
      </c>
      <c r="AB152" s="58">
        <f t="shared" si="352"/>
        <v>0.43622286251823605</v>
      </c>
      <c r="AC152" s="58">
        <f t="shared" si="352"/>
        <v>0.20774482267055472</v>
      </c>
      <c r="AD152" s="58">
        <f t="shared" si="352"/>
        <v>-0.12740031384539052</v>
      </c>
      <c r="AE152" s="790">
        <f t="shared" si="352"/>
        <v>0.22430987432461236</v>
      </c>
      <c r="AF152" s="58">
        <f t="shared" si="352"/>
        <v>0.11426622907836315</v>
      </c>
      <c r="AG152" s="58">
        <f t="shared" si="352"/>
        <v>3.9925686703374152E-2</v>
      </c>
      <c r="AH152" s="58">
        <f t="shared" si="352"/>
        <v>0.15540025425208137</v>
      </c>
      <c r="AI152" s="58">
        <f t="shared" si="352"/>
        <v>0.30998456340345926</v>
      </c>
      <c r="AJ152" s="790">
        <f t="shared" si="352"/>
        <v>0.13994904050961177</v>
      </c>
      <c r="AK152" s="58">
        <f t="shared" si="352"/>
        <v>0.17538888910368811</v>
      </c>
      <c r="AL152" s="58">
        <f t="shared" si="352"/>
        <v>0.32019030114054758</v>
      </c>
      <c r="AM152" s="58">
        <f t="shared" si="352"/>
        <v>0.39525941279337973</v>
      </c>
      <c r="AN152" s="58">
        <f t="shared" si="352"/>
        <v>0.36242118443403171</v>
      </c>
      <c r="AO152" s="790">
        <f t="shared" si="352"/>
        <v>0.32668800670551335</v>
      </c>
      <c r="AP152" s="58">
        <f t="shared" si="352"/>
        <v>-0.49004062947956206</v>
      </c>
      <c r="AQ152" s="58">
        <f t="shared" ref="AQ152:BN152" si="353">IFERROR(IF(OR(INDEX(SP_NGF_EBITDA,0,COLUMN())&lt;=0,AL83&lt;=0),"NMF",IF(ABS((INDEX(SP_NGF_EBITDA,0,COLUMN())/INDEX(SP_GF_ShareCount,0,COLUMN()))/(AL83/AL80)-1)&gt;10,"NMF",(INDEX(SP_NGF_EBITDA,0,COLUMN())/INDEX(SP_GF_ShareCount,0,COLUMN()))/(AL83/AL80)-1)),"N/A")</f>
        <v>-0.78009813993051347</v>
      </c>
      <c r="AR152" s="58">
        <f t="shared" si="353"/>
        <v>-9.4216631795525529E-2</v>
      </c>
      <c r="AS152" s="58">
        <f t="shared" si="353"/>
        <v>-7.3476009806543896E-2</v>
      </c>
      <c r="AT152" s="790">
        <f t="shared" si="353"/>
        <v>-0.29840817431059286</v>
      </c>
      <c r="AU152" s="58">
        <f t="shared" si="353"/>
        <v>1.4651589479665588</v>
      </c>
      <c r="AV152" s="58">
        <f t="shared" si="353"/>
        <v>4.2543612413598586</v>
      </c>
      <c r="AW152" s="58">
        <f t="shared" si="353"/>
        <v>0.27508302647725991</v>
      </c>
      <c r="AX152" s="58">
        <f t="shared" si="353"/>
        <v>0.15664167713439903</v>
      </c>
      <c r="AY152" s="790">
        <f t="shared" si="353"/>
        <v>0.63096830243425139</v>
      </c>
      <c r="AZ152" s="58">
        <f t="shared" si="353"/>
        <v>0.1558138813548362</v>
      </c>
      <c r="BA152" s="58">
        <f t="shared" si="353"/>
        <v>0.14447268295953619</v>
      </c>
      <c r="BB152" s="58">
        <f t="shared" si="353"/>
        <v>0.1141338458068526</v>
      </c>
      <c r="BC152" s="58">
        <f t="shared" si="353"/>
        <v>0.25372981198512523</v>
      </c>
      <c r="BD152" s="790">
        <f t="shared" si="353"/>
        <v>0.17293045895928794</v>
      </c>
      <c r="BE152" s="58">
        <f t="shared" si="353"/>
        <v>0.15267671145291306</v>
      </c>
      <c r="BF152" s="58">
        <f t="shared" si="353"/>
        <v>0.27478734073559807</v>
      </c>
      <c r="BG152" s="58">
        <f t="shared" si="353"/>
        <v>0.28868197342514756</v>
      </c>
      <c r="BH152" s="58">
        <f>IFERROR(IF(OR(INDEX(SP_NGF_EBITDA,0,COLUMN())&lt;=0,BC83&lt;=0),"NMF",IF(ABS((INDEX(SP_NGF_EBITDA,0,COLUMN())/INDEX(SP_GF_ShareCount,0,COLUMN()))/(BC83/BC80)-1)&gt;10,"NMF",(INDEX(SP_NGF_EBITDA,0,COLUMN())/INDEX(SP_GF_ShareCount,0,COLUMN()))/(BC83/BC80)-1)),"N/A")</f>
        <v>0.16924067149281119</v>
      </c>
      <c r="BI152" s="790">
        <f>IFERROR(IF(OR(INDEX(SP_NGF_EBITDA,0,COLUMN())&lt;=0,BD83&lt;=0),"NMF",IF(ABS((INDEX(SP_NGF_EBITDA,0,COLUMN())/INDEX(SP_GF_ShareCount,0,COLUMN()))/(BD83/BD80)-1)&gt;10,"NMF",(INDEX(SP_NGF_EBITDA,0,COLUMN())/INDEX(SP_GF_ShareCount,0,COLUMN()))/(BD83/BD80)-1)),"N/A")</f>
        <v>0.22191221131764749</v>
      </c>
      <c r="BJ152" s="58">
        <f>IFERROR(IF(OR(INDEX(SP_NGF_EBITDA,0,COLUMN())&lt;=0,BE83&lt;=0),"NMF",IF(ABS((INDEX(SP_NGF_EBITDA,0,COLUMN())/INDEX(SP_GF_ShareCount,0,COLUMN()))/(BE83/BE80)-1)&gt;10,"NMF",(INDEX(SP_NGF_EBITDA,0,COLUMN())/INDEX(SP_GF_ShareCount,0,COLUMN()))/(BE83/BE80)-1)),"N/A")</f>
        <v>0.15290793871347641</v>
      </c>
      <c r="BK152" s="58">
        <f>IFERROR(IF(OR(INDEX(SP_NGF_EBITDA,0,COLUMN())&lt;=0,BF83&lt;=0),"NMF",IF(ABS((INDEX(SP_NGF_EBITDA,0,COLUMN())/INDEX(SP_GF_ShareCount,0,COLUMN()))/(BF83/BF80)-1)&gt;10,"NMF",(INDEX(SP_NGF_EBITDA,0,COLUMN())/INDEX(SP_GF_ShareCount,0,COLUMN()))/(BF83/BF80)-1)),"N/A")</f>
        <v>9.7751770677218186E-2</v>
      </c>
      <c r="BL152" s="414">
        <f>IFERROR(IF(OR(INDEX(SP_NGF_EBITDA,0,COLUMN())&lt;=0,BG83&lt;=0),"NMF",IF(ABS((INDEX(SP_NGF_EBITDA,0,COLUMN())/INDEX(SP_GF_ShareCount,0,COLUMN()))/(BG83/BG80)-1)&gt;10,"NMF",(INDEX(SP_NGF_EBITDA,0,COLUMN())/INDEX(SP_GF_ShareCount,0,COLUMN()))/(BG83/BG80)-1)),"N/A")</f>
        <v>0.11759841714479502</v>
      </c>
      <c r="BM152" s="58" t="str">
        <f t="shared" si="353"/>
        <v>N/A</v>
      </c>
      <c r="BN152" s="790" t="str">
        <f t="shared" si="353"/>
        <v>N/A</v>
      </c>
      <c r="BO152" s="58" t="str">
        <f>IFERROR(IF(OR(INDEX(SP_NGF_EBITDA,0,COLUMN())&lt;=0,BJ83&lt;=0),"NMF",IF(ABS((INDEX(SP_NGF_EBITDA,0,COLUMN())/INDEX(SP_GF_ShareCount,0,COLUMN()))/(BJ83/BJ80)-1)&gt;10,"NMF",(INDEX(SP_NGF_EBITDA,0,COLUMN())/INDEX(SP_GF_ShareCount,0,COLUMN()))/(BJ83/BJ80)-1)),"N/A")</f>
        <v>N/A</v>
      </c>
      <c r="BP152" s="58" t="str">
        <f>IFERROR(IF(OR(INDEX(SP_NGF_EBITDA,0,COLUMN())&lt;=0,BK83&lt;=0),"NMF",IF(ABS((INDEX(SP_NGF_EBITDA,0,COLUMN())/INDEX(SP_GF_ShareCount,0,COLUMN()))/(BK83/BK80)-1)&gt;10,"NMF",(INDEX(SP_NGF_EBITDA,0,COLUMN())/INDEX(SP_GF_ShareCount,0,COLUMN()))/(BK83/BK80)-1)),"N/A")</f>
        <v>N/A</v>
      </c>
      <c r="BQ152" s="58" t="str">
        <f>IFERROR(IF(OR(INDEX(SP_NGF_EBITDA,0,COLUMN())&lt;=0,BL83&lt;=0),"NMF",IF(ABS((INDEX(SP_NGF_EBITDA,0,COLUMN())/INDEX(SP_GF_ShareCount,0,COLUMN()))/(BL83/BL80)-1)&gt;10,"NMF",(INDEX(SP_NGF_EBITDA,0,COLUMN())/INDEX(SP_GF_ShareCount,0,COLUMN()))/(BL83/BL80)-1)),"N/A")</f>
        <v>N/A</v>
      </c>
      <c r="BR152" s="58" t="str">
        <f>IFERROR(IF(OR(INDEX(SP_NGF_EBITDA,0,COLUMN())&lt;=0,BM83&lt;=0),"NMF",IF(ABS((INDEX(SP_NGF_EBITDA,0,COLUMN())/INDEX(SP_GF_ShareCount,0,COLUMN()))/(BM83/BM80)-1)&gt;10,"NMF",(INDEX(SP_NGF_EBITDA,0,COLUMN())/INDEX(SP_GF_ShareCount,0,COLUMN()))/(BM83/BM80)-1)),"N/A")</f>
        <v>N/A</v>
      </c>
      <c r="BS152" s="790" t="str">
        <f>IFERROR(IF(OR(INDEX(SP_NGF_EBITDA,0,COLUMN())&lt;=0,BN83&lt;=0),"NMF",IF(ABS((INDEX(SP_NGF_EBITDA,0,COLUMN())/INDEX(SP_GF_ShareCount,0,COLUMN()))/(BN83/BN80)-1)&gt;10,"NMF",(INDEX(SP_NGF_EBITDA,0,COLUMN())/INDEX(SP_GF_ShareCount,0,COLUMN()))/(BN83/BN80)-1)),"N/A")</f>
        <v>N/A</v>
      </c>
      <c r="BT152" s="790" t="str">
        <f>IFERROR(IF(OR(INDEX(SP_NGF_EBITDA,0,COLUMN())&lt;=0,BS83&lt;=0),"NMF",IF(ABS((INDEX(SP_NGF_EBITDA,0,COLUMN())/INDEX(SP_GF_ShareCount,0,COLUMN()))/(BS83/BS80)-1)&gt;10,"NMF",(INDEX(SP_NGF_EBITDA,0,COLUMN())/INDEX(SP_GF_ShareCount,0,COLUMN()))/(BS83/BS80)-1)),"N/A")</f>
        <v>N/A</v>
      </c>
      <c r="BU152" s="790" t="str">
        <f>IFERROR(IF(OR(INDEX(SP_NGF_EBITDA,0,COLUMN())&lt;=0,BT83&lt;=0),"NMF",IF(ABS((INDEX(SP_NGF_EBITDA,0,COLUMN())/INDEX(SP_GF_ShareCount,0,COLUMN()))/(BT83/BT80)-1)&gt;10,"NMF",(INDEX(SP_NGF_EBITDA,0,COLUMN())/INDEX(SP_GF_ShareCount,0,COLUMN()))/(BT83/BT80)-1)),"N/A")</f>
        <v>N/A</v>
      </c>
      <c r="BV152" s="790" t="str">
        <f>IFERROR(IF(OR(INDEX(SP_NGF_EBITDA,0,COLUMN())&lt;=0,BU83&lt;=0),"NMF",IF(ABS((INDEX(SP_NGF_EBITDA,0,COLUMN())/INDEX(SP_GF_ShareCount,0,COLUMN()))/(BU83/BU80)-1)&gt;10,"NMF",(INDEX(SP_NGF_EBITDA,0,COLUMN())/INDEX(SP_GF_ShareCount,0,COLUMN()))/(BU83/BU80)-1)),"N/A")</f>
        <v>N/A</v>
      </c>
      <c r="BW152" s="102"/>
    </row>
    <row r="153" spans="1:75" s="482" customFormat="1" ht="15" customHeight="1">
      <c r="A153" s="98" t="s">
        <v>677</v>
      </c>
      <c r="B153" s="99"/>
      <c r="C153" s="790"/>
      <c r="D153" s="790"/>
      <c r="E153" s="790"/>
      <c r="F153" s="790" t="str">
        <f>IFERROR(IF(OR(INDEX(SP_NGF_NI,0,COLUMN())&lt;=0,E85&lt;=0),"NMF",IF(ABS((INDEX(SP_NGF_NI,0,COLUMN())/INDEX(SP_GF_ShareCount,0,COLUMN()))/(E85/E80)-1)&gt;10,"NMF",(INDEX(SP_NGF_NI,0,COLUMN())/INDEX(SP_GF_ShareCount,0,COLUMN()))/(E85/E80)-1)),"N/A")</f>
        <v>NMF</v>
      </c>
      <c r="G153" s="58"/>
      <c r="H153" s="58"/>
      <c r="I153" s="58"/>
      <c r="J153" s="58"/>
      <c r="K153" s="790" t="str">
        <f t="shared" ref="K153:AP153" si="354">IFERROR(IF(OR(INDEX(SP_NGF_NI,0,COLUMN())&lt;=0,F85&lt;=0),"NMF",IF(ABS((INDEX(SP_NGF_NI,0,COLUMN())/INDEX(SP_GF_ShareCount,0,COLUMN()))/(F85/F80)-1)&gt;10,"NMF",(INDEX(SP_NGF_NI,0,COLUMN())/INDEX(SP_GF_ShareCount,0,COLUMN()))/(F85/F80)-1)),"N/A")</f>
        <v>NMF</v>
      </c>
      <c r="L153" s="58" t="str">
        <f t="shared" si="354"/>
        <v>NMF</v>
      </c>
      <c r="M153" s="58" t="str">
        <f t="shared" si="354"/>
        <v>NMF</v>
      </c>
      <c r="N153" s="58" t="str">
        <f t="shared" si="354"/>
        <v>NMF</v>
      </c>
      <c r="O153" s="58">
        <f t="shared" si="354"/>
        <v>1.2956339906107508</v>
      </c>
      <c r="P153" s="790">
        <f t="shared" si="354"/>
        <v>1.4770725082249982</v>
      </c>
      <c r="Q153" s="58" t="str">
        <f t="shared" si="354"/>
        <v>NMF</v>
      </c>
      <c r="R153" s="58">
        <f t="shared" si="354"/>
        <v>2.336821470646997</v>
      </c>
      <c r="S153" s="58">
        <f t="shared" si="354"/>
        <v>-0.26863908668757019</v>
      </c>
      <c r="T153" s="58">
        <f t="shared" si="354"/>
        <v>-0.5308595467101711</v>
      </c>
      <c r="U153" s="790">
        <f t="shared" si="354"/>
        <v>-0.46413386370074738</v>
      </c>
      <c r="V153" s="58">
        <f t="shared" si="354"/>
        <v>-0.24520650727280335</v>
      </c>
      <c r="W153" s="58">
        <f t="shared" si="354"/>
        <v>0.32907532448871168</v>
      </c>
      <c r="X153" s="58">
        <f t="shared" si="354"/>
        <v>5.4516171829613898</v>
      </c>
      <c r="Y153" s="58">
        <f t="shared" si="354"/>
        <v>1.3280487644137486</v>
      </c>
      <c r="Z153" s="790">
        <f t="shared" si="354"/>
        <v>0.97730256414522754</v>
      </c>
      <c r="AA153" s="58">
        <f t="shared" si="354"/>
        <v>1.6130622802547316</v>
      </c>
      <c r="AB153" s="58">
        <f t="shared" si="354"/>
        <v>0.63828709810009832</v>
      </c>
      <c r="AC153" s="58">
        <f t="shared" si="354"/>
        <v>0.31302731603683309</v>
      </c>
      <c r="AD153" s="58">
        <f t="shared" si="354"/>
        <v>-0.3347429270602682</v>
      </c>
      <c r="AE153" s="790">
        <f t="shared" si="354"/>
        <v>0.25848284863923121</v>
      </c>
      <c r="AF153" s="58" t="str">
        <f t="shared" si="354"/>
        <v>NMF</v>
      </c>
      <c r="AG153" s="58">
        <f t="shared" si="354"/>
        <v>-0.53315733731030701</v>
      </c>
      <c r="AH153" s="58">
        <f t="shared" si="354"/>
        <v>-0.42059233419660014</v>
      </c>
      <c r="AI153" s="58">
        <f t="shared" si="354"/>
        <v>1.0819628457557471</v>
      </c>
      <c r="AJ153" s="790">
        <f t="shared" si="354"/>
        <v>-0.32269354055807686</v>
      </c>
      <c r="AK153" s="58" t="str">
        <f t="shared" si="354"/>
        <v>NMF</v>
      </c>
      <c r="AL153" s="58">
        <f t="shared" si="354"/>
        <v>0.29751672620614733</v>
      </c>
      <c r="AM153" s="58">
        <f t="shared" si="354"/>
        <v>-0.19191259284296891</v>
      </c>
      <c r="AN153" s="58">
        <f t="shared" si="354"/>
        <v>-0.36525668245374754</v>
      </c>
      <c r="AO153" s="790">
        <f t="shared" si="354"/>
        <v>-0.15967050972694052</v>
      </c>
      <c r="AP153" s="58" t="str">
        <f t="shared" si="354"/>
        <v>NMF</v>
      </c>
      <c r="AQ153" s="58" t="str">
        <f t="shared" ref="AQ153:BN153" si="355">IFERROR(IF(OR(INDEX(SP_NGF_NI,0,COLUMN())&lt;=0,AL85&lt;=0),"NMF",IF(ABS((INDEX(SP_NGF_NI,0,COLUMN())/INDEX(SP_GF_ShareCount,0,COLUMN()))/(AL85/AL80)-1)&gt;10,"NMF",(INDEX(SP_NGF_NI,0,COLUMN())/INDEX(SP_GF_ShareCount,0,COLUMN()))/(AL85/AL80)-1)),"N/A")</f>
        <v>NMF</v>
      </c>
      <c r="AR153" s="58" t="str">
        <f t="shared" si="355"/>
        <v>NMF</v>
      </c>
      <c r="AS153" s="58">
        <f t="shared" si="355"/>
        <v>0.16589543812853069</v>
      </c>
      <c r="AT153" s="790" t="str">
        <f t="shared" si="355"/>
        <v>NMF</v>
      </c>
      <c r="AU153" s="58" t="str">
        <f t="shared" si="355"/>
        <v>NMF</v>
      </c>
      <c r="AV153" s="58" t="str">
        <f t="shared" si="355"/>
        <v>NMF</v>
      </c>
      <c r="AW153" s="58" t="str">
        <f t="shared" si="355"/>
        <v>NMF</v>
      </c>
      <c r="AX153" s="58">
        <f t="shared" si="355"/>
        <v>0.11288382520605178</v>
      </c>
      <c r="AY153" s="790" t="str">
        <f t="shared" si="355"/>
        <v>NMF</v>
      </c>
      <c r="AZ153" s="58" t="str">
        <f t="shared" si="355"/>
        <v>NMF</v>
      </c>
      <c r="BA153" s="58">
        <f t="shared" si="355"/>
        <v>1.0619751736923062</v>
      </c>
      <c r="BB153" s="58">
        <f t="shared" si="355"/>
        <v>-0.46276289167369034</v>
      </c>
      <c r="BC153" s="58">
        <f t="shared" si="355"/>
        <v>-7.7358246809684061E-2</v>
      </c>
      <c r="BD153" s="790">
        <f t="shared" si="355"/>
        <v>-1.870751567483131E-2</v>
      </c>
      <c r="BE153" s="58" t="str">
        <f t="shared" si="355"/>
        <v>NMF</v>
      </c>
      <c r="BF153" s="58">
        <f t="shared" si="355"/>
        <v>0.88028367262829632</v>
      </c>
      <c r="BG153" s="58">
        <f t="shared" si="355"/>
        <v>5.312852415986046</v>
      </c>
      <c r="BH153" s="58">
        <f>IFERROR(IF(OR(INDEX(SP_NGF_NI,0,COLUMN())&lt;=0,BC85&lt;=0),"NMF",IF(ABS((INDEX(SP_NGF_NI,0,COLUMN())/INDEX(SP_GF_ShareCount,0,COLUMN()))/(BC85/BC80)-1)&gt;10,"NMF",(INDEX(SP_NGF_NI,0,COLUMN())/INDEX(SP_GF_ShareCount,0,COLUMN()))/(BC85/BC80)-1)),"N/A")</f>
        <v>0.33157643349198285</v>
      </c>
      <c r="BI153" s="790">
        <f>IFERROR(IF(OR(INDEX(SP_NGF_NI,0,COLUMN())&lt;=0,BD85&lt;=0),"NMF",IF(ABS((INDEX(SP_NGF_NI,0,COLUMN())/INDEX(SP_GF_ShareCount,0,COLUMN()))/(BD85/BD80)-1)&gt;10,"NMF",(INDEX(SP_NGF_NI,0,COLUMN())/INDEX(SP_GF_ShareCount,0,COLUMN()))/(BD85/BD80)-1)),"N/A")</f>
        <v>1.7213134151354743</v>
      </c>
      <c r="BJ153" s="58" t="str">
        <f>IFERROR(IF(OR(INDEX(SP_NGF_NI,0,COLUMN())&lt;=0,BE85&lt;=0),"NMF",IF(ABS((INDEX(SP_NGF_NI,0,COLUMN())/INDEX(SP_GF_ShareCount,0,COLUMN()))/(BE85/BE80)-1)&gt;10,"NMF",(INDEX(SP_NGF_NI,0,COLUMN())/INDEX(SP_GF_ShareCount,0,COLUMN()))/(BE85/BE80)-1)),"N/A")</f>
        <v>NMF</v>
      </c>
      <c r="BK153" s="58">
        <f>IFERROR(IF(OR(INDEX(SP_NGF_NI,0,COLUMN())&lt;=0,BF85&lt;=0),"NMF",IF(ABS((INDEX(SP_NGF_NI,0,COLUMN())/INDEX(SP_GF_ShareCount,0,COLUMN()))/(BF85/BF80)-1)&gt;10,"NMF",(INDEX(SP_NGF_NI,0,COLUMN())/INDEX(SP_GF_ShareCount,0,COLUMN()))/(BF85/BF80)-1)),"N/A")</f>
        <v>1.6114955271688358</v>
      </c>
      <c r="BL153" s="414">
        <f>IFERROR(IF(OR(INDEX(SP_NGF_NI,0,COLUMN())&lt;=0,BG85&lt;=0),"NMF",IF(ABS((INDEX(SP_NGF_NI,0,COLUMN())/INDEX(SP_GF_ShareCount,0,COLUMN()))/(BG85/BG80)-1)&gt;10,"NMF",(INDEX(SP_NGF_NI,0,COLUMN())/INDEX(SP_GF_ShareCount,0,COLUMN()))/(BG85/BG80)-1)),"N/A")</f>
        <v>-0.29766495870763043</v>
      </c>
      <c r="BM153" s="58" t="str">
        <f t="shared" si="355"/>
        <v>N/A</v>
      </c>
      <c r="BN153" s="790" t="str">
        <f t="shared" si="355"/>
        <v>N/A</v>
      </c>
      <c r="BO153" s="58" t="str">
        <f>IFERROR(IF(OR(INDEX(SP_NGF_NI,0,COLUMN())&lt;=0,BJ85&lt;=0),"NMF",IF(ABS((INDEX(SP_NGF_NI,0,COLUMN())/INDEX(SP_GF_ShareCount,0,COLUMN()))/(BJ85/BJ80)-1)&gt;10,"NMF",(INDEX(SP_NGF_NI,0,COLUMN())/INDEX(SP_GF_ShareCount,0,COLUMN()))/(BJ85/BJ80)-1)),"N/A")</f>
        <v>N/A</v>
      </c>
      <c r="BP153" s="58" t="str">
        <f>IFERROR(IF(OR(INDEX(SP_NGF_NI,0,COLUMN())&lt;=0,BK85&lt;=0),"NMF",IF(ABS((INDEX(SP_NGF_NI,0,COLUMN())/INDEX(SP_GF_ShareCount,0,COLUMN()))/(BK85/BK80)-1)&gt;10,"NMF",(INDEX(SP_NGF_NI,0,COLUMN())/INDEX(SP_GF_ShareCount,0,COLUMN()))/(BK85/BK80)-1)),"N/A")</f>
        <v>N/A</v>
      </c>
      <c r="BQ153" s="58" t="str">
        <f>IFERROR(IF(OR(INDEX(SP_NGF_NI,0,COLUMN())&lt;=0,BL85&lt;=0),"NMF",IF(ABS((INDEX(SP_NGF_NI,0,COLUMN())/INDEX(SP_GF_ShareCount,0,COLUMN()))/(BL85/BL80)-1)&gt;10,"NMF",(INDEX(SP_NGF_NI,0,COLUMN())/INDEX(SP_GF_ShareCount,0,COLUMN()))/(BL85/BL80)-1)),"N/A")</f>
        <v>N/A</v>
      </c>
      <c r="BR153" s="58" t="str">
        <f>IFERROR(IF(OR(INDEX(SP_NGF_NI,0,COLUMN())&lt;=0,BM85&lt;=0),"NMF",IF(ABS((INDEX(SP_NGF_NI,0,COLUMN())/INDEX(SP_GF_ShareCount,0,COLUMN()))/(BM85/BM80)-1)&gt;10,"NMF",(INDEX(SP_NGF_NI,0,COLUMN())/INDEX(SP_GF_ShareCount,0,COLUMN()))/(BM85/BM80)-1)),"N/A")</f>
        <v>N/A</v>
      </c>
      <c r="BS153" s="790" t="str">
        <f>IFERROR(IF(OR(INDEX(SP_NGF_NI,0,COLUMN())&lt;=0,BN85&lt;=0),"NMF",IF(ABS((INDEX(SP_NGF_NI,0,COLUMN())/INDEX(SP_GF_ShareCount,0,COLUMN()))/(BN85/BN80)-1)&gt;10,"NMF",(INDEX(SP_NGF_NI,0,COLUMN())/INDEX(SP_GF_ShareCount,0,COLUMN()))/(BN85/BN80)-1)),"N/A")</f>
        <v>N/A</v>
      </c>
      <c r="BT153" s="790" t="str">
        <f>IFERROR(IF(OR(INDEX(SP_NGF_NI,0,COLUMN())&lt;=0,BS85&lt;=0),"NMF",IF(ABS((INDEX(SP_NGF_NI,0,COLUMN())/INDEX(SP_GF_ShareCount,0,COLUMN()))/(BS85/BS80)-1)&gt;10,"NMF",(INDEX(SP_NGF_NI,0,COLUMN())/INDEX(SP_GF_ShareCount,0,COLUMN()))/(BS85/BS80)-1)),"N/A")</f>
        <v>N/A</v>
      </c>
      <c r="BU153" s="790" t="str">
        <f>IFERROR(IF(OR(INDEX(SP_NGF_NI,0,COLUMN())&lt;=0,BT85&lt;=0),"NMF",IF(ABS((INDEX(SP_NGF_NI,0,COLUMN())/INDEX(SP_GF_ShareCount,0,COLUMN()))/(BT85/BT80)-1)&gt;10,"NMF",(INDEX(SP_NGF_NI,0,COLUMN())/INDEX(SP_GF_ShareCount,0,COLUMN()))/(BT85/BT80)-1)),"N/A")</f>
        <v>N/A</v>
      </c>
      <c r="BV153" s="790" t="str">
        <f>IFERROR(IF(OR(INDEX(SP_NGF_NI,0,COLUMN())&lt;=0,BU85&lt;=0),"NMF",IF(ABS((INDEX(SP_NGF_NI,0,COLUMN())/INDEX(SP_GF_ShareCount,0,COLUMN()))/(BU85/BU80)-1)&gt;10,"NMF",(INDEX(SP_NGF_NI,0,COLUMN())/INDEX(SP_GF_ShareCount,0,COLUMN()))/(BU85/BU80)-1)),"N/A")</f>
        <v>N/A</v>
      </c>
      <c r="BW153" s="102"/>
    </row>
    <row r="154" spans="1:75" s="482" customFormat="1">
      <c r="A154" s="98" t="s">
        <v>678</v>
      </c>
      <c r="B154" s="99"/>
      <c r="C154" s="790"/>
      <c r="D154" s="790"/>
      <c r="E154" s="790"/>
      <c r="F154" s="790" t="str">
        <f ca="1">IFERROR(IF(OR(INDEX(SP_CFA_CFO,0,COLUMN())&lt;=0,E103&lt;=0),"NMF",IF(ABS((INDEX(SP_CFA_CFO,0,COLUMN())/INDEX(SP_GF_ShareCount,0,COLUMN()))/(E103/E80)-1)&gt;10,"NMF",(INDEX(SP_CFA_CFO,0,COLUMN())/INDEX(SP_GF_ShareCount,0,COLUMN()))/(E103/E80)-1)),"N/A")</f>
        <v>NMF</v>
      </c>
      <c r="G154" s="58"/>
      <c r="H154" s="58"/>
      <c r="I154" s="58"/>
      <c r="J154" s="58"/>
      <c r="K154" s="790" t="str">
        <f t="shared" ref="K154:AP154" ca="1" si="356">IFERROR(IF(OR(INDEX(SP_CFA_CFO,0,COLUMN())&lt;=0,F103&lt;=0),"NMF",IF(ABS((INDEX(SP_CFA_CFO,0,COLUMN())/INDEX(SP_GF_ShareCount,0,COLUMN()))/(F103/F80)-1)&gt;10,"NMF",(INDEX(SP_CFA_CFO,0,COLUMN())/INDEX(SP_GF_ShareCount,0,COLUMN()))/(F103/F80)-1)),"N/A")</f>
        <v>NMF</v>
      </c>
      <c r="L154" s="58" t="str">
        <f t="shared" ca="1" si="356"/>
        <v>NMF</v>
      </c>
      <c r="M154" s="58">
        <f t="shared" ca="1" si="356"/>
        <v>0.69034289383346525</v>
      </c>
      <c r="N154" s="58">
        <f t="shared" ca="1" si="356"/>
        <v>1.3091518859320934</v>
      </c>
      <c r="O154" s="58">
        <f t="shared" ca="1" si="356"/>
        <v>0.80677679077842401</v>
      </c>
      <c r="P154" s="790">
        <f t="shared" ca="1" si="356"/>
        <v>1.3138034505016973</v>
      </c>
      <c r="Q154" s="58">
        <f t="shared" ca="1" si="356"/>
        <v>1.5121688310839083</v>
      </c>
      <c r="R154" s="58">
        <f t="shared" ca="1" si="356"/>
        <v>0.65407638260569434</v>
      </c>
      <c r="S154" s="58">
        <f t="shared" ca="1" si="356"/>
        <v>-0.48502794506807323</v>
      </c>
      <c r="T154" s="58">
        <f t="shared" ca="1" si="356"/>
        <v>-0.79949475735903386</v>
      </c>
      <c r="U154" s="790">
        <f t="shared" ca="1" si="356"/>
        <v>-2.7162308282348446E-2</v>
      </c>
      <c r="V154" s="58">
        <f t="shared" ca="1" si="356"/>
        <v>-6.828480755174926E-2</v>
      </c>
      <c r="W154" s="58">
        <f t="shared" ca="1" si="356"/>
        <v>0.24677884305952702</v>
      </c>
      <c r="X154" s="58">
        <f t="shared" ca="1" si="356"/>
        <v>2.3521731410524471</v>
      </c>
      <c r="Y154" s="58">
        <f t="shared" ca="1" si="356"/>
        <v>9.8992613247232928</v>
      </c>
      <c r="Z154" s="790">
        <f t="shared" ca="1" si="356"/>
        <v>1.1271819513091663</v>
      </c>
      <c r="AA154" s="58">
        <f t="shared" ca="1" si="356"/>
        <v>0.58015901105684664</v>
      </c>
      <c r="AB154" s="58">
        <f t="shared" ca="1" si="356"/>
        <v>0.4484899415020307</v>
      </c>
      <c r="AC154" s="58">
        <f t="shared" ca="1" si="356"/>
        <v>0.38818059285373807</v>
      </c>
      <c r="AD154" s="58">
        <f t="shared" ca="1" si="356"/>
        <v>-0.16672071321073523</v>
      </c>
      <c r="AE154" s="790">
        <f t="shared" ca="1" si="356"/>
        <v>0.23063282746059421</v>
      </c>
      <c r="AF154" s="58">
        <f t="shared" ca="1" si="356"/>
        <v>-5.6587270077301244E-2</v>
      </c>
      <c r="AG154" s="58">
        <f t="shared" ca="1" si="356"/>
        <v>-0.38233018405178576</v>
      </c>
      <c r="AH154" s="58">
        <f t="shared" ca="1" si="356"/>
        <v>5.3005909961196362E-2</v>
      </c>
      <c r="AI154" s="58">
        <f t="shared" ca="1" si="356"/>
        <v>0.1462576775101887</v>
      </c>
      <c r="AJ154" s="790">
        <f t="shared" ca="1" si="356"/>
        <v>-6.1075126889016285E-2</v>
      </c>
      <c r="AK154" s="58">
        <f t="shared" ca="1" si="356"/>
        <v>5.4971142059836886E-2</v>
      </c>
      <c r="AL154" s="58">
        <f t="shared" ca="1" si="356"/>
        <v>1.8328966803574041</v>
      </c>
      <c r="AM154" s="58">
        <f t="shared" ca="1" si="356"/>
        <v>0.12172378159637276</v>
      </c>
      <c r="AN154" s="58">
        <f t="shared" ca="1" si="356"/>
        <v>0.48915402067724534</v>
      </c>
      <c r="AO154" s="790">
        <f t="shared" ca="1" si="356"/>
        <v>0.45448829850218653</v>
      </c>
      <c r="AP154" s="58">
        <f t="shared" ca="1" si="356"/>
        <v>0.18218622914946669</v>
      </c>
      <c r="AQ154" s="58">
        <f t="shared" ref="AQ154:BN154" ca="1" si="357">IFERROR(IF(OR(INDEX(SP_CFA_CFO,0,COLUMN())&lt;=0,AL103&lt;=0),"NMF",IF(ABS((INDEX(SP_CFA_CFO,0,COLUMN())/INDEX(SP_GF_ShareCount,0,COLUMN()))/(AL103/AL80)-1)&gt;10,"NMF",(INDEX(SP_CFA_CFO,0,COLUMN())/INDEX(SP_GF_ShareCount,0,COLUMN()))/(AL103/AL80)-1)),"N/A")</f>
        <v>-0.68576848692239811</v>
      </c>
      <c r="AR154" s="58">
        <f t="shared" ca="1" si="357"/>
        <v>0.38710270271770031</v>
      </c>
      <c r="AS154" s="58">
        <f t="shared" ca="1" si="357"/>
        <v>-0.17470951937325674</v>
      </c>
      <c r="AT154" s="790">
        <f t="shared" ca="1" si="357"/>
        <v>-7.8454917593311357E-2</v>
      </c>
      <c r="AU154" s="58">
        <f t="shared" ca="1" si="357"/>
        <v>0.37389185096415822</v>
      </c>
      <c r="AV154" s="58">
        <f t="shared" ca="1" si="357"/>
        <v>1.7942803279080377</v>
      </c>
      <c r="AW154" s="58">
        <f t="shared" ca="1" si="357"/>
        <v>-0.21743340384325738</v>
      </c>
      <c r="AX154" s="58">
        <f t="shared" ca="1" si="357"/>
        <v>-5.9077522255750692E-2</v>
      </c>
      <c r="AY154" s="790">
        <f t="shared" ca="1" si="357"/>
        <v>0.11757905363561494</v>
      </c>
      <c r="AZ154" s="58">
        <f t="shared" ca="1" si="357"/>
        <v>6.7659807160202812E-2</v>
      </c>
      <c r="BA154" s="58">
        <f t="shared" ca="1" si="357"/>
        <v>-0.6038713668164033</v>
      </c>
      <c r="BB154" s="58">
        <f t="shared" ca="1" si="357"/>
        <v>0.26505691817119947</v>
      </c>
      <c r="BC154" s="58">
        <f t="shared" ca="1" si="357"/>
        <v>5.1533855872376799E-2</v>
      </c>
      <c r="BD154" s="790">
        <f t="shared" ca="1" si="357"/>
        <v>-3.1438814897293832E-2</v>
      </c>
      <c r="BE154" s="58">
        <f t="shared" ca="1" si="357"/>
        <v>0.27167531049872018</v>
      </c>
      <c r="BF154" s="58">
        <f t="shared" ca="1" si="357"/>
        <v>1.6778990582785198</v>
      </c>
      <c r="BG154" s="58">
        <f t="shared" ca="1" si="357"/>
        <v>0.48791393014812168</v>
      </c>
      <c r="BH154" s="58">
        <f ca="1">IFERROR(IF(OR(INDEX(SP_CFA_CFO,0,COLUMN())&lt;=0,BC103&lt;=0),"NMF",IF(ABS((INDEX(SP_CFA_CFO,0,COLUMN())/INDEX(SP_GF_ShareCount,0,COLUMN()))/(BC103/BC80)-1)&gt;10,"NMF",(INDEX(SP_CFA_CFO,0,COLUMN())/INDEX(SP_GF_ShareCount,0,COLUMN()))/(BC103/BC80)-1)),"N/A")</f>
        <v>0.74241634783618582</v>
      </c>
      <c r="BI154" s="790">
        <f ca="1">IFERROR(IF(OR(INDEX(SP_CFA_CFO,0,COLUMN())&lt;=0,BD103&lt;=0),"NMF",IF(ABS((INDEX(SP_CFA_CFO,0,COLUMN())/INDEX(SP_GF_ShareCount,0,COLUMN()))/(BD103/BD80)-1)&gt;10,"NMF",(INDEX(SP_CFA_CFO,0,COLUMN())/INDEX(SP_GF_ShareCount,0,COLUMN()))/(BD103/BD80)-1)),"N/A")</f>
        <v>0.58844693691617356</v>
      </c>
      <c r="BJ154" s="58">
        <f ca="1">IFERROR(IF(OR(INDEX(SP_CFA_CFO,0,COLUMN())&lt;=0,BE103&lt;=0),"NMF",IF(ABS((INDEX(SP_CFA_CFO,0,COLUMN())/INDEX(SP_GF_ShareCount,0,COLUMN()))/(BE103/BE80)-1)&gt;10,"NMF",(INDEX(SP_CFA_CFO,0,COLUMN())/INDEX(SP_GF_ShareCount,0,COLUMN()))/(BE103/BE80)-1)),"N/A")</f>
        <v>-5.1659611327123156E-2</v>
      </c>
      <c r="BK154" s="58">
        <f ca="1">IFERROR(IF(OR(INDEX(SP_CFA_CFO,0,COLUMN())&lt;=0,BF103&lt;=0),"NMF",IF(ABS((INDEX(SP_CFA_CFO,0,COLUMN())/INDEX(SP_GF_ShareCount,0,COLUMN()))/(BF103/BF80)-1)&gt;10,"NMF",(INDEX(SP_CFA_CFO,0,COLUMN())/INDEX(SP_GF_ShareCount,0,COLUMN()))/(BF103/BF80)-1)),"N/A")</f>
        <v>-0.16394798289482004</v>
      </c>
      <c r="BL154" s="414">
        <f ca="1">IFERROR(IF(OR(INDEX(SP_CFA_CFO,0,COLUMN())&lt;=0,BG103&lt;=0),"NMF",IF(ABS((INDEX(SP_CFA_CFO,0,COLUMN())/INDEX(SP_GF_ShareCount,0,COLUMN()))/(BG103/BG80)-1)&gt;10,"NMF",(INDEX(SP_CFA_CFO,0,COLUMN())/INDEX(SP_GF_ShareCount,0,COLUMN()))/(BG103/BG80)-1)),"N/A")</f>
        <v>3.7683117951953893E-2</v>
      </c>
      <c r="BM154" s="58" t="str">
        <f t="shared" ca="1" si="357"/>
        <v>N/A</v>
      </c>
      <c r="BN154" s="790" t="str">
        <f t="shared" ca="1" si="357"/>
        <v>N/A</v>
      </c>
      <c r="BO154" s="58" t="str">
        <f ca="1">IFERROR(IF(OR(INDEX(SP_CFA_CFO,0,COLUMN())&lt;=0,BJ103&lt;=0),"NMF",IF(ABS((INDEX(SP_CFA_CFO,0,COLUMN())/INDEX(SP_GF_ShareCount,0,COLUMN()))/(BJ103/BJ80)-1)&gt;10,"NMF",(INDEX(SP_CFA_CFO,0,COLUMN())/INDEX(SP_GF_ShareCount,0,COLUMN()))/(BJ103/BJ80)-1)),"N/A")</f>
        <v>NMF</v>
      </c>
      <c r="BP154" s="58" t="str">
        <f ca="1">IFERROR(IF(OR(INDEX(SP_CFA_CFO,0,COLUMN())&lt;=0,BK103&lt;=0),"NMF",IF(ABS((INDEX(SP_CFA_CFO,0,COLUMN())/INDEX(SP_GF_ShareCount,0,COLUMN()))/(BK103/BK80)-1)&gt;10,"NMF",(INDEX(SP_CFA_CFO,0,COLUMN())/INDEX(SP_GF_ShareCount,0,COLUMN()))/(BK103/BK80)-1)),"N/A")</f>
        <v>N/A</v>
      </c>
      <c r="BQ154" s="58" t="str">
        <f ca="1">IFERROR(IF(OR(INDEX(SP_CFA_CFO,0,COLUMN())&lt;=0,BL103&lt;=0),"NMF",IF(ABS((INDEX(SP_CFA_CFO,0,COLUMN())/INDEX(SP_GF_ShareCount,0,COLUMN()))/(BL103/BL80)-1)&gt;10,"NMF",(INDEX(SP_CFA_CFO,0,COLUMN())/INDEX(SP_GF_ShareCount,0,COLUMN()))/(BL103/BL80)-1)),"N/A")</f>
        <v>N/A</v>
      </c>
      <c r="BR154" s="58" t="str">
        <f ca="1">IFERROR(IF(OR(INDEX(SP_CFA_CFO,0,COLUMN())&lt;=0,BM103&lt;=0),"NMF",IF(ABS((INDEX(SP_CFA_CFO,0,COLUMN())/INDEX(SP_GF_ShareCount,0,COLUMN()))/(BM103/BM80)-1)&gt;10,"NMF",(INDEX(SP_CFA_CFO,0,COLUMN())/INDEX(SP_GF_ShareCount,0,COLUMN()))/(BM103/BM80)-1)),"N/A")</f>
        <v>N/A</v>
      </c>
      <c r="BS154" s="790" t="str">
        <f ca="1">IFERROR(IF(OR(INDEX(SP_CFA_CFO,0,COLUMN())&lt;=0,BN103&lt;=0),"NMF",IF(ABS((INDEX(SP_CFA_CFO,0,COLUMN())/INDEX(SP_GF_ShareCount,0,COLUMN()))/(BN103/BN80)-1)&gt;10,"NMF",(INDEX(SP_CFA_CFO,0,COLUMN())/INDEX(SP_GF_ShareCount,0,COLUMN()))/(BN103/BN80)-1)),"N/A")</f>
        <v>N/A</v>
      </c>
      <c r="BT154" s="790" t="str">
        <f ca="1">IFERROR(IF(OR(INDEX(SP_CFA_CFO,0,COLUMN())&lt;=0,BS103&lt;=0),"NMF",IF(ABS((INDEX(SP_CFA_CFO,0,COLUMN())/INDEX(SP_GF_ShareCount,0,COLUMN()))/(BS103/BS80)-1)&gt;10,"NMF",(INDEX(SP_CFA_CFO,0,COLUMN())/INDEX(SP_GF_ShareCount,0,COLUMN()))/(BS103/BS80)-1)),"N/A")</f>
        <v>N/A</v>
      </c>
      <c r="BU154" s="790" t="str">
        <f ca="1">IFERROR(IF(OR(INDEX(SP_CFA_CFO,0,COLUMN())&lt;=0,BT103&lt;=0),"NMF",IF(ABS((INDEX(SP_CFA_CFO,0,COLUMN())/INDEX(SP_GF_ShareCount,0,COLUMN()))/(BT103/BT80)-1)&gt;10,"NMF",(INDEX(SP_CFA_CFO,0,COLUMN())/INDEX(SP_GF_ShareCount,0,COLUMN()))/(BT103/BT80)-1)),"N/A")</f>
        <v>N/A</v>
      </c>
      <c r="BV154" s="790" t="str">
        <f ca="1">IFERROR(IF(OR(INDEX(SP_CFA_CFO,0,COLUMN())&lt;=0,BU103&lt;=0),"NMF",IF(ABS((INDEX(SP_CFA_CFO,0,COLUMN())/INDEX(SP_GF_ShareCount,0,COLUMN()))/(BU103/BU80)-1)&gt;10,"NMF",(INDEX(SP_CFA_CFO,0,COLUMN())/INDEX(SP_GF_ShareCount,0,COLUMN()))/(BU103/BU80)-1)),"N/A")</f>
        <v>N/A</v>
      </c>
      <c r="BW154" s="102"/>
    </row>
    <row r="155" spans="1:75" s="482" customFormat="1">
      <c r="A155" s="98" t="s">
        <v>679</v>
      </c>
      <c r="B155" s="99"/>
      <c r="C155" s="790"/>
      <c r="D155" s="790"/>
      <c r="E155" s="790"/>
      <c r="F155" s="790" t="str">
        <f ca="1">IFERROR(IF(OR(INDEX(SP_CFA_FCF_PreDiv,0,COLUMN())&lt;=0,E105&lt;=0),"NMF",IF(ABS((INDEX(SP_CFA_FCF_PreDiv,0,COLUMN())/INDEX(SP_GF_ShareCount,0,COLUMN()))/(E105/E80)-1)&gt;10,"NMF",(INDEX(SP_CFA_FCF_PreDiv,0,COLUMN())/INDEX(SP_GF_ShareCount,0,COLUMN()))/(E105/E80)-1)),"N/A")</f>
        <v>NMF</v>
      </c>
      <c r="G155" s="58"/>
      <c r="H155" s="58"/>
      <c r="I155" s="58"/>
      <c r="J155" s="58"/>
      <c r="K155" s="790" t="str">
        <f t="shared" ref="K155:AP155" ca="1" si="358">IFERROR(IF(OR(INDEX(SP_CFA_FCF_PreDiv,0,COLUMN())&lt;=0,F105&lt;=0),"NMF",IF(ABS((INDEX(SP_CFA_FCF_PreDiv,0,COLUMN())/INDEX(SP_GF_ShareCount,0,COLUMN()))/(F105/F80)-1)&gt;10,"NMF",(INDEX(SP_CFA_FCF_PreDiv,0,COLUMN())/INDEX(SP_GF_ShareCount,0,COLUMN()))/(F105/F80)-1)),"N/A")</f>
        <v>NMF</v>
      </c>
      <c r="L155" s="58" t="str">
        <f t="shared" ca="1" si="358"/>
        <v>NMF</v>
      </c>
      <c r="M155" s="58" t="str">
        <f t="shared" ca="1" si="358"/>
        <v>NMF</v>
      </c>
      <c r="N155" s="58">
        <f t="shared" ca="1" si="358"/>
        <v>4.6274935677492044</v>
      </c>
      <c r="O155" s="58" t="str">
        <f t="shared" ca="1" si="358"/>
        <v>NMF</v>
      </c>
      <c r="P155" s="790" t="str">
        <f t="shared" ca="1" si="358"/>
        <v>NMF</v>
      </c>
      <c r="Q155" s="58">
        <f t="shared" ca="1" si="358"/>
        <v>1.9477404422601219</v>
      </c>
      <c r="R155" s="58">
        <f t="shared" ca="1" si="358"/>
        <v>0.58373344647212688</v>
      </c>
      <c r="S155" s="58" t="str">
        <f t="shared" ca="1" si="358"/>
        <v>NMF</v>
      </c>
      <c r="T155" s="58" t="str">
        <f t="shared" ca="1" si="358"/>
        <v>NMF</v>
      </c>
      <c r="U155" s="790">
        <f t="shared" ca="1" si="358"/>
        <v>-0.13877761690284574</v>
      </c>
      <c r="V155" s="58">
        <f t="shared" ca="1" si="358"/>
        <v>0.16613569692253827</v>
      </c>
      <c r="W155" s="58">
        <f t="shared" ca="1" si="358"/>
        <v>0.70675921521669194</v>
      </c>
      <c r="X155" s="58" t="str">
        <f t="shared" ca="1" si="358"/>
        <v>NMF</v>
      </c>
      <c r="Y155" s="58" t="str">
        <f t="shared" ca="1" si="358"/>
        <v>NMF</v>
      </c>
      <c r="Z155" s="790">
        <f t="shared" ca="1" si="358"/>
        <v>5.2142655493541321</v>
      </c>
      <c r="AA155" s="58">
        <f t="shared" ca="1" si="358"/>
        <v>1.4134791653496772</v>
      </c>
      <c r="AB155" s="58">
        <f t="shared" ca="1" si="358"/>
        <v>1.0053647763926623</v>
      </c>
      <c r="AC155" s="58">
        <f t="shared" ca="1" si="358"/>
        <v>0.57303251208883887</v>
      </c>
      <c r="AD155" s="58">
        <f t="shared" ca="1" si="358"/>
        <v>-0.22888020793959085</v>
      </c>
      <c r="AE155" s="790">
        <f t="shared" ca="1" si="358"/>
        <v>0.42951822801247097</v>
      </c>
      <c r="AF155" s="58">
        <f t="shared" ca="1" si="358"/>
        <v>-0.33392550424421952</v>
      </c>
      <c r="AG155" s="58">
        <f t="shared" ca="1" si="358"/>
        <v>-0.57662480931418558</v>
      </c>
      <c r="AH155" s="58">
        <f t="shared" ca="1" si="358"/>
        <v>4.823298768999873E-2</v>
      </c>
      <c r="AI155" s="58">
        <f t="shared" ca="1" si="358"/>
        <v>0.15324290730941947</v>
      </c>
      <c r="AJ155" s="790">
        <f t="shared" ca="1" si="358"/>
        <v>-0.17602253880339624</v>
      </c>
      <c r="AK155" s="58">
        <f t="shared" ca="1" si="358"/>
        <v>0.39154668976675389</v>
      </c>
      <c r="AL155" s="58">
        <f t="shared" ca="1" si="358"/>
        <v>3.0124392800631767</v>
      </c>
      <c r="AM155" s="58">
        <f t="shared" ca="1" si="358"/>
        <v>5.5476704594751292E-2</v>
      </c>
      <c r="AN155" s="58">
        <f t="shared" ca="1" si="358"/>
        <v>0.71559748514576205</v>
      </c>
      <c r="AO155" s="790">
        <f t="shared" ca="1" si="358"/>
        <v>0.65169094421424778</v>
      </c>
      <c r="AP155" s="58">
        <f t="shared" ca="1" si="358"/>
        <v>0.25214689961538062</v>
      </c>
      <c r="AQ155" s="58">
        <f t="shared" ref="AQ155:BN155" ca="1" si="359">IFERROR(IF(OR(INDEX(SP_CFA_FCF_PreDiv,0,COLUMN())&lt;=0,AL105&lt;=0),"NMF",IF(ABS((INDEX(SP_CFA_FCF_PreDiv,0,COLUMN())/INDEX(SP_GF_ShareCount,0,COLUMN()))/(AL105/AL80)-1)&gt;10,"NMF",(INDEX(SP_CFA_FCF_PreDiv,0,COLUMN())/INDEX(SP_GF_ShareCount,0,COLUMN()))/(AL105/AL80)-1)),"N/A")</f>
        <v>-0.84843341909805248</v>
      </c>
      <c r="AR155" s="58">
        <f t="shared" ca="1" si="359"/>
        <v>0.57893522289380006</v>
      </c>
      <c r="AS155" s="58">
        <f t="shared" ca="1" si="359"/>
        <v>-0.32243406369345839</v>
      </c>
      <c r="AT155" s="790">
        <f t="shared" ca="1" si="359"/>
        <v>-0.11519721003418892</v>
      </c>
      <c r="AU155" s="58">
        <f t="shared" ca="1" si="359"/>
        <v>0.49188022690143329</v>
      </c>
      <c r="AV155" s="58">
        <f t="shared" ca="1" si="359"/>
        <v>5.039141355597903</v>
      </c>
      <c r="AW155" s="58">
        <f t="shared" ca="1" si="359"/>
        <v>-0.25431853797418713</v>
      </c>
      <c r="AX155" s="58">
        <f t="shared" ca="1" si="359"/>
        <v>0.12966821595432987</v>
      </c>
      <c r="AY155" s="790">
        <f t="shared" ca="1" si="359"/>
        <v>0.23557686397495403</v>
      </c>
      <c r="AZ155" s="58">
        <f t="shared" ca="1" si="359"/>
        <v>5.7102979964334999E-2</v>
      </c>
      <c r="BA155" s="58">
        <f t="shared" ca="1" si="359"/>
        <v>-0.73538829392038019</v>
      </c>
      <c r="BB155" s="58">
        <f t="shared" ca="1" si="359"/>
        <v>0.35537198109927237</v>
      </c>
      <c r="BC155" s="58">
        <f t="shared" ca="1" si="359"/>
        <v>-9.4554389358510904E-2</v>
      </c>
      <c r="BD155" s="790">
        <f t="shared" ca="1" si="359"/>
        <v>-6.8633699387609881E-2</v>
      </c>
      <c r="BE155" s="58">
        <f t="shared" ca="1" si="359"/>
        <v>0.28528755804624306</v>
      </c>
      <c r="BF155" s="58">
        <f t="shared" ca="1" si="359"/>
        <v>2.9435417841165044</v>
      </c>
      <c r="BG155" s="58">
        <f t="shared" ca="1" si="359"/>
        <v>0.53033028092012913</v>
      </c>
      <c r="BH155" s="58">
        <f ca="1">IFERROR(IF(OR(INDEX(SP_CFA_FCF_PreDiv,0,COLUMN())&lt;=0,BC105&lt;=0),"NMF",IF(ABS((INDEX(SP_CFA_FCF_PreDiv,0,COLUMN())/INDEX(SP_GF_ShareCount,0,COLUMN()))/(BC105/BC80)-1)&gt;10,"NMF",(INDEX(SP_CFA_FCF_PreDiv,0,COLUMN())/INDEX(SP_GF_ShareCount,0,COLUMN()))/(BC105/BC80)-1)),"N/A")</f>
        <v>1.197088870576358</v>
      </c>
      <c r="BI155" s="790">
        <f ca="1">IFERROR(IF(OR(INDEX(SP_CFA_FCF_PreDiv,0,COLUMN())&lt;=0,BD105&lt;=0),"NMF",IF(ABS((INDEX(SP_CFA_FCF_PreDiv,0,COLUMN())/INDEX(SP_GF_ShareCount,0,COLUMN()))/(BD105/BD80)-1)&gt;10,"NMF",(INDEX(SP_CFA_FCF_PreDiv,0,COLUMN())/INDEX(SP_GF_ShareCount,0,COLUMN()))/(BD105/BD80)-1)),"N/A")</f>
        <v>0.73826739242670203</v>
      </c>
      <c r="BJ155" s="58">
        <f ca="1">IFERROR(IF(OR(INDEX(SP_CFA_FCF_PreDiv,0,COLUMN())&lt;=0,BE105&lt;=0),"NMF",IF(ABS((INDEX(SP_CFA_FCF_PreDiv,0,COLUMN())/INDEX(SP_GF_ShareCount,0,COLUMN()))/(BE105/BE80)-1)&gt;10,"NMF",(INDEX(SP_CFA_FCF_PreDiv,0,COLUMN())/INDEX(SP_GF_ShareCount,0,COLUMN()))/(BE105/BE80)-1)),"N/A")</f>
        <v>-4.6006024201211027E-2</v>
      </c>
      <c r="BK155" s="58">
        <f ca="1">IFERROR(IF(OR(INDEX(SP_CFA_FCF_PreDiv,0,COLUMN())&lt;=0,BF105&lt;=0),"NMF",IF(ABS((INDEX(SP_CFA_FCF_PreDiv,0,COLUMN())/INDEX(SP_GF_ShareCount,0,COLUMN()))/(BF105/BF80)-1)&gt;10,"NMF",(INDEX(SP_CFA_FCF_PreDiv,0,COLUMN())/INDEX(SP_GF_ShareCount,0,COLUMN()))/(BF105/BF80)-1)),"N/A")</f>
        <v>-0.24598011954272958</v>
      </c>
      <c r="BL155" s="414">
        <f ca="1">IFERROR(IF(OR(INDEX(SP_CFA_FCF_PreDiv,0,COLUMN())&lt;=0,BG105&lt;=0),"NMF",IF(ABS((INDEX(SP_CFA_FCF_PreDiv,0,COLUMN())/INDEX(SP_GF_ShareCount,0,COLUMN()))/(BG105/BG80)-1)&gt;10,"NMF",(INDEX(SP_CFA_FCF_PreDiv,0,COLUMN())/INDEX(SP_GF_ShareCount,0,COLUMN()))/(BG105/BG80)-1)),"N/A")</f>
        <v>-7.4233102416658703E-3</v>
      </c>
      <c r="BM155" s="58" t="str">
        <f t="shared" ca="1" si="359"/>
        <v>N/A</v>
      </c>
      <c r="BN155" s="790" t="str">
        <f t="shared" ca="1" si="359"/>
        <v>N/A</v>
      </c>
      <c r="BO155" s="58" t="str">
        <f ca="1">IFERROR(IF(OR(INDEX(SP_CFA_FCF_PreDiv,0,COLUMN())&lt;=0,BJ105&lt;=0),"NMF",IF(ABS((INDEX(SP_CFA_FCF_PreDiv,0,COLUMN())/INDEX(SP_GF_ShareCount,0,COLUMN()))/(BJ105/BJ80)-1)&gt;10,"NMF",(INDEX(SP_CFA_FCF_PreDiv,0,COLUMN())/INDEX(SP_GF_ShareCount,0,COLUMN()))/(BJ105/BJ80)-1)),"N/A")</f>
        <v>NMF</v>
      </c>
      <c r="BP155" s="58" t="str">
        <f ca="1">IFERROR(IF(OR(INDEX(SP_CFA_FCF_PreDiv,0,COLUMN())&lt;=0,BK105&lt;=0),"NMF",IF(ABS((INDEX(SP_CFA_FCF_PreDiv,0,COLUMN())/INDEX(SP_GF_ShareCount,0,COLUMN()))/(BK105/BK80)-1)&gt;10,"NMF",(INDEX(SP_CFA_FCF_PreDiv,0,COLUMN())/INDEX(SP_GF_ShareCount,0,COLUMN()))/(BK105/BK80)-1)),"N/A")</f>
        <v>N/A</v>
      </c>
      <c r="BQ155" s="58" t="str">
        <f ca="1">IFERROR(IF(OR(INDEX(SP_CFA_FCF_PreDiv,0,COLUMN())&lt;=0,BL105&lt;=0),"NMF",IF(ABS((INDEX(SP_CFA_FCF_PreDiv,0,COLUMN())/INDEX(SP_GF_ShareCount,0,COLUMN()))/(BL105/BL80)-1)&gt;10,"NMF",(INDEX(SP_CFA_FCF_PreDiv,0,COLUMN())/INDEX(SP_GF_ShareCount,0,COLUMN()))/(BL105/BL80)-1)),"N/A")</f>
        <v>N/A</v>
      </c>
      <c r="BR155" s="58" t="str">
        <f ca="1">IFERROR(IF(OR(INDEX(SP_CFA_FCF_PreDiv,0,COLUMN())&lt;=0,BM105&lt;=0),"NMF",IF(ABS((INDEX(SP_CFA_FCF_PreDiv,0,COLUMN())/INDEX(SP_GF_ShareCount,0,COLUMN()))/(BM105/BM80)-1)&gt;10,"NMF",(INDEX(SP_CFA_FCF_PreDiv,0,COLUMN())/INDEX(SP_GF_ShareCount,0,COLUMN()))/(BM105/BM80)-1)),"N/A")</f>
        <v>N/A</v>
      </c>
      <c r="BS155" s="790" t="str">
        <f ca="1">IFERROR(IF(OR(INDEX(SP_CFA_FCF_PreDiv,0,COLUMN())&lt;=0,BN105&lt;=0),"NMF",IF(ABS((INDEX(SP_CFA_FCF_PreDiv,0,COLUMN())/INDEX(SP_GF_ShareCount,0,COLUMN()))/(BN105/BN80)-1)&gt;10,"NMF",(INDEX(SP_CFA_FCF_PreDiv,0,COLUMN())/INDEX(SP_GF_ShareCount,0,COLUMN()))/(BN105/BN80)-1)),"N/A")</f>
        <v>N/A</v>
      </c>
      <c r="BT155" s="790" t="str">
        <f ca="1">IFERROR(IF(OR(INDEX(SP_CFA_FCF_PreDiv,0,COLUMN())&lt;=0,BS105&lt;=0),"NMF",IF(ABS((INDEX(SP_CFA_FCF_PreDiv,0,COLUMN())/INDEX(SP_GF_ShareCount,0,COLUMN()))/(BS105/BS80)-1)&gt;10,"NMF",(INDEX(SP_CFA_FCF_PreDiv,0,COLUMN())/INDEX(SP_GF_ShareCount,0,COLUMN()))/(BS105/BS80)-1)),"N/A")</f>
        <v>N/A</v>
      </c>
      <c r="BU155" s="790" t="str">
        <f ca="1">IFERROR(IF(OR(INDEX(SP_CFA_FCF_PreDiv,0,COLUMN())&lt;=0,BT105&lt;=0),"NMF",IF(ABS((INDEX(SP_CFA_FCF_PreDiv,0,COLUMN())/INDEX(SP_GF_ShareCount,0,COLUMN()))/(BT105/BT80)-1)&gt;10,"NMF",(INDEX(SP_CFA_FCF_PreDiv,0,COLUMN())/INDEX(SP_GF_ShareCount,0,COLUMN()))/(BT105/BT80)-1)),"N/A")</f>
        <v>N/A</v>
      </c>
      <c r="BV155" s="790" t="str">
        <f ca="1">IFERROR(IF(OR(INDEX(SP_CFA_FCF_PreDiv,0,COLUMN())&lt;=0,BU105&lt;=0),"NMF",IF(ABS((INDEX(SP_CFA_FCF_PreDiv,0,COLUMN())/INDEX(SP_GF_ShareCount,0,COLUMN()))/(BU105/BU80)-1)&gt;10,"NMF",(INDEX(SP_CFA_FCF_PreDiv,0,COLUMN())/INDEX(SP_GF_ShareCount,0,COLUMN()))/(BU105/BU80)-1)),"N/A")</f>
        <v>N/A</v>
      </c>
      <c r="BW155" s="102"/>
    </row>
    <row r="156" spans="1:75" s="479" customFormat="1">
      <c r="A156" s="92"/>
      <c r="B156" s="97"/>
      <c r="C156" s="787"/>
      <c r="D156" s="787"/>
      <c r="E156" s="787"/>
      <c r="F156" s="787"/>
      <c r="G156" s="551"/>
      <c r="H156" s="551"/>
      <c r="I156" s="551"/>
      <c r="J156" s="551"/>
      <c r="K156" s="787"/>
      <c r="L156" s="551"/>
      <c r="M156" s="551"/>
      <c r="N156" s="551"/>
      <c r="O156" s="551"/>
      <c r="P156" s="787"/>
      <c r="Q156" s="551"/>
      <c r="R156" s="551"/>
      <c r="S156" s="551"/>
      <c r="T156" s="551"/>
      <c r="U156" s="787"/>
      <c r="V156" s="551"/>
      <c r="W156" s="551"/>
      <c r="X156" s="551"/>
      <c r="Y156" s="551"/>
      <c r="Z156" s="787"/>
      <c r="AA156" s="551"/>
      <c r="AB156" s="551"/>
      <c r="AC156" s="551"/>
      <c r="AD156" s="551"/>
      <c r="AE156" s="787"/>
      <c r="AF156" s="551"/>
      <c r="AG156" s="551"/>
      <c r="AH156" s="551"/>
      <c r="AI156" s="551"/>
      <c r="AJ156" s="787"/>
      <c r="AK156" s="551"/>
      <c r="AL156" s="551"/>
      <c r="AM156" s="551"/>
      <c r="AN156" s="551"/>
      <c r="AO156" s="787"/>
      <c r="AP156" s="551"/>
      <c r="AQ156" s="551"/>
      <c r="AR156" s="551"/>
      <c r="AS156" s="551"/>
      <c r="AT156" s="787"/>
      <c r="AU156" s="551"/>
      <c r="AV156" s="551"/>
      <c r="AW156" s="551"/>
      <c r="AX156" s="551"/>
      <c r="AY156" s="787"/>
      <c r="AZ156" s="551"/>
      <c r="BA156" s="551"/>
      <c r="BB156" s="551"/>
      <c r="BC156" s="551"/>
      <c r="BD156" s="787"/>
      <c r="BE156" s="551"/>
      <c r="BF156" s="551"/>
      <c r="BG156" s="551"/>
      <c r="BH156" s="551"/>
      <c r="BI156" s="787"/>
      <c r="BJ156" s="551"/>
      <c r="BK156" s="551"/>
      <c r="BL156" s="596"/>
      <c r="BM156" s="551"/>
      <c r="BN156" s="787"/>
      <c r="BO156" s="551"/>
      <c r="BP156" s="551"/>
      <c r="BQ156" s="551"/>
      <c r="BR156" s="551"/>
      <c r="BS156" s="787"/>
      <c r="BT156" s="787"/>
      <c r="BU156" s="787"/>
      <c r="BV156" s="787"/>
      <c r="BW156" s="551"/>
    </row>
    <row r="157" spans="1:75" s="479" customFormat="1">
      <c r="A157" s="55" t="s">
        <v>680</v>
      </c>
      <c r="B157" s="553"/>
      <c r="C157" s="553"/>
      <c r="D157" s="553"/>
      <c r="E157" s="553"/>
      <c r="F157" s="553"/>
      <c r="G157" s="553"/>
      <c r="H157" s="553"/>
      <c r="I157" s="553"/>
      <c r="J157" s="553"/>
      <c r="K157" s="553"/>
      <c r="L157" s="553"/>
      <c r="M157" s="553"/>
      <c r="N157" s="553"/>
      <c r="O157" s="553"/>
      <c r="P157" s="553"/>
      <c r="Q157" s="553"/>
      <c r="R157" s="553"/>
      <c r="S157" s="553"/>
      <c r="T157" s="553"/>
      <c r="U157" s="553"/>
      <c r="V157" s="553"/>
      <c r="W157" s="553"/>
      <c r="X157" s="553"/>
      <c r="Y157" s="553"/>
      <c r="Z157" s="553"/>
      <c r="AA157" s="553"/>
      <c r="AB157" s="553"/>
      <c r="AC157" s="553"/>
      <c r="AD157" s="553"/>
      <c r="AE157" s="553"/>
      <c r="AF157" s="553"/>
      <c r="AG157" s="553"/>
      <c r="AH157" s="553"/>
      <c r="AI157" s="553"/>
      <c r="AJ157" s="553"/>
      <c r="AK157" s="553"/>
      <c r="AL157" s="553"/>
      <c r="AM157" s="553"/>
      <c r="AN157" s="553"/>
      <c r="AO157" s="553"/>
      <c r="AP157" s="553"/>
      <c r="AQ157" s="553"/>
      <c r="AR157" s="553"/>
      <c r="AS157" s="553"/>
      <c r="AT157" s="553"/>
      <c r="AU157" s="553"/>
      <c r="AV157" s="553"/>
      <c r="AW157" s="553"/>
      <c r="AX157" s="553"/>
      <c r="AY157" s="553"/>
      <c r="AZ157" s="553"/>
      <c r="BA157" s="553"/>
      <c r="BB157" s="553"/>
      <c r="BC157" s="553"/>
      <c r="BD157" s="553"/>
      <c r="BE157" s="553"/>
      <c r="BF157" s="553"/>
      <c r="BG157" s="553"/>
      <c r="BH157" s="553"/>
      <c r="BI157" s="553"/>
      <c r="BJ157" s="553"/>
      <c r="BK157" s="553"/>
      <c r="BL157" s="600"/>
      <c r="BM157" s="553"/>
      <c r="BN157" s="553"/>
      <c r="BO157" s="553"/>
      <c r="BP157" s="553"/>
      <c r="BQ157" s="553"/>
      <c r="BR157" s="553"/>
      <c r="BS157" s="553"/>
      <c r="BT157" s="553"/>
      <c r="BU157" s="553"/>
      <c r="BV157" s="553"/>
      <c r="BW157" s="551"/>
    </row>
    <row r="158" spans="1:75" s="487" customFormat="1">
      <c r="A158" s="112" t="str">
        <f>"P/E - "&amp;SP.ValuationToggle</f>
        <v>P/E - EoP</v>
      </c>
      <c r="B158" s="113"/>
      <c r="C158" s="806"/>
      <c r="D158" s="806"/>
      <c r="E158" s="806"/>
      <c r="F158" s="806">
        <f>INDEX(SP_CS_StockPrice,0,COLUMN())/INDEX(SP_NGF_EPS,0,COLUMN())</f>
        <v>-53.550213825271172</v>
      </c>
      <c r="G158" s="555"/>
      <c r="H158" s="555"/>
      <c r="I158" s="555"/>
      <c r="J158" s="555"/>
      <c r="K158" s="806">
        <f>INDEX(SP_CS_StockPrice,0,COLUMN())/INDEX(SP_NGF_EPS,0,COLUMN())</f>
        <v>236.679406465</v>
      </c>
      <c r="L158" s="555"/>
      <c r="M158" s="555"/>
      <c r="N158" s="555"/>
      <c r="O158" s="555"/>
      <c r="P158" s="806">
        <f>INDEX(SP_CS_StockPrice,0,COLUMN())/INDEX(SP_NGF_EPS,0,COLUMN())</f>
        <v>78.511215351812325</v>
      </c>
      <c r="Q158" s="555"/>
      <c r="R158" s="555"/>
      <c r="S158" s="555"/>
      <c r="T158" s="555"/>
      <c r="U158" s="806">
        <f>INDEX(SP_CS_StockPrice,0,COLUMN())/INDEX(SP_NGF_EPS,0,COLUMN())</f>
        <v>76.308718214841633</v>
      </c>
      <c r="V158" s="555"/>
      <c r="W158" s="64"/>
      <c r="X158" s="64"/>
      <c r="Y158" s="64"/>
      <c r="Z158" s="806">
        <f>INDEX(SP_CS_StockPrice,0,COLUMN())/INDEX(SP_NGF_EPS,0,COLUMN())</f>
        <v>52.089403263795568</v>
      </c>
      <c r="AA158" s="64"/>
      <c r="AB158" s="64"/>
      <c r="AC158" s="64"/>
      <c r="AD158" s="64"/>
      <c r="AE158" s="806">
        <f>INDEX(SP_CS_StockPrice,0,COLUMN())/INDEX(SP_NGF_EPS,0,COLUMN())</f>
        <v>45.548151376660925</v>
      </c>
      <c r="AF158" s="64"/>
      <c r="AG158" s="64"/>
      <c r="AH158" s="64"/>
      <c r="AI158" s="64"/>
      <c r="AJ158" s="806">
        <f>INDEX(SP_CS_StockPrice,0,COLUMN())/INDEX(SP_NGF_EPS,0,COLUMN())</f>
        <v>55.164657271906009</v>
      </c>
      <c r="AK158" s="64"/>
      <c r="AL158" s="64"/>
      <c r="AM158" s="64"/>
      <c r="AN158" s="64"/>
      <c r="AO158" s="806">
        <f>INDEX(SP_CS_StockPrice,0,COLUMN())/INDEX(SP_NGF_EPS,0,COLUMN())</f>
        <v>65.951616154203705</v>
      </c>
      <c r="AP158" s="64"/>
      <c r="AQ158" s="64"/>
      <c r="AR158" s="64"/>
      <c r="AS158" s="64"/>
      <c r="AT158" s="806">
        <f>INDEX(SP_CS_StockPrice,0,COLUMN())/INDEX(SP_NGF_EPS,0,COLUMN())</f>
        <v>-118.91877059308098</v>
      </c>
      <c r="AU158" s="64"/>
      <c r="AV158" s="64"/>
      <c r="AW158" s="64"/>
      <c r="AX158" s="64"/>
      <c r="AY158" s="806">
        <f>INDEX(SP_CS_StockPrice,0,COLUMN())/INDEX(SP_NGF_EPS,0,COLUMN())</f>
        <v>72.292396965037611</v>
      </c>
      <c r="AZ158" s="64"/>
      <c r="BA158" s="64"/>
      <c r="BB158" s="64"/>
      <c r="BC158" s="64"/>
      <c r="BD158" s="806">
        <f>INDEX(SP_CS_StockPrice,0,COLUMN())/INDEX(SP_NGF_EPS,0,COLUMN())</f>
        <v>55.212553443200179</v>
      </c>
      <c r="BE158" s="64"/>
      <c r="BF158" s="64"/>
      <c r="BG158" s="64"/>
      <c r="BH158" s="64"/>
      <c r="BI158" s="806">
        <f>INDEX(SP_CS_StockPrice,0,COLUMN())/INDEX(SP_NGF_EPS,0,COLUMN())</f>
        <v>35.130878767406493</v>
      </c>
      <c r="BJ158" s="64"/>
      <c r="BK158" s="64"/>
      <c r="BL158" s="426"/>
      <c r="BM158" s="64"/>
      <c r="BN158" s="806" t="e">
        <f>INDEX(SP_CS_StockPrice,0,COLUMN())/INDEX(SP_NGF_EPS,0,COLUMN())</f>
        <v>#REF!</v>
      </c>
      <c r="BO158" s="64"/>
      <c r="BP158" s="64"/>
      <c r="BQ158" s="64"/>
      <c r="BR158" s="64"/>
      <c r="BS158" s="806" t="e">
        <f>INDEX(SP_CS_StockPrice,0,COLUMN())/INDEX(SP_NGF_EPS,0,COLUMN())</f>
        <v>#REF!</v>
      </c>
      <c r="BT158" s="806" t="e">
        <f>INDEX(SP_CS_StockPrice,0,COLUMN())/INDEX(SP_NGF_EPS,0,COLUMN())</f>
        <v>#REF!</v>
      </c>
      <c r="BU158" s="806" t="e">
        <f>INDEX(SP_CS_StockPrice,0,COLUMN())/INDEX(SP_NGF_EPS,0,COLUMN())</f>
        <v>#REF!</v>
      </c>
      <c r="BV158" s="806" t="e">
        <f>INDEX(SP_CS_StockPrice,0,COLUMN())/INDEX(SP_NGF_EPS,0,COLUMN())</f>
        <v>#REF!</v>
      </c>
      <c r="BW158" s="64"/>
    </row>
    <row r="159" spans="1:75" s="487" customFormat="1">
      <c r="A159" s="112" t="str">
        <f>"EV/Sales - "&amp;SP.ValuationToggle</f>
        <v>EV/Sales - EoP</v>
      </c>
      <c r="B159" s="113"/>
      <c r="C159" s="806"/>
      <c r="D159" s="806"/>
      <c r="E159" s="806"/>
      <c r="F159" s="806">
        <f>INDEX(SP_CS_EV,0,COLUMN())/INDEX(SP_GF_Rev,0,COLUMN())</f>
        <v>7.9570831177535295</v>
      </c>
      <c r="G159" s="555"/>
      <c r="H159" s="555"/>
      <c r="I159" s="555"/>
      <c r="J159" s="555"/>
      <c r="K159" s="806">
        <f>INDEX(SP_CS_EV,0,COLUMN())/INDEX(SP_GF_Rev,0,COLUMN())</f>
        <v>18.372467801903962</v>
      </c>
      <c r="L159" s="555"/>
      <c r="M159" s="555"/>
      <c r="N159" s="555"/>
      <c r="O159" s="555"/>
      <c r="P159" s="806">
        <f>INDEX(SP_CS_EV,0,COLUMN())/INDEX(SP_GF_Rev,0,COLUMN())</f>
        <v>9.6459905144939846</v>
      </c>
      <c r="Q159" s="555"/>
      <c r="R159" s="555"/>
      <c r="S159" s="555"/>
      <c r="T159" s="555"/>
      <c r="U159" s="806">
        <f>INDEX(SP_CS_EV,0,COLUMN())/INDEX(SP_GF_Rev,0,COLUMN())</f>
        <v>3.3049472222677014</v>
      </c>
      <c r="V159" s="555"/>
      <c r="W159" s="64"/>
      <c r="X159" s="64"/>
      <c r="Y159" s="64"/>
      <c r="Z159" s="806">
        <f>INDEX(SP_CS_EV,0,COLUMN())/INDEX(SP_GF_Rev,0,COLUMN())</f>
        <v>3.8453785289922866</v>
      </c>
      <c r="AA159" s="64"/>
      <c r="AB159" s="64"/>
      <c r="AC159" s="64"/>
      <c r="AD159" s="64"/>
      <c r="AE159" s="806">
        <f>INDEX(SP_CS_EV,0,COLUMN())/INDEX(SP_GF_Rev,0,COLUMN())</f>
        <v>3.3985704543355029</v>
      </c>
      <c r="AF159" s="64"/>
      <c r="AG159" s="64"/>
      <c r="AH159" s="64"/>
      <c r="AI159" s="64"/>
      <c r="AJ159" s="806">
        <f>INDEX(SP_CS_EV,0,COLUMN())/INDEX(SP_GF_Rev,0,COLUMN())</f>
        <v>2.2992366331874163</v>
      </c>
      <c r="AK159" s="64"/>
      <c r="AL159" s="64"/>
      <c r="AM159" s="64"/>
      <c r="AN159" s="64"/>
      <c r="AO159" s="806">
        <f>INDEX(SP_CS_EV,0,COLUMN())/INDEX(SP_GF_Rev,0,COLUMN())</f>
        <v>2.2556318450316213</v>
      </c>
      <c r="AP159" s="64"/>
      <c r="AQ159" s="64"/>
      <c r="AR159" s="64"/>
      <c r="AS159" s="64"/>
      <c r="AT159" s="806">
        <f>INDEX(SP_CS_EV,0,COLUMN())/INDEX(SP_GF_Rev,0,COLUMN())</f>
        <v>2.3628345291104815</v>
      </c>
      <c r="AU159" s="64"/>
      <c r="AV159" s="64"/>
      <c r="AW159" s="64"/>
      <c r="AX159" s="64"/>
      <c r="AY159" s="806">
        <f>INDEX(SP_CS_EV,0,COLUMN())/INDEX(SP_GF_Rev,0,COLUMN())</f>
        <v>2.3583346642257168</v>
      </c>
      <c r="AZ159" s="64"/>
      <c r="BA159" s="64"/>
      <c r="BB159" s="64"/>
      <c r="BC159" s="64"/>
      <c r="BD159" s="806">
        <f>INDEX(SP_CS_EV,0,COLUMN())/INDEX(SP_GF_Rev,0,COLUMN())</f>
        <v>1.4051969742925463</v>
      </c>
      <c r="BE159" s="64"/>
      <c r="BF159" s="64"/>
      <c r="BG159" s="64"/>
      <c r="BH159" s="64"/>
      <c r="BI159" s="806">
        <f>INDEX(SP_CS_EV,0,COLUMN())/INDEX(SP_GF_Rev,0,COLUMN())</f>
        <v>2.3279864508900863</v>
      </c>
      <c r="BJ159" s="64"/>
      <c r="BK159" s="64"/>
      <c r="BL159" s="426"/>
      <c r="BM159" s="64"/>
      <c r="BN159" s="806" t="e">
        <f>INDEX(SP_CS_EV,0,COLUMN())/INDEX(SP_GF_Rev,0,COLUMN())</f>
        <v>#REF!</v>
      </c>
      <c r="BO159" s="64"/>
      <c r="BP159" s="64"/>
      <c r="BQ159" s="64"/>
      <c r="BR159" s="64"/>
      <c r="BS159" s="806" t="e">
        <f>INDEX(SP_CS_EV,0,COLUMN())/INDEX(SP_GF_Rev,0,COLUMN())</f>
        <v>#REF!</v>
      </c>
      <c r="BT159" s="806" t="e">
        <f>INDEX(SP_CS_EV,0,COLUMN())/INDEX(SP_GF_Rev,0,COLUMN())</f>
        <v>#REF!</v>
      </c>
      <c r="BU159" s="806" t="e">
        <f>INDEX(SP_CS_EV,0,COLUMN())/INDEX(SP_GF_Rev,0,COLUMN())</f>
        <v>#REF!</v>
      </c>
      <c r="BV159" s="806" t="e">
        <f>INDEX(SP_CS_EV,0,COLUMN())/INDEX(SP_GF_Rev,0,COLUMN())</f>
        <v>#REF!</v>
      </c>
      <c r="BW159" s="64"/>
    </row>
    <row r="160" spans="1:75" s="487" customFormat="1">
      <c r="A160" s="112" t="str">
        <f>"EV/EBITDA - "&amp;SP.ValuationToggle</f>
        <v>EV/EBITDA - EoP</v>
      </c>
      <c r="B160" s="113"/>
      <c r="C160" s="806"/>
      <c r="D160" s="806"/>
      <c r="E160" s="806"/>
      <c r="F160" s="806">
        <f>INDEX(SP_CS_EV,0,COLUMN())/INDEX(SP_NGF_EBITDA,0,COLUMN())</f>
        <v>238.06699722922937</v>
      </c>
      <c r="G160" s="555"/>
      <c r="H160" s="555"/>
      <c r="I160" s="555"/>
      <c r="J160" s="555"/>
      <c r="K160" s="806">
        <f>INDEX(SP_CS_EV,0,COLUMN())/INDEX(SP_NGF_EBITDA,0,COLUMN())</f>
        <v>145.45395794046692</v>
      </c>
      <c r="L160" s="555"/>
      <c r="M160" s="555"/>
      <c r="N160" s="555"/>
      <c r="O160" s="555"/>
      <c r="P160" s="806">
        <f>INDEX(SP_CS_EV,0,COLUMN())/INDEX(SP_NGF_EBITDA,0,COLUMN())</f>
        <v>51.348082046191585</v>
      </c>
      <c r="Q160" s="555"/>
      <c r="R160" s="555"/>
      <c r="S160" s="555"/>
      <c r="T160" s="555"/>
      <c r="U160" s="806">
        <f>INDEX(SP_CS_EV,0,COLUMN())/INDEX(SP_NGF_EBITDA,0,COLUMN())</f>
        <v>26.283467528427988</v>
      </c>
      <c r="V160" s="555"/>
      <c r="W160" s="64"/>
      <c r="X160" s="64"/>
      <c r="Y160" s="64"/>
      <c r="Z160" s="806">
        <f>INDEX(SP_CS_EV,0,COLUMN())/INDEX(SP_NGF_EBITDA,0,COLUMN())</f>
        <v>22.834374743219279</v>
      </c>
      <c r="AA160" s="64"/>
      <c r="AB160" s="64"/>
      <c r="AC160" s="64"/>
      <c r="AD160" s="64"/>
      <c r="AE160" s="806">
        <f>INDEX(SP_CS_EV,0,COLUMN())/INDEX(SP_NGF_EBITDA,0,COLUMN())</f>
        <v>18.321844787043954</v>
      </c>
      <c r="AF160" s="64"/>
      <c r="AG160" s="64"/>
      <c r="AH160" s="64"/>
      <c r="AI160" s="64"/>
      <c r="AJ160" s="806">
        <f>INDEX(SP_CS_EV,0,COLUMN())/INDEX(SP_NGF_EBITDA,0,COLUMN())</f>
        <v>11.83930426773718</v>
      </c>
      <c r="AK160" s="64"/>
      <c r="AL160" s="64"/>
      <c r="AM160" s="64"/>
      <c r="AN160" s="64"/>
      <c r="AO160" s="806">
        <f>INDEX(SP_CS_EV,0,COLUMN())/INDEX(SP_NGF_EBITDA,0,COLUMN())</f>
        <v>10.715231192486952</v>
      </c>
      <c r="AP160" s="64"/>
      <c r="AQ160" s="64"/>
      <c r="AR160" s="64"/>
      <c r="AS160" s="64"/>
      <c r="AT160" s="806">
        <f>INDEX(SP_CS_EV,0,COLUMN())/INDEX(SP_NGF_EBITDA,0,COLUMN())</f>
        <v>14.706568513368987</v>
      </c>
      <c r="AU160" s="64"/>
      <c r="AV160" s="64"/>
      <c r="AW160" s="64"/>
      <c r="AX160" s="64"/>
      <c r="AY160" s="806">
        <f>INDEX(SP_CS_EV,0,COLUMN())/INDEX(SP_NGF_EBITDA,0,COLUMN())</f>
        <v>9.8789467595524592</v>
      </c>
      <c r="AZ160" s="64"/>
      <c r="BA160" s="64"/>
      <c r="BB160" s="64"/>
      <c r="BC160" s="64"/>
      <c r="BD160" s="806">
        <f>INDEX(SP_CS_EV,0,COLUMN())/INDEX(SP_NGF_EBITDA,0,COLUMN())</f>
        <v>6.2170716083615325</v>
      </c>
      <c r="BE160" s="64"/>
      <c r="BF160" s="64"/>
      <c r="BG160" s="64"/>
      <c r="BH160" s="64"/>
      <c r="BI160" s="806">
        <f>INDEX(SP_CS_EV,0,COLUMN())/INDEX(SP_NGF_EBITDA,0,COLUMN())</f>
        <v>9.4182394785971297</v>
      </c>
      <c r="BJ160" s="64"/>
      <c r="BK160" s="64"/>
      <c r="BL160" s="426"/>
      <c r="BM160" s="64"/>
      <c r="BN160" s="806" t="e">
        <f>INDEX(SP_CS_EV,0,COLUMN())/INDEX(SP_NGF_EBITDA,0,COLUMN())</f>
        <v>#REF!</v>
      </c>
      <c r="BO160" s="64"/>
      <c r="BP160" s="64"/>
      <c r="BQ160" s="64"/>
      <c r="BR160" s="64"/>
      <c r="BS160" s="806" t="e">
        <f>INDEX(SP_CS_EV,0,COLUMN())/INDEX(SP_NGF_EBITDA,0,COLUMN())</f>
        <v>#REF!</v>
      </c>
      <c r="BT160" s="806" t="e">
        <f>INDEX(SP_CS_EV,0,COLUMN())/INDEX(SP_NGF_EBITDA,0,COLUMN())</f>
        <v>#REF!</v>
      </c>
      <c r="BU160" s="806" t="e">
        <f>INDEX(SP_CS_EV,0,COLUMN())/INDEX(SP_NGF_EBITDA,0,COLUMN())</f>
        <v>#REF!</v>
      </c>
      <c r="BV160" s="806" t="e">
        <f>INDEX(SP_CS_EV,0,COLUMN())/INDEX(SP_NGF_EBITDA,0,COLUMN())</f>
        <v>#REF!</v>
      </c>
      <c r="BW160" s="64"/>
    </row>
    <row r="161" spans="1:75" s="487" customFormat="1">
      <c r="A161" s="112" t="str">
        <f>"P/CF - "&amp;SP.ValuationToggle</f>
        <v>P/CF - EoP</v>
      </c>
      <c r="B161" s="113"/>
      <c r="C161" s="806"/>
      <c r="D161" s="806"/>
      <c r="E161" s="806"/>
      <c r="F161" s="806">
        <f ca="1">INDEX(SP_CS_StockPrice,0,COLUMN())/INDEX(SP_CFA_CFO_PerShare,0,COLUMN())</f>
        <v>-10321.127575757555</v>
      </c>
      <c r="G161" s="555"/>
      <c r="H161" s="555"/>
      <c r="I161" s="555"/>
      <c r="J161" s="555"/>
      <c r="K161" s="806">
        <f ca="1">INDEX(SP_CS_StockPrice,0,COLUMN())/INDEX(SP_CFA_CFO_PerShare,0,COLUMN())</f>
        <v>202.24648422919</v>
      </c>
      <c r="L161" s="555"/>
      <c r="M161" s="555"/>
      <c r="N161" s="555"/>
      <c r="O161" s="555"/>
      <c r="P161" s="806">
        <f ca="1">INDEX(SP_CS_StockPrice,0,COLUMN())/INDEX(SP_CFA_CFO_PerShare,0,COLUMN())</f>
        <v>71.823152661741332</v>
      </c>
      <c r="Q161" s="555"/>
      <c r="R161" s="555"/>
      <c r="S161" s="555"/>
      <c r="T161" s="555"/>
      <c r="U161" s="806">
        <f ca="1">INDEX(SP_CS_StockPrice,0,COLUMN())/INDEX(SP_CFA_CFO_PerShare,0,COLUMN())</f>
        <v>38.452346501168023</v>
      </c>
      <c r="V161" s="555"/>
      <c r="W161" s="64"/>
      <c r="X161" s="64"/>
      <c r="Y161" s="64"/>
      <c r="Z161" s="806">
        <f ca="1">INDEX(SP_CS_StockPrice,0,COLUMN())/INDEX(SP_CFA_CFO_PerShare,0,COLUMN())</f>
        <v>24.398692907801422</v>
      </c>
      <c r="AA161" s="64"/>
      <c r="AB161" s="64"/>
      <c r="AC161" s="64"/>
      <c r="AD161" s="64"/>
      <c r="AE161" s="806">
        <f ca="1">INDEX(SP_CS_StockPrice,0,COLUMN())/INDEX(SP_CFA_CFO_PerShare,0,COLUMN())</f>
        <v>21.817588146522152</v>
      </c>
      <c r="AF161" s="64"/>
      <c r="AG161" s="64"/>
      <c r="AH161" s="64"/>
      <c r="AI161" s="64"/>
      <c r="AJ161" s="806">
        <f ca="1">INDEX(SP_CS_StockPrice,0,COLUMN())/INDEX(SP_CFA_CFO_PerShare,0,COLUMN())</f>
        <v>19.061245793978294</v>
      </c>
      <c r="AK161" s="64"/>
      <c r="AL161" s="64"/>
      <c r="AM161" s="64"/>
      <c r="AN161" s="64"/>
      <c r="AO161" s="806">
        <f ca="1">INDEX(SP_CS_StockPrice,0,COLUMN())/INDEX(SP_CFA_CFO_PerShare,0,COLUMN())</f>
        <v>13.166040081647802</v>
      </c>
      <c r="AP161" s="64"/>
      <c r="AQ161" s="64"/>
      <c r="AR161" s="64"/>
      <c r="AS161" s="64"/>
      <c r="AT161" s="806">
        <f ca="1">INDEX(SP_CS_StockPrice,0,COLUMN())/INDEX(SP_CFA_CFO_PerShare,0,COLUMN())</f>
        <v>13.072241809610583</v>
      </c>
      <c r="AU161" s="64"/>
      <c r="AV161" s="64"/>
      <c r="AW161" s="64"/>
      <c r="AX161" s="64"/>
      <c r="AY161" s="806">
        <f ca="1">INDEX(SP_CS_StockPrice,0,COLUMN())/INDEX(SP_CFA_CFO_PerShare,0,COLUMN())</f>
        <v>13.486217958665447</v>
      </c>
      <c r="AZ161" s="64"/>
      <c r="BA161" s="64"/>
      <c r="BB161" s="64"/>
      <c r="BC161" s="64"/>
      <c r="BD161" s="806">
        <f ca="1">INDEX(SP_CS_StockPrice,0,COLUMN())/INDEX(SP_CFA_CFO_PerShare,0,COLUMN())</f>
        <v>10.435344575656883</v>
      </c>
      <c r="BE161" s="64"/>
      <c r="BF161" s="64"/>
      <c r="BG161" s="64"/>
      <c r="BH161" s="64"/>
      <c r="BI161" s="806">
        <f ca="1">INDEX(SP_CS_StockPrice,0,COLUMN())/INDEX(SP_CFA_CFO_PerShare,0,COLUMN())</f>
        <v>11.375325323233646</v>
      </c>
      <c r="BJ161" s="64"/>
      <c r="BK161" s="64"/>
      <c r="BL161" s="426"/>
      <c r="BM161" s="64"/>
      <c r="BN161" s="806" t="e">
        <f ca="1">INDEX(SP_CS_StockPrice,0,COLUMN())/INDEX(SP_CFA_CFO_PerShare,0,COLUMN())</f>
        <v>#REF!</v>
      </c>
      <c r="BO161" s="64"/>
      <c r="BP161" s="64"/>
      <c r="BQ161" s="64"/>
      <c r="BR161" s="64"/>
      <c r="BS161" s="806" t="e">
        <f ca="1">INDEX(SP_CS_StockPrice,0,COLUMN())/INDEX(SP_CFA_CFO_PerShare,0,COLUMN())</f>
        <v>#REF!</v>
      </c>
      <c r="BT161" s="806" t="e">
        <f ca="1">INDEX(SP_CS_StockPrice,0,COLUMN())/INDEX(SP_CFA_CFO_PerShare,0,COLUMN())</f>
        <v>#REF!</v>
      </c>
      <c r="BU161" s="806" t="e">
        <f ca="1">INDEX(SP_CS_StockPrice,0,COLUMN())/INDEX(SP_CFA_CFO_PerShare,0,COLUMN())</f>
        <v>#REF!</v>
      </c>
      <c r="BV161" s="806" t="e">
        <f ca="1">INDEX(SP_CS_StockPrice,0,COLUMN())/INDEX(SP_CFA_CFO_PerShare,0,COLUMN())</f>
        <v>#REF!</v>
      </c>
      <c r="BW161" s="64"/>
    </row>
    <row r="162" spans="1:75" s="482" customFormat="1">
      <c r="A162" s="98" t="str">
        <f>"FCF Yield % to "&amp;SP.ValuationToggle&amp;" Market Cap"</f>
        <v>FCF Yield % to EoP Market Cap</v>
      </c>
      <c r="B162" s="99"/>
      <c r="C162" s="790"/>
      <c r="D162" s="790"/>
      <c r="E162" s="790"/>
      <c r="F162" s="790">
        <f ca="1">INDEX(SP_CFA_FCF_PreDiv,0,COLUMN())/INDEX(SP_CS_MarketCap,0,COLUMN())</f>
        <v>-8.8224274510327379E-3</v>
      </c>
      <c r="G162" s="58"/>
      <c r="H162" s="58"/>
      <c r="I162" s="58"/>
      <c r="J162" s="58"/>
      <c r="K162" s="790">
        <f ca="1">INDEX(SP_CFA_FCF_PreDiv,0,COLUMN())/INDEX(SP_CS_MarketCap,0,COLUMN())</f>
        <v>7.1251656892794648E-5</v>
      </c>
      <c r="L162" s="58"/>
      <c r="M162" s="58"/>
      <c r="N162" s="58"/>
      <c r="O162" s="58"/>
      <c r="P162" s="790">
        <f ca="1">INDEX(SP_CFA_FCF_PreDiv,0,COLUMN())/INDEX(SP_CS_MarketCap,0,COLUMN())</f>
        <v>3.8889550890011098E-3</v>
      </c>
      <c r="Q162" s="58"/>
      <c r="R162" s="58"/>
      <c r="S162" s="58"/>
      <c r="T162" s="58"/>
      <c r="U162" s="790">
        <f ca="1">INDEX(SP_CFA_FCF_PreDiv,0,COLUMN())/INDEX(SP_CS_MarketCap,0,COLUMN())</f>
        <v>6.2856190680937512E-3</v>
      </c>
      <c r="V162" s="58"/>
      <c r="W162" s="58"/>
      <c r="X162" s="58"/>
      <c r="Y162" s="58"/>
      <c r="Z162" s="790">
        <f ca="1">INDEX(SP_CFA_FCF_PreDiv,0,COLUMN())/INDEX(SP_CS_MarketCap,0,COLUMN())</f>
        <v>2.7644207348541037E-2</v>
      </c>
      <c r="AA162" s="58"/>
      <c r="AB162" s="58"/>
      <c r="AC162" s="58"/>
      <c r="AD162" s="58"/>
      <c r="AE162" s="790">
        <f ca="1">INDEX(SP_CFA_FCF_PreDiv,0,COLUMN())/INDEX(SP_CS_MarketCap,0,COLUMN())</f>
        <v>3.6577469139878666E-2</v>
      </c>
      <c r="AF162" s="58"/>
      <c r="AG162" s="58"/>
      <c r="AH162" s="58"/>
      <c r="AI162" s="58"/>
      <c r="AJ162" s="790">
        <f ca="1">INDEX(SP_CFA_FCF_PreDiv,0,COLUMN())/INDEX(SP_CS_MarketCap,0,COLUMN())</f>
        <v>3.9114415303083329E-2</v>
      </c>
      <c r="AK162" s="58"/>
      <c r="AL162" s="58"/>
      <c r="AM162" s="58"/>
      <c r="AN162" s="58"/>
      <c r="AO162" s="790">
        <f ca="1">INDEX(SP_CFA_FCF_PreDiv,0,COLUMN())/INDEX(SP_CS_MarketCap,0,COLUMN())</f>
        <v>6.576747791125756E-2</v>
      </c>
      <c r="AP162" s="58"/>
      <c r="AQ162" s="58"/>
      <c r="AR162" s="58"/>
      <c r="AS162" s="58"/>
      <c r="AT162" s="790">
        <f ca="1">INDEX(SP_CFA_FCF_PreDiv,0,COLUMN())/INDEX(SP_CS_MarketCap,0,COLUMN())</f>
        <v>5.6351253665579519E-2</v>
      </c>
      <c r="AU162" s="58"/>
      <c r="AV162" s="58"/>
      <c r="AW162" s="58"/>
      <c r="AX162" s="58"/>
      <c r="AY162" s="790">
        <f ca="1">INDEX(SP_CFA_FCF_PreDiv,0,COLUMN())/INDEX(SP_CS_MarketCap,0,COLUMN())</f>
        <v>6.7146137923682667E-2</v>
      </c>
      <c r="AZ162" s="58"/>
      <c r="BA162" s="58"/>
      <c r="BB162" s="58"/>
      <c r="BC162" s="58"/>
      <c r="BD162" s="790">
        <f ca="1">INDEX(SP_CFA_FCF_PreDiv,0,COLUMN())/INDEX(SP_CS_MarketCap,0,COLUMN())</f>
        <v>8.2129621863295699E-2</v>
      </c>
      <c r="BE162" s="58"/>
      <c r="BF162" s="58"/>
      <c r="BG162" s="58"/>
      <c r="BH162" s="58"/>
      <c r="BI162" s="790">
        <f ca="1">INDEX(SP_CFA_FCF_PreDiv,0,COLUMN())/INDEX(SP_CS_MarketCap,0,COLUMN())</f>
        <v>8.0601405387510497E-2</v>
      </c>
      <c r="BJ162" s="58"/>
      <c r="BK162" s="58"/>
      <c r="BL162" s="414"/>
      <c r="BM162" s="58"/>
      <c r="BN162" s="790" t="e">
        <f ca="1">INDEX(SP_CFA_FCF_PreDiv,0,COLUMN())/INDEX(SP_CS_MarketCap,0,COLUMN())</f>
        <v>#REF!</v>
      </c>
      <c r="BO162" s="58"/>
      <c r="BP162" s="58"/>
      <c r="BQ162" s="58"/>
      <c r="BR162" s="58"/>
      <c r="BS162" s="790" t="e">
        <f ca="1">INDEX(SP_CFA_FCF_PreDiv,0,COLUMN())/INDEX(SP_CS_MarketCap,0,COLUMN())</f>
        <v>#REF!</v>
      </c>
      <c r="BT162" s="790" t="e">
        <f ca="1">INDEX(SP_CFA_FCF_PreDiv,0,COLUMN())/INDEX(SP_CS_MarketCap,0,COLUMN())</f>
        <v>#REF!</v>
      </c>
      <c r="BU162" s="790" t="e">
        <f ca="1">INDEX(SP_CFA_FCF_PreDiv,0,COLUMN())/INDEX(SP_CS_MarketCap,0,COLUMN())</f>
        <v>#REF!</v>
      </c>
      <c r="BV162" s="790" t="e">
        <f ca="1">INDEX(SP_CFA_FCF_PreDiv,0,COLUMN())/INDEX(SP_CS_MarketCap,0,COLUMN())</f>
        <v>#REF!</v>
      </c>
      <c r="BW162" s="102"/>
    </row>
    <row r="163" spans="1:75" s="482" customFormat="1">
      <c r="A163" s="98" t="str">
        <f>"FCF Yield % to "&amp;SP.ValuationToggle&amp;" Enterprise Value"</f>
        <v>FCF Yield % to EoP Enterprise Value</v>
      </c>
      <c r="B163" s="99"/>
      <c r="C163" s="790"/>
      <c r="D163" s="790"/>
      <c r="E163" s="790"/>
      <c r="F163" s="790">
        <f ca="1">INDEX(SP_CFA_FCF_PreDiv,0,COLUMN())/INDEX(SP_CS_EV,0,COLUMN())</f>
        <v>-9.6406824270962813E-3</v>
      </c>
      <c r="G163" s="58"/>
      <c r="H163" s="58"/>
      <c r="I163" s="58"/>
      <c r="J163" s="58"/>
      <c r="K163" s="790">
        <f ca="1">INDEX(SP_CFA_FCF_PreDiv,0,COLUMN())/INDEX(SP_CS_EV,0,COLUMN())</f>
        <v>7.7793477426609415E-5</v>
      </c>
      <c r="L163" s="58"/>
      <c r="M163" s="58"/>
      <c r="N163" s="58"/>
      <c r="O163" s="58"/>
      <c r="P163" s="790">
        <f ca="1">INDEX(SP_CFA_FCF_PreDiv,0,COLUMN())/INDEX(SP_CS_EV,0,COLUMN())</f>
        <v>4.3399957028470481E-3</v>
      </c>
      <c r="Q163" s="58"/>
      <c r="R163" s="58"/>
      <c r="S163" s="58"/>
      <c r="T163" s="58"/>
      <c r="U163" s="790">
        <f ca="1">INDEX(SP_CFA_FCF_PreDiv,0,COLUMN())/INDEX(SP_CS_EV,0,COLUMN())</f>
        <v>7.6256387454620494E-3</v>
      </c>
      <c r="V163" s="58"/>
      <c r="W163" s="58"/>
      <c r="X163" s="58"/>
      <c r="Y163" s="58"/>
      <c r="Z163" s="790">
        <f ca="1">INDEX(SP_CFA_FCF_PreDiv,0,COLUMN())/INDEX(SP_CS_EV,0,COLUMN())</f>
        <v>3.2653296745282168E-2</v>
      </c>
      <c r="AA163" s="58"/>
      <c r="AB163" s="58"/>
      <c r="AC163" s="58"/>
      <c r="AD163" s="58"/>
      <c r="AE163" s="790">
        <f ca="1">INDEX(SP_CFA_FCF_PreDiv,0,COLUMN())/INDEX(SP_CS_EV,0,COLUMN())</f>
        <v>4.7516594227097635E-2</v>
      </c>
      <c r="AF163" s="58"/>
      <c r="AG163" s="58"/>
      <c r="AH163" s="58"/>
      <c r="AI163" s="58"/>
      <c r="AJ163" s="790">
        <f ca="1">INDEX(SP_CFA_FCF_PreDiv,0,COLUMN())/INDEX(SP_CS_EV,0,COLUMN())</f>
        <v>5.3151829482650591E-2</v>
      </c>
      <c r="AK163" s="58"/>
      <c r="AL163" s="58"/>
      <c r="AM163" s="58"/>
      <c r="AN163" s="58"/>
      <c r="AO163" s="790">
        <f ca="1">INDEX(SP_CFA_FCF_PreDiv,0,COLUMN())/INDEX(SP_CS_EV,0,COLUMN())</f>
        <v>7.3114386162756853E-2</v>
      </c>
      <c r="AP163" s="58"/>
      <c r="AQ163" s="58"/>
      <c r="AR163" s="58"/>
      <c r="AS163" s="58"/>
      <c r="AT163" s="790">
        <f ca="1">INDEX(SP_CFA_FCF_PreDiv,0,COLUMN())/INDEX(SP_CS_EV,0,COLUMN())</f>
        <v>6.7182319891698206E-2</v>
      </c>
      <c r="AU163" s="58"/>
      <c r="AV163" s="58"/>
      <c r="AW163" s="58"/>
      <c r="AX163" s="58"/>
      <c r="AY163" s="790">
        <f ca="1">INDEX(SP_CFA_FCF_PreDiv,0,COLUMN())/INDEX(SP_CS_EV,0,COLUMN())</f>
        <v>7.5766975117429219E-2</v>
      </c>
      <c r="AZ163" s="58"/>
      <c r="BA163" s="58"/>
      <c r="BB163" s="58"/>
      <c r="BC163" s="58"/>
      <c r="BD163" s="790">
        <f ca="1">INDEX(SP_CFA_FCF_PreDiv,0,COLUMN())/INDEX(SP_CS_EV,0,COLUMN())</f>
        <v>9.5598918669081351E-2</v>
      </c>
      <c r="BE163" s="58"/>
      <c r="BF163" s="58"/>
      <c r="BG163" s="58"/>
      <c r="BH163" s="58"/>
      <c r="BI163" s="790">
        <f ca="1">INDEX(SP_CFA_FCF_PreDiv,0,COLUMN())/INDEX(SP_CS_EV,0,COLUMN())</f>
        <v>8.977299181534705E-2</v>
      </c>
      <c r="BJ163" s="58"/>
      <c r="BK163" s="58"/>
      <c r="BL163" s="414"/>
      <c r="BM163" s="58"/>
      <c r="BN163" s="790" t="e">
        <f ca="1">INDEX(SP_CFA_FCF_PreDiv,0,COLUMN())/INDEX(SP_CS_EV,0,COLUMN())</f>
        <v>#REF!</v>
      </c>
      <c r="BO163" s="58"/>
      <c r="BP163" s="58"/>
      <c r="BQ163" s="58"/>
      <c r="BR163" s="58"/>
      <c r="BS163" s="790" t="e">
        <f ca="1">INDEX(SP_CFA_FCF_PreDiv,0,COLUMN())/INDEX(SP_CS_EV,0,COLUMN())</f>
        <v>#REF!</v>
      </c>
      <c r="BT163" s="790" t="e">
        <f ca="1">INDEX(SP_CFA_FCF_PreDiv,0,COLUMN())/INDEX(SP_CS_EV,0,COLUMN())</f>
        <v>#REF!</v>
      </c>
      <c r="BU163" s="790" t="e">
        <f ca="1">INDEX(SP_CFA_FCF_PreDiv,0,COLUMN())/INDEX(SP_CS_EV,0,COLUMN())</f>
        <v>#REF!</v>
      </c>
      <c r="BV163" s="790" t="e">
        <f ca="1">INDEX(SP_CFA_FCF_PreDiv,0,COLUMN())/INDEX(SP_CS_EV,0,COLUMN())</f>
        <v>#REF!</v>
      </c>
      <c r="BW163" s="102"/>
    </row>
    <row r="164" spans="1:75" s="482" customFormat="1">
      <c r="A164" s="98"/>
      <c r="B164" s="99"/>
      <c r="C164" s="790"/>
      <c r="D164" s="790"/>
      <c r="E164" s="790"/>
      <c r="F164" s="790"/>
      <c r="G164" s="58"/>
      <c r="H164" s="58"/>
      <c r="I164" s="58"/>
      <c r="J164" s="58"/>
      <c r="K164" s="790"/>
      <c r="L164" s="58"/>
      <c r="M164" s="58"/>
      <c r="N164" s="58"/>
      <c r="O164" s="58"/>
      <c r="P164" s="790"/>
      <c r="Q164" s="58"/>
      <c r="R164" s="58"/>
      <c r="S164" s="58"/>
      <c r="T164" s="58"/>
      <c r="U164" s="790"/>
      <c r="V164" s="58"/>
      <c r="W164" s="58"/>
      <c r="X164" s="58"/>
      <c r="Y164" s="58"/>
      <c r="Z164" s="790"/>
      <c r="AA164" s="58"/>
      <c r="AB164" s="58"/>
      <c r="AC164" s="58"/>
      <c r="AD164" s="58"/>
      <c r="AE164" s="790"/>
      <c r="AF164" s="58"/>
      <c r="AG164" s="58"/>
      <c r="AH164" s="58"/>
      <c r="AI164" s="58"/>
      <c r="AJ164" s="790"/>
      <c r="AK164" s="58"/>
      <c r="AL164" s="58"/>
      <c r="AM164" s="58"/>
      <c r="AN164" s="58"/>
      <c r="AO164" s="790"/>
      <c r="AP164" s="58"/>
      <c r="AQ164" s="58"/>
      <c r="AR164" s="58"/>
      <c r="AS164" s="58"/>
      <c r="AT164" s="790"/>
      <c r="AU164" s="58"/>
      <c r="AV164" s="58"/>
      <c r="AW164" s="58"/>
      <c r="AX164" s="58"/>
      <c r="AY164" s="790"/>
      <c r="AZ164" s="58"/>
      <c r="BA164" s="58"/>
      <c r="BB164" s="58"/>
      <c r="BC164" s="58"/>
      <c r="BD164" s="790"/>
      <c r="BE164" s="58"/>
      <c r="BF164" s="58"/>
      <c r="BG164" s="58"/>
      <c r="BH164" s="58"/>
      <c r="BI164" s="790"/>
      <c r="BJ164" s="58"/>
      <c r="BK164" s="58"/>
      <c r="BL164" s="414"/>
      <c r="BM164" s="58"/>
      <c r="BN164" s="790"/>
      <c r="BO164" s="58"/>
      <c r="BP164" s="58"/>
      <c r="BQ164" s="58"/>
      <c r="BR164" s="58"/>
      <c r="BS164" s="790"/>
      <c r="BT164" s="790"/>
      <c r="BU164" s="790"/>
      <c r="BV164" s="790"/>
      <c r="BW164" s="102"/>
    </row>
    <row r="165" spans="1:75" s="479" customFormat="1">
      <c r="A165" s="55" t="s">
        <v>681</v>
      </c>
      <c r="B165" s="553"/>
      <c r="C165" s="553"/>
      <c r="D165" s="553"/>
      <c r="E165" s="553"/>
      <c r="F165" s="553"/>
      <c r="G165" s="553"/>
      <c r="H165" s="553"/>
      <c r="I165" s="553"/>
      <c r="J165" s="553"/>
      <c r="K165" s="553"/>
      <c r="L165" s="553"/>
      <c r="M165" s="553"/>
      <c r="N165" s="553"/>
      <c r="O165" s="553"/>
      <c r="P165" s="553"/>
      <c r="Q165" s="553"/>
      <c r="R165" s="553"/>
      <c r="S165" s="553"/>
      <c r="T165" s="553"/>
      <c r="U165" s="553"/>
      <c r="V165" s="553"/>
      <c r="W165" s="553"/>
      <c r="X165" s="553"/>
      <c r="Y165" s="553"/>
      <c r="Z165" s="553"/>
      <c r="AA165" s="553"/>
      <c r="AB165" s="553"/>
      <c r="AC165" s="553"/>
      <c r="AD165" s="553"/>
      <c r="AE165" s="553"/>
      <c r="AF165" s="553"/>
      <c r="AG165" s="553"/>
      <c r="AH165" s="553"/>
      <c r="AI165" s="553"/>
      <c r="AJ165" s="553"/>
      <c r="AK165" s="553"/>
      <c r="AL165" s="553"/>
      <c r="AM165" s="553"/>
      <c r="AN165" s="553"/>
      <c r="AO165" s="553"/>
      <c r="AP165" s="553"/>
      <c r="AQ165" s="553"/>
      <c r="AR165" s="553"/>
      <c r="AS165" s="553"/>
      <c r="AT165" s="553"/>
      <c r="AU165" s="553"/>
      <c r="AV165" s="553"/>
      <c r="AW165" s="553"/>
      <c r="AX165" s="553"/>
      <c r="AY165" s="553"/>
      <c r="AZ165" s="553"/>
      <c r="BA165" s="553"/>
      <c r="BB165" s="553"/>
      <c r="BC165" s="553"/>
      <c r="BD165" s="553"/>
      <c r="BE165" s="553"/>
      <c r="BF165" s="553"/>
      <c r="BG165" s="553"/>
      <c r="BH165" s="553"/>
      <c r="BI165" s="553"/>
      <c r="BJ165" s="553"/>
      <c r="BK165" s="553"/>
      <c r="BL165" s="600"/>
      <c r="BM165" s="553"/>
      <c r="BN165" s="553"/>
      <c r="BO165" s="553"/>
      <c r="BP165" s="553"/>
      <c r="BQ165" s="553"/>
      <c r="BR165" s="553"/>
      <c r="BS165" s="553"/>
      <c r="BT165" s="553"/>
      <c r="BU165" s="553"/>
      <c r="BV165" s="553"/>
      <c r="BW165" s="146"/>
    </row>
    <row r="166" spans="1:75" hidden="1" outlineLevel="1">
      <c r="A166" s="552" t="s">
        <v>13</v>
      </c>
      <c r="B166" s="114"/>
      <c r="C166" s="588">
        <f t="shared" ref="C166:AH166" si="360">ROUND(INDEX(SP_GF_EBIT,0,COLUMN())-INDEX(MO_RIS_EBIT,0,COLUMN()),6)</f>
        <v>0</v>
      </c>
      <c r="D166" s="588">
        <f t="shared" si="360"/>
        <v>0</v>
      </c>
      <c r="E166" s="588">
        <f t="shared" si="360"/>
        <v>0</v>
      </c>
      <c r="F166" s="588">
        <f t="shared" si="360"/>
        <v>0</v>
      </c>
      <c r="G166" s="588">
        <f t="shared" si="360"/>
        <v>0</v>
      </c>
      <c r="H166" s="588">
        <f t="shared" si="360"/>
        <v>0</v>
      </c>
      <c r="I166" s="588">
        <f t="shared" si="360"/>
        <v>0</v>
      </c>
      <c r="J166" s="588">
        <f t="shared" si="360"/>
        <v>0</v>
      </c>
      <c r="K166" s="588">
        <f t="shared" si="360"/>
        <v>0</v>
      </c>
      <c r="L166" s="588">
        <f t="shared" si="360"/>
        <v>0</v>
      </c>
      <c r="M166" s="588">
        <f t="shared" si="360"/>
        <v>0</v>
      </c>
      <c r="N166" s="588">
        <f t="shared" si="360"/>
        <v>0</v>
      </c>
      <c r="O166" s="588">
        <f t="shared" si="360"/>
        <v>0</v>
      </c>
      <c r="P166" s="588">
        <f t="shared" si="360"/>
        <v>0</v>
      </c>
      <c r="Q166" s="588">
        <f t="shared" si="360"/>
        <v>0</v>
      </c>
      <c r="R166" s="588">
        <f t="shared" si="360"/>
        <v>0</v>
      </c>
      <c r="S166" s="588">
        <f t="shared" si="360"/>
        <v>0</v>
      </c>
      <c r="T166" s="588">
        <f t="shared" si="360"/>
        <v>0</v>
      </c>
      <c r="U166" s="588">
        <f t="shared" si="360"/>
        <v>0</v>
      </c>
      <c r="V166" s="588">
        <f t="shared" si="360"/>
        <v>0</v>
      </c>
      <c r="W166" s="588">
        <f t="shared" si="360"/>
        <v>0</v>
      </c>
      <c r="X166" s="588">
        <f t="shared" si="360"/>
        <v>0</v>
      </c>
      <c r="Y166" s="588">
        <f t="shared" si="360"/>
        <v>0</v>
      </c>
      <c r="Z166" s="588">
        <f t="shared" si="360"/>
        <v>0</v>
      </c>
      <c r="AA166" s="588">
        <f t="shared" si="360"/>
        <v>0</v>
      </c>
      <c r="AB166" s="588">
        <f t="shared" si="360"/>
        <v>0</v>
      </c>
      <c r="AC166" s="588">
        <f t="shared" si="360"/>
        <v>0</v>
      </c>
      <c r="AD166" s="588">
        <f t="shared" si="360"/>
        <v>0</v>
      </c>
      <c r="AE166" s="588">
        <f t="shared" si="360"/>
        <v>0</v>
      </c>
      <c r="AF166" s="588">
        <f t="shared" si="360"/>
        <v>0</v>
      </c>
      <c r="AG166" s="588">
        <f t="shared" si="360"/>
        <v>0</v>
      </c>
      <c r="AH166" s="588">
        <f t="shared" si="360"/>
        <v>0</v>
      </c>
      <c r="AI166" s="588">
        <f t="shared" ref="AI166:BN166" si="361">ROUND(INDEX(SP_GF_EBIT,0,COLUMN())-INDEX(MO_RIS_EBIT,0,COLUMN()),6)</f>
        <v>0</v>
      </c>
      <c r="AJ166" s="588">
        <f t="shared" si="361"/>
        <v>0</v>
      </c>
      <c r="AK166" s="588">
        <f t="shared" si="361"/>
        <v>0</v>
      </c>
      <c r="AL166" s="588">
        <f t="shared" si="361"/>
        <v>0</v>
      </c>
      <c r="AM166" s="588">
        <f t="shared" si="361"/>
        <v>0</v>
      </c>
      <c r="AN166" s="588">
        <f t="shared" si="361"/>
        <v>0</v>
      </c>
      <c r="AO166" s="588">
        <f t="shared" si="361"/>
        <v>0</v>
      </c>
      <c r="AP166" s="588">
        <f t="shared" si="361"/>
        <v>0</v>
      </c>
      <c r="AQ166" s="588">
        <f t="shared" si="361"/>
        <v>0</v>
      </c>
      <c r="AR166" s="588">
        <f t="shared" si="361"/>
        <v>0</v>
      </c>
      <c r="AS166" s="588">
        <f t="shared" si="361"/>
        <v>0</v>
      </c>
      <c r="AT166" s="588">
        <f t="shared" si="361"/>
        <v>0</v>
      </c>
      <c r="AU166" s="588">
        <f t="shared" si="361"/>
        <v>0</v>
      </c>
      <c r="AV166" s="588">
        <f t="shared" si="361"/>
        <v>0</v>
      </c>
      <c r="AW166" s="588">
        <f t="shared" si="361"/>
        <v>0</v>
      </c>
      <c r="AX166" s="588">
        <f t="shared" si="361"/>
        <v>0</v>
      </c>
      <c r="AY166" s="588">
        <f t="shared" si="361"/>
        <v>0</v>
      </c>
      <c r="AZ166" s="588">
        <f t="shared" si="361"/>
        <v>0</v>
      </c>
      <c r="BA166" s="588">
        <f t="shared" si="361"/>
        <v>0</v>
      </c>
      <c r="BB166" s="588">
        <f t="shared" si="361"/>
        <v>0</v>
      </c>
      <c r="BC166" s="588">
        <f t="shared" si="361"/>
        <v>0</v>
      </c>
      <c r="BD166" s="588">
        <f t="shared" si="361"/>
        <v>0</v>
      </c>
      <c r="BE166" s="588">
        <f t="shared" si="361"/>
        <v>0</v>
      </c>
      <c r="BF166" s="588">
        <f t="shared" si="361"/>
        <v>0</v>
      </c>
      <c r="BG166" s="588">
        <f t="shared" si="361"/>
        <v>0</v>
      </c>
      <c r="BH166" s="588">
        <f>ROUND(INDEX(SP_GF_EBIT,0,COLUMN())-INDEX(MO_RIS_EBIT,0,COLUMN()),6)</f>
        <v>0</v>
      </c>
      <c r="BI166" s="588">
        <f>ROUND(INDEX(SP_GF_EBIT,0,COLUMN())-INDEX(MO_RIS_EBIT,0,COLUMN()),6)</f>
        <v>0</v>
      </c>
      <c r="BJ166" s="588">
        <f>ROUND(INDEX(SP_GF_EBIT,0,COLUMN())-INDEX(MO_RIS_EBIT,0,COLUMN()),6)</f>
        <v>0</v>
      </c>
      <c r="BK166" s="588">
        <f>ROUND(INDEX(SP_GF_EBIT,0,COLUMN())-INDEX(MO_RIS_EBIT,0,COLUMN()),6)</f>
        <v>0</v>
      </c>
      <c r="BL166" s="589">
        <f>ROUND(INDEX(SP_GF_EBIT,0,COLUMN())-INDEX(MO_RIS_EBIT,0,COLUMN()),6)</f>
        <v>0</v>
      </c>
      <c r="BM166" s="588">
        <f t="shared" si="361"/>
        <v>0</v>
      </c>
      <c r="BN166" s="588">
        <f t="shared" si="361"/>
        <v>0</v>
      </c>
      <c r="BO166" s="588">
        <f t="shared" ref="BO166:BV166" si="362">ROUND(INDEX(SP_GF_EBIT,0,COLUMN())-INDEX(MO_RIS_EBIT,0,COLUMN()),6)</f>
        <v>0</v>
      </c>
      <c r="BP166" s="588">
        <f t="shared" si="362"/>
        <v>0</v>
      </c>
      <c r="BQ166" s="588">
        <f t="shared" si="362"/>
        <v>0</v>
      </c>
      <c r="BR166" s="588">
        <f t="shared" si="362"/>
        <v>0</v>
      </c>
      <c r="BS166" s="588">
        <f t="shared" si="362"/>
        <v>0</v>
      </c>
      <c r="BT166" s="588">
        <f t="shared" si="362"/>
        <v>0</v>
      </c>
      <c r="BU166" s="588">
        <f t="shared" si="362"/>
        <v>0</v>
      </c>
      <c r="BV166" s="588">
        <f t="shared" si="362"/>
        <v>0</v>
      </c>
      <c r="BW166" s="102"/>
    </row>
    <row r="167" spans="1:75" hidden="1" outlineLevel="1">
      <c r="A167" s="552" t="s">
        <v>266</v>
      </c>
      <c r="B167" s="114"/>
      <c r="C167" s="588">
        <f t="shared" ref="C167:AH167" si="363">ROUND(INDEX(SP_NGF_EBITDA,0,COLUMN())-INDEX(MO_RIS_EBITDA_Adj,0,COLUMN()),6)</f>
        <v>0</v>
      </c>
      <c r="D167" s="588">
        <f t="shared" si="363"/>
        <v>0</v>
      </c>
      <c r="E167" s="588">
        <f t="shared" si="363"/>
        <v>0</v>
      </c>
      <c r="F167" s="588">
        <f t="shared" si="363"/>
        <v>0</v>
      </c>
      <c r="G167" s="588">
        <f t="shared" si="363"/>
        <v>0</v>
      </c>
      <c r="H167" s="588">
        <f t="shared" si="363"/>
        <v>0</v>
      </c>
      <c r="I167" s="588">
        <f t="shared" si="363"/>
        <v>0</v>
      </c>
      <c r="J167" s="588">
        <f t="shared" si="363"/>
        <v>0</v>
      </c>
      <c r="K167" s="588">
        <f t="shared" si="363"/>
        <v>0</v>
      </c>
      <c r="L167" s="588">
        <f t="shared" si="363"/>
        <v>0</v>
      </c>
      <c r="M167" s="588">
        <f t="shared" si="363"/>
        <v>0</v>
      </c>
      <c r="N167" s="588">
        <f t="shared" si="363"/>
        <v>0</v>
      </c>
      <c r="O167" s="588">
        <f t="shared" si="363"/>
        <v>0</v>
      </c>
      <c r="P167" s="588">
        <f t="shared" si="363"/>
        <v>0</v>
      </c>
      <c r="Q167" s="588">
        <f t="shared" si="363"/>
        <v>0</v>
      </c>
      <c r="R167" s="588">
        <f t="shared" si="363"/>
        <v>0</v>
      </c>
      <c r="S167" s="588">
        <f t="shared" si="363"/>
        <v>0</v>
      </c>
      <c r="T167" s="588">
        <f t="shared" si="363"/>
        <v>0</v>
      </c>
      <c r="U167" s="588">
        <f t="shared" si="363"/>
        <v>0</v>
      </c>
      <c r="V167" s="588">
        <f t="shared" si="363"/>
        <v>0</v>
      </c>
      <c r="W167" s="588">
        <f t="shared" si="363"/>
        <v>0</v>
      </c>
      <c r="X167" s="588">
        <f t="shared" si="363"/>
        <v>0</v>
      </c>
      <c r="Y167" s="588">
        <f t="shared" si="363"/>
        <v>0</v>
      </c>
      <c r="Z167" s="588">
        <f t="shared" si="363"/>
        <v>0</v>
      </c>
      <c r="AA167" s="588">
        <f t="shared" si="363"/>
        <v>0</v>
      </c>
      <c r="AB167" s="588">
        <f t="shared" si="363"/>
        <v>0</v>
      </c>
      <c r="AC167" s="588">
        <f t="shared" si="363"/>
        <v>0</v>
      </c>
      <c r="AD167" s="588">
        <f t="shared" si="363"/>
        <v>0</v>
      </c>
      <c r="AE167" s="588">
        <f t="shared" si="363"/>
        <v>0</v>
      </c>
      <c r="AF167" s="588">
        <f t="shared" si="363"/>
        <v>0</v>
      </c>
      <c r="AG167" s="588">
        <f t="shared" si="363"/>
        <v>0</v>
      </c>
      <c r="AH167" s="588">
        <f t="shared" si="363"/>
        <v>0</v>
      </c>
      <c r="AI167" s="588">
        <f t="shared" ref="AI167:BA167" si="364">ROUND(INDEX(SP_NGF_EBITDA,0,COLUMN())-INDEX(MO_RIS_EBITDA_Adj,0,COLUMN()),6)</f>
        <v>0</v>
      </c>
      <c r="AJ167" s="588">
        <f t="shared" si="364"/>
        <v>0</v>
      </c>
      <c r="AK167" s="588">
        <f t="shared" si="364"/>
        <v>0</v>
      </c>
      <c r="AL167" s="588">
        <f t="shared" si="364"/>
        <v>0</v>
      </c>
      <c r="AM167" s="588">
        <f t="shared" si="364"/>
        <v>0</v>
      </c>
      <c r="AN167" s="588">
        <f t="shared" si="364"/>
        <v>0</v>
      </c>
      <c r="AO167" s="588">
        <f t="shared" si="364"/>
        <v>0</v>
      </c>
      <c r="AP167" s="588">
        <f t="shared" si="364"/>
        <v>0</v>
      </c>
      <c r="AQ167" s="588">
        <f t="shared" si="364"/>
        <v>0</v>
      </c>
      <c r="AR167" s="588">
        <f t="shared" si="364"/>
        <v>0</v>
      </c>
      <c r="AS167" s="588">
        <f t="shared" si="364"/>
        <v>0</v>
      </c>
      <c r="AT167" s="588">
        <f t="shared" si="364"/>
        <v>0</v>
      </c>
      <c r="AU167" s="588">
        <f t="shared" si="364"/>
        <v>0</v>
      </c>
      <c r="AV167" s="588">
        <f t="shared" si="364"/>
        <v>0</v>
      </c>
      <c r="AW167" s="588">
        <f t="shared" si="364"/>
        <v>0</v>
      </c>
      <c r="AX167" s="588">
        <f t="shared" si="364"/>
        <v>0</v>
      </c>
      <c r="AY167" s="588">
        <f t="shared" si="364"/>
        <v>0</v>
      </c>
      <c r="AZ167" s="588">
        <f t="shared" si="364"/>
        <v>0</v>
      </c>
      <c r="BA167" s="588">
        <f t="shared" si="364"/>
        <v>0</v>
      </c>
      <c r="BB167" s="588">
        <f t="shared" ref="BB167:BG167" si="365">ROUND(INDEX(SP_NGF_EBITDA,0,COLUMN())-INDEX(MO_RIS_EBITDA_Adj,0,COLUMN()),6)</f>
        <v>0</v>
      </c>
      <c r="BC167" s="588">
        <f t="shared" si="365"/>
        <v>0</v>
      </c>
      <c r="BD167" s="588">
        <f t="shared" si="365"/>
        <v>0</v>
      </c>
      <c r="BE167" s="588">
        <f t="shared" si="365"/>
        <v>0</v>
      </c>
      <c r="BF167" s="588">
        <f t="shared" si="365"/>
        <v>0</v>
      </c>
      <c r="BG167" s="588">
        <f t="shared" si="365"/>
        <v>0</v>
      </c>
      <c r="BH167" s="588">
        <f t="shared" ref="BH167:BN167" si="366">ROUND(INDEX(SP_NGF_EBITDA,0,COLUMN())-INDEX(MO_RIS_EBITDA_Adj,0,COLUMN()),6)</f>
        <v>0</v>
      </c>
      <c r="BI167" s="588">
        <f t="shared" si="366"/>
        <v>0</v>
      </c>
      <c r="BJ167" s="588">
        <f t="shared" si="366"/>
        <v>0</v>
      </c>
      <c r="BK167" s="588">
        <f t="shared" si="366"/>
        <v>0</v>
      </c>
      <c r="BL167" s="589">
        <f>ROUND(INDEX(SP_NGF_EBITDA,0,COLUMN())-INDEX(MO_RIS_EBITDA_Adj,0,COLUMN()),6)</f>
        <v>0</v>
      </c>
      <c r="BM167" s="588">
        <f t="shared" si="366"/>
        <v>0</v>
      </c>
      <c r="BN167" s="588">
        <f t="shared" si="366"/>
        <v>0</v>
      </c>
      <c r="BO167" s="588" t="e">
        <f t="shared" ref="BO167:BV167" si="367">ROUND(INDEX(SP_NGF_EBITDA,0,COLUMN())-INDEX(MO_RIS_EBITDA_Adj,0,COLUMN()),6)</f>
        <v>#VALUE!</v>
      </c>
      <c r="BP167" s="588" t="e">
        <f t="shared" si="367"/>
        <v>#VALUE!</v>
      </c>
      <c r="BQ167" s="588" t="e">
        <f t="shared" si="367"/>
        <v>#VALUE!</v>
      </c>
      <c r="BR167" s="588" t="e">
        <f t="shared" si="367"/>
        <v>#VALUE!</v>
      </c>
      <c r="BS167" s="588" t="e">
        <f t="shared" si="367"/>
        <v>#VALUE!</v>
      </c>
      <c r="BT167" s="588" t="e">
        <f t="shared" si="367"/>
        <v>#VALUE!</v>
      </c>
      <c r="BU167" s="588" t="e">
        <f t="shared" si="367"/>
        <v>#VALUE!</v>
      </c>
      <c r="BV167" s="588" t="e">
        <f t="shared" si="367"/>
        <v>#VALUE!</v>
      </c>
      <c r="BW167" s="102"/>
    </row>
    <row r="168" spans="1:75" hidden="1" outlineLevel="1">
      <c r="A168" s="552" t="s">
        <v>682</v>
      </c>
      <c r="B168" s="114"/>
      <c r="C168" s="588">
        <f t="shared" ref="C168:AH168" si="368">ROUND(INDEX(SP_NGF_NI,0,COLUMN())-INDEX(MO_RIS_NI_NONGAAP_Diluted,0,COLUMN()),6)</f>
        <v>0</v>
      </c>
      <c r="D168" s="588">
        <f t="shared" si="368"/>
        <v>0</v>
      </c>
      <c r="E168" s="588">
        <f t="shared" si="368"/>
        <v>0</v>
      </c>
      <c r="F168" s="588">
        <f t="shared" si="368"/>
        <v>0</v>
      </c>
      <c r="G168" s="588">
        <f t="shared" si="368"/>
        <v>0</v>
      </c>
      <c r="H168" s="588">
        <f t="shared" si="368"/>
        <v>0</v>
      </c>
      <c r="I168" s="588">
        <f t="shared" si="368"/>
        <v>0</v>
      </c>
      <c r="J168" s="588">
        <f t="shared" si="368"/>
        <v>0</v>
      </c>
      <c r="K168" s="588">
        <f t="shared" si="368"/>
        <v>0</v>
      </c>
      <c r="L168" s="588">
        <f t="shared" si="368"/>
        <v>0</v>
      </c>
      <c r="M168" s="588">
        <f t="shared" si="368"/>
        <v>0</v>
      </c>
      <c r="N168" s="588">
        <f t="shared" si="368"/>
        <v>0</v>
      </c>
      <c r="O168" s="588">
        <f t="shared" si="368"/>
        <v>0</v>
      </c>
      <c r="P168" s="588">
        <f t="shared" si="368"/>
        <v>0</v>
      </c>
      <c r="Q168" s="588">
        <f t="shared" si="368"/>
        <v>0</v>
      </c>
      <c r="R168" s="588">
        <f t="shared" si="368"/>
        <v>0</v>
      </c>
      <c r="S168" s="588">
        <f t="shared" si="368"/>
        <v>0</v>
      </c>
      <c r="T168" s="588">
        <f t="shared" si="368"/>
        <v>0</v>
      </c>
      <c r="U168" s="588">
        <f t="shared" si="368"/>
        <v>0</v>
      </c>
      <c r="V168" s="588">
        <f t="shared" si="368"/>
        <v>0</v>
      </c>
      <c r="W168" s="588">
        <f t="shared" si="368"/>
        <v>0</v>
      </c>
      <c r="X168" s="588">
        <f t="shared" si="368"/>
        <v>0</v>
      </c>
      <c r="Y168" s="588">
        <f t="shared" si="368"/>
        <v>0</v>
      </c>
      <c r="Z168" s="588">
        <f t="shared" si="368"/>
        <v>0</v>
      </c>
      <c r="AA168" s="588">
        <f t="shared" si="368"/>
        <v>0</v>
      </c>
      <c r="AB168" s="588">
        <f t="shared" si="368"/>
        <v>0</v>
      </c>
      <c r="AC168" s="588">
        <f t="shared" si="368"/>
        <v>0</v>
      </c>
      <c r="AD168" s="588">
        <f t="shared" si="368"/>
        <v>0</v>
      </c>
      <c r="AE168" s="588">
        <f t="shared" si="368"/>
        <v>0</v>
      </c>
      <c r="AF168" s="588">
        <f t="shared" si="368"/>
        <v>0</v>
      </c>
      <c r="AG168" s="588">
        <f t="shared" si="368"/>
        <v>0</v>
      </c>
      <c r="AH168" s="588">
        <f t="shared" si="368"/>
        <v>0</v>
      </c>
      <c r="AI168" s="588">
        <f t="shared" ref="AI168:BA168" si="369">ROUND(INDEX(SP_NGF_NI,0,COLUMN())-INDEX(MO_RIS_NI_NONGAAP_Diluted,0,COLUMN()),6)</f>
        <v>0</v>
      </c>
      <c r="AJ168" s="588">
        <f t="shared" si="369"/>
        <v>0</v>
      </c>
      <c r="AK168" s="588">
        <f t="shared" si="369"/>
        <v>0</v>
      </c>
      <c r="AL168" s="588">
        <f t="shared" si="369"/>
        <v>0</v>
      </c>
      <c r="AM168" s="588">
        <f t="shared" si="369"/>
        <v>0</v>
      </c>
      <c r="AN168" s="588">
        <f t="shared" si="369"/>
        <v>0</v>
      </c>
      <c r="AO168" s="588">
        <f t="shared" si="369"/>
        <v>0</v>
      </c>
      <c r="AP168" s="588">
        <f t="shared" si="369"/>
        <v>0</v>
      </c>
      <c r="AQ168" s="588">
        <f t="shared" si="369"/>
        <v>0</v>
      </c>
      <c r="AR168" s="588">
        <f t="shared" si="369"/>
        <v>0</v>
      </c>
      <c r="AS168" s="588">
        <f t="shared" si="369"/>
        <v>0</v>
      </c>
      <c r="AT168" s="588">
        <f t="shared" si="369"/>
        <v>0</v>
      </c>
      <c r="AU168" s="588">
        <f t="shared" si="369"/>
        <v>0</v>
      </c>
      <c r="AV168" s="588">
        <f t="shared" si="369"/>
        <v>0</v>
      </c>
      <c r="AW168" s="588">
        <f t="shared" si="369"/>
        <v>0</v>
      </c>
      <c r="AX168" s="588">
        <f t="shared" si="369"/>
        <v>0</v>
      </c>
      <c r="AY168" s="588">
        <f t="shared" si="369"/>
        <v>0</v>
      </c>
      <c r="AZ168" s="588">
        <f t="shared" si="369"/>
        <v>0</v>
      </c>
      <c r="BA168" s="588">
        <f t="shared" si="369"/>
        <v>0</v>
      </c>
      <c r="BB168" s="588">
        <f t="shared" ref="BB168:BG168" si="370">ROUND(INDEX(SP_NGF_NI,0,COLUMN())-INDEX(MO_RIS_NI_NONGAAP_Diluted,0,COLUMN()),6)</f>
        <v>0</v>
      </c>
      <c r="BC168" s="588">
        <f t="shared" si="370"/>
        <v>0</v>
      </c>
      <c r="BD168" s="588">
        <f t="shared" si="370"/>
        <v>0</v>
      </c>
      <c r="BE168" s="588">
        <f t="shared" si="370"/>
        <v>0</v>
      </c>
      <c r="BF168" s="588">
        <f t="shared" si="370"/>
        <v>0</v>
      </c>
      <c r="BG168" s="588">
        <f t="shared" si="370"/>
        <v>0</v>
      </c>
      <c r="BH168" s="588">
        <f t="shared" ref="BH168:BN168" si="371">ROUND(INDEX(SP_NGF_NI,0,COLUMN())-INDEX(MO_RIS_NI_NONGAAP_Diluted,0,COLUMN()),6)</f>
        <v>0</v>
      </c>
      <c r="BI168" s="588">
        <f t="shared" si="371"/>
        <v>0</v>
      </c>
      <c r="BJ168" s="588">
        <f t="shared" si="371"/>
        <v>0</v>
      </c>
      <c r="BK168" s="588">
        <f t="shared" si="371"/>
        <v>0</v>
      </c>
      <c r="BL168" s="589">
        <f>ROUND(INDEX(SP_NGF_NI,0,COLUMN())-INDEX(MO_RIS_NI_NONGAAP_Diluted,0,COLUMN()),6)</f>
        <v>0</v>
      </c>
      <c r="BM168" s="588">
        <f t="shared" si="371"/>
        <v>0</v>
      </c>
      <c r="BN168" s="588">
        <f t="shared" si="371"/>
        <v>0</v>
      </c>
      <c r="BO168" s="588">
        <f t="shared" ref="BO168:BV168" si="372">ROUND(INDEX(SP_NGF_NI,0,COLUMN())-INDEX(MO_RIS_NI_NONGAAP_Diluted,0,COLUMN()),6)</f>
        <v>0</v>
      </c>
      <c r="BP168" s="588">
        <f t="shared" si="372"/>
        <v>0</v>
      </c>
      <c r="BQ168" s="588">
        <f t="shared" si="372"/>
        <v>0</v>
      </c>
      <c r="BR168" s="588">
        <f t="shared" si="372"/>
        <v>0</v>
      </c>
      <c r="BS168" s="588">
        <f t="shared" si="372"/>
        <v>0</v>
      </c>
      <c r="BT168" s="588">
        <f t="shared" si="372"/>
        <v>0</v>
      </c>
      <c r="BU168" s="588">
        <f t="shared" si="372"/>
        <v>0</v>
      </c>
      <c r="BV168" s="588">
        <f t="shared" si="372"/>
        <v>0</v>
      </c>
      <c r="BW168" s="102"/>
    </row>
    <row r="169" spans="1:75" hidden="1" outlineLevel="1">
      <c r="A169" s="552" t="s">
        <v>683</v>
      </c>
      <c r="B169" s="114"/>
      <c r="C169" s="588">
        <f t="shared" ref="C169:AH169" si="373">ROUND(INDEX(SP_GF_NI,0,COLUMN())-INDEX(MO_RIS_NI_GAAP_Basic,0,COLUMN()),6)</f>
        <v>0</v>
      </c>
      <c r="D169" s="588">
        <f t="shared" si="373"/>
        <v>0</v>
      </c>
      <c r="E169" s="588">
        <f t="shared" si="373"/>
        <v>0</v>
      </c>
      <c r="F169" s="588">
        <f t="shared" si="373"/>
        <v>0</v>
      </c>
      <c r="G169" s="588">
        <f t="shared" si="373"/>
        <v>0</v>
      </c>
      <c r="H169" s="588">
        <f t="shared" si="373"/>
        <v>0</v>
      </c>
      <c r="I169" s="588">
        <f t="shared" si="373"/>
        <v>0</v>
      </c>
      <c r="J169" s="588">
        <f t="shared" si="373"/>
        <v>0</v>
      </c>
      <c r="K169" s="588">
        <f t="shared" si="373"/>
        <v>0</v>
      </c>
      <c r="L169" s="588">
        <f t="shared" si="373"/>
        <v>0</v>
      </c>
      <c r="M169" s="588">
        <f t="shared" si="373"/>
        <v>0</v>
      </c>
      <c r="N169" s="588">
        <f t="shared" si="373"/>
        <v>0</v>
      </c>
      <c r="O169" s="588">
        <f t="shared" si="373"/>
        <v>0</v>
      </c>
      <c r="P169" s="588">
        <f t="shared" si="373"/>
        <v>0</v>
      </c>
      <c r="Q169" s="588">
        <f t="shared" si="373"/>
        <v>0</v>
      </c>
      <c r="R169" s="588">
        <f t="shared" si="373"/>
        <v>0</v>
      </c>
      <c r="S169" s="588">
        <f t="shared" si="373"/>
        <v>0</v>
      </c>
      <c r="T169" s="588">
        <f t="shared" si="373"/>
        <v>0</v>
      </c>
      <c r="U169" s="588">
        <f t="shared" si="373"/>
        <v>0</v>
      </c>
      <c r="V169" s="588">
        <f t="shared" si="373"/>
        <v>0</v>
      </c>
      <c r="W169" s="588">
        <f t="shared" si="373"/>
        <v>0</v>
      </c>
      <c r="X169" s="588">
        <f t="shared" si="373"/>
        <v>0</v>
      </c>
      <c r="Y169" s="588">
        <f t="shared" si="373"/>
        <v>0</v>
      </c>
      <c r="Z169" s="588">
        <f t="shared" si="373"/>
        <v>0</v>
      </c>
      <c r="AA169" s="588">
        <f t="shared" si="373"/>
        <v>0</v>
      </c>
      <c r="AB169" s="588">
        <f t="shared" si="373"/>
        <v>0</v>
      </c>
      <c r="AC169" s="588">
        <f t="shared" si="373"/>
        <v>0</v>
      </c>
      <c r="AD169" s="588">
        <f t="shared" si="373"/>
        <v>0</v>
      </c>
      <c r="AE169" s="588">
        <f t="shared" si="373"/>
        <v>0</v>
      </c>
      <c r="AF169" s="588">
        <f t="shared" si="373"/>
        <v>0</v>
      </c>
      <c r="AG169" s="588">
        <f t="shared" si="373"/>
        <v>0</v>
      </c>
      <c r="AH169" s="588">
        <f t="shared" si="373"/>
        <v>0</v>
      </c>
      <c r="AI169" s="588">
        <f t="shared" ref="AI169:BA169" si="374">ROUND(INDEX(SP_GF_NI,0,COLUMN())-INDEX(MO_RIS_NI_GAAP_Basic,0,COLUMN()),6)</f>
        <v>0</v>
      </c>
      <c r="AJ169" s="588">
        <f t="shared" si="374"/>
        <v>0</v>
      </c>
      <c r="AK169" s="588">
        <f t="shared" si="374"/>
        <v>0</v>
      </c>
      <c r="AL169" s="588">
        <f t="shared" si="374"/>
        <v>0</v>
      </c>
      <c r="AM169" s="588">
        <f t="shared" si="374"/>
        <v>0</v>
      </c>
      <c r="AN169" s="588">
        <f t="shared" si="374"/>
        <v>0</v>
      </c>
      <c r="AO169" s="588">
        <f t="shared" si="374"/>
        <v>0</v>
      </c>
      <c r="AP169" s="588">
        <f t="shared" si="374"/>
        <v>0</v>
      </c>
      <c r="AQ169" s="588">
        <f t="shared" si="374"/>
        <v>0</v>
      </c>
      <c r="AR169" s="588">
        <f t="shared" si="374"/>
        <v>0</v>
      </c>
      <c r="AS169" s="588">
        <f t="shared" si="374"/>
        <v>0</v>
      </c>
      <c r="AT169" s="588">
        <f t="shared" si="374"/>
        <v>0</v>
      </c>
      <c r="AU169" s="588">
        <f t="shared" si="374"/>
        <v>0</v>
      </c>
      <c r="AV169" s="588">
        <f t="shared" si="374"/>
        <v>0</v>
      </c>
      <c r="AW169" s="588">
        <f t="shared" si="374"/>
        <v>0</v>
      </c>
      <c r="AX169" s="588">
        <f t="shared" si="374"/>
        <v>0</v>
      </c>
      <c r="AY169" s="588">
        <f t="shared" si="374"/>
        <v>0</v>
      </c>
      <c r="AZ169" s="588">
        <f t="shared" si="374"/>
        <v>0</v>
      </c>
      <c r="BA169" s="588">
        <f t="shared" si="374"/>
        <v>0</v>
      </c>
      <c r="BB169" s="588">
        <f t="shared" ref="BB169:BG169" si="375">ROUND(INDEX(SP_GF_NI,0,COLUMN())-INDEX(MO_RIS_NI_GAAP_Basic,0,COLUMN()),6)</f>
        <v>0</v>
      </c>
      <c r="BC169" s="588">
        <f t="shared" si="375"/>
        <v>0</v>
      </c>
      <c r="BD169" s="588">
        <f t="shared" si="375"/>
        <v>0</v>
      </c>
      <c r="BE169" s="588">
        <f t="shared" si="375"/>
        <v>0</v>
      </c>
      <c r="BF169" s="588">
        <f t="shared" si="375"/>
        <v>0</v>
      </c>
      <c r="BG169" s="588">
        <f t="shared" si="375"/>
        <v>0</v>
      </c>
      <c r="BH169" s="588">
        <f t="shared" ref="BH169:BN169" si="376">ROUND(INDEX(SP_GF_NI,0,COLUMN())-INDEX(MO_RIS_NI_GAAP_Basic,0,COLUMN()),6)</f>
        <v>0</v>
      </c>
      <c r="BI169" s="588">
        <f t="shared" si="376"/>
        <v>0</v>
      </c>
      <c r="BJ169" s="588">
        <f t="shared" si="376"/>
        <v>0</v>
      </c>
      <c r="BK169" s="588">
        <f t="shared" si="376"/>
        <v>0</v>
      </c>
      <c r="BL169" s="589">
        <f>ROUND(INDEX(SP_GF_NI,0,COLUMN())-INDEX(MO_RIS_NI_GAAP_Basic,0,COLUMN()),6)</f>
        <v>0</v>
      </c>
      <c r="BM169" s="588">
        <f t="shared" si="376"/>
        <v>0</v>
      </c>
      <c r="BN169" s="588">
        <f t="shared" si="376"/>
        <v>0</v>
      </c>
      <c r="BO169" s="588">
        <f t="shared" ref="BO169:BV169" si="377">ROUND(INDEX(SP_GF_NI,0,COLUMN())-INDEX(MO_RIS_NI_GAAP_Basic,0,COLUMN()),6)</f>
        <v>0</v>
      </c>
      <c r="BP169" s="588">
        <f t="shared" si="377"/>
        <v>0</v>
      </c>
      <c r="BQ169" s="588">
        <f t="shared" si="377"/>
        <v>0</v>
      </c>
      <c r="BR169" s="588">
        <f t="shared" si="377"/>
        <v>0</v>
      </c>
      <c r="BS169" s="588">
        <f t="shared" si="377"/>
        <v>0</v>
      </c>
      <c r="BT169" s="588">
        <f t="shared" si="377"/>
        <v>0</v>
      </c>
      <c r="BU169" s="588">
        <f t="shared" si="377"/>
        <v>0</v>
      </c>
      <c r="BV169" s="588">
        <f t="shared" si="377"/>
        <v>0</v>
      </c>
      <c r="BW169" s="102"/>
    </row>
    <row r="170" spans="1:75" hidden="1" outlineLevel="1">
      <c r="A170" s="552" t="s">
        <v>684</v>
      </c>
      <c r="B170" s="114"/>
      <c r="C170" s="588">
        <f t="shared" ref="C170:AH170" ca="1" si="378">ROUND(INDEX(SP_CFA_NetChange,0,COLUMN())-INDEX(MO_CFS_NetChange,0,COLUMN()),6)</f>
        <v>0</v>
      </c>
      <c r="D170" s="588">
        <f t="shared" ca="1" si="378"/>
        <v>0</v>
      </c>
      <c r="E170" s="588">
        <f t="shared" ca="1" si="378"/>
        <v>0</v>
      </c>
      <c r="F170" s="588">
        <f t="shared" ca="1" si="378"/>
        <v>0</v>
      </c>
      <c r="G170" s="588">
        <f t="shared" ca="1" si="378"/>
        <v>0</v>
      </c>
      <c r="H170" s="588">
        <f t="shared" ca="1" si="378"/>
        <v>0</v>
      </c>
      <c r="I170" s="588">
        <f t="shared" ca="1" si="378"/>
        <v>0</v>
      </c>
      <c r="J170" s="588">
        <f t="shared" ca="1" si="378"/>
        <v>0</v>
      </c>
      <c r="K170" s="588">
        <f t="shared" ca="1" si="378"/>
        <v>0</v>
      </c>
      <c r="L170" s="588">
        <f t="shared" ca="1" si="378"/>
        <v>0</v>
      </c>
      <c r="M170" s="588">
        <f t="shared" ca="1" si="378"/>
        <v>0</v>
      </c>
      <c r="N170" s="588">
        <f t="shared" ca="1" si="378"/>
        <v>0</v>
      </c>
      <c r="O170" s="588">
        <f t="shared" ca="1" si="378"/>
        <v>0</v>
      </c>
      <c r="P170" s="588">
        <f t="shared" ca="1" si="378"/>
        <v>0</v>
      </c>
      <c r="Q170" s="588">
        <f t="shared" ca="1" si="378"/>
        <v>0</v>
      </c>
      <c r="R170" s="588">
        <f t="shared" ca="1" si="378"/>
        <v>0</v>
      </c>
      <c r="S170" s="588">
        <f t="shared" ca="1" si="378"/>
        <v>0</v>
      </c>
      <c r="T170" s="588">
        <f t="shared" ca="1" si="378"/>
        <v>0</v>
      </c>
      <c r="U170" s="588">
        <f t="shared" ca="1" si="378"/>
        <v>0</v>
      </c>
      <c r="V170" s="588">
        <f t="shared" ca="1" si="378"/>
        <v>0</v>
      </c>
      <c r="W170" s="588">
        <f t="shared" ca="1" si="378"/>
        <v>0</v>
      </c>
      <c r="X170" s="588">
        <f t="shared" ca="1" si="378"/>
        <v>0</v>
      </c>
      <c r="Y170" s="588">
        <f t="shared" ca="1" si="378"/>
        <v>0</v>
      </c>
      <c r="Z170" s="588">
        <f t="shared" ca="1" si="378"/>
        <v>0</v>
      </c>
      <c r="AA170" s="588">
        <f t="shared" ca="1" si="378"/>
        <v>0</v>
      </c>
      <c r="AB170" s="588">
        <f t="shared" ca="1" si="378"/>
        <v>0</v>
      </c>
      <c r="AC170" s="588">
        <f t="shared" ca="1" si="378"/>
        <v>0</v>
      </c>
      <c r="AD170" s="588">
        <f t="shared" ca="1" si="378"/>
        <v>0</v>
      </c>
      <c r="AE170" s="588">
        <f t="shared" ca="1" si="378"/>
        <v>0</v>
      </c>
      <c r="AF170" s="588">
        <f t="shared" ca="1" si="378"/>
        <v>0</v>
      </c>
      <c r="AG170" s="588">
        <f t="shared" ca="1" si="378"/>
        <v>0</v>
      </c>
      <c r="AH170" s="588">
        <f t="shared" ca="1" si="378"/>
        <v>0</v>
      </c>
      <c r="AI170" s="588">
        <f t="shared" ref="AI170:BA170" ca="1" si="379">ROUND(INDEX(SP_CFA_NetChange,0,COLUMN())-INDEX(MO_CFS_NetChange,0,COLUMN()),6)</f>
        <v>0</v>
      </c>
      <c r="AJ170" s="588">
        <f t="shared" ca="1" si="379"/>
        <v>0</v>
      </c>
      <c r="AK170" s="588">
        <f t="shared" ca="1" si="379"/>
        <v>0</v>
      </c>
      <c r="AL170" s="588">
        <f t="shared" ca="1" si="379"/>
        <v>0</v>
      </c>
      <c r="AM170" s="588">
        <f t="shared" ca="1" si="379"/>
        <v>0</v>
      </c>
      <c r="AN170" s="588">
        <f t="shared" ca="1" si="379"/>
        <v>0</v>
      </c>
      <c r="AO170" s="588">
        <f t="shared" ca="1" si="379"/>
        <v>0</v>
      </c>
      <c r="AP170" s="588">
        <f t="shared" ca="1" si="379"/>
        <v>0</v>
      </c>
      <c r="AQ170" s="588">
        <f t="shared" ca="1" si="379"/>
        <v>0</v>
      </c>
      <c r="AR170" s="588">
        <f t="shared" ca="1" si="379"/>
        <v>0</v>
      </c>
      <c r="AS170" s="588">
        <f t="shared" ca="1" si="379"/>
        <v>0</v>
      </c>
      <c r="AT170" s="588">
        <f t="shared" ca="1" si="379"/>
        <v>0</v>
      </c>
      <c r="AU170" s="588">
        <f t="shared" ca="1" si="379"/>
        <v>0</v>
      </c>
      <c r="AV170" s="588">
        <f t="shared" ca="1" si="379"/>
        <v>0</v>
      </c>
      <c r="AW170" s="588">
        <f t="shared" ca="1" si="379"/>
        <v>0</v>
      </c>
      <c r="AX170" s="588">
        <f t="shared" ca="1" si="379"/>
        <v>0</v>
      </c>
      <c r="AY170" s="588">
        <f t="shared" ca="1" si="379"/>
        <v>0</v>
      </c>
      <c r="AZ170" s="588">
        <f t="shared" ca="1" si="379"/>
        <v>0</v>
      </c>
      <c r="BA170" s="588">
        <f t="shared" ca="1" si="379"/>
        <v>0</v>
      </c>
      <c r="BB170" s="588">
        <f t="shared" ref="BB170:BG170" ca="1" si="380">ROUND(INDEX(SP_CFA_NetChange,0,COLUMN())-INDEX(MO_CFS_NetChange,0,COLUMN()),6)</f>
        <v>0</v>
      </c>
      <c r="BC170" s="588">
        <f t="shared" ca="1" si="380"/>
        <v>0</v>
      </c>
      <c r="BD170" s="588">
        <f t="shared" ca="1" si="380"/>
        <v>0</v>
      </c>
      <c r="BE170" s="588">
        <f t="shared" ca="1" si="380"/>
        <v>0</v>
      </c>
      <c r="BF170" s="588">
        <f t="shared" ca="1" si="380"/>
        <v>0</v>
      </c>
      <c r="BG170" s="588">
        <f t="shared" ca="1" si="380"/>
        <v>0</v>
      </c>
      <c r="BH170" s="588">
        <f t="shared" ref="BH170:BN170" ca="1" si="381">ROUND(INDEX(SP_CFA_NetChange,0,COLUMN())-INDEX(MO_CFS_NetChange,0,COLUMN()),6)</f>
        <v>0</v>
      </c>
      <c r="BI170" s="588">
        <f t="shared" ca="1" si="381"/>
        <v>0</v>
      </c>
      <c r="BJ170" s="588">
        <f t="shared" ca="1" si="381"/>
        <v>0</v>
      </c>
      <c r="BK170" s="588">
        <f t="shared" ca="1" si="381"/>
        <v>0</v>
      </c>
      <c r="BL170" s="589">
        <f ca="1">ROUND(INDEX(SP_CFA_NetChange,0,COLUMN())-INDEX(MO_CFS_NetChange,0,COLUMN()),6)</f>
        <v>0</v>
      </c>
      <c r="BM170" s="588" t="e">
        <f t="shared" ca="1" si="381"/>
        <v>#REF!</v>
      </c>
      <c r="BN170" s="588" t="e">
        <f t="shared" ca="1" si="381"/>
        <v>#REF!</v>
      </c>
      <c r="BO170" s="588" t="e">
        <f t="shared" ref="BO170:BV170" ca="1" si="382">ROUND(INDEX(SP_CFA_NetChange,0,COLUMN())-INDEX(MO_CFS_NetChange,0,COLUMN()),6)</f>
        <v>#REF!</v>
      </c>
      <c r="BP170" s="588" t="e">
        <f t="shared" ca="1" si="382"/>
        <v>#REF!</v>
      </c>
      <c r="BQ170" s="588" t="e">
        <f t="shared" ca="1" si="382"/>
        <v>#REF!</v>
      </c>
      <c r="BR170" s="588" t="e">
        <f t="shared" ca="1" si="382"/>
        <v>#REF!</v>
      </c>
      <c r="BS170" s="588" t="e">
        <f t="shared" ca="1" si="382"/>
        <v>#REF!</v>
      </c>
      <c r="BT170" s="588" t="e">
        <f t="shared" ca="1" si="382"/>
        <v>#REF!</v>
      </c>
      <c r="BU170" s="588" t="e">
        <f t="shared" ca="1" si="382"/>
        <v>#REF!</v>
      </c>
      <c r="BV170" s="588" t="e">
        <f t="shared" ca="1" si="382"/>
        <v>#REF!</v>
      </c>
      <c r="BW170" s="102"/>
    </row>
    <row r="171" spans="1:75" collapsed="1">
      <c r="A171" s="102"/>
      <c r="B171" s="102"/>
      <c r="C171" s="798"/>
      <c r="D171" s="798"/>
      <c r="E171" s="798"/>
      <c r="F171" s="798"/>
      <c r="G171" s="102"/>
      <c r="H171" s="102"/>
      <c r="I171" s="102"/>
      <c r="J171" s="102"/>
      <c r="K171" s="798"/>
      <c r="L171" s="102"/>
      <c r="M171" s="102"/>
      <c r="N171" s="102"/>
      <c r="O171" s="102"/>
      <c r="P171" s="798"/>
      <c r="Q171" s="102"/>
      <c r="R171" s="102"/>
      <c r="S171" s="102"/>
      <c r="T171" s="102"/>
      <c r="U171" s="798"/>
      <c r="V171" s="102"/>
      <c r="W171" s="102"/>
      <c r="X171" s="102"/>
      <c r="Y171" s="102"/>
      <c r="Z171" s="798"/>
      <c r="AA171" s="102"/>
      <c r="AB171" s="102"/>
      <c r="AC171" s="102"/>
      <c r="AD171" s="102"/>
      <c r="AE171" s="798"/>
      <c r="AF171" s="102"/>
      <c r="AG171" s="102"/>
      <c r="AH171" s="102"/>
      <c r="AI171" s="102"/>
      <c r="AJ171" s="798"/>
      <c r="AK171" s="102"/>
      <c r="AL171" s="102"/>
      <c r="AM171" s="102"/>
      <c r="AN171" s="102"/>
      <c r="AO171" s="798"/>
      <c r="AP171" s="102"/>
      <c r="AQ171" s="102"/>
      <c r="AR171" s="102"/>
      <c r="AS171" s="102"/>
      <c r="AT171" s="798"/>
      <c r="AU171" s="102"/>
      <c r="AV171" s="102"/>
      <c r="AW171" s="102"/>
      <c r="AX171" s="102"/>
      <c r="AY171" s="798"/>
      <c r="AZ171" s="102"/>
      <c r="BA171" s="102"/>
      <c r="BB171" s="102"/>
      <c r="BC171" s="102"/>
      <c r="BD171" s="798"/>
      <c r="BE171" s="102"/>
      <c r="BF171" s="102"/>
      <c r="BG171" s="102"/>
      <c r="BH171" s="102"/>
      <c r="BI171" s="798"/>
      <c r="BJ171" s="102"/>
      <c r="BK171" s="102"/>
      <c r="BL171" s="427"/>
      <c r="BM171" s="102"/>
      <c r="BN171" s="798"/>
      <c r="BO171" s="102"/>
      <c r="BP171" s="102"/>
      <c r="BQ171" s="102"/>
      <c r="BR171" s="102"/>
      <c r="BS171" s="798"/>
      <c r="BT171" s="798"/>
      <c r="BU171" s="798"/>
      <c r="BV171" s="798"/>
      <c r="BW171" s="102"/>
    </row>
    <row r="172" spans="1:75">
      <c r="A172" s="228" t="s">
        <v>635</v>
      </c>
      <c r="B172" s="229"/>
      <c r="C172" s="229"/>
      <c r="D172" s="229"/>
      <c r="E172" s="229"/>
      <c r="F172" s="229"/>
      <c r="G172" s="229"/>
      <c r="H172" s="229"/>
      <c r="I172" s="229"/>
      <c r="J172" s="229"/>
      <c r="K172" s="229"/>
      <c r="L172" s="229"/>
      <c r="M172" s="229"/>
      <c r="N172" s="229"/>
      <c r="O172" s="229"/>
      <c r="P172" s="229"/>
      <c r="Q172" s="229"/>
      <c r="R172" s="229"/>
      <c r="S172" s="229"/>
      <c r="T172" s="229"/>
      <c r="U172" s="229"/>
      <c r="V172" s="229"/>
      <c r="W172" s="229"/>
      <c r="X172" s="229"/>
      <c r="Y172" s="229"/>
      <c r="Z172" s="229"/>
      <c r="AA172" s="229"/>
      <c r="AB172" s="229"/>
      <c r="AC172" s="229"/>
      <c r="AD172" s="229"/>
      <c r="AE172" s="229"/>
      <c r="AF172" s="229"/>
      <c r="AG172" s="229"/>
      <c r="AH172" s="229"/>
      <c r="AI172" s="229"/>
      <c r="AJ172" s="229"/>
      <c r="AK172" s="229"/>
      <c r="AL172" s="229"/>
      <c r="AM172" s="229"/>
      <c r="AN172" s="229"/>
      <c r="AO172" s="229"/>
      <c r="AP172" s="229"/>
      <c r="AQ172" s="229"/>
      <c r="AR172" s="229"/>
      <c r="AS172" s="229"/>
      <c r="AT172" s="229"/>
      <c r="AU172" s="229"/>
      <c r="AV172" s="229"/>
      <c r="AW172" s="229"/>
      <c r="AX172" s="229"/>
      <c r="AY172" s="229"/>
      <c r="AZ172" s="229"/>
      <c r="BA172" s="229"/>
      <c r="BB172" s="229"/>
      <c r="BC172" s="229"/>
      <c r="BD172" s="229"/>
      <c r="BE172" s="229"/>
      <c r="BF172" s="229"/>
      <c r="BG172" s="229"/>
      <c r="BH172" s="229"/>
      <c r="BI172" s="229"/>
      <c r="BJ172" s="229"/>
      <c r="BK172" s="229"/>
      <c r="BL172" s="229"/>
      <c r="BM172" s="229"/>
      <c r="BN172" s="229"/>
      <c r="BO172" s="229"/>
      <c r="BP172" s="229"/>
      <c r="BQ172" s="229"/>
      <c r="BR172" s="229"/>
      <c r="BS172" s="229"/>
      <c r="BT172" s="229"/>
      <c r="BU172" s="229"/>
      <c r="BV172" s="229"/>
      <c r="BW172" s="102"/>
    </row>
    <row r="173" spans="1:75" collapsed="1">
      <c r="A173" s="232"/>
      <c r="B173" s="102"/>
      <c r="C173" s="102"/>
      <c r="D173" s="102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O173" s="102"/>
      <c r="P173" s="102"/>
      <c r="Q173" s="102"/>
      <c r="R173" s="102"/>
      <c r="S173" s="102"/>
      <c r="T173" s="102"/>
      <c r="U173" s="102"/>
      <c r="V173" s="102"/>
      <c r="W173" s="102"/>
      <c r="X173" s="102"/>
      <c r="Y173" s="102"/>
      <c r="Z173" s="102"/>
      <c r="AA173" s="102"/>
      <c r="AB173" s="102"/>
      <c r="AC173" s="102"/>
      <c r="AD173" s="102"/>
      <c r="AE173" s="102"/>
      <c r="AF173" s="102"/>
      <c r="AG173" s="102"/>
      <c r="AH173" s="102"/>
      <c r="AI173" s="102"/>
      <c r="AJ173" s="102"/>
      <c r="AK173" s="102"/>
      <c r="AL173" s="102"/>
      <c r="AM173" s="102"/>
      <c r="AN173" s="102"/>
      <c r="AO173" s="102"/>
      <c r="AP173" s="102"/>
      <c r="AQ173" s="102"/>
      <c r="AR173" s="102"/>
      <c r="AS173" s="102"/>
      <c r="AT173" s="102"/>
      <c r="AU173" s="102"/>
      <c r="AV173" s="102"/>
      <c r="AW173" s="102"/>
      <c r="AX173" s="102"/>
      <c r="AY173" s="102"/>
      <c r="AZ173" s="102"/>
      <c r="BA173" s="102"/>
      <c r="BB173" s="102"/>
      <c r="BC173" s="102"/>
      <c r="BD173" s="102"/>
      <c r="BE173" s="102"/>
      <c r="BF173" s="102"/>
      <c r="BG173" s="102"/>
      <c r="BH173" s="102"/>
      <c r="BI173" s="102"/>
      <c r="BJ173" s="102"/>
      <c r="BK173" s="102"/>
      <c r="BL173" s="102"/>
      <c r="BM173" s="102"/>
      <c r="BN173" s="102"/>
      <c r="BO173" s="102"/>
      <c r="BP173" s="102"/>
      <c r="BQ173" s="102"/>
      <c r="BR173" s="102"/>
      <c r="BS173" s="102"/>
      <c r="BT173" s="102"/>
      <c r="BU173" s="102"/>
      <c r="BV173" s="102"/>
      <c r="BW173" s="102"/>
    </row>
  </sheetData>
  <conditionalFormatting sqref="C166:BV170">
    <cfRule type="cellIs" dxfId="1" priority="211" operator="notEqual">
      <formula>0</formula>
    </cfRule>
    <cfRule type="cellIs" dxfId="0" priority="212" operator="equal">
      <formula>0</formula>
    </cfRule>
  </conditionalFormatting>
  <dataValidations disablePrompts="1" count="1">
    <dataValidation type="list" allowBlank="1" showInputMessage="1" showErrorMessage="1" sqref="B4" xr:uid="{00000000-0002-0000-0300-000000000000}">
      <formula1>OFFSET(tb_ValuationToggle,1,0,4,1)</formula1>
    </dataValidation>
  </dataValidations>
  <pageMargins left="0.7" right="0.7" top="0.75" bottom="0.75" header="0.3" footer="0.3"/>
  <pageSetup scale="14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BBA0AF1-3AA5-4871-B1F8-5F3DB0AD8BC0}"/>
</file>

<file path=customXml/itemProps2.xml><?xml version="1.0" encoding="utf-8"?>
<ds:datastoreItem xmlns:ds="http://schemas.openxmlformats.org/officeDocument/2006/customXml" ds:itemID="{E9DBE596-8FA6-43E0-A82D-F88C6062E6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Canalyst</dc:creator>
  <cp:keywords/>
  <dc:description/>
  <cp:lastModifiedBy>Kaibo Zhang</cp:lastModifiedBy>
  <cp:revision/>
  <dcterms:created xsi:type="dcterms:W3CDTF">2016-04-22T21:21:10Z</dcterms:created>
  <dcterms:modified xsi:type="dcterms:W3CDTF">2024-11-28T00:27:51Z</dcterms:modified>
  <cp:category/>
  <cp:contentStatus/>
</cp:coreProperties>
</file>