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aC\MAT-DP\data\"/>
    </mc:Choice>
  </mc:AlternateContent>
  <xr:revisionPtr revIDLastSave="0" documentId="13_ncr:1_{D8AEED46-875A-4E05-B52D-ACAD415B0B07}" xr6:coauthVersionLast="47" xr6:coauthVersionMax="47" xr10:uidLastSave="{00000000-0000-0000-0000-000000000000}"/>
  <bookViews>
    <workbookView xWindow="-28920" yWindow="5280" windowWidth="29040" windowHeight="15840" firstSheet="2" activeTab="4" xr2:uid="{AD92D393-E420-2048-A834-3451AEFC904B}"/>
  </bookViews>
  <sheets>
    <sheet name="Overview" sheetId="16" r:id="rId1"/>
    <sheet name="Matrices" sheetId="14" r:id="rId2"/>
    <sheet name="Matrices (country)" sheetId="18" r:id="rId3"/>
    <sheet name="Material Breakdowns" sheetId="7" r:id="rId4"/>
    <sheet name="Wind" sheetId="1" r:id="rId5"/>
    <sheet name="Concentrated Solar Power" sheetId="9" r:id="rId6"/>
    <sheet name="Solar Photovoltaic" sheetId="2" r:id="rId7"/>
    <sheet name="Hydro" sheetId="3" r:id="rId8"/>
    <sheet name="Geothermal" sheetId="4" r:id="rId9"/>
    <sheet name="Conventional" sheetId="15" r:id="rId10"/>
    <sheet name="Biomass" sheetId="19" r:id="rId11"/>
    <sheet name="Nuclear" sheetId="20" r:id="rId12"/>
    <sheet name="Hydrogen" sheetId="22" r:id="rId13"/>
    <sheet name="Total Material Emissions" sheetId="10" r:id="rId14"/>
    <sheet name="Outputs" sheetId="17" r:id="rId15"/>
    <sheet name="Graph" sheetId="12" r:id="rId16"/>
    <sheet name="Employment" sheetId="23" r:id="rId17"/>
  </sheets>
  <externalReferences>
    <externalReference r:id="rId18"/>
  </externalReferences>
  <definedNames>
    <definedName name="bbib15" localSheetId="6">'Solar Photovoltaic'!#REF!</definedName>
    <definedName name="bbib23" localSheetId="6">'Solar Photovoltaic'!#REF!</definedName>
    <definedName name="bbib35" localSheetId="6">'Solar Photovoltaic'!#REF!</definedName>
    <definedName name="bbib36" localSheetId="6">'Solar Photovoltaic'!#REF!</definedName>
    <definedName name="bbib37" localSheetId="6">'Solar Photovoltaic'!#REF!</definedName>
    <definedName name="bbib38" localSheetId="6">'Solar Photovoltaic'!#REF!</definedName>
    <definedName name="bbib41" localSheetId="6">'Solar Photovoltaic'!#REF!</definedName>
    <definedName name="bbib42" localSheetId="6">'Solar Photovoltaic'!#REF!</definedName>
    <definedName name="bbib43" localSheetId="6">'Solar Photovoltaic'!#REF!</definedName>
    <definedName name="bbib44" localSheetId="6">'Solar Photovoltaic'!#REF!</definedName>
    <definedName name="bbib45" localSheetId="6">'Solar Photovoltaic'!#REF!</definedName>
    <definedName name="bbib46" localSheetId="6">'Solar Photovoltaic'!#REF!</definedName>
    <definedName name="btbl1fna" localSheetId="6">'Solar Photovoltaic'!#REF!</definedName>
    <definedName name="btbl1fnb" localSheetId="6">'Solar Photovoltaic'!#REF!</definedName>
    <definedName name="btbl2fna" localSheetId="6">'Solar Photovoltaic'!#REF!</definedName>
    <definedName name="btbl2fnb" localSheetId="6">'Solar Photovoltaic'!#REF!</definedName>
    <definedName name="btblfn10" localSheetId="6">'Solar Photovoltaic'!$A$63</definedName>
    <definedName name="btblfn11" localSheetId="6">'Solar Photovoltaic'!$A$66</definedName>
    <definedName name="btblfn9" localSheetId="6">'Solar Photovoltaic'!$A$62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4" i="10" l="1"/>
  <c r="AE23" i="10"/>
  <c r="AM12" i="10"/>
  <c r="AL12" i="10"/>
  <c r="AK12" i="10"/>
  <c r="AJ12" i="10"/>
  <c r="AI12" i="10"/>
  <c r="AH12" i="10"/>
  <c r="AG12" i="10"/>
  <c r="AF12" i="10"/>
  <c r="AE12" i="10"/>
  <c r="AM15" i="10"/>
  <c r="AM13" i="10"/>
  <c r="AM24" i="10"/>
  <c r="AD6" i="10"/>
  <c r="AR19" i="10"/>
  <c r="AR18" i="10"/>
  <c r="AM16" i="10"/>
  <c r="AM17" i="10" l="1"/>
  <c r="AM23" i="10"/>
  <c r="F147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E129" i="1"/>
  <c r="D129" i="1"/>
  <c r="CA16" i="18"/>
  <c r="CA15" i="18"/>
  <c r="CA14" i="18"/>
  <c r="CA12" i="18"/>
  <c r="CA11" i="18"/>
  <c r="CA10" i="18"/>
  <c r="CA9" i="18"/>
  <c r="CA8" i="18"/>
  <c r="CA7" i="18"/>
  <c r="CA6" i="18"/>
  <c r="CA5" i="18"/>
  <c r="CA4" i="18"/>
  <c r="AE16" i="18"/>
  <c r="AE15" i="18"/>
  <c r="AE14" i="18"/>
  <c r="AE12" i="18"/>
  <c r="AE11" i="18"/>
  <c r="AE10" i="18"/>
  <c r="AE9" i="18"/>
  <c r="AE8" i="18"/>
  <c r="AE7" i="18"/>
  <c r="AE6" i="18"/>
  <c r="AE5" i="18"/>
  <c r="AE4" i="18"/>
  <c r="CQ25" i="18"/>
  <c r="CP25" i="18"/>
  <c r="CO25" i="18"/>
  <c r="CN25" i="18"/>
  <c r="CQ24" i="18"/>
  <c r="CP24" i="18"/>
  <c r="CO24" i="18"/>
  <c r="CN24" i="18"/>
  <c r="CQ23" i="18"/>
  <c r="CP23" i="18"/>
  <c r="CO23" i="18"/>
  <c r="CN23" i="18"/>
  <c r="CQ22" i="18"/>
  <c r="CP22" i="18"/>
  <c r="CO22" i="18"/>
  <c r="CN22" i="18"/>
  <c r="CQ21" i="18"/>
  <c r="CP21" i="18"/>
  <c r="CO21" i="18"/>
  <c r="CN21" i="18"/>
  <c r="CQ20" i="18"/>
  <c r="CP20" i="18"/>
  <c r="CO20" i="18"/>
  <c r="CN20" i="18"/>
  <c r="CQ19" i="18"/>
  <c r="CP19" i="18"/>
  <c r="CO19" i="18"/>
  <c r="CN19" i="18"/>
  <c r="CQ18" i="18"/>
  <c r="CP18" i="18"/>
  <c r="CO18" i="18"/>
  <c r="CN18" i="18"/>
  <c r="CQ17" i="18"/>
  <c r="CP17" i="18"/>
  <c r="CO17" i="18"/>
  <c r="CN17" i="18"/>
  <c r="CQ16" i="18"/>
  <c r="CP16" i="18"/>
  <c r="CO16" i="18"/>
  <c r="CN16" i="18"/>
  <c r="CQ15" i="18"/>
  <c r="CP15" i="18"/>
  <c r="CO15" i="18"/>
  <c r="CN15" i="18"/>
  <c r="CQ14" i="18"/>
  <c r="CP14" i="18"/>
  <c r="CO14" i="18"/>
  <c r="CN14" i="18"/>
  <c r="CQ13" i="18"/>
  <c r="CP13" i="18"/>
  <c r="CO13" i="18"/>
  <c r="CN13" i="18"/>
  <c r="CQ12" i="18"/>
  <c r="CP12" i="18"/>
  <c r="CO12" i="18"/>
  <c r="CN12" i="18"/>
  <c r="CQ11" i="18"/>
  <c r="CP11" i="18"/>
  <c r="CO11" i="18"/>
  <c r="CN11" i="18"/>
  <c r="CQ10" i="18"/>
  <c r="CP10" i="18"/>
  <c r="CO10" i="18"/>
  <c r="CN10" i="18"/>
  <c r="CQ9" i="18"/>
  <c r="CP9" i="18"/>
  <c r="CO9" i="18"/>
  <c r="CN9" i="18"/>
  <c r="CQ8" i="18"/>
  <c r="CP8" i="18"/>
  <c r="CO8" i="18"/>
  <c r="CN8" i="18"/>
  <c r="CQ7" i="18"/>
  <c r="CP7" i="18"/>
  <c r="CO7" i="18"/>
  <c r="CN7" i="18"/>
  <c r="CQ6" i="18"/>
  <c r="CP6" i="18"/>
  <c r="CO6" i="18"/>
  <c r="CN6" i="18"/>
  <c r="CQ5" i="18"/>
  <c r="CP5" i="18"/>
  <c r="CO5" i="18"/>
  <c r="CN5" i="18"/>
  <c r="CQ4" i="18"/>
  <c r="CP4" i="18"/>
  <c r="CO4" i="18"/>
  <c r="CN4" i="18"/>
  <c r="AU25" i="18"/>
  <c r="AT25" i="18"/>
  <c r="AS25" i="18"/>
  <c r="AR25" i="18"/>
  <c r="AU24" i="18"/>
  <c r="AT24" i="18"/>
  <c r="AS24" i="18"/>
  <c r="AR24" i="18"/>
  <c r="AU23" i="18"/>
  <c r="AT23" i="18"/>
  <c r="AS23" i="18"/>
  <c r="AR23" i="18"/>
  <c r="AU22" i="18"/>
  <c r="AT22" i="18"/>
  <c r="AS22" i="18"/>
  <c r="AR22" i="18"/>
  <c r="AU21" i="18"/>
  <c r="AT21" i="18"/>
  <c r="AS21" i="18"/>
  <c r="AR21" i="18"/>
  <c r="AU20" i="18"/>
  <c r="AT20" i="18"/>
  <c r="AS20" i="18"/>
  <c r="AR20" i="18"/>
  <c r="AU19" i="18"/>
  <c r="AT19" i="18"/>
  <c r="AS19" i="18"/>
  <c r="AR19" i="18"/>
  <c r="AU18" i="18"/>
  <c r="AT18" i="18"/>
  <c r="AS18" i="18"/>
  <c r="AR18" i="18"/>
  <c r="AU17" i="18"/>
  <c r="AT17" i="18"/>
  <c r="AS17" i="18"/>
  <c r="AR17" i="18"/>
  <c r="AU16" i="18"/>
  <c r="AT16" i="18"/>
  <c r="AS16" i="18"/>
  <c r="AR16" i="18"/>
  <c r="AU15" i="18"/>
  <c r="AT15" i="18"/>
  <c r="AS15" i="18"/>
  <c r="AR15" i="18"/>
  <c r="AU14" i="18"/>
  <c r="AT14" i="18"/>
  <c r="AS14" i="18"/>
  <c r="AR14" i="18"/>
  <c r="AU13" i="18"/>
  <c r="AT13" i="18"/>
  <c r="AS13" i="18"/>
  <c r="AR13" i="18"/>
  <c r="AU12" i="18"/>
  <c r="AT12" i="18"/>
  <c r="AS12" i="18"/>
  <c r="AR12" i="18"/>
  <c r="AU11" i="18"/>
  <c r="AT11" i="18"/>
  <c r="AS11" i="18"/>
  <c r="AR11" i="18"/>
  <c r="AU10" i="18"/>
  <c r="AT10" i="18"/>
  <c r="AS10" i="18"/>
  <c r="AR10" i="18"/>
  <c r="AU9" i="18"/>
  <c r="AT9" i="18"/>
  <c r="AS9" i="18"/>
  <c r="AR9" i="18"/>
  <c r="AU8" i="18"/>
  <c r="AT8" i="18"/>
  <c r="AS8" i="18"/>
  <c r="AR8" i="18"/>
  <c r="AU7" i="18"/>
  <c r="AT7" i="18"/>
  <c r="AS7" i="18"/>
  <c r="AR7" i="18"/>
  <c r="AU6" i="18"/>
  <c r="AT6" i="18"/>
  <c r="AS6" i="18"/>
  <c r="AR6" i="18"/>
  <c r="AU5" i="18"/>
  <c r="AT5" i="18"/>
  <c r="AS5" i="18"/>
  <c r="AR5" i="18"/>
  <c r="AU4" i="18"/>
  <c r="AT4" i="18"/>
  <c r="AS4" i="18"/>
  <c r="AR4" i="18"/>
  <c r="AM25" i="10" l="1"/>
  <c r="AK16" i="10"/>
  <c r="AJ16" i="10"/>
  <c r="AI16" i="10"/>
  <c r="AH16" i="10"/>
  <c r="AG16" i="10"/>
  <c r="AF16" i="10"/>
  <c r="AE16" i="10"/>
  <c r="AK15" i="10"/>
  <c r="AK23" i="10" s="1"/>
  <c r="AJ15" i="10"/>
  <c r="AI15" i="10"/>
  <c r="AH15" i="10"/>
  <c r="AG15" i="10"/>
  <c r="AG23" i="10" s="1"/>
  <c r="AF15" i="10"/>
  <c r="AE15" i="10"/>
  <c r="F64" i="7"/>
  <c r="AL15" i="10" s="1"/>
  <c r="G64" i="7"/>
  <c r="H64" i="7" s="1"/>
  <c r="AE13" i="18"/>
  <c r="AL13" i="10"/>
  <c r="AK13" i="10"/>
  <c r="AJ13" i="10"/>
  <c r="AI13" i="10"/>
  <c r="AH13" i="10"/>
  <c r="AG13" i="10"/>
  <c r="AF13" i="10"/>
  <c r="AE13" i="10"/>
  <c r="F109" i="1"/>
  <c r="F108" i="1"/>
  <c r="F107" i="1"/>
  <c r="F106" i="1"/>
  <c r="F105" i="1"/>
  <c r="F104" i="1"/>
  <c r="F103" i="1"/>
  <c r="F102" i="1"/>
  <c r="F101" i="1"/>
  <c r="F100" i="1"/>
  <c r="F99" i="1"/>
  <c r="F110" i="1"/>
  <c r="F112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T61" i="12"/>
  <c r="U61" i="12"/>
  <c r="V61" i="12" s="1"/>
  <c r="T35" i="23"/>
  <c r="U35" i="23"/>
  <c r="V35" i="23" s="1"/>
  <c r="T62" i="23"/>
  <c r="E90" i="23"/>
  <c r="AL23" i="10" l="1"/>
  <c r="AH23" i="10"/>
  <c r="AI23" i="10"/>
  <c r="AF23" i="10"/>
  <c r="AJ23" i="10"/>
  <c r="AL16" i="10"/>
  <c r="D71" i="23"/>
  <c r="C71" i="23"/>
  <c r="D82" i="23"/>
  <c r="C82" i="23"/>
  <c r="D81" i="23"/>
  <c r="E81" i="23" s="1"/>
  <c r="C81" i="23"/>
  <c r="D77" i="23"/>
  <c r="C77" i="23"/>
  <c r="E77" i="23" s="1"/>
  <c r="D76" i="23"/>
  <c r="E76" i="23" s="1"/>
  <c r="C76" i="23"/>
  <c r="D75" i="23"/>
  <c r="C75" i="23"/>
  <c r="D74" i="23"/>
  <c r="C74" i="23"/>
  <c r="D73" i="23"/>
  <c r="C73" i="23"/>
  <c r="D72" i="23"/>
  <c r="C72" i="23"/>
  <c r="D70" i="23"/>
  <c r="C70" i="23"/>
  <c r="D69" i="23"/>
  <c r="E69" i="23" s="1"/>
  <c r="C69" i="23"/>
  <c r="D68" i="23"/>
  <c r="C68" i="23"/>
  <c r="D67" i="23"/>
  <c r="C67" i="23"/>
  <c r="D80" i="23"/>
  <c r="C80" i="23"/>
  <c r="C79" i="23"/>
  <c r="D78" i="23"/>
  <c r="C78" i="23"/>
  <c r="E89" i="23"/>
  <c r="E88" i="23"/>
  <c r="E87" i="23"/>
  <c r="E86" i="23"/>
  <c r="E85" i="23"/>
  <c r="E84" i="23"/>
  <c r="E83" i="23"/>
  <c r="E82" i="23"/>
  <c r="E71" i="23"/>
  <c r="T52" i="23"/>
  <c r="T61" i="23"/>
  <c r="T60" i="23"/>
  <c r="T59" i="23"/>
  <c r="T58" i="23"/>
  <c r="T57" i="23"/>
  <c r="T56" i="23"/>
  <c r="T55" i="23"/>
  <c r="T54" i="23"/>
  <c r="T53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AJ13" i="14"/>
  <c r="CA24" i="14"/>
  <c r="BZ24" i="14"/>
  <c r="BY24" i="14"/>
  <c r="BX24" i="14"/>
  <c r="CA23" i="14"/>
  <c r="BZ23" i="14"/>
  <c r="BY23" i="14"/>
  <c r="BX23" i="14"/>
  <c r="CA22" i="14"/>
  <c r="BZ22" i="14"/>
  <c r="BY22" i="14"/>
  <c r="BX22" i="14"/>
  <c r="CA21" i="14"/>
  <c r="BZ21" i="14"/>
  <c r="BY21" i="14"/>
  <c r="BX21" i="14"/>
  <c r="CA20" i="14"/>
  <c r="BZ20" i="14"/>
  <c r="BY20" i="14"/>
  <c r="BX20" i="14"/>
  <c r="CA19" i="14"/>
  <c r="BZ19" i="14"/>
  <c r="BY19" i="14"/>
  <c r="BX19" i="14"/>
  <c r="CA18" i="14"/>
  <c r="BZ18" i="14"/>
  <c r="BY18" i="14"/>
  <c r="BX18" i="14"/>
  <c r="CA17" i="14"/>
  <c r="BZ17" i="14"/>
  <c r="BY17" i="14"/>
  <c r="BX17" i="14"/>
  <c r="CA16" i="14"/>
  <c r="BZ16" i="14"/>
  <c r="BY16" i="14"/>
  <c r="BX16" i="14"/>
  <c r="CA15" i="14"/>
  <c r="BZ15" i="14"/>
  <c r="BY15" i="14"/>
  <c r="BX15" i="14"/>
  <c r="CA14" i="14"/>
  <c r="BZ14" i="14"/>
  <c r="BY14" i="14"/>
  <c r="BX14" i="14"/>
  <c r="CA13" i="14"/>
  <c r="BZ13" i="14"/>
  <c r="BY13" i="14"/>
  <c r="BX13" i="14"/>
  <c r="CA12" i="14"/>
  <c r="BZ12" i="14"/>
  <c r="BY12" i="14"/>
  <c r="BX12" i="14"/>
  <c r="CA11" i="14"/>
  <c r="BZ11" i="14"/>
  <c r="BY11" i="14"/>
  <c r="BX11" i="14"/>
  <c r="CA10" i="14"/>
  <c r="BZ10" i="14"/>
  <c r="BY10" i="14"/>
  <c r="BX10" i="14"/>
  <c r="CA9" i="14"/>
  <c r="BZ9" i="14"/>
  <c r="BY9" i="14"/>
  <c r="BX9" i="14"/>
  <c r="CA8" i="14"/>
  <c r="BZ8" i="14"/>
  <c r="BY8" i="14"/>
  <c r="BX8" i="14"/>
  <c r="CA7" i="14"/>
  <c r="BZ7" i="14"/>
  <c r="BY7" i="14"/>
  <c r="BX7" i="14"/>
  <c r="CA6" i="14"/>
  <c r="BZ6" i="14"/>
  <c r="BY6" i="14"/>
  <c r="BX6" i="14"/>
  <c r="CA5" i="14"/>
  <c r="BZ5" i="14"/>
  <c r="BY5" i="14"/>
  <c r="BX5" i="14"/>
  <c r="CA4" i="14"/>
  <c r="BZ4" i="14"/>
  <c r="BY4" i="14"/>
  <c r="BX4" i="14"/>
  <c r="CJ16" i="18"/>
  <c r="CI16" i="18"/>
  <c r="CH16" i="18"/>
  <c r="CG16" i="18"/>
  <c r="CF16" i="18"/>
  <c r="CE16" i="18"/>
  <c r="CD16" i="18"/>
  <c r="CC16" i="18"/>
  <c r="CB16" i="18"/>
  <c r="BZ16" i="18"/>
  <c r="BY16" i="18"/>
  <c r="BX16" i="18"/>
  <c r="BW16" i="18"/>
  <c r="BV16" i="18"/>
  <c r="BU16" i="18"/>
  <c r="BT16" i="18"/>
  <c r="BS16" i="18"/>
  <c r="BR16" i="18"/>
  <c r="BQ16" i="18"/>
  <c r="BP16" i="18"/>
  <c r="CJ15" i="18"/>
  <c r="CI15" i="18"/>
  <c r="CH15" i="18"/>
  <c r="CG15" i="18"/>
  <c r="CF15" i="18"/>
  <c r="CE15" i="18"/>
  <c r="CD15" i="18"/>
  <c r="CC15" i="18"/>
  <c r="CB15" i="18"/>
  <c r="BZ15" i="18"/>
  <c r="BY15" i="18"/>
  <c r="BX15" i="18"/>
  <c r="BW15" i="18"/>
  <c r="BV15" i="18"/>
  <c r="BU15" i="18"/>
  <c r="BT15" i="18"/>
  <c r="BS15" i="18"/>
  <c r="BR15" i="18"/>
  <c r="BQ15" i="18"/>
  <c r="BP15" i="18"/>
  <c r="CJ14" i="18"/>
  <c r="CI14" i="18"/>
  <c r="CH14" i="18"/>
  <c r="CG14" i="18"/>
  <c r="CF14" i="18"/>
  <c r="CE14" i="18"/>
  <c r="CD14" i="18"/>
  <c r="CC14" i="18"/>
  <c r="CB14" i="18"/>
  <c r="BZ14" i="18"/>
  <c r="BY14" i="18"/>
  <c r="BX14" i="18"/>
  <c r="BW14" i="18"/>
  <c r="BV14" i="18"/>
  <c r="BU14" i="18"/>
  <c r="BT14" i="18"/>
  <c r="BS14" i="18"/>
  <c r="BR14" i="18"/>
  <c r="BQ14" i="18"/>
  <c r="BP14" i="18"/>
  <c r="BO16" i="18"/>
  <c r="BO15" i="18"/>
  <c r="BO14" i="18"/>
  <c r="CI13" i="18"/>
  <c r="CH13" i="18"/>
  <c r="CG13" i="18"/>
  <c r="CF13" i="18"/>
  <c r="CD13" i="18"/>
  <c r="CC13" i="18"/>
  <c r="CB13" i="18"/>
  <c r="BZ13" i="18"/>
  <c r="BY13" i="18"/>
  <c r="BX13" i="18"/>
  <c r="BT13" i="18"/>
  <c r="BS13" i="18"/>
  <c r="BQ13" i="18"/>
  <c r="BP13" i="18"/>
  <c r="CJ12" i="18"/>
  <c r="CI12" i="18"/>
  <c r="CH12" i="18"/>
  <c r="CG12" i="18"/>
  <c r="CF12" i="18"/>
  <c r="CE12" i="18"/>
  <c r="CD12" i="18"/>
  <c r="CC12" i="18"/>
  <c r="CB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CJ11" i="18"/>
  <c r="CI11" i="18"/>
  <c r="CH11" i="18"/>
  <c r="CG11" i="18"/>
  <c r="CF11" i="18"/>
  <c r="CE11" i="18"/>
  <c r="CD11" i="18"/>
  <c r="CC11" i="18"/>
  <c r="CB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CJ10" i="18"/>
  <c r="CI10" i="18"/>
  <c r="CH10" i="18"/>
  <c r="CG10" i="18"/>
  <c r="CF10" i="18"/>
  <c r="CE10" i="18"/>
  <c r="CD10" i="18"/>
  <c r="CC10" i="18"/>
  <c r="CB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CJ9" i="18"/>
  <c r="CI9" i="18"/>
  <c r="CH9" i="18"/>
  <c r="CG9" i="18"/>
  <c r="CF9" i="18"/>
  <c r="CE9" i="18"/>
  <c r="CD9" i="18"/>
  <c r="CC9" i="18"/>
  <c r="CB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CJ8" i="18"/>
  <c r="CI8" i="18"/>
  <c r="CH8" i="18"/>
  <c r="CG8" i="18"/>
  <c r="CF8" i="18"/>
  <c r="CE8" i="18"/>
  <c r="CD8" i="18"/>
  <c r="CC8" i="18"/>
  <c r="CB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CJ7" i="18"/>
  <c r="CI7" i="18"/>
  <c r="CH7" i="18"/>
  <c r="CG7" i="18"/>
  <c r="CF7" i="18"/>
  <c r="CE7" i="18"/>
  <c r="CD7" i="18"/>
  <c r="CC7" i="18"/>
  <c r="CB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CJ6" i="18"/>
  <c r="CI6" i="18"/>
  <c r="CH6" i="18"/>
  <c r="CG6" i="18"/>
  <c r="CF6" i="18"/>
  <c r="CE6" i="18"/>
  <c r="CD6" i="18"/>
  <c r="CC6" i="18"/>
  <c r="CB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CJ5" i="18"/>
  <c r="CI5" i="18"/>
  <c r="CH5" i="18"/>
  <c r="CG5" i="18"/>
  <c r="CF5" i="18"/>
  <c r="CE5" i="18"/>
  <c r="CD5" i="18"/>
  <c r="CC5" i="18"/>
  <c r="CB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CJ4" i="18"/>
  <c r="CI4" i="18"/>
  <c r="CH4" i="18"/>
  <c r="CG4" i="18"/>
  <c r="CF4" i="18"/>
  <c r="CE4" i="18"/>
  <c r="CD4" i="18"/>
  <c r="CC4" i="18"/>
  <c r="CB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AN16" i="18"/>
  <c r="AM16" i="18"/>
  <c r="AL16" i="18"/>
  <c r="AK16" i="18"/>
  <c r="AJ16" i="18"/>
  <c r="AI16" i="18"/>
  <c r="AH16" i="18"/>
  <c r="AG16" i="18"/>
  <c r="AF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AN15" i="18"/>
  <c r="AM15" i="18"/>
  <c r="AL15" i="18"/>
  <c r="AK15" i="18"/>
  <c r="AJ15" i="18"/>
  <c r="AI15" i="18"/>
  <c r="AH15" i="18"/>
  <c r="AG15" i="18"/>
  <c r="AF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T14" i="18"/>
  <c r="AN14" i="18"/>
  <c r="AM14" i="18"/>
  <c r="AL14" i="18"/>
  <c r="AK14" i="18"/>
  <c r="AJ14" i="18"/>
  <c r="AI14" i="18"/>
  <c r="AH14" i="18"/>
  <c r="AG14" i="18"/>
  <c r="AF14" i="18"/>
  <c r="AD14" i="18"/>
  <c r="AC14" i="18"/>
  <c r="AB14" i="18"/>
  <c r="AA14" i="18"/>
  <c r="Z14" i="18"/>
  <c r="Y14" i="18"/>
  <c r="X14" i="18"/>
  <c r="W14" i="18"/>
  <c r="V14" i="18"/>
  <c r="U14" i="18"/>
  <c r="S14" i="18"/>
  <c r="AM13" i="18"/>
  <c r="AL13" i="18"/>
  <c r="AK13" i="18"/>
  <c r="AJ13" i="18"/>
  <c r="AI13" i="18"/>
  <c r="AH13" i="18"/>
  <c r="AG13" i="18"/>
  <c r="AF13" i="18"/>
  <c r="AD13" i="18"/>
  <c r="AC13" i="18"/>
  <c r="AB13" i="18"/>
  <c r="X13" i="18"/>
  <c r="W13" i="18"/>
  <c r="U13" i="18"/>
  <c r="T13" i="18"/>
  <c r="AN12" i="18"/>
  <c r="AM12" i="18"/>
  <c r="AL12" i="18"/>
  <c r="AK12" i="18"/>
  <c r="AJ12" i="18"/>
  <c r="AI12" i="18"/>
  <c r="AH12" i="18"/>
  <c r="AG12" i="18"/>
  <c r="AF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AM11" i="18"/>
  <c r="AL11" i="18"/>
  <c r="AK11" i="18"/>
  <c r="AJ11" i="18"/>
  <c r="AI11" i="18"/>
  <c r="AH11" i="18"/>
  <c r="AG11" i="18"/>
  <c r="AF11" i="18"/>
  <c r="AD11" i="18"/>
  <c r="AC11" i="18"/>
  <c r="AB11" i="18"/>
  <c r="AA11" i="18"/>
  <c r="Z11" i="18"/>
  <c r="X11" i="18"/>
  <c r="W11" i="18"/>
  <c r="U11" i="18"/>
  <c r="T11" i="18"/>
  <c r="S11" i="18"/>
  <c r="AN10" i="18"/>
  <c r="AM10" i="18"/>
  <c r="AL10" i="18"/>
  <c r="AK10" i="18"/>
  <c r="AJ10" i="18"/>
  <c r="AI10" i="18"/>
  <c r="AH10" i="18"/>
  <c r="AG10" i="18"/>
  <c r="AF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AN9" i="18"/>
  <c r="AM9" i="18"/>
  <c r="AL9" i="18"/>
  <c r="AK9" i="18"/>
  <c r="AJ9" i="18"/>
  <c r="AI9" i="18"/>
  <c r="AH9" i="18"/>
  <c r="AG9" i="18"/>
  <c r="AF9" i="18"/>
  <c r="AD9" i="18"/>
  <c r="AC9" i="18"/>
  <c r="AB9" i="18"/>
  <c r="AA9" i="18"/>
  <c r="Z9" i="18"/>
  <c r="Y9" i="18"/>
  <c r="X9" i="18"/>
  <c r="W9" i="18"/>
  <c r="V9" i="18"/>
  <c r="U9" i="18"/>
  <c r="T9" i="18"/>
  <c r="S9" i="18"/>
  <c r="AN8" i="18"/>
  <c r="AM8" i="18"/>
  <c r="AL8" i="18"/>
  <c r="AK8" i="18"/>
  <c r="AJ8" i="18"/>
  <c r="AI8" i="18"/>
  <c r="AH8" i="18"/>
  <c r="AG8" i="18"/>
  <c r="AF8" i="18"/>
  <c r="AD8" i="18"/>
  <c r="AC8" i="18"/>
  <c r="AB8" i="18"/>
  <c r="AA8" i="18"/>
  <c r="Z8" i="18"/>
  <c r="Y8" i="18"/>
  <c r="X8" i="18"/>
  <c r="W8" i="18"/>
  <c r="V8" i="18"/>
  <c r="U8" i="18"/>
  <c r="T8" i="18"/>
  <c r="S8" i="18"/>
  <c r="AN7" i="18"/>
  <c r="AM7" i="18"/>
  <c r="AL7" i="18"/>
  <c r="AK7" i="18"/>
  <c r="AJ7" i="18"/>
  <c r="AI7" i="18"/>
  <c r="AH7" i="18"/>
  <c r="AG7" i="18"/>
  <c r="AF7" i="18"/>
  <c r="AD7" i="18"/>
  <c r="AC7" i="18"/>
  <c r="AB7" i="18"/>
  <c r="AA7" i="18"/>
  <c r="Z7" i="18"/>
  <c r="Y7" i="18"/>
  <c r="X7" i="18"/>
  <c r="W7" i="18"/>
  <c r="V7" i="18"/>
  <c r="U7" i="18"/>
  <c r="T7" i="18"/>
  <c r="S7" i="18"/>
  <c r="AN6" i="18"/>
  <c r="AM6" i="18"/>
  <c r="AL6" i="18"/>
  <c r="AK6" i="18"/>
  <c r="AJ6" i="18"/>
  <c r="AI6" i="18"/>
  <c r="AH6" i="18"/>
  <c r="AG6" i="18"/>
  <c r="AF6" i="18"/>
  <c r="AD6" i="18"/>
  <c r="AC6" i="18"/>
  <c r="AB6" i="18"/>
  <c r="AA6" i="18"/>
  <c r="Z6" i="18"/>
  <c r="Y6" i="18"/>
  <c r="X6" i="18"/>
  <c r="W6" i="18"/>
  <c r="V6" i="18"/>
  <c r="U6" i="18"/>
  <c r="T6" i="18"/>
  <c r="S6" i="18"/>
  <c r="AN5" i="18"/>
  <c r="AM5" i="18"/>
  <c r="AL5" i="18"/>
  <c r="AK5" i="18"/>
  <c r="AJ5" i="18"/>
  <c r="AI5" i="18"/>
  <c r="AH5" i="18"/>
  <c r="AG5" i="18"/>
  <c r="AF5" i="18"/>
  <c r="AD5" i="18"/>
  <c r="AC5" i="18"/>
  <c r="AB5" i="18"/>
  <c r="AA5" i="18"/>
  <c r="Z5" i="18"/>
  <c r="Y5" i="18"/>
  <c r="X5" i="18"/>
  <c r="W5" i="18"/>
  <c r="V5" i="18"/>
  <c r="U5" i="18"/>
  <c r="T5" i="18"/>
  <c r="S5" i="18"/>
  <c r="AN4" i="18"/>
  <c r="AM4" i="18"/>
  <c r="AL4" i="18"/>
  <c r="AK4" i="18"/>
  <c r="AJ4" i="18"/>
  <c r="AI4" i="18"/>
  <c r="AH4" i="18"/>
  <c r="AG4" i="18"/>
  <c r="AF4" i="18"/>
  <c r="AD4" i="18"/>
  <c r="AC4" i="18"/>
  <c r="AB4" i="18"/>
  <c r="AA4" i="18"/>
  <c r="Z4" i="18"/>
  <c r="Y4" i="18"/>
  <c r="X4" i="18"/>
  <c r="W4" i="18"/>
  <c r="V4" i="18"/>
  <c r="U4" i="18"/>
  <c r="T4" i="18"/>
  <c r="S4" i="18"/>
  <c r="L4" i="14"/>
  <c r="Z28" i="23"/>
  <c r="Y28" i="23"/>
  <c r="U57" i="12"/>
  <c r="T57" i="12"/>
  <c r="T58" i="12"/>
  <c r="T60" i="12"/>
  <c r="U59" i="12"/>
  <c r="V59" i="12" s="1"/>
  <c r="U60" i="12"/>
  <c r="U49" i="12"/>
  <c r="U50" i="12"/>
  <c r="U55" i="12"/>
  <c r="U56" i="12"/>
  <c r="U58" i="12"/>
  <c r="T59" i="12"/>
  <c r="AR23" i="10" l="1"/>
  <c r="E80" i="23"/>
  <c r="E68" i="23"/>
  <c r="E75" i="23"/>
  <c r="E74" i="23"/>
  <c r="E73" i="23"/>
  <c r="E72" i="23"/>
  <c r="E70" i="23"/>
  <c r="E67" i="23"/>
  <c r="E78" i="23"/>
  <c r="V57" i="12"/>
  <c r="V60" i="12"/>
  <c r="V58" i="12"/>
  <c r="U17" i="23"/>
  <c r="V17" i="23" s="1"/>
  <c r="T17" i="23"/>
  <c r="V16" i="23"/>
  <c r="U16" i="23"/>
  <c r="T16" i="23"/>
  <c r="T33" i="23"/>
  <c r="U33" i="23"/>
  <c r="V33" i="23" s="1"/>
  <c r="T34" i="23"/>
  <c r="U34" i="23"/>
  <c r="V34" i="23" s="1"/>
  <c r="U22" i="23"/>
  <c r="U23" i="23"/>
  <c r="U24" i="23"/>
  <c r="U25" i="23"/>
  <c r="V25" i="23" s="1"/>
  <c r="U26" i="23"/>
  <c r="U27" i="23"/>
  <c r="U28" i="23"/>
  <c r="V28" i="23" s="1"/>
  <c r="U29" i="23"/>
  <c r="U30" i="23"/>
  <c r="U31" i="23"/>
  <c r="U32" i="23"/>
  <c r="U21" i="23"/>
  <c r="U5" i="23"/>
  <c r="U6" i="23"/>
  <c r="U7" i="23"/>
  <c r="U8" i="23"/>
  <c r="V8" i="23" s="1"/>
  <c r="U9" i="23"/>
  <c r="U10" i="23"/>
  <c r="U11" i="23"/>
  <c r="U12" i="23"/>
  <c r="U13" i="23"/>
  <c r="U14" i="23"/>
  <c r="U15" i="23"/>
  <c r="V4" i="23"/>
  <c r="U4" i="23"/>
  <c r="T15" i="23"/>
  <c r="T32" i="23"/>
  <c r="V32" i="23"/>
  <c r="T14" i="23"/>
  <c r="V31" i="23"/>
  <c r="T31" i="23"/>
  <c r="T8" i="23"/>
  <c r="T9" i="23"/>
  <c r="V9" i="23"/>
  <c r="T10" i="23"/>
  <c r="T11" i="23"/>
  <c r="V11" i="23"/>
  <c r="T25" i="23"/>
  <c r="T26" i="23"/>
  <c r="V26" i="23"/>
  <c r="T27" i="23"/>
  <c r="V27" i="23"/>
  <c r="T28" i="23"/>
  <c r="V30" i="23"/>
  <c r="T30" i="23"/>
  <c r="T29" i="23"/>
  <c r="T24" i="23"/>
  <c r="T23" i="23"/>
  <c r="T22" i="23"/>
  <c r="T21" i="23"/>
  <c r="T13" i="23"/>
  <c r="T12" i="23"/>
  <c r="T7" i="23"/>
  <c r="T6" i="23"/>
  <c r="T5" i="23"/>
  <c r="T4" i="23"/>
  <c r="V56" i="12"/>
  <c r="V55" i="12"/>
  <c r="T56" i="12"/>
  <c r="T55" i="12"/>
  <c r="M278" i="10"/>
  <c r="M285" i="10"/>
  <c r="M284" i="10"/>
  <c r="M279" i="10"/>
  <c r="K278" i="10"/>
  <c r="H278" i="10"/>
  <c r="K285" i="10"/>
  <c r="J285" i="10"/>
  <c r="I285" i="10"/>
  <c r="H285" i="10"/>
  <c r="G285" i="10"/>
  <c r="F285" i="10"/>
  <c r="E285" i="10"/>
  <c r="D285" i="10"/>
  <c r="D286" i="10" s="1"/>
  <c r="C285" i="10"/>
  <c r="L285" i="10"/>
  <c r="I284" i="10"/>
  <c r="I287" i="10" s="1"/>
  <c r="H284" i="10"/>
  <c r="G284" i="10"/>
  <c r="F284" i="10"/>
  <c r="E284" i="10"/>
  <c r="D284" i="10"/>
  <c r="D287" i="10" s="1"/>
  <c r="C284" i="10"/>
  <c r="J284" i="10"/>
  <c r="K284" i="10"/>
  <c r="L284" i="10"/>
  <c r="L287" i="10" s="1"/>
  <c r="L278" i="10"/>
  <c r="L279" i="10" s="1"/>
  <c r="J278" i="10"/>
  <c r="I278" i="10"/>
  <c r="H279" i="10"/>
  <c r="F278" i="10"/>
  <c r="E278" i="10"/>
  <c r="D278" i="10"/>
  <c r="C278" i="10"/>
  <c r="U29" i="19"/>
  <c r="S47" i="19"/>
  <c r="T46" i="19"/>
  <c r="S45" i="19"/>
  <c r="U45" i="19" s="1"/>
  <c r="S44" i="19"/>
  <c r="S43" i="19"/>
  <c r="S41" i="19"/>
  <c r="S40" i="19"/>
  <c r="U40" i="19" s="1"/>
  <c r="S39" i="19"/>
  <c r="U39" i="19" s="1"/>
  <c r="S38" i="19"/>
  <c r="S37" i="19"/>
  <c r="S36" i="19"/>
  <c r="T35" i="19"/>
  <c r="S34" i="19"/>
  <c r="S33" i="19"/>
  <c r="U33" i="19" s="1"/>
  <c r="T32" i="19"/>
  <c r="U32" i="19" s="1"/>
  <c r="S31" i="19"/>
  <c r="S30" i="19"/>
  <c r="U30" i="19" s="1"/>
  <c r="S29" i="19"/>
  <c r="U42" i="19"/>
  <c r="U28" i="19"/>
  <c r="U47" i="19"/>
  <c r="U46" i="19"/>
  <c r="U44" i="19"/>
  <c r="U43" i="19"/>
  <c r="U41" i="19"/>
  <c r="U38" i="19"/>
  <c r="U37" i="19"/>
  <c r="U36" i="19"/>
  <c r="U35" i="19"/>
  <c r="U34" i="19"/>
  <c r="U31" i="19"/>
  <c r="B275" i="10"/>
  <c r="B300" i="10"/>
  <c r="D310" i="10"/>
  <c r="D309" i="10"/>
  <c r="D312" i="10" s="1"/>
  <c r="D304" i="10"/>
  <c r="C303" i="10"/>
  <c r="C310" i="10"/>
  <c r="C309" i="10"/>
  <c r="C304" i="10"/>
  <c r="E299" i="10"/>
  <c r="E298" i="10"/>
  <c r="E297" i="10"/>
  <c r="G287" i="10"/>
  <c r="F287" i="10"/>
  <c r="E287" i="10"/>
  <c r="K279" i="10"/>
  <c r="G279" i="10"/>
  <c r="D279" i="10"/>
  <c r="F279" i="10"/>
  <c r="E274" i="10"/>
  <c r="E273" i="10"/>
  <c r="E272" i="10"/>
  <c r="E275" i="10" s="1"/>
  <c r="D259" i="10"/>
  <c r="C259" i="10"/>
  <c r="C311" i="10" l="1"/>
  <c r="I286" i="10"/>
  <c r="E286" i="10"/>
  <c r="M286" i="10"/>
  <c r="V15" i="23"/>
  <c r="V14" i="23"/>
  <c r="V10" i="23"/>
  <c r="V21" i="23"/>
  <c r="V24" i="23"/>
  <c r="V22" i="23"/>
  <c r="V23" i="23"/>
  <c r="V29" i="23"/>
  <c r="V12" i="23"/>
  <c r="V5" i="23"/>
  <c r="V6" i="23"/>
  <c r="V7" i="23"/>
  <c r="V13" i="23"/>
  <c r="H286" i="10"/>
  <c r="L286" i="10"/>
  <c r="D311" i="10"/>
  <c r="M287" i="10"/>
  <c r="M292" i="10" s="1"/>
  <c r="M288" i="10"/>
  <c r="M289" i="10" s="1"/>
  <c r="K287" i="10"/>
  <c r="K288" i="10" s="1"/>
  <c r="K289" i="10" s="1"/>
  <c r="F286" i="10"/>
  <c r="C286" i="10"/>
  <c r="G286" i="10"/>
  <c r="K286" i="10"/>
  <c r="J286" i="10"/>
  <c r="L288" i="10"/>
  <c r="L289" i="10" s="1"/>
  <c r="J279" i="10"/>
  <c r="J287" i="10"/>
  <c r="H287" i="10"/>
  <c r="C287" i="10"/>
  <c r="C279" i="10"/>
  <c r="D275" i="10"/>
  <c r="D313" i="10"/>
  <c r="D314" i="10" s="1"/>
  <c r="E300" i="10"/>
  <c r="D300" i="10" s="1"/>
  <c r="C312" i="10"/>
  <c r="G288" i="10"/>
  <c r="G289" i="10" s="1"/>
  <c r="F288" i="10"/>
  <c r="F289" i="10" s="1"/>
  <c r="D288" i="10"/>
  <c r="D289" i="10" s="1"/>
  <c r="E279" i="10"/>
  <c r="I279" i="10"/>
  <c r="G257" i="10"/>
  <c r="F257" i="10"/>
  <c r="C257" i="10"/>
  <c r="C228" i="10"/>
  <c r="C229" i="10" s="1"/>
  <c r="D228" i="10"/>
  <c r="E228" i="10"/>
  <c r="F228" i="10"/>
  <c r="F229" i="10" s="1"/>
  <c r="H228" i="10"/>
  <c r="H229" i="10" s="1"/>
  <c r="I228" i="10"/>
  <c r="D229" i="10"/>
  <c r="E229" i="10"/>
  <c r="G229" i="10"/>
  <c r="I229" i="10"/>
  <c r="J229" i="10"/>
  <c r="K229" i="10"/>
  <c r="C107" i="10"/>
  <c r="F256" i="10"/>
  <c r="E256" i="10"/>
  <c r="E257" i="10" s="1"/>
  <c r="D256" i="10"/>
  <c r="D262" i="10" s="1"/>
  <c r="C256" i="10"/>
  <c r="C262" i="10" s="1"/>
  <c r="B250" i="10"/>
  <c r="G260" i="10"/>
  <c r="F260" i="10"/>
  <c r="E260" i="10"/>
  <c r="D260" i="10"/>
  <c r="C260" i="10"/>
  <c r="G259" i="10"/>
  <c r="G262" i="10" s="1"/>
  <c r="G267" i="10" s="1"/>
  <c r="F259" i="10"/>
  <c r="E259" i="10"/>
  <c r="E249" i="10"/>
  <c r="E248" i="10"/>
  <c r="E247" i="10"/>
  <c r="AM24" i="14"/>
  <c r="AL24" i="14"/>
  <c r="AM23" i="14"/>
  <c r="AL23" i="14"/>
  <c r="AM22" i="14"/>
  <c r="AL22" i="14"/>
  <c r="AM21" i="14"/>
  <c r="AL21" i="14"/>
  <c r="AM20" i="14"/>
  <c r="AL20" i="14"/>
  <c r="AM19" i="14"/>
  <c r="AL19" i="14"/>
  <c r="AM18" i="14"/>
  <c r="AL18" i="14"/>
  <c r="AM17" i="14"/>
  <c r="AL17" i="14"/>
  <c r="AM16" i="14"/>
  <c r="AL16" i="14"/>
  <c r="AM15" i="14"/>
  <c r="AL15" i="14"/>
  <c r="AM14" i="14"/>
  <c r="AL14" i="14"/>
  <c r="AM13" i="14"/>
  <c r="AL13" i="14"/>
  <c r="AM12" i="14"/>
  <c r="AL12" i="14"/>
  <c r="AM11" i="14"/>
  <c r="AL11" i="14"/>
  <c r="AM10" i="14"/>
  <c r="AL10" i="14"/>
  <c r="AM9" i="14"/>
  <c r="AL9" i="14"/>
  <c r="AM8" i="14"/>
  <c r="AL8" i="14"/>
  <c r="AM7" i="14"/>
  <c r="AL7" i="14"/>
  <c r="AM6" i="14"/>
  <c r="AL6" i="14"/>
  <c r="AM5" i="14"/>
  <c r="AL5" i="14"/>
  <c r="AM4" i="14"/>
  <c r="AL4" i="14"/>
  <c r="AJ24" i="14"/>
  <c r="AJ23" i="14"/>
  <c r="AJ22" i="14"/>
  <c r="AJ21" i="14"/>
  <c r="AJ20" i="14"/>
  <c r="AJ19" i="14"/>
  <c r="AJ18" i="14"/>
  <c r="AJ17" i="14"/>
  <c r="AJ16" i="14"/>
  <c r="AJ15" i="14"/>
  <c r="AJ14" i="14"/>
  <c r="AJ12" i="14"/>
  <c r="AJ11" i="14"/>
  <c r="AJ10" i="14"/>
  <c r="AJ9" i="14"/>
  <c r="AJ8" i="14"/>
  <c r="AJ7" i="14"/>
  <c r="AJ6" i="14"/>
  <c r="AJ5" i="14"/>
  <c r="AJ4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D79" i="23"/>
  <c r="E79" i="23" s="1"/>
  <c r="B125" i="10"/>
  <c r="B150" i="10"/>
  <c r="D150" i="10" s="1"/>
  <c r="E150" i="10" s="1"/>
  <c r="B175" i="10"/>
  <c r="K234" i="10"/>
  <c r="K237" i="10" s="1"/>
  <c r="B200" i="10"/>
  <c r="B225" i="10" s="1"/>
  <c r="H224" i="10"/>
  <c r="BU13" i="14"/>
  <c r="BS13" i="14"/>
  <c r="BR13" i="14"/>
  <c r="BQ13" i="14"/>
  <c r="BP13" i="14"/>
  <c r="BN13" i="14"/>
  <c r="BM13" i="14"/>
  <c r="BL13" i="14"/>
  <c r="BK13" i="14"/>
  <c r="BJ13" i="14"/>
  <c r="BI13" i="14"/>
  <c r="BD13" i="14"/>
  <c r="BB13" i="14"/>
  <c r="BA13" i="14"/>
  <c r="BU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E12" i="14"/>
  <c r="BD12" i="14"/>
  <c r="BC12" i="14"/>
  <c r="BB12" i="14"/>
  <c r="BA12" i="14"/>
  <c r="BU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E11" i="14"/>
  <c r="BD11" i="14"/>
  <c r="BB11" i="14"/>
  <c r="BA11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E10" i="14"/>
  <c r="BD10" i="14"/>
  <c r="BB10" i="14"/>
  <c r="BA10" i="14"/>
  <c r="BU9" i="14"/>
  <c r="BS9" i="14"/>
  <c r="BQ9" i="14"/>
  <c r="BP9" i="14"/>
  <c r="BO9" i="14"/>
  <c r="BN9" i="14"/>
  <c r="BM9" i="14"/>
  <c r="BK9" i="14"/>
  <c r="BJ9" i="14"/>
  <c r="BI9" i="14"/>
  <c r="BH9" i="14"/>
  <c r="BE9" i="14"/>
  <c r="BB9" i="14"/>
  <c r="BU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E8" i="14"/>
  <c r="BB8" i="14"/>
  <c r="BU7" i="14"/>
  <c r="BS7" i="14"/>
  <c r="BQ7" i="14"/>
  <c r="BO7" i="14"/>
  <c r="BN7" i="14"/>
  <c r="BM7" i="14"/>
  <c r="BL7" i="14"/>
  <c r="BK7" i="14"/>
  <c r="BJ7" i="14"/>
  <c r="BI7" i="14"/>
  <c r="BH7" i="14"/>
  <c r="BE7" i="14"/>
  <c r="BB7" i="14"/>
  <c r="BA7" i="14"/>
  <c r="BU6" i="14"/>
  <c r="BR6" i="14"/>
  <c r="BQ6" i="14"/>
  <c r="BP6" i="14"/>
  <c r="BN6" i="14"/>
  <c r="BM6" i="14"/>
  <c r="BL6" i="14"/>
  <c r="BJ6" i="14"/>
  <c r="BI6" i="14"/>
  <c r="BH6" i="14"/>
  <c r="BF6" i="14"/>
  <c r="BE6" i="14"/>
  <c r="BD6" i="14"/>
  <c r="BC6" i="14"/>
  <c r="BB6" i="14"/>
  <c r="BA6" i="14"/>
  <c r="BS5" i="14"/>
  <c r="BR5" i="14"/>
  <c r="BQ5" i="14"/>
  <c r="BP5" i="14"/>
  <c r="BN5" i="14"/>
  <c r="BL5" i="14"/>
  <c r="BJ5" i="14"/>
  <c r="BI5" i="14"/>
  <c r="BH5" i="14"/>
  <c r="BG5" i="14"/>
  <c r="BD5" i="14"/>
  <c r="BC5" i="14"/>
  <c r="BB5" i="14"/>
  <c r="BA5" i="14"/>
  <c r="BU4" i="14"/>
  <c r="BS4" i="14"/>
  <c r="BR4" i="14"/>
  <c r="BP4" i="14"/>
  <c r="BM4" i="14"/>
  <c r="BK4" i="14"/>
  <c r="BI4" i="14"/>
  <c r="BE4" i="14"/>
  <c r="BD4" i="14"/>
  <c r="BA4" i="14"/>
  <c r="AZ7" i="14"/>
  <c r="AZ5" i="14"/>
  <c r="AG9" i="14"/>
  <c r="AE9" i="14"/>
  <c r="AC9" i="14"/>
  <c r="AB9" i="14"/>
  <c r="AA9" i="14"/>
  <c r="Z9" i="14"/>
  <c r="Y9" i="14"/>
  <c r="W9" i="14"/>
  <c r="V9" i="14"/>
  <c r="U9" i="14"/>
  <c r="T9" i="14"/>
  <c r="Q9" i="14"/>
  <c r="N9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6" i="14"/>
  <c r="AD6" i="14"/>
  <c r="AC6" i="14"/>
  <c r="AB6" i="14"/>
  <c r="Z6" i="14"/>
  <c r="Y6" i="14"/>
  <c r="X6" i="14"/>
  <c r="V6" i="14"/>
  <c r="U6" i="14"/>
  <c r="T6" i="14"/>
  <c r="R6" i="14"/>
  <c r="Q6" i="14"/>
  <c r="P6" i="14"/>
  <c r="O6" i="14"/>
  <c r="N6" i="14"/>
  <c r="M6" i="14"/>
  <c r="AE5" i="14"/>
  <c r="AD5" i="14"/>
  <c r="AC5" i="14"/>
  <c r="AB5" i="14"/>
  <c r="Z5" i="14"/>
  <c r="X5" i="14"/>
  <c r="V5" i="14"/>
  <c r="U5" i="14"/>
  <c r="T5" i="14"/>
  <c r="S5" i="14"/>
  <c r="P5" i="14"/>
  <c r="O5" i="14"/>
  <c r="N5" i="14"/>
  <c r="M5" i="14"/>
  <c r="L5" i="14"/>
  <c r="AG4" i="14"/>
  <c r="AE4" i="14"/>
  <c r="AD4" i="14"/>
  <c r="AB4" i="14"/>
  <c r="Y4" i="14"/>
  <c r="W4" i="14"/>
  <c r="U4" i="14"/>
  <c r="Q4" i="14"/>
  <c r="P4" i="14"/>
  <c r="M4" i="14"/>
  <c r="AG13" i="14"/>
  <c r="AE13" i="14"/>
  <c r="AD13" i="14"/>
  <c r="AC13" i="14"/>
  <c r="AB13" i="14"/>
  <c r="Z13" i="14"/>
  <c r="Y13" i="14"/>
  <c r="X13" i="14"/>
  <c r="W13" i="14"/>
  <c r="V13" i="14"/>
  <c r="U13" i="14"/>
  <c r="P13" i="14"/>
  <c r="N13" i="14"/>
  <c r="M13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Q10" i="14"/>
  <c r="P10" i="14"/>
  <c r="N10" i="14"/>
  <c r="M10" i="14"/>
  <c r="AG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Q11" i="14"/>
  <c r="P11" i="14"/>
  <c r="N11" i="14"/>
  <c r="M11" i="14"/>
  <c r="I200" i="10"/>
  <c r="E148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C16" i="10"/>
  <c r="C15" i="10"/>
  <c r="D40" i="10"/>
  <c r="E40" i="10"/>
  <c r="F40" i="10"/>
  <c r="G40" i="10"/>
  <c r="H40" i="10"/>
  <c r="I40" i="10"/>
  <c r="D41" i="10"/>
  <c r="E41" i="10"/>
  <c r="F41" i="10"/>
  <c r="G41" i="10"/>
  <c r="H41" i="10"/>
  <c r="I41" i="10"/>
  <c r="D65" i="10"/>
  <c r="E65" i="10"/>
  <c r="F65" i="10"/>
  <c r="G65" i="10"/>
  <c r="H65" i="10"/>
  <c r="I65" i="10"/>
  <c r="D66" i="10"/>
  <c r="E66" i="10"/>
  <c r="F66" i="10"/>
  <c r="G66" i="10"/>
  <c r="H66" i="10"/>
  <c r="I66" i="10"/>
  <c r="C66" i="10"/>
  <c r="C65" i="10"/>
  <c r="D87" i="10"/>
  <c r="E87" i="10"/>
  <c r="F87" i="10"/>
  <c r="G87" i="10"/>
  <c r="H87" i="10"/>
  <c r="I87" i="10"/>
  <c r="D88" i="10"/>
  <c r="E88" i="10"/>
  <c r="F88" i="10"/>
  <c r="G88" i="10"/>
  <c r="H88" i="10"/>
  <c r="I88" i="10"/>
  <c r="C88" i="10"/>
  <c r="C87" i="10"/>
  <c r="D109" i="10"/>
  <c r="E109" i="10"/>
  <c r="F109" i="10"/>
  <c r="G109" i="10"/>
  <c r="H109" i="10"/>
  <c r="D110" i="10"/>
  <c r="E110" i="10"/>
  <c r="F110" i="10"/>
  <c r="G110" i="10"/>
  <c r="H110" i="10"/>
  <c r="C110" i="10"/>
  <c r="C109" i="10"/>
  <c r="E135" i="10"/>
  <c r="D135" i="10"/>
  <c r="E134" i="10"/>
  <c r="D134" i="10"/>
  <c r="C135" i="10"/>
  <c r="C134" i="10"/>
  <c r="D159" i="10"/>
  <c r="E159" i="10"/>
  <c r="D160" i="10"/>
  <c r="E160" i="10"/>
  <c r="C160" i="10"/>
  <c r="C159" i="10"/>
  <c r="D234" i="10"/>
  <c r="E234" i="10"/>
  <c r="F234" i="10"/>
  <c r="G234" i="10"/>
  <c r="H234" i="10"/>
  <c r="I234" i="10"/>
  <c r="J234" i="10"/>
  <c r="D235" i="10"/>
  <c r="E235" i="10"/>
  <c r="F235" i="10"/>
  <c r="G235" i="10"/>
  <c r="H235" i="10"/>
  <c r="I235" i="10"/>
  <c r="J235" i="10"/>
  <c r="K235" i="10"/>
  <c r="C235" i="10"/>
  <c r="C234" i="10"/>
  <c r="E210" i="10"/>
  <c r="D210" i="10"/>
  <c r="C210" i="10"/>
  <c r="E209" i="10"/>
  <c r="D209" i="10"/>
  <c r="C209" i="10"/>
  <c r="F210" i="10"/>
  <c r="F209" i="10"/>
  <c r="F185" i="10"/>
  <c r="E185" i="10"/>
  <c r="D185" i="10"/>
  <c r="C185" i="10"/>
  <c r="D184" i="10"/>
  <c r="D187" i="10" s="1"/>
  <c r="E184" i="10"/>
  <c r="C184" i="10"/>
  <c r="C187" i="10" s="1"/>
  <c r="F184" i="10"/>
  <c r="F187" i="10" s="1"/>
  <c r="F179" i="10"/>
  <c r="E179" i="10"/>
  <c r="D179" i="10"/>
  <c r="C179" i="10"/>
  <c r="D175" i="10"/>
  <c r="E175" i="10" s="1"/>
  <c r="E174" i="10"/>
  <c r="E173" i="10"/>
  <c r="E172" i="10"/>
  <c r="C212" i="10" l="1"/>
  <c r="AN11" i="18"/>
  <c r="G261" i="10"/>
  <c r="F262" i="10"/>
  <c r="F267" i="10" s="1"/>
  <c r="O11" i="14"/>
  <c r="V11" i="18"/>
  <c r="R11" i="14"/>
  <c r="Y11" i="18"/>
  <c r="K292" i="10"/>
  <c r="K281" i="10"/>
  <c r="G281" i="10"/>
  <c r="L281" i="10"/>
  <c r="D306" i="10"/>
  <c r="F281" i="10"/>
  <c r="I281" i="10"/>
  <c r="M281" i="10"/>
  <c r="C306" i="10"/>
  <c r="D281" i="10"/>
  <c r="E281" i="10"/>
  <c r="C281" i="10"/>
  <c r="F292" i="10"/>
  <c r="D317" i="10"/>
  <c r="I292" i="10"/>
  <c r="J281" i="10"/>
  <c r="L292" i="10"/>
  <c r="E292" i="10"/>
  <c r="C317" i="10"/>
  <c r="D292" i="10"/>
  <c r="H281" i="10"/>
  <c r="G292" i="10"/>
  <c r="P312" i="10"/>
  <c r="E262" i="10"/>
  <c r="E267" i="10" s="1"/>
  <c r="P287" i="10"/>
  <c r="D257" i="10"/>
  <c r="C292" i="10"/>
  <c r="F261" i="10"/>
  <c r="H292" i="10"/>
  <c r="H288" i="10"/>
  <c r="J292" i="10"/>
  <c r="J288" i="10"/>
  <c r="J289" i="10" s="1"/>
  <c r="C288" i="10"/>
  <c r="C313" i="10"/>
  <c r="E288" i="10"/>
  <c r="E289" i="10" s="1"/>
  <c r="I288" i="10"/>
  <c r="I289" i="10" s="1"/>
  <c r="C289" i="10"/>
  <c r="D267" i="10"/>
  <c r="C263" i="10"/>
  <c r="C264" i="10" s="1"/>
  <c r="C269" i="10" s="1"/>
  <c r="C261" i="10"/>
  <c r="E263" i="10"/>
  <c r="D263" i="10"/>
  <c r="F263" i="10"/>
  <c r="G263" i="10"/>
  <c r="C267" i="10"/>
  <c r="D261" i="10"/>
  <c r="E261" i="10"/>
  <c r="E250" i="10"/>
  <c r="D250" i="10" s="1"/>
  <c r="AF11" i="14"/>
  <c r="D192" i="10"/>
  <c r="C192" i="10"/>
  <c r="F192" i="10"/>
  <c r="E186" i="10"/>
  <c r="C188" i="10"/>
  <c r="F188" i="10"/>
  <c r="F189" i="10" s="1"/>
  <c r="F186" i="10"/>
  <c r="E187" i="10"/>
  <c r="D186" i="10"/>
  <c r="C186" i="10"/>
  <c r="D188" i="10"/>
  <c r="D189" i="10" s="1"/>
  <c r="P288" i="10" l="1"/>
  <c r="C268" i="10"/>
  <c r="C314" i="10"/>
  <c r="P313" i="10"/>
  <c r="P314" i="10" s="1"/>
  <c r="P292" i="10"/>
  <c r="P317" i="10"/>
  <c r="H289" i="10"/>
  <c r="P289" i="10"/>
  <c r="F268" i="10"/>
  <c r="F264" i="10"/>
  <c r="F269" i="10" s="1"/>
  <c r="D268" i="10"/>
  <c r="D264" i="10"/>
  <c r="D269" i="10" s="1"/>
  <c r="G268" i="10"/>
  <c r="G264" i="10"/>
  <c r="G269" i="10" s="1"/>
  <c r="E268" i="10"/>
  <c r="E264" i="10"/>
  <c r="E269" i="10" s="1"/>
  <c r="P262" i="10"/>
  <c r="P267" i="10"/>
  <c r="P187" i="10"/>
  <c r="D190" i="10" s="1"/>
  <c r="E192" i="10"/>
  <c r="E188" i="10"/>
  <c r="E189" i="10" s="1"/>
  <c r="C189" i="10"/>
  <c r="P188" i="10" l="1"/>
  <c r="P189" i="10" s="1"/>
  <c r="P263" i="10"/>
  <c r="P264" i="10" s="1"/>
  <c r="F190" i="10"/>
  <c r="C190" i="10"/>
  <c r="E190" i="10"/>
  <c r="P192" i="10"/>
  <c r="BB4" i="18" l="1"/>
  <c r="F4" i="18"/>
  <c r="BL4" i="18" l="1"/>
  <c r="P4" i="18" l="1"/>
  <c r="N4" i="18"/>
  <c r="BJ4" i="18"/>
  <c r="C4" i="18" l="1"/>
  <c r="BK4" i="18"/>
  <c r="O4" i="18"/>
  <c r="AY4" i="18"/>
  <c r="E4" i="18" l="1"/>
  <c r="G4" i="18"/>
  <c r="H4" i="18"/>
  <c r="D4" i="18"/>
  <c r="BG4" i="18"/>
  <c r="AZ4" i="18"/>
  <c r="BF4" i="18"/>
  <c r="BD4" i="18" l="1"/>
  <c r="BI4" i="18"/>
  <c r="J4" i="18"/>
  <c r="L4" i="18"/>
  <c r="BA4" i="18"/>
  <c r="K4" i="18"/>
  <c r="BC4" i="18"/>
  <c r="M4" i="18"/>
  <c r="BH4" i="18"/>
  <c r="AL17" i="10" l="1"/>
  <c r="Y13" i="18"/>
  <c r="AN13" i="18"/>
  <c r="S13" i="18"/>
  <c r="Z13" i="18"/>
  <c r="AG4" i="10"/>
  <c r="AG5" i="10"/>
  <c r="AG3" i="10"/>
  <c r="R13" i="14"/>
  <c r="G4" i="14" l="1"/>
  <c r="AU4" i="14"/>
  <c r="H4" i="14"/>
  <c r="AV4" i="14"/>
  <c r="C4" i="14"/>
  <c r="AQ4" i="14"/>
  <c r="F4" i="14"/>
  <c r="AT4" i="14"/>
  <c r="E4" i="14"/>
  <c r="AS4" i="14"/>
  <c r="I4" i="14"/>
  <c r="AW4" i="14"/>
  <c r="AH17" i="10"/>
  <c r="S13" i="14"/>
  <c r="L13" i="14"/>
  <c r="AF13" i="14"/>
  <c r="Q13" i="14"/>
  <c r="AE17" i="10"/>
  <c r="AI17" i="10"/>
  <c r="AF17" i="10"/>
  <c r="AJ17" i="10"/>
  <c r="AG17" i="10"/>
  <c r="AK17" i="10"/>
  <c r="AF6" i="10"/>
  <c r="AG6" i="10" s="1"/>
  <c r="V13" i="18"/>
  <c r="V52" i="12"/>
  <c r="O13" i="14" l="1"/>
  <c r="AA13" i="18"/>
  <c r="T13" i="14"/>
  <c r="AA13" i="14"/>
  <c r="AI24" i="10"/>
  <c r="AI25" i="10" s="1"/>
  <c r="AH24" i="10"/>
  <c r="AH25" i="10" s="1"/>
  <c r="AL24" i="10"/>
  <c r="AL25" i="10" s="1"/>
  <c r="AJ24" i="10"/>
  <c r="AJ25" i="10" s="1"/>
  <c r="V51" i="12"/>
  <c r="V54" i="12"/>
  <c r="V53" i="12"/>
  <c r="CA13" i="18" l="1"/>
  <c r="BF13" i="14"/>
  <c r="AG24" i="10"/>
  <c r="AG25" i="10" s="1"/>
  <c r="AR24" i="10"/>
  <c r="AK24" i="10"/>
  <c r="AK25" i="10" s="1"/>
  <c r="BR13" i="18"/>
  <c r="AF24" i="10"/>
  <c r="AF25" i="10" s="1"/>
  <c r="CE13" i="18"/>
  <c r="BC13" i="14"/>
  <c r="AZ13" i="14"/>
  <c r="BO13" i="18"/>
  <c r="BO13" i="14"/>
  <c r="BW13" i="18"/>
  <c r="BH13" i="14"/>
  <c r="BG13" i="14"/>
  <c r="BV13" i="18"/>
  <c r="BE13" i="14"/>
  <c r="BU13" i="18"/>
  <c r="BT13" i="14"/>
  <c r="CJ13" i="18"/>
  <c r="AR20" i="10"/>
  <c r="K236" i="10"/>
  <c r="G236" i="10"/>
  <c r="C236" i="10"/>
  <c r="J237" i="10"/>
  <c r="G237" i="10"/>
  <c r="F237" i="10"/>
  <c r="E237" i="10"/>
  <c r="D237" i="10"/>
  <c r="C237" i="10"/>
  <c r="D231" i="10"/>
  <c r="H237" i="10"/>
  <c r="E231" i="10"/>
  <c r="E224" i="10"/>
  <c r="E223" i="10"/>
  <c r="E222" i="10"/>
  <c r="E200" i="10"/>
  <c r="D200" i="10" s="1"/>
  <c r="D211" i="10"/>
  <c r="F212" i="10"/>
  <c r="E212" i="10"/>
  <c r="D212" i="10"/>
  <c r="E199" i="10"/>
  <c r="E198" i="10"/>
  <c r="D206" i="10"/>
  <c r="D204" i="10"/>
  <c r="E204" i="10"/>
  <c r="F204" i="10"/>
  <c r="C204" i="10"/>
  <c r="E197" i="10"/>
  <c r="AR25" i="10" l="1"/>
  <c r="AE25" i="10"/>
  <c r="L9" i="14"/>
  <c r="R9" i="14"/>
  <c r="I231" i="10"/>
  <c r="I237" i="10"/>
  <c r="P237" i="10" s="1"/>
  <c r="D213" i="10"/>
  <c r="D214" i="10" s="1"/>
  <c r="P212" i="10"/>
  <c r="E225" i="10"/>
  <c r="C231" i="10"/>
  <c r="L11" i="14"/>
  <c r="H231" i="10"/>
  <c r="E211" i="10"/>
  <c r="D236" i="10"/>
  <c r="H236" i="10"/>
  <c r="E236" i="10"/>
  <c r="I236" i="10"/>
  <c r="C211" i="10"/>
  <c r="F236" i="10"/>
  <c r="J236" i="10"/>
  <c r="D242" i="10"/>
  <c r="I242" i="10"/>
  <c r="F238" i="10"/>
  <c r="F239" i="10" s="1"/>
  <c r="F242" i="10"/>
  <c r="J238" i="10"/>
  <c r="J239" i="10" s="1"/>
  <c r="J242" i="10"/>
  <c r="H242" i="10"/>
  <c r="E242" i="10"/>
  <c r="E238" i="10"/>
  <c r="E239" i="10" s="1"/>
  <c r="C242" i="10"/>
  <c r="G242" i="10"/>
  <c r="G238" i="10"/>
  <c r="G239" i="10" s="1"/>
  <c r="K242" i="10"/>
  <c r="K238" i="10"/>
  <c r="K239" i="10" s="1"/>
  <c r="K231" i="10"/>
  <c r="G231" i="10"/>
  <c r="I238" i="10"/>
  <c r="I239" i="10" s="1"/>
  <c r="J231" i="10"/>
  <c r="F231" i="10"/>
  <c r="H238" i="10"/>
  <c r="H239" i="10" s="1"/>
  <c r="D238" i="10"/>
  <c r="D239" i="10" s="1"/>
  <c r="F211" i="10"/>
  <c r="E213" i="10"/>
  <c r="E214" i="10" s="1"/>
  <c r="F213" i="10"/>
  <c r="F214" i="10" s="1"/>
  <c r="D225" i="10"/>
  <c r="E232" i="10" s="1"/>
  <c r="E233" i="10" s="1"/>
  <c r="C217" i="10"/>
  <c r="C218" i="10" s="1"/>
  <c r="C213" i="10"/>
  <c r="D217" i="10"/>
  <c r="D218" i="10" s="1"/>
  <c r="D219" i="10" s="1"/>
  <c r="F217" i="10"/>
  <c r="F218" i="10" s="1"/>
  <c r="F219" i="10" s="1"/>
  <c r="E217" i="10"/>
  <c r="E218" i="10" s="1"/>
  <c r="E219" i="10" s="1"/>
  <c r="C206" i="10"/>
  <c r="F206" i="10"/>
  <c r="E206" i="10"/>
  <c r="P26" i="10" l="1"/>
  <c r="C74" i="12" s="1"/>
  <c r="P213" i="10"/>
  <c r="M293" i="10"/>
  <c r="M294" i="10" s="1"/>
  <c r="J282" i="10"/>
  <c r="J283" i="10" s="1"/>
  <c r="C282" i="10"/>
  <c r="C283" i="10" s="1"/>
  <c r="C293" i="10"/>
  <c r="E282" i="10"/>
  <c r="E283" i="10" s="1"/>
  <c r="I293" i="10"/>
  <c r="I294" i="10" s="1"/>
  <c r="I282" i="10"/>
  <c r="I283" i="10" s="1"/>
  <c r="C318" i="10"/>
  <c r="E293" i="10"/>
  <c r="E294" i="10" s="1"/>
  <c r="F282" i="10"/>
  <c r="F283" i="10" s="1"/>
  <c r="F293" i="10"/>
  <c r="F294" i="10" s="1"/>
  <c r="L282" i="10"/>
  <c r="L283" i="10" s="1"/>
  <c r="H293" i="10"/>
  <c r="H294" i="10" s="1"/>
  <c r="G293" i="10"/>
  <c r="G294" i="10" s="1"/>
  <c r="K282" i="10"/>
  <c r="K283" i="10" s="1"/>
  <c r="C307" i="10"/>
  <c r="C308" i="10" s="1"/>
  <c r="J293" i="10"/>
  <c r="J294" i="10" s="1"/>
  <c r="G282" i="10"/>
  <c r="G283" i="10" s="1"/>
  <c r="D318" i="10"/>
  <c r="D319" i="10" s="1"/>
  <c r="H282" i="10"/>
  <c r="H283" i="10" s="1"/>
  <c r="D307" i="10"/>
  <c r="D308" i="10" s="1"/>
  <c r="D293" i="10"/>
  <c r="D294" i="10" s="1"/>
  <c r="D282" i="10"/>
  <c r="D283" i="10" s="1"/>
  <c r="L293" i="10"/>
  <c r="L294" i="10" s="1"/>
  <c r="K293" i="10"/>
  <c r="K294" i="10" s="1"/>
  <c r="M282" i="10"/>
  <c r="M283" i="10" s="1"/>
  <c r="D315" i="10"/>
  <c r="E290" i="10"/>
  <c r="D290" i="10"/>
  <c r="F290" i="10"/>
  <c r="L290" i="10"/>
  <c r="K290" i="10"/>
  <c r="I290" i="10"/>
  <c r="G290" i="10"/>
  <c r="J290" i="10"/>
  <c r="C290" i="10"/>
  <c r="M290" i="10"/>
  <c r="C315" i="10"/>
  <c r="H290" i="10"/>
  <c r="D232" i="10"/>
  <c r="D233" i="10" s="1"/>
  <c r="M9" i="14"/>
  <c r="J232" i="10"/>
  <c r="J233" i="10" s="1"/>
  <c r="AD9" i="14"/>
  <c r="G232" i="10"/>
  <c r="G233" i="10" s="1"/>
  <c r="O9" i="14"/>
  <c r="F232" i="10"/>
  <c r="F233" i="10" s="1"/>
  <c r="AF9" i="14"/>
  <c r="C232" i="10"/>
  <c r="C233" i="10" s="1"/>
  <c r="X9" i="14"/>
  <c r="K232" i="10"/>
  <c r="K233" i="10" s="1"/>
  <c r="P9" i="14"/>
  <c r="H232" i="10"/>
  <c r="H233" i="10" s="1"/>
  <c r="S9" i="14"/>
  <c r="I232" i="10"/>
  <c r="I233" i="10" s="1"/>
  <c r="P242" i="10"/>
  <c r="E240" i="10"/>
  <c r="C238" i="10"/>
  <c r="P238" i="10" s="1"/>
  <c r="F240" i="10"/>
  <c r="I240" i="10"/>
  <c r="G240" i="10"/>
  <c r="C240" i="10"/>
  <c r="H240" i="10"/>
  <c r="J240" i="10"/>
  <c r="D240" i="10"/>
  <c r="K240" i="10"/>
  <c r="P218" i="10"/>
  <c r="C72" i="12" s="1"/>
  <c r="C219" i="10"/>
  <c r="D243" i="10"/>
  <c r="D244" i="10" s="1"/>
  <c r="E243" i="10"/>
  <c r="E244" i="10" s="1"/>
  <c r="K243" i="10"/>
  <c r="K244" i="10" s="1"/>
  <c r="H243" i="10"/>
  <c r="H244" i="10" s="1"/>
  <c r="C243" i="10"/>
  <c r="F243" i="10"/>
  <c r="F244" i="10" s="1"/>
  <c r="I243" i="10"/>
  <c r="I244" i="10" s="1"/>
  <c r="G243" i="10"/>
  <c r="G244" i="10" s="1"/>
  <c r="J243" i="10"/>
  <c r="J244" i="10" s="1"/>
  <c r="E207" i="10"/>
  <c r="BF11" i="14" s="1"/>
  <c r="F207" i="10"/>
  <c r="BC11" i="14" s="1"/>
  <c r="C207" i="10"/>
  <c r="BT11" i="14" s="1"/>
  <c r="D207" i="10"/>
  <c r="AZ11" i="14" s="1"/>
  <c r="D215" i="10"/>
  <c r="E215" i="10"/>
  <c r="F215" i="10"/>
  <c r="C214" i="10"/>
  <c r="P214" i="10"/>
  <c r="C215" i="10"/>
  <c r="P217" i="10"/>
  <c r="P318" i="10" l="1"/>
  <c r="P319" i="10" s="1"/>
  <c r="C319" i="10"/>
  <c r="P293" i="10"/>
  <c r="P294" i="10" s="1"/>
  <c r="C294" i="10"/>
  <c r="P268" i="10"/>
  <c r="P269" i="10" s="1"/>
  <c r="BL9" i="14"/>
  <c r="BG9" i="14"/>
  <c r="BD9" i="14"/>
  <c r="BA9" i="14"/>
  <c r="BR9" i="14"/>
  <c r="BC9" i="14"/>
  <c r="BF9" i="14"/>
  <c r="AZ9" i="14"/>
  <c r="BT9" i="14"/>
  <c r="P239" i="10"/>
  <c r="C239" i="10"/>
  <c r="D208" i="10"/>
  <c r="E208" i="10"/>
  <c r="F208" i="10"/>
  <c r="C208" i="10"/>
  <c r="P219" i="10"/>
  <c r="C244" i="10"/>
  <c r="P243" i="10"/>
  <c r="E162" i="10"/>
  <c r="D162" i="10"/>
  <c r="C162" i="10"/>
  <c r="E154" i="10"/>
  <c r="D154" i="10"/>
  <c r="C154" i="10"/>
  <c r="E147" i="10"/>
  <c r="E149" i="10"/>
  <c r="D125" i="10"/>
  <c r="E125" i="10" s="1"/>
  <c r="E123" i="10"/>
  <c r="E124" i="10"/>
  <c r="E122" i="10"/>
  <c r="E137" i="10"/>
  <c r="D137" i="10"/>
  <c r="C137" i="10"/>
  <c r="D129" i="10"/>
  <c r="E129" i="10"/>
  <c r="C129" i="10"/>
  <c r="B56" i="10"/>
  <c r="C62" i="10" s="1"/>
  <c r="B103" i="10"/>
  <c r="D103" i="10" s="1"/>
  <c r="E103" i="10" s="1"/>
  <c r="E100" i="10"/>
  <c r="E101" i="10"/>
  <c r="E102" i="10"/>
  <c r="B81" i="10"/>
  <c r="D81" i="10" s="1"/>
  <c r="E81" i="10" s="1"/>
  <c r="E80" i="10"/>
  <c r="X54" i="7"/>
  <c r="Y54" i="7"/>
  <c r="Z54" i="7" s="1"/>
  <c r="R54" i="7"/>
  <c r="S54" i="7"/>
  <c r="R56" i="7"/>
  <c r="S56" i="7"/>
  <c r="X56" i="7"/>
  <c r="Y56" i="7"/>
  <c r="Z43" i="7"/>
  <c r="Z44" i="7"/>
  <c r="Z45" i="7"/>
  <c r="Z46" i="7"/>
  <c r="Z47" i="7"/>
  <c r="Z48" i="7"/>
  <c r="Z49" i="7"/>
  <c r="Z50" i="7"/>
  <c r="Z51" i="7"/>
  <c r="Z52" i="7"/>
  <c r="Z53" i="7"/>
  <c r="Z55" i="7"/>
  <c r="Z57" i="7"/>
  <c r="Z58" i="7"/>
  <c r="Z59" i="7"/>
  <c r="Z60" i="7"/>
  <c r="Z61" i="7"/>
  <c r="Z62" i="7"/>
  <c r="Z42" i="7"/>
  <c r="Y43" i="7"/>
  <c r="Y44" i="7"/>
  <c r="Y45" i="7"/>
  <c r="Y46" i="7"/>
  <c r="Y47" i="7"/>
  <c r="Y48" i="7"/>
  <c r="Y49" i="7"/>
  <c r="Y50" i="7"/>
  <c r="Y51" i="7"/>
  <c r="Y52" i="7"/>
  <c r="Y53" i="7"/>
  <c r="Y55" i="7"/>
  <c r="Y57" i="7"/>
  <c r="Y58" i="7"/>
  <c r="Y59" i="7"/>
  <c r="Y60" i="7"/>
  <c r="Y61" i="7"/>
  <c r="Y62" i="7"/>
  <c r="Y63" i="7"/>
  <c r="Z63" i="7" s="1"/>
  <c r="Y42" i="7"/>
  <c r="X43" i="7"/>
  <c r="X44" i="7"/>
  <c r="X45" i="7"/>
  <c r="X46" i="7"/>
  <c r="X47" i="7"/>
  <c r="X48" i="7"/>
  <c r="X49" i="7"/>
  <c r="X50" i="7"/>
  <c r="X51" i="7"/>
  <c r="X52" i="7"/>
  <c r="X53" i="7"/>
  <c r="X55" i="7"/>
  <c r="X57" i="7"/>
  <c r="X58" i="7"/>
  <c r="X59" i="7"/>
  <c r="X60" i="7"/>
  <c r="X61" i="7"/>
  <c r="X62" i="7"/>
  <c r="X63" i="7"/>
  <c r="X42" i="7"/>
  <c r="T43" i="7"/>
  <c r="T45" i="7"/>
  <c r="T46" i="7"/>
  <c r="T48" i="7"/>
  <c r="T49" i="7"/>
  <c r="T50" i="7"/>
  <c r="T52" i="7"/>
  <c r="T53" i="7"/>
  <c r="T55" i="7"/>
  <c r="T57" i="7"/>
  <c r="T58" i="7"/>
  <c r="T59" i="7"/>
  <c r="T60" i="7"/>
  <c r="T62" i="7"/>
  <c r="T42" i="7"/>
  <c r="S43" i="7"/>
  <c r="S44" i="7"/>
  <c r="S45" i="7"/>
  <c r="S46" i="7"/>
  <c r="S47" i="7"/>
  <c r="S48" i="7"/>
  <c r="S49" i="7"/>
  <c r="S50" i="7"/>
  <c r="S51" i="7"/>
  <c r="S52" i="7"/>
  <c r="S53" i="7"/>
  <c r="S55" i="7"/>
  <c r="S57" i="7"/>
  <c r="S58" i="7"/>
  <c r="S59" i="7"/>
  <c r="S60" i="7"/>
  <c r="S61" i="7"/>
  <c r="S62" i="7"/>
  <c r="S63" i="7"/>
  <c r="T63" i="7" s="1"/>
  <c r="R43" i="7"/>
  <c r="R44" i="7"/>
  <c r="R45" i="7"/>
  <c r="R46" i="7"/>
  <c r="R47" i="7"/>
  <c r="R48" i="7"/>
  <c r="R49" i="7"/>
  <c r="R50" i="7"/>
  <c r="R51" i="7"/>
  <c r="R52" i="7"/>
  <c r="R53" i="7"/>
  <c r="R55" i="7"/>
  <c r="R57" i="7"/>
  <c r="R58" i="7"/>
  <c r="R59" i="7"/>
  <c r="R60" i="7"/>
  <c r="R61" i="7"/>
  <c r="R62" i="7"/>
  <c r="R63" i="7"/>
  <c r="S42" i="7"/>
  <c r="R42" i="7"/>
  <c r="L43" i="7"/>
  <c r="M54" i="7"/>
  <c r="L54" i="7"/>
  <c r="M56" i="7"/>
  <c r="L56" i="7"/>
  <c r="N60" i="7"/>
  <c r="N61" i="7"/>
  <c r="M60" i="7"/>
  <c r="M61" i="7"/>
  <c r="M62" i="7"/>
  <c r="N62" i="7" s="1"/>
  <c r="L60" i="7"/>
  <c r="L61" i="7"/>
  <c r="N59" i="7"/>
  <c r="M59" i="7"/>
  <c r="L59" i="7"/>
  <c r="N55" i="7"/>
  <c r="M55" i="7"/>
  <c r="L55" i="7"/>
  <c r="K55" i="7"/>
  <c r="L62" i="7"/>
  <c r="M44" i="7"/>
  <c r="M45" i="7"/>
  <c r="M46" i="7"/>
  <c r="M47" i="7"/>
  <c r="M48" i="7"/>
  <c r="N48" i="7" s="1"/>
  <c r="M49" i="7"/>
  <c r="M50" i="7"/>
  <c r="N50" i="7" s="1"/>
  <c r="M51" i="7"/>
  <c r="M52" i="7"/>
  <c r="M53" i="7"/>
  <c r="M57" i="7"/>
  <c r="M58" i="7"/>
  <c r="N58" i="7" s="1"/>
  <c r="M63" i="7"/>
  <c r="L44" i="7"/>
  <c r="L45" i="7"/>
  <c r="L46" i="7"/>
  <c r="L47" i="7"/>
  <c r="L48" i="7"/>
  <c r="L49" i="7"/>
  <c r="L50" i="7"/>
  <c r="L51" i="7"/>
  <c r="L52" i="7"/>
  <c r="L53" i="7"/>
  <c r="L57" i="7"/>
  <c r="L58" i="7"/>
  <c r="L63" i="7"/>
  <c r="K42" i="7"/>
  <c r="J42" i="7"/>
  <c r="M42" i="7" s="1"/>
  <c r="AR4" i="14"/>
  <c r="AM25" i="14" l="1"/>
  <c r="CA25" i="14"/>
  <c r="AL25" i="14"/>
  <c r="BZ25" i="14"/>
  <c r="AK25" i="14"/>
  <c r="N63" i="7"/>
  <c r="BY25" i="14"/>
  <c r="P244" i="10"/>
  <c r="C70" i="12"/>
  <c r="P137" i="10"/>
  <c r="S6" i="14"/>
  <c r="C156" i="10"/>
  <c r="E181" i="10"/>
  <c r="R10" i="14" s="1"/>
  <c r="D181" i="10"/>
  <c r="L10" i="14" s="1"/>
  <c r="F181" i="10"/>
  <c r="O10" i="14" s="1"/>
  <c r="C181" i="10"/>
  <c r="AF10" i="14" s="1"/>
  <c r="E156" i="10"/>
  <c r="C167" i="10"/>
  <c r="E136" i="10"/>
  <c r="D161" i="10"/>
  <c r="D156" i="10"/>
  <c r="C161" i="10"/>
  <c r="E161" i="10"/>
  <c r="D163" i="10"/>
  <c r="D164" i="10" s="1"/>
  <c r="D167" i="10"/>
  <c r="E163" i="10"/>
  <c r="E164" i="10" s="1"/>
  <c r="E167" i="10"/>
  <c r="E138" i="10"/>
  <c r="E139" i="10" s="1"/>
  <c r="D138" i="10"/>
  <c r="D139" i="10" s="1"/>
  <c r="C136" i="10"/>
  <c r="C163" i="10"/>
  <c r="P162" i="10"/>
  <c r="D165" i="10" s="1"/>
  <c r="C138" i="10"/>
  <c r="D136" i="10"/>
  <c r="C142" i="10"/>
  <c r="D131" i="10"/>
  <c r="E142" i="10"/>
  <c r="E143" i="10" s="1"/>
  <c r="E144" i="10" s="1"/>
  <c r="E140" i="10"/>
  <c r="D142" i="10"/>
  <c r="C131" i="10"/>
  <c r="E131" i="10"/>
  <c r="Z56" i="7"/>
  <c r="M43" i="7"/>
  <c r="N45" i="7"/>
  <c r="N57" i="7"/>
  <c r="N47" i="7"/>
  <c r="N44" i="7"/>
  <c r="N53" i="7"/>
  <c r="N52" i="7"/>
  <c r="N49" i="7"/>
  <c r="N46" i="7"/>
  <c r="N51" i="7"/>
  <c r="L42" i="7"/>
  <c r="N42" i="7" s="1"/>
  <c r="P163" i="10" l="1"/>
  <c r="P138" i="10"/>
  <c r="L12" i="14"/>
  <c r="AF12" i="14"/>
  <c r="R12" i="14"/>
  <c r="F182" i="10"/>
  <c r="D182" i="10"/>
  <c r="E182" i="10"/>
  <c r="D193" i="10"/>
  <c r="D194" i="10" s="1"/>
  <c r="C193" i="10"/>
  <c r="F193" i="10"/>
  <c r="F194" i="10" s="1"/>
  <c r="E193" i="10"/>
  <c r="E194" i="10" s="1"/>
  <c r="C182" i="10"/>
  <c r="C165" i="10"/>
  <c r="C157" i="10"/>
  <c r="C132" i="10"/>
  <c r="BT12" i="14" s="1"/>
  <c r="C168" i="10"/>
  <c r="D157" i="10"/>
  <c r="P139" i="10"/>
  <c r="C139" i="10"/>
  <c r="D168" i="10"/>
  <c r="D169" i="10" s="1"/>
  <c r="D132" i="10"/>
  <c r="AZ12" i="14" s="1"/>
  <c r="E157" i="10"/>
  <c r="E168" i="10"/>
  <c r="E169" i="10" s="1"/>
  <c r="E132" i="10"/>
  <c r="BF12" i="14" s="1"/>
  <c r="C164" i="10"/>
  <c r="P164" i="10"/>
  <c r="E165" i="10"/>
  <c r="P167" i="10"/>
  <c r="C143" i="10"/>
  <c r="D140" i="10"/>
  <c r="P142" i="10"/>
  <c r="D143" i="10"/>
  <c r="D144" i="10" s="1"/>
  <c r="C140" i="10"/>
  <c r="D56" i="10"/>
  <c r="E53" i="10"/>
  <c r="D4" i="14"/>
  <c r="P193" i="10" l="1"/>
  <c r="P194" i="10" s="1"/>
  <c r="D183" i="10"/>
  <c r="AZ10" i="14"/>
  <c r="F183" i="10"/>
  <c r="BC10" i="14"/>
  <c r="C183" i="10"/>
  <c r="BT10" i="14"/>
  <c r="E183" i="10"/>
  <c r="BF10" i="14"/>
  <c r="C194" i="10"/>
  <c r="E158" i="10"/>
  <c r="P168" i="10"/>
  <c r="C169" i="10"/>
  <c r="D133" i="10"/>
  <c r="C133" i="10"/>
  <c r="C158" i="10"/>
  <c r="C144" i="10"/>
  <c r="P143" i="10"/>
  <c r="D158" i="10"/>
  <c r="E133" i="10"/>
  <c r="E56" i="10"/>
  <c r="E79" i="10"/>
  <c r="E78" i="10"/>
  <c r="D62" i="10"/>
  <c r="E55" i="10"/>
  <c r="E54" i="10"/>
  <c r="B31" i="10"/>
  <c r="E28" i="10"/>
  <c r="E30" i="10"/>
  <c r="E29" i="10"/>
  <c r="B6" i="10"/>
  <c r="L12" i="10" s="1"/>
  <c r="E5" i="10"/>
  <c r="E4" i="10"/>
  <c r="E3" i="10"/>
  <c r="P144" i="10" l="1"/>
  <c r="C73" i="12"/>
  <c r="P169" i="10"/>
  <c r="C71" i="12"/>
  <c r="AA6" i="14"/>
  <c r="AC4" i="14"/>
  <c r="D31" i="10"/>
  <c r="E31" i="10" s="1"/>
  <c r="M12" i="10"/>
  <c r="J12" i="10"/>
  <c r="C12" i="10"/>
  <c r="K12" i="10"/>
  <c r="N12" i="10"/>
  <c r="D6" i="10"/>
  <c r="G12" i="10"/>
  <c r="E37" i="10"/>
  <c r="F37" i="10"/>
  <c r="I12" i="10"/>
  <c r="D37" i="10"/>
  <c r="G37" i="10"/>
  <c r="H12" i="10"/>
  <c r="H37" i="10"/>
  <c r="F12" i="10"/>
  <c r="H62" i="10"/>
  <c r="G62" i="10"/>
  <c r="D12" i="10"/>
  <c r="F62" i="10"/>
  <c r="I62" i="10"/>
  <c r="E12" i="10"/>
  <c r="C37" i="10"/>
  <c r="E62" i="10"/>
  <c r="I37" i="10"/>
  <c r="U47" i="12"/>
  <c r="V47" i="12" s="1"/>
  <c r="V48" i="12"/>
  <c r="V49" i="12"/>
  <c r="V50" i="12"/>
  <c r="V46" i="12"/>
  <c r="G43" i="7"/>
  <c r="G44" i="7"/>
  <c r="G45" i="7"/>
  <c r="G46" i="7"/>
  <c r="G47" i="7"/>
  <c r="G48" i="7"/>
  <c r="G49" i="7"/>
  <c r="G50" i="7"/>
  <c r="G51" i="7"/>
  <c r="G52" i="7"/>
  <c r="G53" i="7"/>
  <c r="G55" i="7"/>
  <c r="G57" i="7"/>
  <c r="G58" i="7"/>
  <c r="G59" i="7"/>
  <c r="G60" i="7"/>
  <c r="G61" i="7"/>
  <c r="G62" i="7"/>
  <c r="G63" i="7"/>
  <c r="G42" i="7"/>
  <c r="U48" i="12"/>
  <c r="U46" i="12"/>
  <c r="T47" i="12"/>
  <c r="T48" i="12"/>
  <c r="T49" i="12"/>
  <c r="T50" i="12"/>
  <c r="T46" i="12"/>
  <c r="N17" i="10"/>
  <c r="AO27" i="7"/>
  <c r="H44" i="7"/>
  <c r="G26" i="7"/>
  <c r="W25" i="7"/>
  <c r="G33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42" i="7"/>
  <c r="AL29" i="7"/>
  <c r="AM29" i="7"/>
  <c r="AL28" i="7"/>
  <c r="AM28" i="7"/>
  <c r="AO28" i="7"/>
  <c r="AL27" i="7"/>
  <c r="AM27" i="7"/>
  <c r="AN27" i="7"/>
  <c r="AL26" i="7"/>
  <c r="AM26" i="7"/>
  <c r="AL25" i="7"/>
  <c r="AM25" i="7"/>
  <c r="AL24" i="7"/>
  <c r="AM24" i="7"/>
  <c r="AK29" i="7"/>
  <c r="AK28" i="7"/>
  <c r="AK27" i="7"/>
  <c r="AK26" i="7"/>
  <c r="AK25" i="7"/>
  <c r="AK24" i="7"/>
  <c r="AC30" i="7"/>
  <c r="AD30" i="7"/>
  <c r="AC29" i="7"/>
  <c r="AD29" i="7"/>
  <c r="AC28" i="7"/>
  <c r="AD28" i="7"/>
  <c r="AC27" i="7"/>
  <c r="AD27" i="7"/>
  <c r="AC26" i="7"/>
  <c r="AD26" i="7"/>
  <c r="AC25" i="7"/>
  <c r="AD25" i="7"/>
  <c r="AC24" i="7"/>
  <c r="AD24" i="7"/>
  <c r="AB30" i="7"/>
  <c r="AB29" i="7"/>
  <c r="AB28" i="7"/>
  <c r="AB27" i="7"/>
  <c r="AB26" i="7"/>
  <c r="AB25" i="7"/>
  <c r="AB24" i="7"/>
  <c r="T30" i="7"/>
  <c r="U30" i="7"/>
  <c r="T29" i="7"/>
  <c r="U29" i="7"/>
  <c r="T28" i="7"/>
  <c r="U28" i="7"/>
  <c r="T27" i="7"/>
  <c r="U27" i="7"/>
  <c r="T26" i="7"/>
  <c r="U26" i="7"/>
  <c r="T25" i="7"/>
  <c r="U25" i="7"/>
  <c r="T24" i="7"/>
  <c r="U24" i="7"/>
  <c r="S30" i="7"/>
  <c r="S29" i="7"/>
  <c r="S28" i="7"/>
  <c r="S27" i="7"/>
  <c r="S26" i="7"/>
  <c r="S25" i="7"/>
  <c r="S24" i="7"/>
  <c r="M30" i="7"/>
  <c r="N30" i="7"/>
  <c r="L30" i="7"/>
  <c r="M29" i="7"/>
  <c r="N29" i="7"/>
  <c r="L29" i="7"/>
  <c r="M28" i="7"/>
  <c r="N28" i="7"/>
  <c r="L28" i="7"/>
  <c r="M27" i="7"/>
  <c r="N27" i="7"/>
  <c r="P27" i="7"/>
  <c r="L27" i="7"/>
  <c r="M26" i="7"/>
  <c r="N26" i="7"/>
  <c r="L26" i="7"/>
  <c r="M25" i="7"/>
  <c r="N25" i="7"/>
  <c r="L25" i="7"/>
  <c r="M24" i="7"/>
  <c r="N24" i="7"/>
  <c r="L24" i="7"/>
  <c r="D35" i="7"/>
  <c r="E35" i="7"/>
  <c r="C35" i="7"/>
  <c r="D34" i="7"/>
  <c r="E34" i="7"/>
  <c r="F34" i="7"/>
  <c r="G34" i="7"/>
  <c r="C34" i="7"/>
  <c r="D33" i="7"/>
  <c r="E33" i="7"/>
  <c r="C33" i="7"/>
  <c r="D32" i="7"/>
  <c r="E32" i="7"/>
  <c r="C32" i="7"/>
  <c r="D31" i="7"/>
  <c r="E31" i="7"/>
  <c r="C31" i="7"/>
  <c r="D30" i="7"/>
  <c r="E30" i="7"/>
  <c r="C30" i="7"/>
  <c r="D29" i="7"/>
  <c r="E29" i="7"/>
  <c r="C29" i="7"/>
  <c r="D28" i="7"/>
  <c r="E28" i="7"/>
  <c r="C28" i="7"/>
  <c r="D27" i="7"/>
  <c r="E27" i="7"/>
  <c r="C27" i="7"/>
  <c r="D26" i="7"/>
  <c r="E26" i="7"/>
  <c r="C26" i="7"/>
  <c r="D25" i="7"/>
  <c r="E25" i="7"/>
  <c r="C25" i="7"/>
  <c r="D24" i="7"/>
  <c r="E24" i="7"/>
  <c r="C24" i="7"/>
  <c r="BX25" i="14" l="1"/>
  <c r="C41" i="10"/>
  <c r="AJ25" i="14"/>
  <c r="C40" i="10"/>
  <c r="W6" i="14"/>
  <c r="Z4" i="14"/>
  <c r="AF5" i="14"/>
  <c r="S4" i="14"/>
  <c r="R4" i="14"/>
  <c r="AG5" i="14"/>
  <c r="AF4" i="14"/>
  <c r="W5" i="14"/>
  <c r="AA4" i="14"/>
  <c r="V4" i="14"/>
  <c r="O4" i="14"/>
  <c r="AE6" i="14"/>
  <c r="Y5" i="14"/>
  <c r="X4" i="14"/>
  <c r="N4" i="14"/>
  <c r="AA5" i="14"/>
  <c r="AF6" i="14"/>
  <c r="L6" i="14"/>
  <c r="Q5" i="14"/>
  <c r="R5" i="14"/>
  <c r="S172" i="18" a="1"/>
  <c r="S172" i="18" s="1"/>
  <c r="S225" i="18" s="1" a="1"/>
  <c r="S225" i="18" s="1"/>
  <c r="T4" i="14"/>
  <c r="E6" i="10"/>
  <c r="C13" i="10"/>
  <c r="K13" i="10"/>
  <c r="G13" i="10"/>
  <c r="J13" i="10"/>
  <c r="L13" i="10"/>
  <c r="D13" i="10"/>
  <c r="N13" i="10"/>
  <c r="M13" i="10"/>
  <c r="F13" i="10"/>
  <c r="H13" i="10"/>
  <c r="E13" i="10"/>
  <c r="BC4" i="14" s="1"/>
  <c r="I13" i="10"/>
  <c r="G31" i="7"/>
  <c r="AE29" i="7"/>
  <c r="AN26" i="7"/>
  <c r="W27" i="7"/>
  <c r="O28" i="7"/>
  <c r="P26" i="7"/>
  <c r="P28" i="7"/>
  <c r="V26" i="7"/>
  <c r="AN28" i="7"/>
  <c r="F29" i="7"/>
  <c r="G29" i="7"/>
  <c r="O27" i="7"/>
  <c r="C43" i="10"/>
  <c r="F27" i="7"/>
  <c r="W28" i="7"/>
  <c r="F26" i="7"/>
  <c r="AE27" i="7"/>
  <c r="G54" i="7"/>
  <c r="G32" i="7"/>
  <c r="O30" i="7"/>
  <c r="F33" i="7"/>
  <c r="V28" i="7"/>
  <c r="H55" i="7"/>
  <c r="F30" i="7"/>
  <c r="G56" i="7"/>
  <c r="AO24" i="7"/>
  <c r="W29" i="7"/>
  <c r="AF29" i="7"/>
  <c r="AN24" i="7"/>
  <c r="H42" i="7"/>
  <c r="C111" i="10" s="1"/>
  <c r="H58" i="7"/>
  <c r="P24" i="7"/>
  <c r="H53" i="7"/>
  <c r="M17" i="10"/>
  <c r="H34" i="7"/>
  <c r="H52" i="7"/>
  <c r="J17" i="10" s="1"/>
  <c r="AF26" i="7"/>
  <c r="H51" i="7"/>
  <c r="H50" i="7"/>
  <c r="G25" i="7"/>
  <c r="AO25" i="7"/>
  <c r="H45" i="7"/>
  <c r="G24" i="7"/>
  <c r="AO29" i="7"/>
  <c r="H63" i="7"/>
  <c r="H62" i="7"/>
  <c r="H43" i="7"/>
  <c r="O24" i="7"/>
  <c r="F32" i="7"/>
  <c r="AN29" i="7"/>
  <c r="AF28" i="7"/>
  <c r="H61" i="7"/>
  <c r="W30" i="7"/>
  <c r="AE28" i="7"/>
  <c r="H59" i="7"/>
  <c r="AF30" i="7"/>
  <c r="P30" i="7"/>
  <c r="H57" i="7"/>
  <c r="G30" i="7"/>
  <c r="V25" i="7"/>
  <c r="AO26" i="7"/>
  <c r="W24" i="7"/>
  <c r="AF27" i="7"/>
  <c r="H49" i="7"/>
  <c r="V24" i="7"/>
  <c r="G28" i="7"/>
  <c r="F28" i="7"/>
  <c r="AE26" i="7"/>
  <c r="C18" i="10"/>
  <c r="F24" i="7"/>
  <c r="H48" i="7"/>
  <c r="D111" i="10" s="1"/>
  <c r="AN25" i="7"/>
  <c r="O26" i="7"/>
  <c r="AE30" i="7"/>
  <c r="H60" i="7"/>
  <c r="H47" i="7"/>
  <c r="AE25" i="7"/>
  <c r="H46" i="7"/>
  <c r="AF25" i="7"/>
  <c r="V29" i="7"/>
  <c r="H35" i="7"/>
  <c r="H31" i="7"/>
  <c r="P29" i="7"/>
  <c r="W26" i="7"/>
  <c r="AF24" i="7"/>
  <c r="P25" i="7"/>
  <c r="G35" i="7"/>
  <c r="V27" i="7"/>
  <c r="F25" i="7"/>
  <c r="F31" i="7"/>
  <c r="F35" i="7"/>
  <c r="O25" i="7"/>
  <c r="O29" i="7"/>
  <c r="V30" i="7"/>
  <c r="AE24" i="7"/>
  <c r="D42" i="10"/>
  <c r="S160" i="18" l="1" a="1"/>
  <c r="S160" i="18" s="1"/>
  <c r="S216" i="18" s="1" a="1"/>
  <c r="S216" i="18" s="1"/>
  <c r="S184" i="18" a="1"/>
  <c r="S184" i="18" s="1"/>
  <c r="S234" i="18" s="1" a="1"/>
  <c r="S234" i="18" s="1"/>
  <c r="S198" i="18" a="1"/>
  <c r="S198" i="18" s="1"/>
  <c r="S148" i="18" a="1"/>
  <c r="S148" i="18" s="1"/>
  <c r="S207" i="18" s="1" a="1"/>
  <c r="S207" i="18" s="1"/>
  <c r="AP213" i="18" s="1"/>
  <c r="BL4" i="14"/>
  <c r="BG4" i="14"/>
  <c r="AZ4" i="14"/>
  <c r="BT4" i="14"/>
  <c r="BH4" i="14"/>
  <c r="BN4" i="14"/>
  <c r="BQ4" i="14"/>
  <c r="BF4" i="14"/>
  <c r="BO4" i="14"/>
  <c r="BB4" i="14"/>
  <c r="J14" i="10"/>
  <c r="BJ4" i="14"/>
  <c r="E4" i="17" a="1"/>
  <c r="E4" i="17" s="1"/>
  <c r="L148" i="14" a="1"/>
  <c r="L148" i="14" s="1"/>
  <c r="L207" i="14" s="1" a="1"/>
  <c r="L207" i="14" s="1"/>
  <c r="AH213" i="14" s="1"/>
  <c r="D4" i="17" a="1"/>
  <c r="D4" i="17" s="1"/>
  <c r="L184" i="14" a="1"/>
  <c r="L184" i="14" s="1"/>
  <c r="L234" i="14" s="1" a="1"/>
  <c r="L234" i="14" s="1"/>
  <c r="G4" i="17" a="1"/>
  <c r="G4" i="17" s="1"/>
  <c r="L160" i="14" a="1"/>
  <c r="L160" i="14" s="1"/>
  <c r="L216" i="14" s="1" a="1"/>
  <c r="L216" i="14" s="1"/>
  <c r="L172" i="14" a="1"/>
  <c r="L172" i="14" s="1"/>
  <c r="L225" i="14" s="1" a="1"/>
  <c r="L225" i="14" s="1"/>
  <c r="F4" i="17" a="1"/>
  <c r="F4" i="17" s="1"/>
  <c r="L198" i="14" a="1"/>
  <c r="L198" i="14" s="1"/>
  <c r="C48" i="10"/>
  <c r="E14" i="10"/>
  <c r="C14" i="10"/>
  <c r="L14" i="10"/>
  <c r="G14" i="10"/>
  <c r="M14" i="10"/>
  <c r="D14" i="10"/>
  <c r="F14" i="10"/>
  <c r="K14" i="10"/>
  <c r="I14" i="10"/>
  <c r="H14" i="10"/>
  <c r="N14" i="10"/>
  <c r="C23" i="10"/>
  <c r="C24" i="10" s="1"/>
  <c r="C19" i="10"/>
  <c r="G27" i="7"/>
  <c r="H29" i="7"/>
  <c r="H17" i="10"/>
  <c r="X29" i="7"/>
  <c r="AP24" i="7"/>
  <c r="H67" i="10"/>
  <c r="E17" i="10"/>
  <c r="G111" i="10"/>
  <c r="H26" i="7"/>
  <c r="AG28" i="7"/>
  <c r="G89" i="10"/>
  <c r="AP28" i="7"/>
  <c r="H33" i="7"/>
  <c r="L17" i="10"/>
  <c r="H32" i="7"/>
  <c r="K17" i="10"/>
  <c r="D67" i="10"/>
  <c r="H30" i="7"/>
  <c r="Q30" i="7"/>
  <c r="I17" i="10"/>
  <c r="I42" i="10"/>
  <c r="X25" i="7"/>
  <c r="F17" i="10"/>
  <c r="H27" i="7"/>
  <c r="F89" i="10"/>
  <c r="AG27" i="7"/>
  <c r="H28" i="7"/>
  <c r="C67" i="10"/>
  <c r="G17" i="10"/>
  <c r="X24" i="7"/>
  <c r="E42" i="10"/>
  <c r="Q26" i="7"/>
  <c r="AG26" i="7"/>
  <c r="H24" i="7"/>
  <c r="AP25" i="7"/>
  <c r="E89" i="10"/>
  <c r="C17" i="10"/>
  <c r="I67" i="10"/>
  <c r="AP29" i="7"/>
  <c r="C42" i="10"/>
  <c r="Q24" i="7"/>
  <c r="H25" i="7"/>
  <c r="D17" i="10"/>
  <c r="H111" i="10"/>
  <c r="AG24" i="7"/>
  <c r="X30" i="7"/>
  <c r="Q25" i="7"/>
  <c r="C89" i="10"/>
  <c r="X28" i="7"/>
  <c r="G67" i="10"/>
  <c r="E67" i="10"/>
  <c r="H42" i="10"/>
  <c r="X26" i="7"/>
  <c r="Q29" i="7"/>
  <c r="G42" i="10"/>
  <c r="Q28" i="7"/>
  <c r="I89" i="10"/>
  <c r="AG30" i="7"/>
  <c r="AG25" i="7"/>
  <c r="D89" i="10"/>
  <c r="AP26" i="7"/>
  <c r="E111" i="10"/>
  <c r="X27" i="7"/>
  <c r="F67" i="10"/>
  <c r="Q27" i="7"/>
  <c r="F42" i="10"/>
  <c r="F111" i="10"/>
  <c r="AP27" i="7"/>
  <c r="AG29" i="7"/>
  <c r="H89" i="10"/>
  <c r="Q37" i="12"/>
  <c r="P37" i="12"/>
  <c r="O37" i="12"/>
  <c r="N37" i="12"/>
  <c r="M37" i="12"/>
  <c r="L37" i="12"/>
  <c r="K37" i="12"/>
  <c r="I37" i="12"/>
  <c r="H37" i="12"/>
  <c r="G37" i="12"/>
  <c r="E37" i="12"/>
  <c r="C37" i="12"/>
  <c r="U39" i="12"/>
  <c r="T39" i="12"/>
  <c r="K39" i="12"/>
  <c r="J39" i="12"/>
  <c r="I39" i="12"/>
  <c r="H39" i="12"/>
  <c r="C39" i="12"/>
  <c r="W40" i="12"/>
  <c r="V40" i="12"/>
  <c r="I40" i="12"/>
  <c r="G40" i="12"/>
  <c r="F40" i="12"/>
  <c r="E40" i="12"/>
  <c r="C40" i="12"/>
  <c r="X41" i="12"/>
  <c r="H41" i="12"/>
  <c r="G41" i="12"/>
  <c r="F41" i="12"/>
  <c r="E41" i="12"/>
  <c r="C41" i="12"/>
  <c r="AL4" i="17" l="1" a="1"/>
  <c r="AL4" i="17" s="1"/>
  <c r="U4" i="17" a="1"/>
  <c r="U4" i="17" s="1"/>
  <c r="AK4" i="17" a="1"/>
  <c r="AK4" i="17" s="1"/>
  <c r="V4" i="17" a="1"/>
  <c r="V4" i="17" s="1"/>
  <c r="C20" i="10"/>
  <c r="C25" i="10"/>
  <c r="AJ92" i="10"/>
  <c r="AI92" i="10"/>
  <c r="AH92" i="10"/>
  <c r="AG92" i="10"/>
  <c r="AF92" i="10"/>
  <c r="AE92" i="10"/>
  <c r="AJ90" i="10"/>
  <c r="AJ95" i="10" s="1"/>
  <c r="AI90" i="10"/>
  <c r="AI95" i="10" s="1"/>
  <c r="AH90" i="10"/>
  <c r="AH95" i="10" s="1"/>
  <c r="AG90" i="10"/>
  <c r="AG95" i="10" s="1"/>
  <c r="AF90" i="10"/>
  <c r="AE90" i="10"/>
  <c r="AJ88" i="10"/>
  <c r="AJ85" i="10"/>
  <c r="AI85" i="10"/>
  <c r="AH85" i="10"/>
  <c r="AG85" i="10"/>
  <c r="AF85" i="10"/>
  <c r="AE85" i="10"/>
  <c r="Z172" i="3"/>
  <c r="I90" i="10"/>
  <c r="C90" i="10"/>
  <c r="I85" i="10"/>
  <c r="BR7" i="14" s="1"/>
  <c r="Z164" i="3"/>
  <c r="Z165" i="3"/>
  <c r="Z166" i="3"/>
  <c r="Z167" i="3"/>
  <c r="Z168" i="3"/>
  <c r="Z169" i="3"/>
  <c r="Z163" i="3"/>
  <c r="C85" i="10"/>
  <c r="BT7" i="14" s="1"/>
  <c r="D85" i="10"/>
  <c r="BD7" i="14" s="1"/>
  <c r="E85" i="10"/>
  <c r="BF7" i="14" s="1"/>
  <c r="F85" i="10"/>
  <c r="BG7" i="14" s="1"/>
  <c r="G85" i="10"/>
  <c r="BC7" i="14" s="1"/>
  <c r="H85" i="10"/>
  <c r="BP7" i="14" s="1"/>
  <c r="X169" i="3"/>
  <c r="V164" i="3"/>
  <c r="V166" i="3"/>
  <c r="V167" i="3"/>
  <c r="V163" i="3"/>
  <c r="R169" i="3"/>
  <c r="V169" i="3" s="1"/>
  <c r="T165" i="3"/>
  <c r="S165" i="3"/>
  <c r="R165" i="3"/>
  <c r="Q165" i="3"/>
  <c r="P165" i="3"/>
  <c r="V165" i="3" s="1"/>
  <c r="U163" i="3"/>
  <c r="S163" i="3"/>
  <c r="R163" i="3"/>
  <c r="P163" i="3"/>
  <c r="T57" i="3"/>
  <c r="T60" i="3"/>
  <c r="T55" i="3"/>
  <c r="S54" i="3"/>
  <c r="T54" i="3" s="1"/>
  <c r="P59" i="3"/>
  <c r="T59" i="3" s="1"/>
  <c r="P58" i="3"/>
  <c r="T58" i="3" s="1"/>
  <c r="P56" i="3"/>
  <c r="T56" i="3" s="1"/>
  <c r="E90" i="10"/>
  <c r="A139" i="3"/>
  <c r="A445" i="2"/>
  <c r="A439" i="2"/>
  <c r="A435" i="2"/>
  <c r="A434" i="2"/>
  <c r="A64" i="9"/>
  <c r="A62" i="9"/>
  <c r="D112" i="10"/>
  <c r="E112" i="10"/>
  <c r="F112" i="10"/>
  <c r="G112" i="10"/>
  <c r="H112" i="10"/>
  <c r="C112" i="10"/>
  <c r="H107" i="10"/>
  <c r="BT8" i="14" s="1"/>
  <c r="D107" i="10"/>
  <c r="BF8" i="14" s="1"/>
  <c r="E107" i="10"/>
  <c r="BD8" i="14" s="1"/>
  <c r="F107" i="10"/>
  <c r="BA8" i="14" s="1"/>
  <c r="G107" i="10"/>
  <c r="BC8" i="14" s="1"/>
  <c r="AZ8" i="14"/>
  <c r="D90" i="10"/>
  <c r="F90" i="10"/>
  <c r="G90" i="10"/>
  <c r="H90" i="10"/>
  <c r="D68" i="10"/>
  <c r="E68" i="10"/>
  <c r="F68" i="10"/>
  <c r="G68" i="10"/>
  <c r="H68" i="10"/>
  <c r="I68" i="10"/>
  <c r="C68" i="10"/>
  <c r="D60" i="10"/>
  <c r="D63" i="10" s="1"/>
  <c r="E60" i="10"/>
  <c r="E63" i="10" s="1"/>
  <c r="F60" i="10"/>
  <c r="F63" i="10" s="1"/>
  <c r="G60" i="10"/>
  <c r="G63" i="10" s="1"/>
  <c r="H60" i="10"/>
  <c r="H63" i="10" s="1"/>
  <c r="I60" i="10"/>
  <c r="I63" i="10" s="1"/>
  <c r="C60" i="10"/>
  <c r="C63" i="10" s="1"/>
  <c r="D35" i="10"/>
  <c r="D38" i="10" s="1"/>
  <c r="E35" i="10"/>
  <c r="E38" i="10" s="1"/>
  <c r="F35" i="10"/>
  <c r="F38" i="10" s="1"/>
  <c r="G35" i="10"/>
  <c r="G38" i="10" s="1"/>
  <c r="H35" i="10"/>
  <c r="H38" i="10" s="1"/>
  <c r="I35" i="10"/>
  <c r="I38" i="10" s="1"/>
  <c r="C35" i="10"/>
  <c r="D43" i="10"/>
  <c r="E43" i="10"/>
  <c r="F43" i="10"/>
  <c r="G43" i="10"/>
  <c r="H43" i="10"/>
  <c r="I43" i="10"/>
  <c r="D11" i="10"/>
  <c r="E11" i="10"/>
  <c r="F11" i="10"/>
  <c r="G11" i="10"/>
  <c r="H11" i="10"/>
  <c r="I11" i="10"/>
  <c r="J11" i="10"/>
  <c r="K11" i="10"/>
  <c r="L11" i="10"/>
  <c r="M11" i="10"/>
  <c r="N11" i="10"/>
  <c r="C11" i="10"/>
  <c r="D18" i="10"/>
  <c r="E18" i="10"/>
  <c r="F18" i="10"/>
  <c r="G18" i="10"/>
  <c r="H18" i="10"/>
  <c r="H19" i="10" s="1"/>
  <c r="H20" i="10" s="1"/>
  <c r="I18" i="10"/>
  <c r="I19" i="10" s="1"/>
  <c r="I20" i="10" s="1"/>
  <c r="J18" i="10"/>
  <c r="J19" i="10" s="1"/>
  <c r="J20" i="10" s="1"/>
  <c r="K18" i="10"/>
  <c r="K19" i="10" s="1"/>
  <c r="K20" i="10" s="1"/>
  <c r="L18" i="10"/>
  <c r="L19" i="10" s="1"/>
  <c r="L20" i="10" s="1"/>
  <c r="M18" i="10"/>
  <c r="M19" i="10" s="1"/>
  <c r="M20" i="10" s="1"/>
  <c r="N18" i="10"/>
  <c r="X15" i="9"/>
  <c r="X16" i="9"/>
  <c r="X17" i="9"/>
  <c r="X18" i="9"/>
  <c r="X19" i="9"/>
  <c r="X20" i="9"/>
  <c r="X14" i="9"/>
  <c r="P68" i="10" l="1"/>
  <c r="P112" i="10"/>
  <c r="BO5" i="14"/>
  <c r="BF5" i="14"/>
  <c r="AZ6" i="14"/>
  <c r="BO6" i="14"/>
  <c r="G69" i="10"/>
  <c r="G70" i="10" s="1"/>
  <c r="BK5" i="14"/>
  <c r="BT5" i="14"/>
  <c r="BS6" i="14"/>
  <c r="BE5" i="14"/>
  <c r="BG6" i="14"/>
  <c r="BM5" i="14"/>
  <c r="BT6" i="14"/>
  <c r="BK6" i="14"/>
  <c r="N19" i="10"/>
  <c r="N20" i="10" s="1"/>
  <c r="H69" i="10"/>
  <c r="H70" i="10" s="1"/>
  <c r="E64" i="10"/>
  <c r="C38" i="10"/>
  <c r="C44" i="10"/>
  <c r="I73" i="10"/>
  <c r="I74" i="10" s="1"/>
  <c r="I75" i="10" s="1"/>
  <c r="I69" i="10"/>
  <c r="I70" i="10" s="1"/>
  <c r="F69" i="10"/>
  <c r="F70" i="10" s="1"/>
  <c r="D48" i="10"/>
  <c r="D49" i="10" s="1"/>
  <c r="D50" i="10" s="1"/>
  <c r="D44" i="10"/>
  <c r="D45" i="10" s="1"/>
  <c r="D39" i="10"/>
  <c r="H48" i="10"/>
  <c r="H49" i="10" s="1"/>
  <c r="H50" i="10" s="1"/>
  <c r="H44" i="10"/>
  <c r="H45" i="10" s="1"/>
  <c r="C64" i="10"/>
  <c r="E69" i="10"/>
  <c r="E70" i="10" s="1"/>
  <c r="I39" i="10"/>
  <c r="G48" i="10"/>
  <c r="G49" i="10" s="1"/>
  <c r="G50" i="10" s="1"/>
  <c r="G44" i="10"/>
  <c r="G45" i="10" s="1"/>
  <c r="I64" i="10"/>
  <c r="D73" i="10"/>
  <c r="D74" i="10" s="1"/>
  <c r="D75" i="10" s="1"/>
  <c r="D69" i="10"/>
  <c r="D70" i="10" s="1"/>
  <c r="H39" i="10"/>
  <c r="G39" i="10"/>
  <c r="F39" i="10"/>
  <c r="F48" i="10"/>
  <c r="F49" i="10" s="1"/>
  <c r="F50" i="10" s="1"/>
  <c r="F44" i="10"/>
  <c r="F45" i="10" s="1"/>
  <c r="H64" i="10"/>
  <c r="H95" i="10"/>
  <c r="V7" i="12" s="1"/>
  <c r="H91" i="10"/>
  <c r="G113" i="10"/>
  <c r="F64" i="10"/>
  <c r="D64" i="10"/>
  <c r="C69" i="10"/>
  <c r="P69" i="10" s="1"/>
  <c r="C73" i="10"/>
  <c r="C74" i="10" s="1"/>
  <c r="C75" i="10" s="1"/>
  <c r="E39" i="10"/>
  <c r="I48" i="10"/>
  <c r="I49" i="10" s="1"/>
  <c r="I50" i="10" s="1"/>
  <c r="I44" i="10"/>
  <c r="I45" i="10" s="1"/>
  <c r="E48" i="10"/>
  <c r="E49" i="10" s="1"/>
  <c r="E50" i="10" s="1"/>
  <c r="E44" i="10"/>
  <c r="E45" i="10" s="1"/>
  <c r="G64" i="10"/>
  <c r="F113" i="10"/>
  <c r="F118" i="10" s="1"/>
  <c r="C49" i="10"/>
  <c r="C50" i="10" s="1"/>
  <c r="H113" i="10"/>
  <c r="G118" i="10"/>
  <c r="G114" i="10"/>
  <c r="G119" i="10" s="1"/>
  <c r="E117" i="10"/>
  <c r="F8" i="12" s="1"/>
  <c r="E113" i="10"/>
  <c r="D117" i="10"/>
  <c r="E8" i="12" s="1"/>
  <c r="D113" i="10"/>
  <c r="C113" i="10"/>
  <c r="C114" i="10" s="1"/>
  <c r="I95" i="10"/>
  <c r="W7" i="12" s="1"/>
  <c r="I91" i="10"/>
  <c r="G95" i="10"/>
  <c r="G7" i="12" s="1"/>
  <c r="G91" i="10"/>
  <c r="F95" i="10"/>
  <c r="I7" i="12" s="1"/>
  <c r="F91" i="10"/>
  <c r="E95" i="10"/>
  <c r="E7" i="12" s="1"/>
  <c r="E91" i="10"/>
  <c r="D95" i="10"/>
  <c r="F7" i="12" s="1"/>
  <c r="D91" i="10"/>
  <c r="C91" i="10"/>
  <c r="P91" i="10" s="1"/>
  <c r="D23" i="10"/>
  <c r="D24" i="10" s="1"/>
  <c r="D19" i="10"/>
  <c r="G23" i="10"/>
  <c r="G24" i="10" s="1"/>
  <c r="G25" i="10" s="1"/>
  <c r="G19" i="10"/>
  <c r="G20" i="10" s="1"/>
  <c r="F23" i="10"/>
  <c r="F24" i="10" s="1"/>
  <c r="F25" i="10" s="1"/>
  <c r="F19" i="10"/>
  <c r="F20" i="10" s="1"/>
  <c r="E23" i="10"/>
  <c r="E24" i="10" s="1"/>
  <c r="E25" i="10" s="1"/>
  <c r="E19" i="10"/>
  <c r="E20" i="10" s="1"/>
  <c r="F73" i="10"/>
  <c r="E73" i="10"/>
  <c r="H73" i="10"/>
  <c r="G73" i="10"/>
  <c r="AG91" i="10"/>
  <c r="AH91" i="10"/>
  <c r="AI91" i="10"/>
  <c r="E5" i="12"/>
  <c r="K38" i="12"/>
  <c r="J38" i="12"/>
  <c r="E38" i="12"/>
  <c r="D38" i="12"/>
  <c r="C38" i="12"/>
  <c r="R38" i="12"/>
  <c r="S38" i="12"/>
  <c r="AE91" i="10"/>
  <c r="E4" i="12"/>
  <c r="J23" i="10"/>
  <c r="N23" i="10"/>
  <c r="M23" i="10"/>
  <c r="L23" i="10"/>
  <c r="K23" i="10"/>
  <c r="I23" i="10"/>
  <c r="H23" i="10"/>
  <c r="H117" i="10"/>
  <c r="C8" i="12" s="1"/>
  <c r="G117" i="10"/>
  <c r="G8" i="12" s="1"/>
  <c r="F117" i="10"/>
  <c r="X8" i="12" s="1"/>
  <c r="C117" i="10"/>
  <c r="C71" i="10"/>
  <c r="P90" i="10"/>
  <c r="I93" i="10" s="1"/>
  <c r="P43" i="10"/>
  <c r="C46" i="10" s="1"/>
  <c r="AF91" i="10"/>
  <c r="AJ91" i="10"/>
  <c r="AE95" i="10"/>
  <c r="AF95" i="10"/>
  <c r="AL90" i="10"/>
  <c r="D5" i="12"/>
  <c r="C6" i="12"/>
  <c r="C95" i="10"/>
  <c r="P18" i="10"/>
  <c r="G21" i="10" s="1"/>
  <c r="T61" i="3"/>
  <c r="D231" i="2"/>
  <c r="D230" i="2"/>
  <c r="D229" i="2"/>
  <c r="E229" i="2" s="1"/>
  <c r="I208" i="2"/>
  <c r="I209" i="2"/>
  <c r="I207" i="2"/>
  <c r="G138" i="2"/>
  <c r="H82" i="2"/>
  <c r="D265" i="10" l="1"/>
  <c r="F265" i="10"/>
  <c r="E265" i="10"/>
  <c r="C265" i="10"/>
  <c r="G265" i="10"/>
  <c r="P113" i="10"/>
  <c r="P44" i="10"/>
  <c r="P19" i="10"/>
  <c r="P20" i="10" s="1"/>
  <c r="K5" i="12"/>
  <c r="BU5" i="14"/>
  <c r="C5" i="12"/>
  <c r="J5" i="12"/>
  <c r="S5" i="12"/>
  <c r="F114" i="10"/>
  <c r="F119" i="10" s="1"/>
  <c r="K6" i="12"/>
  <c r="R5" i="12"/>
  <c r="H96" i="10"/>
  <c r="H92" i="10"/>
  <c r="H97" i="10" s="1"/>
  <c r="P70" i="10"/>
  <c r="C70" i="10"/>
  <c r="C4" i="12"/>
  <c r="C45" i="10"/>
  <c r="P45" i="10"/>
  <c r="C39" i="10"/>
  <c r="P49" i="10"/>
  <c r="C66" i="12" s="1"/>
  <c r="L4" i="12"/>
  <c r="I4" i="12"/>
  <c r="I6" i="12"/>
  <c r="H114" i="10"/>
  <c r="H119" i="10" s="1"/>
  <c r="H118" i="10"/>
  <c r="E118" i="10"/>
  <c r="E114" i="10"/>
  <c r="E119" i="10" s="1"/>
  <c r="D118" i="10"/>
  <c r="D114" i="10"/>
  <c r="D119" i="10" s="1"/>
  <c r="C119" i="10"/>
  <c r="P114" i="10"/>
  <c r="C118" i="10"/>
  <c r="I92" i="10"/>
  <c r="I97" i="10" s="1"/>
  <c r="I96" i="10"/>
  <c r="G96" i="10"/>
  <c r="G92" i="10"/>
  <c r="G97" i="10" s="1"/>
  <c r="F92" i="10"/>
  <c r="F97" i="10" s="1"/>
  <c r="F96" i="10"/>
  <c r="E92" i="10"/>
  <c r="E97" i="10" s="1"/>
  <c r="E96" i="10"/>
  <c r="D92" i="10"/>
  <c r="D97" i="10" s="1"/>
  <c r="D96" i="10"/>
  <c r="P92" i="10"/>
  <c r="C96" i="10"/>
  <c r="C92" i="10"/>
  <c r="C97" i="10" s="1"/>
  <c r="U6" i="12"/>
  <c r="G74" i="10"/>
  <c r="G75" i="10" s="1"/>
  <c r="H6" i="12"/>
  <c r="H74" i="10"/>
  <c r="H75" i="10" s="1"/>
  <c r="J6" i="12"/>
  <c r="E74" i="10"/>
  <c r="T6" i="12"/>
  <c r="F74" i="10"/>
  <c r="F75" i="10" s="1"/>
  <c r="G4" i="12"/>
  <c r="N4" i="12"/>
  <c r="K24" i="10"/>
  <c r="K25" i="10" s="1"/>
  <c r="P4" i="12"/>
  <c r="M24" i="10"/>
  <c r="M25" i="10" s="1"/>
  <c r="M4" i="12"/>
  <c r="J24" i="10"/>
  <c r="J25" i="10" s="1"/>
  <c r="K4" i="12"/>
  <c r="I24" i="10"/>
  <c r="I25" i="10" s="1"/>
  <c r="Q4" i="12"/>
  <c r="N24" i="10"/>
  <c r="N25" i="10" s="1"/>
  <c r="D20" i="10"/>
  <c r="H4" i="12"/>
  <c r="H24" i="10"/>
  <c r="H25" i="10" s="1"/>
  <c r="O4" i="12"/>
  <c r="L24" i="10"/>
  <c r="L25" i="10" s="1"/>
  <c r="D25" i="10"/>
  <c r="H8" i="12"/>
  <c r="P117" i="10"/>
  <c r="G93" i="10"/>
  <c r="D93" i="10"/>
  <c r="H93" i="10"/>
  <c r="AE93" i="10"/>
  <c r="P95" i="10"/>
  <c r="C7" i="12"/>
  <c r="AJ93" i="10"/>
  <c r="AI93" i="10"/>
  <c r="AG93" i="10"/>
  <c r="G71" i="10"/>
  <c r="E71" i="10"/>
  <c r="F71" i="10"/>
  <c r="I71" i="10"/>
  <c r="H71" i="10"/>
  <c r="D71" i="10"/>
  <c r="G46" i="10"/>
  <c r="E46" i="10"/>
  <c r="H46" i="10"/>
  <c r="AF93" i="10"/>
  <c r="AH93" i="10"/>
  <c r="F46" i="10"/>
  <c r="I46" i="10"/>
  <c r="D46" i="10"/>
  <c r="E21" i="10"/>
  <c r="K21" i="10"/>
  <c r="N21" i="10"/>
  <c r="C21" i="10"/>
  <c r="M21" i="10"/>
  <c r="D21" i="10"/>
  <c r="I21" i="10"/>
  <c r="F21" i="10"/>
  <c r="AL95" i="10"/>
  <c r="G115" i="10"/>
  <c r="H115" i="10"/>
  <c r="C115" i="10"/>
  <c r="P23" i="10"/>
  <c r="P48" i="10"/>
  <c r="H21" i="10"/>
  <c r="L21" i="10"/>
  <c r="E115" i="10"/>
  <c r="J21" i="10"/>
  <c r="P73" i="10"/>
  <c r="F115" i="10"/>
  <c r="D115" i="10"/>
  <c r="C93" i="10"/>
  <c r="E93" i="10"/>
  <c r="F93" i="10"/>
  <c r="AA5" i="12" l="1"/>
  <c r="AC5" i="12" s="1"/>
  <c r="P118" i="10"/>
  <c r="P50" i="10"/>
  <c r="P96" i="10"/>
  <c r="AA6" i="12"/>
  <c r="AC6" i="12" s="1"/>
  <c r="E75" i="10"/>
  <c r="P74" i="10"/>
  <c r="AA4" i="12"/>
  <c r="AC4" i="12" s="1"/>
  <c r="P24" i="10"/>
  <c r="AA7" i="12"/>
  <c r="AC7" i="12" s="1"/>
  <c r="AA8" i="12"/>
  <c r="AC8" i="12" s="1"/>
  <c r="J39" i="1"/>
  <c r="J40" i="1" s="1"/>
  <c r="M37" i="1"/>
  <c r="D34" i="1"/>
  <c r="E34" i="1"/>
  <c r="F34" i="1"/>
  <c r="G34" i="1"/>
  <c r="H34" i="1"/>
  <c r="I34" i="1"/>
  <c r="J34" i="1"/>
  <c r="K34" i="1"/>
  <c r="L34" i="1"/>
  <c r="M34" i="1"/>
  <c r="N34" i="1"/>
  <c r="C34" i="1"/>
  <c r="D26" i="1"/>
  <c r="E26" i="1"/>
  <c r="F26" i="1"/>
  <c r="G26" i="1"/>
  <c r="H26" i="1"/>
  <c r="I26" i="1"/>
  <c r="J26" i="1"/>
  <c r="K26" i="1"/>
  <c r="L26" i="1"/>
  <c r="M26" i="1"/>
  <c r="N26" i="1"/>
  <c r="C26" i="1"/>
  <c r="D20" i="1"/>
  <c r="E20" i="1"/>
  <c r="F20" i="1"/>
  <c r="F37" i="1" s="1"/>
  <c r="G20" i="1"/>
  <c r="H20" i="1"/>
  <c r="I20" i="1"/>
  <c r="J20" i="1"/>
  <c r="K20" i="1"/>
  <c r="L20" i="1"/>
  <c r="M20" i="1"/>
  <c r="M39" i="1" s="1"/>
  <c r="M40" i="1" s="1"/>
  <c r="M41" i="1" s="1"/>
  <c r="N20" i="1"/>
  <c r="N37" i="1" s="1"/>
  <c r="C20" i="1"/>
  <c r="F14" i="1"/>
  <c r="H14" i="1"/>
  <c r="I14" i="1"/>
  <c r="K14" i="1"/>
  <c r="C14" i="1"/>
  <c r="G12" i="1"/>
  <c r="G14" i="1" s="1"/>
  <c r="D12" i="1"/>
  <c r="D14" i="1" s="1"/>
  <c r="E12" i="1"/>
  <c r="E14" i="1" s="1"/>
  <c r="L13" i="1"/>
  <c r="L14" i="1" s="1"/>
  <c r="L37" i="1" s="1"/>
  <c r="J13" i="1"/>
  <c r="J14" i="1" s="1"/>
  <c r="K8" i="1"/>
  <c r="F8" i="1"/>
  <c r="I8" i="1"/>
  <c r="I39" i="1" s="1"/>
  <c r="I40" i="1" s="1"/>
  <c r="J8" i="1"/>
  <c r="C8" i="1"/>
  <c r="D7" i="1"/>
  <c r="H6" i="1"/>
  <c r="H8" i="1" s="1"/>
  <c r="H39" i="1" s="1"/>
  <c r="H40" i="1" s="1"/>
  <c r="G6" i="1"/>
  <c r="G8" i="1" s="1"/>
  <c r="D6" i="1"/>
  <c r="P97" i="10" l="1"/>
  <c r="C68" i="12"/>
  <c r="P75" i="10"/>
  <c r="C67" i="12"/>
  <c r="P119" i="10"/>
  <c r="C69" i="12"/>
  <c r="P25" i="10"/>
  <c r="C65" i="12"/>
  <c r="I37" i="1"/>
  <c r="I41" i="1" s="1"/>
  <c r="H37" i="1"/>
  <c r="K37" i="1"/>
  <c r="J37" i="1"/>
  <c r="J41" i="1" s="1"/>
  <c r="H41" i="1"/>
  <c r="C39" i="1"/>
  <c r="C40" i="1" s="1"/>
  <c r="F39" i="1"/>
  <c r="F40" i="1" s="1"/>
  <c r="F41" i="1" s="1"/>
  <c r="L39" i="1"/>
  <c r="L40" i="1" s="1"/>
  <c r="L41" i="1" s="1"/>
  <c r="E39" i="1"/>
  <c r="E40" i="1" s="1"/>
  <c r="K39" i="1"/>
  <c r="K40" i="1" s="1"/>
  <c r="K41" i="1" s="1"/>
  <c r="D8" i="1"/>
  <c r="D39" i="1" s="1"/>
  <c r="D40" i="1" s="1"/>
  <c r="G37" i="1"/>
  <c r="N39" i="1"/>
  <c r="N40" i="1" s="1"/>
  <c r="N41" i="1" s="1"/>
  <c r="G39" i="1"/>
  <c r="G40" i="1" s="1"/>
  <c r="G41" i="1" s="1"/>
  <c r="E37" i="1"/>
  <c r="C37" i="1"/>
  <c r="C41" i="1" l="1"/>
  <c r="D37" i="1"/>
  <c r="D41" i="1" s="1"/>
  <c r="O37" i="1"/>
  <c r="C38" i="1"/>
  <c r="E38" i="1"/>
  <c r="D38" i="1"/>
  <c r="E41" i="1"/>
  <c r="H38" i="1" l="1"/>
  <c r="G38" i="1"/>
  <c r="L38" i="1"/>
  <c r="N38" i="1"/>
  <c r="I38" i="1"/>
  <c r="K38" i="1"/>
  <c r="F38" i="1"/>
  <c r="M38" i="1"/>
  <c r="J38" i="1"/>
  <c r="F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Wang</author>
  </authors>
  <commentList>
    <comment ref="A31" authorId="0" shapeId="0" xr:uid="{3DCEA23B-D064-3141-A077-708389847BCA}">
      <text>
        <r>
          <rPr>
            <sz val="8"/>
            <color rgb="FF000000"/>
            <rFont val="Tahoma"/>
            <family val="2"/>
          </rPr>
          <t>This cell contains comments.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" authorId="0" shapeId="0" xr:uid="{C5A57895-717B-0441-8199-EB6963940F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119000000  [1]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4" authorId="0" shapeId="0" xr:uid="{A56843E8-1EFA-B743-B2CC-76E1DD66F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26180000 </t>
        </r>
      </text>
    </comment>
    <comment ref="E4" authorId="0" shapeId="0" xr:uid="{4BEF5E1D-F7E5-FD41-AA4C-F35E55ABE6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2618000000</t>
        </r>
      </text>
    </comment>
    <comment ref="F4" authorId="0" shapeId="0" xr:uid="{BDCB1FB7-F515-B449-A9E9-F89D304990F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7140000000
</t>
        </r>
      </text>
    </comment>
    <comment ref="G4" authorId="0" shapeId="0" xr:uid="{84E8A82D-17A5-4642-8E86-F55C53A281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2142000000
</t>
        </r>
      </text>
    </comment>
    <comment ref="H4" authorId="0" shapeId="0" xr:uid="{2F16A865-24F8-514E-940F-D1A5324DE6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10948000000
</t>
        </r>
      </text>
    </comment>
    <comment ref="I4" authorId="0" shapeId="0" xr:uid="{63C847B2-A1DB-074A-AB26-2DF536DC29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952000000
</t>
        </r>
      </text>
    </comment>
    <comment ref="L4" authorId="0" shapeId="0" xr:uid="{4624EFD0-23D9-A442-B58C-5DB2E6B3FF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M4" authorId="0" shapeId="0" xr:uid="{D2AC63F5-0D7E-AA4E-A3FB-A836832351A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4" authorId="0" shapeId="0" xr:uid="{D95949BD-B8F0-8948-90F5-BB9FC21571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O4" authorId="0" shapeId="0" xr:uid="{35178CD7-0B35-9548-AC90-FD337A7351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P4" authorId="0" shapeId="0" xr:uid="{D3A76219-3602-424E-8B40-529B1FF4D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Q4" authorId="0" shapeId="0" xr:uid="{F477B964-6114-F44D-B6C7-64D078D855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4" authorId="0" shapeId="0" xr:uid="{3C03702A-6274-B04E-B47F-007B65724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S4" authorId="0" shapeId="0" xr:uid="{D8842B95-62A5-8E44-8A0B-6224EBDAAD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T4" authorId="0" shapeId="0" xr:uid="{5447F320-A5F8-7544-A3DC-9A19530CC5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U4" authorId="0" shapeId="0" xr:uid="{C004BBB5-5AAF-A047-9EF5-8187670063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A46FDCEA-8E6B-E048-9ADA-A03D0EED7E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W4" authorId="0" shapeId="0" xr:uid="{BDF4DA06-79E3-7246-BB65-990DD70D7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4" authorId="0" shapeId="0" xr:uid="{EA80F57B-8A9A-B847-A7E0-53C8532A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Y4" authorId="0" shapeId="0" xr:uid="{4882930F-F993-554C-B856-525A04E081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0333AAC2-37D7-BF4F-B6B6-0E0FA9507F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A4" authorId="0" shapeId="0" xr:uid="{6E3CD300-03BF-4F46-AA5C-6A1E28F158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B4" authorId="0" shapeId="0" xr:uid="{333685F2-B4CE-7B40-9DE8-9229FF25D9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EF21EEB3-F3E9-D44B-AD63-CDC5AF0280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D4" authorId="0" shapeId="0" xr:uid="{0C4B07D7-52FD-7548-834F-E6B3F35779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F2D571C6-EC36-2149-8EDB-EE90F937C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EB713AED-938E-B04B-A00A-8835DDEF16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G4" authorId="0" shapeId="0" xr:uid="{1DC095AE-B14D-4D42-9AC9-A0A8654285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7138B5F3-B6D5-9B46-AEB3-E3ECF1A14D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K4" authorId="0" shapeId="0" xr:uid="{6B1C65AC-C5A6-B046-9BB2-87ABCB8504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4" authorId="0" shapeId="0" xr:uid="{060BC952-7B0E-A443-B9E8-35E8E2D7FE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4" authorId="0" shapeId="0" xr:uid="{14798834-23AD-F642-9739-178DDCBD5F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L5" authorId="0" shapeId="0" xr:uid="{F9728B20-53D9-D84E-9AF0-770478EA3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M5" authorId="0" shapeId="0" xr:uid="{9245B42D-8D26-7F4A-A603-39104817851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5" authorId="0" shapeId="0" xr:uid="{134583AF-55F3-D04D-B419-49255C9B2B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5" authorId="0" shapeId="0" xr:uid="{A1349D8A-978E-5547-A35A-50C27A3100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5" authorId="0" shapeId="0" xr:uid="{9956F95D-87CD-C943-9005-8161522462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5" authorId="0" shapeId="0" xr:uid="{03CDD850-6BA2-E04A-B67D-F8442C45BB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R5" authorId="0" shapeId="0" xr:uid="{A567C3A4-E3DE-1D4A-B141-F0AE763A7A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S5" authorId="0" shapeId="0" xr:uid="{5E3C0F45-039E-024B-A239-680A467583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5" authorId="0" shapeId="0" xr:uid="{6A734750-93FD-EA4C-9C84-D2D8F39851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209D08A8-9BAB-9440-988A-4D3DC4E0B2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4A8DBE6-1919-A645-8F47-F9E5BF7593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2E9AADF0-9546-5D48-95C0-0997F268FA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X5" authorId="0" shapeId="0" xr:uid="{5B877454-862E-5147-B70B-97687B5C46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C3B0C9B3-FBC5-5743-896D-D389DDD665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Z5" authorId="0" shapeId="0" xr:uid="{B96EC1D3-935A-D944-800E-C648217DAA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48B6786E-6F4D-8C4F-80F9-0259B3AD06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B5" authorId="0" shapeId="0" xr:uid="{A5643338-E80F-024E-BAF2-6986A36E38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8AFE3F2D-2EEC-6F43-886D-EECCFEE72B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9B61876C-FD72-D144-AEAE-DCD66417E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6E45E811-7D37-F74A-ACA3-7A2E4C99F4E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7CB3171C-0920-4840-ACAA-5B71ED4CC1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G5" authorId="0" shapeId="0" xr:uid="{006A8939-6617-DE40-AD98-D071928C13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J5" authorId="0" shapeId="0" xr:uid="{6C6251B7-8CDA-E04F-8ED5-74AD97CCC5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K5" authorId="0" shapeId="0" xr:uid="{712487DC-CB41-4E93-B0D6-4F8D99FF43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5" authorId="0" shapeId="0" xr:uid="{A61EE86B-9191-D548-8CFA-23CBD2C6F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M5" authorId="0" shapeId="0" xr:uid="{A56F1C99-9DC4-F742-9B85-3E45B08DF73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L6" authorId="0" shapeId="0" xr:uid="{A2792C83-6E12-5749-B4CE-D08E5921EC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M6" authorId="0" shapeId="0" xr:uid="{D3EFFAF2-F207-5842-868F-EE8410315D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6" authorId="0" shapeId="0" xr:uid="{8152233D-F48E-B747-A869-40E4510A9F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6" authorId="0" shapeId="0" xr:uid="{BCA649A1-0CEF-1A44-9DBE-E0EDCC5899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6" authorId="0" shapeId="0" xr:uid="{7333D980-4199-0C45-AEC5-5B29A324AF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6" authorId="0" shapeId="0" xr:uid="{48265A2A-7F01-344D-BA02-94EFFC4B2C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6" authorId="0" shapeId="0" xr:uid="{4B8996C9-A81B-C04D-9858-6990A55CCC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S6" authorId="0" shapeId="0" xr:uid="{B6F890D3-7380-AE4B-B61C-8468BE795C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T6" authorId="0" shapeId="0" xr:uid="{DD484C48-B610-B945-A0D4-C9800F585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32262E67-59BF-6E40-8070-CD15D5C19B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V6" authorId="0" shapeId="0" xr:uid="{EB2A7900-4F69-4843-8177-AA7A22E642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F9521042-D131-E549-AD2B-73828B0F4E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X6" authorId="0" shapeId="0" xr:uid="{EDD4A145-2216-9C4D-B694-D3B74B028E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BAEF2E45-CACE-2B43-A74D-A9C3ECCA2E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C6838B73-9A23-E149-8758-A26017D796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AB670E3C-78DA-5D4B-A1D4-7DBF0881BD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031444D6-49AD-744D-B27D-95E07849EE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4E0BC82F-D9E4-CB49-A1D4-E84A78D879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7C799E7E-8154-104D-A765-2307E08E56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7181DED1-52BE-C84C-B2EE-CF07A49EE5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F6" authorId="0" shapeId="0" xr:uid="{00EA520A-AB4D-A845-8FC9-D6E4E241A5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G6" authorId="0" shapeId="0" xr:uid="{CE553236-32CA-7549-ACE8-AB6DAAF203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0E24F60B-321D-094C-88CE-A5CC1DC2EC8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K6" authorId="0" shapeId="0" xr:uid="{CCE14CFE-B9FD-D349-9191-F5E21FC843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L6" authorId="0" shapeId="0" xr:uid="{7A3037E3-EC95-7946-9F60-458F6F2AB0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6" authorId="0" shapeId="0" xr:uid="{3A68F322-1104-8C4D-9139-9564383B98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L7" authorId="0" shapeId="0" xr:uid="{C47CD2C6-A7A0-B044-A191-6BCAFA249F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M7" authorId="0" shapeId="0" xr:uid="{F9EE4A41-087D-9A4E-BCED-A662285F1D5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7" authorId="0" shapeId="0" xr:uid="{1C9D4611-7CA7-E04F-A951-624388A727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7" authorId="0" shapeId="0" xr:uid="{789042D0-1C42-D942-BEA1-D8AC45574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P7" authorId="0" shapeId="0" xr:uid="{6DF1E4BD-D1C3-EC4C-B8BB-2FFF6720C4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Q7" authorId="0" shapeId="0" xr:uid="{5A41F3E3-EBF7-1D4B-8356-09E461C528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7" authorId="0" shapeId="0" xr:uid="{FBDA9EE3-9227-3340-989A-58F9D4FB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S7" authorId="0" shapeId="0" xr:uid="{F116D778-0220-AE40-8709-80D24E3A6C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T7" authorId="0" shapeId="0" xr:uid="{44A8F32B-E554-5349-9D46-779D088231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0D1C8531-3E8D-1246-B1A6-67C41027AF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9DCAE5CE-D0B8-5E47-89CB-B9C407C185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65164EE7-D5A4-BB47-ABBD-4D836F8519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7" authorId="0" shapeId="0" xr:uid="{12C5707C-0C45-8F42-8E62-99B8B095C02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D777CE8B-DF40-6340-ABA7-7612D46E355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D522F975-F913-AC41-9B35-EFE788B83E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7" authorId="0" shapeId="0" xr:uid="{273F6D1A-FC10-FF4E-8AF4-E389707F6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D04A20A4-D26A-DE40-8809-142C2CFE4B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C7" authorId="0" shapeId="0" xr:uid="{25D4B556-08D9-1E4E-A4A5-4B86E3B0BE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C003A8A2-C578-D64C-9EF8-FAF6649CCC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E7" authorId="0" shapeId="0" xr:uid="{C6981C0F-698E-AF41-BB19-C6800FA36F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C497F64E-9F10-FB40-BCD8-D83748CC63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G7" authorId="0" shapeId="0" xr:uid="{FE2231EC-D2C2-F843-A057-D8341B072A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39C2A44D-B822-4E49-8887-88A4A02EA7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K7" authorId="0" shapeId="0" xr:uid="{53428F67-ABB3-8F40-81E9-4288A7EEF0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L7" authorId="0" shapeId="0" xr:uid="{F9AC9E3B-9857-6B47-AD9C-D2F763F896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M7" authorId="0" shapeId="0" xr:uid="{170E89DB-49A7-4A43-8C57-7336E70B33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L8" authorId="0" shapeId="0" xr:uid="{FBD4A5B4-387C-D543-8D10-0E6FDA2EC2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M8" authorId="0" shapeId="0" xr:uid="{75686CBF-A7EA-964A-AB97-FCD34CCEC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N8" authorId="0" shapeId="0" xr:uid="{142ADF04-8860-7D46-B17D-AB3E7E631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8" authorId="0" shapeId="0" xr:uid="{FCD558D0-E4CF-E246-B00D-FDB87291F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P8" authorId="0" shapeId="0" xr:uid="{26A0793E-FE3C-8649-996A-3E2C4E3AB5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Q8" authorId="0" shapeId="0" xr:uid="{CCA05DDD-1DE6-EE43-87CD-C88F546A4F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8" authorId="0" shapeId="0" xr:uid="{CB1CF6E8-7F24-0740-8A43-BE5F0A187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S8" authorId="0" shapeId="0" xr:uid="{C7F9F546-20B7-654E-9022-DF00371F5A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8" authorId="0" shapeId="0" xr:uid="{7A820A54-8648-2046-BAA4-442623F1E3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8" authorId="0" shapeId="0" xr:uid="{A17749A7-CE11-4341-98FB-DC91137B6F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B912EC6A-4B21-984D-9860-3DFD31BCE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4718B86F-E1AD-6D4E-9A1D-6E65360B6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8" authorId="0" shapeId="0" xr:uid="{178E8732-C0D4-9F48-9311-BA9B9091D0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495F0307-34FE-E749-B44B-16C1EE62DF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41BD93D1-B277-3541-B74E-1535E715FF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FE98D4EC-AF43-544B-B8CF-A9685F2720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DCC80235-8D99-6B47-BC0D-34CFBB40CA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1221E8E9-114E-BA43-B741-9C6998D88B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F62C68-537D-0441-A28C-17E813599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A90E0864-95C2-6843-ACAE-5BFC56EA7B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C3EE0CCA-8685-CA45-A09D-624D675DDB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G8" authorId="0" shapeId="0" xr:uid="{8675EDB8-54AA-054D-B37D-7919F2F85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679D89C4-B58F-8946-ABF0-C40BC5698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K8" authorId="0" shapeId="0" xr:uid="{629D0C70-B531-7B49-B8D7-33F5AF8690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L8" authorId="0" shapeId="0" xr:uid="{E3AAC943-C045-C64A-8F5E-8618D5260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8" authorId="0" shapeId="0" xr:uid="{4C6E5B8B-2DF2-284B-A480-449DD1B48C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L9" authorId="0" shapeId="0" xr:uid="{F666AAAD-F4E1-9A4A-B1F5-F799709D84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M9" authorId="0" shapeId="0" xr:uid="{13AE72F7-0CD8-704B-BEA1-BCA00D9CA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N9" authorId="0" shapeId="0" xr:uid="{B3E25F9B-F526-6749-84AC-26ECEEA051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9" authorId="0" shapeId="0" xr:uid="{0B775A44-9A89-DC44-B907-78A2A7B407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9" authorId="0" shapeId="0" xr:uid="{5AC70312-6F5A-8841-BB70-76A2282F1E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Q9" authorId="0" shapeId="0" xr:uid="{2E4F05A3-B478-9B40-8CA6-82DCEA8E71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9" authorId="0" shapeId="0" xr:uid="{3F36148C-A1F6-314E-BB5F-643CE4CF27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S9" authorId="0" shapeId="0" xr:uid="{E149F690-4CFC-A44F-AAF4-E05660573A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T9" authorId="0" shapeId="0" xr:uid="{9C7D67F6-CF4D-1D43-B436-19A43175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9" authorId="0" shapeId="0" xr:uid="{307FD396-4435-7B43-85B0-904310BC7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1FE1A960-DF2D-EF4D-84F1-3D60453A20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C2CC9701-B726-7648-ABE2-4641DA1B7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9" authorId="0" shapeId="0" xr:uid="{6C292878-F9A7-7443-AC72-E018BA41E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Y9" authorId="0" shapeId="0" xr:uid="{24FE05EF-81D8-F343-BFF8-BF71E9724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736E894-05A4-D143-AAB3-5896C338FE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9" authorId="0" shapeId="0" xr:uid="{5113FC84-2D29-544E-8870-4A018992C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44DEB739-8CE4-E54D-A876-D98D3EB5DE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B7F246B-EDC4-5042-AA38-41B6A47301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1D8FC287-864F-354C-A3F6-A7F45A4B73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E9" authorId="0" shapeId="0" xr:uid="{11A77C86-EC87-C241-AE22-8589036FFD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1506FF5F-5ABB-F540-980A-18A3B4F3D9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G9" authorId="0" shapeId="0" xr:uid="{53E4E4C0-DB91-E344-800F-414C39770E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28F9ADC4-C33C-0D41-9B06-032FAD2EA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K9" authorId="0" shapeId="0" xr:uid="{D58672FB-C92D-BE45-8E21-71F70DC1B3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L9" authorId="0" shapeId="0" xr:uid="{5773532B-1976-6449-A8D9-96343C4EDD1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9" authorId="0" shapeId="0" xr:uid="{C8B8EB31-202D-3D4B-973B-3F93DC82D5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L10" authorId="0" shapeId="0" xr:uid="{C53761E2-9805-774E-AF01-1AA4735A4E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M10" authorId="0" shapeId="0" xr:uid="{036040CA-38F2-1F44-B0BE-86B620DC269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0" authorId="0" shapeId="0" xr:uid="{56C19691-1B9A-6648-BEA7-B2E665B3DF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0" authorId="0" shapeId="0" xr:uid="{BD27A7A5-DB5D-CE46-B1FB-218C5D504E5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0" authorId="0" shapeId="0" xr:uid="{AE3D9B32-3DCF-F545-B024-D97AABAFC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0" authorId="0" shapeId="0" xr:uid="{1F8ED1AF-5301-E346-8B90-962E965FB65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0" authorId="0" shapeId="0" xr:uid="{9C2BC28A-0922-104F-A744-D4219FCDE6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S10" authorId="0" shapeId="0" xr:uid="{6D323B32-8CE1-0945-A898-E87037255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0" authorId="0" shapeId="0" xr:uid="{F5AAD14B-49EB-954D-8FB3-D5C5CACD8D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C524E7B9-6EA6-7A4A-89E4-6BD762305A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0483A367-139D-2E4D-A7AD-3CACC20F7B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265E61B3-2915-334E-8DAE-844F98527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1B393C96-74DC-954C-848E-2C4C18FFE2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07E1A3DF-113E-9749-98F4-C88C7B53F9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3D8DA28E-D5F4-2240-80C6-E667027071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1B29B531-82C3-6440-AA11-C8E1FCBA8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FA9D6936-4669-C946-B8FD-034DA09E5F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92B588C9-85D0-B34B-8506-47FCB52548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042A91A7-B63E-8440-AFBE-90B7D1D77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897F4079-7A41-0743-9A70-9464FA2579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CF6E6D7D-2031-F845-B092-973229D201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G10" authorId="0" shapeId="0" xr:uid="{7E69E7CB-F52C-D84E-9B59-7D8115167A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B5FDE8E8-F32F-9845-87FD-771D8783B2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K10" authorId="0" shapeId="0" xr:uid="{B7D660E6-CE1F-F14F-A1D7-3D5B42FC25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10" authorId="0" shapeId="0" xr:uid="{98359CFA-BB9A-CC43-802C-D7FD1835C2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M10" authorId="0" shapeId="0" xr:uid="{3F8A0929-A272-DA44-BF72-BFA4D341A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L11" authorId="0" shapeId="0" xr:uid="{8257D55C-81DB-A448-AF7D-CB62853BA3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M11" authorId="0" shapeId="0" xr:uid="{C4E374A3-C37F-404C-A34E-3948D27521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1" authorId="0" shapeId="0" xr:uid="{7E5B7BC0-A9F4-A147-8C07-B30824413A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1" authorId="0" shapeId="0" xr:uid="{E882B633-1EF2-344C-A2B6-DE83CBDAEA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11" authorId="0" shapeId="0" xr:uid="{7C9A9E12-7178-1B44-9F0F-4AF7CD691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1" authorId="0" shapeId="0" xr:uid="{F9BC9935-D196-3148-8A7F-3195EA954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1" authorId="0" shapeId="0" xr:uid="{7EB3AA17-88A6-4C45-BE69-5C49E316F5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S11" authorId="0" shapeId="0" xr:uid="{9EF90551-573C-A14F-B74C-E0C9D57827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1" authorId="0" shapeId="0" xr:uid="{F5791FC9-7BBF-D042-A994-062C8DA269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484C6D8C-5A5C-0B4A-A77C-6987472E4B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7F12F323-281B-9640-981F-C2281EB661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B887BB1E-57D9-F74A-A3D6-8182AD61E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37594733-CCCC-D94C-8DDC-2CDCC67AC8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E21EF52F-FF4D-E442-A818-C1AB1B2D68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B48EF4EB-05A8-D34F-95C7-E55C1DAE17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1697FC11-0CFA-064C-94B9-D833A3657E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248CC183-D7CF-8641-AC5F-75879F293E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46630C72-3AD7-3D4F-80B6-BCE3AC5968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83EB191E-6F9A-451B-9D07-43CCE50095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E11" authorId="0" shapeId="0" xr:uid="{F640DEA0-0CEB-7D48-810D-54E3032019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A9B5B06D-0BF8-A04E-9B13-DF3290DEA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G11" authorId="0" shapeId="0" xr:uid="{FB4CC862-68BF-0E4C-947A-70F3091891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0D8E941B-18BC-DF48-AB09-5CFF490BE7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11" authorId="0" shapeId="0" xr:uid="{B3EAC35E-825F-2141-A9EA-C9E3BA2BEDF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L11" authorId="0" shapeId="0" xr:uid="{37B6BB87-958A-6046-8BEC-8E877A2ABF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11" authorId="0" shapeId="0" xr:uid="{170C9B6A-8CE0-3D4A-A108-553D986667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L12" authorId="0" shapeId="0" xr:uid="{36B9CC76-BCA6-9E4B-8C39-7763F5AF1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M12" authorId="0" shapeId="0" xr:uid="{09BE07F8-52BF-B04C-B2E3-8CB2D3A2D6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2" authorId="0" shapeId="0" xr:uid="{A4607CDE-75FA-DE45-BDFD-BE3CE87073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2" authorId="0" shapeId="0" xr:uid="{8383FB45-B9AD-044B-BA4C-F960D3FDF7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2" authorId="0" shapeId="0" xr:uid="{E1414BC9-CE63-3F43-92AE-6ADFC7D9E8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2" authorId="0" shapeId="0" xr:uid="{AD1BA937-BA9A-6543-B6B2-A39008A34A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2" authorId="0" shapeId="0" xr:uid="{0F8CCFDC-3087-164B-9FD2-F0EA0FBB20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S12" authorId="0" shapeId="0" xr:uid="{B3613B5D-3A19-B545-963B-6FEED92927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2" authorId="0" shapeId="0" xr:uid="{BC0CDFA2-89C0-0B4A-B8EF-417DD5278A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8C88A827-0594-CD4E-8FDA-64D3FC8BD6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0208465F-08B6-B14A-8ED2-CD03FC9859B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0628DEB-7E71-524C-AF52-8864043FB2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07CAFE9-EE73-DF4A-A7BF-1A20E76205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D0007489-E025-494A-9D20-2213A8D239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3E00DE96-B0D7-2449-B400-E55A4F01E0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2E590B34-ACC4-3940-AF73-611AEA2454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53BDCC5B-6ECE-B348-BDF9-15D349733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9C195017-035B-CF4D-9642-AE10C897E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FC5FD907-D4BC-EC4F-8C43-8AEFDE6A58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89740CA1-F4E6-8B46-85AF-7F70EFEB96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0034279C-8AB4-794F-B2A0-2ACE2646FE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G12" authorId="0" shapeId="0" xr:uid="{C0BDEF90-5F19-0D44-9C5C-618ACA2088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10DBE5A1-1CD3-A943-B1DC-E5A569A3A2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K12" authorId="0" shapeId="0" xr:uid="{E11C4FE9-EAB9-F74E-814A-104A46A331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L12" authorId="0" shapeId="0" xr:uid="{96031686-8303-CA40-828F-8FDBBADD3A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2" authorId="0" shapeId="0" xr:uid="{57A81141-7490-F14B-9A06-81C5E2C8F3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L13" authorId="0" shapeId="0" xr:uid="{DBA3F952-08BC-704A-B428-1BD1C46EBF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M13" authorId="0" shapeId="0" xr:uid="{A2D42473-6F69-BD47-89BE-79D0AADF66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3" authorId="0" shapeId="0" xr:uid="{37639444-23E0-E34F-A778-BB2403F521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3" authorId="0" shapeId="0" xr:uid="{AD5ADFD5-8073-884A-B1E9-64C595177B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P13" authorId="0" shapeId="0" xr:uid="{D1836BA0-DED7-4840-979E-E3E8FB926C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3" authorId="0" shapeId="0" xr:uid="{BAB8061B-1495-DA4B-A59E-A8A61C19A4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R13" authorId="0" shapeId="0" xr:uid="{95C93A4E-4B51-E641-9806-5232B12F9B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S13" authorId="0" shapeId="0" xr:uid="{84A63E18-DA5B-1049-8AC4-51EA16D410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T13" authorId="0" shapeId="0" xr:uid="{E89D1739-8DB7-074F-89A1-691EE3C959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C3B201D-1D5A-C14A-8A8A-47C54C8E73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87E06DCE-B715-FC44-92B3-0B02E152F2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W13" authorId="0" shapeId="0" xr:uid="{6089E86F-ADE5-A744-BEE1-AC2040739C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A724CC00-F5C4-E24A-A6B2-D0D998241E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Y13" authorId="0" shapeId="0" xr:uid="{2DDAAA30-79F0-CB4D-98A7-2BE720707F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3" authorId="0" shapeId="0" xr:uid="{F1367A8B-7508-704B-A04E-E3534A9BBC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3" authorId="0" shapeId="0" xr:uid="{A0E53A90-235F-1E45-81A2-3D88A2D23C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B13" authorId="0" shapeId="0" xr:uid="{BE0EA502-A266-EB46-BED8-E2DEACC89D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63CCB45-6075-B240-AAAA-226739DFF2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C40033DE-E506-E44E-A579-8CDA9E93A3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E13" authorId="0" shapeId="0" xr:uid="{726E69FA-B0BC-4244-AF2B-CDD0004963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90A03237-A4DA-4748-A2D8-411C3B0339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G13" authorId="0" shapeId="0" xr:uid="{F99F22E9-3C7A-3740-BEBE-0B063E1708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868706CE-7F11-2B40-AF32-1B075ECEAF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K13" authorId="0" shapeId="0" xr:uid="{F74FE33D-D1DE-2640-BC24-773FEA6D73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L13" authorId="0" shapeId="0" xr:uid="{E9D54703-3037-5044-BAB4-E99464D6F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3" authorId="0" shapeId="0" xr:uid="{64875476-6984-BE44-863F-263C7FC8C4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J14" authorId="0" shapeId="0" xr:uid="{F7B59CE4-EFD5-0341-8B85-C849532669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K14" authorId="0" shapeId="0" xr:uid="{9F4B4333-2D31-994B-A844-DA44E72B4B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L14" authorId="0" shapeId="0" xr:uid="{1B2C1754-B19B-F940-8DA0-32D6A2FBF9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4" authorId="0" shapeId="0" xr:uid="{FE297E6C-B31A-CF4F-812E-D87257CCE7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J15" authorId="0" shapeId="0" xr:uid="{EA38B704-29C4-F445-B5A2-1E2B1D4038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K15" authorId="0" shapeId="0" xr:uid="{B49CD1A5-31C7-6240-AEBA-7590FC4F8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L15" authorId="0" shapeId="0" xr:uid="{956E31EA-E45E-B743-BF5C-56E19F6F04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M15" authorId="0" shapeId="0" xr:uid="{AE055BFD-D274-F542-A7C9-57AB79B3E0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J16" authorId="0" shapeId="0" xr:uid="{BF45EE6E-881A-D849-B013-87E11EA03E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K16" authorId="0" shapeId="0" xr:uid="{6A638748-AE1D-F047-A8E5-416794D8B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L16" authorId="0" shapeId="0" xr:uid="{E3B3612E-1310-094E-81E7-F0695E1CEF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6" authorId="0" shapeId="0" xr:uid="{FB16F0D6-EE70-464C-B427-86F0BE17C7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J17" authorId="0" shapeId="0" xr:uid="{5B8DFA2E-64A5-6F47-97CC-93A59E2CD72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K17" authorId="0" shapeId="0" xr:uid="{17E66B36-6DD0-9347-BA0B-514966498B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L17" authorId="0" shapeId="0" xr:uid="{03AD60E0-5A38-044A-A0EE-55227202BA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M17" authorId="0" shapeId="0" xr:uid="{1549ABB9-4714-404F-817D-1761174ACCF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J18" authorId="0" shapeId="0" xr:uid="{DFE58E32-FC3D-5B47-BB5D-7C0A64F2BF2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K18" authorId="0" shapeId="0" xr:uid="{FCC80CA0-BDBF-6D44-8280-A399073E1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L18" authorId="0" shapeId="0" xr:uid="{9CB70B85-C9E6-834B-8DCB-1BDEEF9EAB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8" authorId="0" shapeId="0" xr:uid="{FC424692-EE57-1143-A7EB-38747F070E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J19" authorId="0" shapeId="0" xr:uid="{48007F2B-727E-D14A-A37F-C3DD73ADE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K19" authorId="0" shapeId="0" xr:uid="{38835342-E00E-BE46-89FE-9C23179527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L19" authorId="0" shapeId="0" xr:uid="{FB71BA06-A49E-0643-9FE2-E073AA8025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9" authorId="0" shapeId="0" xr:uid="{AC76B10C-E902-6A48-810D-06293B9481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J20" authorId="0" shapeId="0" xr:uid="{6398B9BF-A70F-7C42-9610-670278AD75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K20" authorId="0" shapeId="0" xr:uid="{CF1AC599-C5EA-9844-8F6C-5E48BCFABA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L20" authorId="0" shapeId="0" xr:uid="{6B032E76-BB54-E54D-8A77-647820A5B4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0" authorId="0" shapeId="0" xr:uid="{B7081FD4-1BD4-9F4A-967D-62AB1A84D3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J21" authorId="0" shapeId="0" xr:uid="{6BD9AA40-D1E0-E449-89A9-5609484A6A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21" authorId="0" shapeId="0" xr:uid="{88F7DF41-692B-C147-8118-503C187CC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L21" authorId="0" shapeId="0" xr:uid="{949D5225-D2E6-A94D-83A8-B4A78147A9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1" authorId="0" shapeId="0" xr:uid="{4AAD7CAE-5637-604E-97C0-68956516D7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J22" authorId="0" shapeId="0" xr:uid="{B2FA6193-4238-824D-90FA-E5B2E959B0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K22" authorId="0" shapeId="0" xr:uid="{33A326B6-F00A-5F46-987D-353FDE5F47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22" authorId="0" shapeId="0" xr:uid="{AEB54F9D-DFB1-D640-AAE1-2CAA94F04E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M22" authorId="0" shapeId="0" xr:uid="{A0300746-69F4-3443-8CE0-9004483DA9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J23" authorId="0" shapeId="0" xr:uid="{82A996DE-C834-9D4B-8EFC-1BB775353A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K23" authorId="0" shapeId="0" xr:uid="{8B91E1A6-C560-B94C-9AD3-5A3961A6A7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L23" authorId="0" shapeId="0" xr:uid="{80008E2D-E54F-DD4D-8A15-9D67144F5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23" authorId="0" shapeId="0" xr:uid="{F6526794-8201-4946-BDE9-4F31661B6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J24" authorId="0" shapeId="0" xr:uid="{CC1ED2AB-FFED-C94D-8473-FCF487ABD6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K24" authorId="0" shapeId="0" xr:uid="{F60637CB-135C-4149-B862-51D28F585B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L24" authorId="0" shapeId="0" xr:uid="{1C0F95FB-3B56-3941-A84B-A2F7D746AB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M24" authorId="0" shapeId="0" xr:uid="{6FE00D4F-E943-AD41-9201-A7277103C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J25" authorId="0" shapeId="0" xr:uid="{D772F806-EB93-A24A-AF87-AA4FC62B45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K25" authorId="0" shapeId="0" xr:uid="{C96D5E27-4940-174E-93F9-BD9B68D1F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L25" authorId="0" shapeId="0" xr:uid="{FA411117-56D8-934D-993F-535FFC4577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M25" authorId="0" shapeId="0" xr:uid="{A9BCFFD8-3547-0B4C-B8B9-FF7FCFDFB9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S4" authorId="0" shapeId="0" xr:uid="{61C8B672-A176-498B-A529-A8AFDF0D77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T4" authorId="0" shapeId="0" xr:uid="{F3078265-2F22-4EB8-90F8-8CAE2A711C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4" authorId="0" shapeId="0" xr:uid="{6EC2E03C-2AAB-46DE-934A-6CB3A68D1E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V4" authorId="0" shapeId="0" xr:uid="{44ACE889-B7B1-4EC3-9216-61A2410488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W4" authorId="0" shapeId="0" xr:uid="{29A5E2A9-C783-4807-A46E-4E5D6213F7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X4" authorId="0" shapeId="0" xr:uid="{7B088B5A-D500-44D6-87EA-CE1EFE8A51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4" authorId="0" shapeId="0" xr:uid="{92F0E805-0B03-4328-9A47-E18337763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Z4" authorId="0" shapeId="0" xr:uid="{3E6FD56B-CEEE-4E60-8DAE-4405410EEF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AA4" authorId="0" shapeId="0" xr:uid="{946805A7-8A68-4D23-AFF4-43785C54B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AB4" authorId="0" shapeId="0" xr:uid="{B2635A6F-9B2C-4F10-A4D8-8E70BB10FE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F87F2915-CE19-43A6-84AF-8B2261CAF2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AD4" authorId="0" shapeId="0" xr:uid="{80747B59-B644-4227-910D-ED90718ADA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01312AE7-5C23-4C42-B1DE-BCDF102074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F4" authorId="0" shapeId="0" xr:uid="{B0EE26E4-C6E2-4777-B0CA-57EF8E372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G4" authorId="0" shapeId="0" xr:uid="{57864F8A-D5C0-4C70-BDDB-260D4DD3BA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4" authorId="0" shapeId="0" xr:uid="{F74A4ADB-8C8D-440C-A94F-8CF6E02247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I4" authorId="0" shapeId="0" xr:uid="{2A126160-F7A8-4AE0-B7CF-98C5449D3B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J4" authorId="0" shapeId="0" xr:uid="{64929CEC-559F-4B1B-A55C-8DAE7D572E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4" authorId="0" shapeId="0" xr:uid="{1B43889B-00B7-4494-AACB-65AD0AB057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L4" authorId="0" shapeId="0" xr:uid="{C5421969-E177-4BB2-ABC6-780887E6A8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4" authorId="0" shapeId="0" xr:uid="{72AA31E3-E3F8-4DB1-8D05-0511DAF8E7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4" authorId="0" shapeId="0" xr:uid="{567BFEA8-319E-49C9-BCAD-7D093B662F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O4" authorId="0" shapeId="0" xr:uid="{B90AB16E-235A-4E43-BBE6-9FEC7D301B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4" authorId="0" shapeId="0" xr:uid="{2B34A16C-338A-4615-8640-3F5B1EFC56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S4" authorId="0" shapeId="0" xr:uid="{880B7229-B627-4F81-A579-B6DC613680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T4" authorId="0" shapeId="0" xr:uid="{7D1E58D5-DC8E-4077-824F-EB2C6A596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U4" authorId="0" shapeId="0" xr:uid="{BAC29585-52CB-4A07-91E4-F4C9740FE5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S5" authorId="0" shapeId="0" xr:uid="{41673965-08D2-4E82-B91C-F5BB6A53E9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T5" authorId="0" shapeId="0" xr:uid="{319028EF-4A2C-4055-88C0-4D0315EADD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D03A1ED5-9F87-449C-BB70-6D316C081B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ED9D012-E503-4BEB-809F-6006D28BF6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92D8874C-8B25-424B-B3B1-E73F901C7E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5" authorId="0" shapeId="0" xr:uid="{0A8315A7-4E84-411D-A4F5-29333AE863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Y5" authorId="0" shapeId="0" xr:uid="{A47308AB-B8ED-4839-AFC7-73CC4C9807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Z5" authorId="0" shapeId="0" xr:uid="{31BE75CB-7218-409B-8216-2257BE9703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EA728C9C-D5E3-4093-9965-048FE6B2E9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5" authorId="0" shapeId="0" xr:uid="{6AC85948-5C5F-4E9B-8E3A-9926BA606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44BFCC71-91C2-498A-ACDE-6BAFE6AC0B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B70D13C2-90BB-4362-9FE2-FE97F9DA8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AE5" authorId="0" shapeId="0" xr:uid="{3102FA12-2D97-4BF3-90F6-A058E96560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A1C7682F-66E7-4E51-AD80-93E033EF2F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5" authorId="0" shapeId="0" xr:uid="{CD4A7981-1448-4A86-BA42-92EBC02B8D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AH5" authorId="0" shapeId="0" xr:uid="{47E4C909-EC0E-4995-A519-6C0EDCCE18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5" authorId="0" shapeId="0" xr:uid="{693FD02E-A1F1-4062-BB02-D37A2B57AC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J5" authorId="0" shapeId="0" xr:uid="{B7625C30-C281-4131-9822-071593B54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5" authorId="0" shapeId="0" xr:uid="{0AE24E8E-9D5F-4614-8E6B-DD7EEB9AD6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5" authorId="0" shapeId="0" xr:uid="{24ACC0BC-BE19-49B2-8B82-4E8F9F1021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5" authorId="0" shapeId="0" xr:uid="{C2FAF2A4-3BE0-475D-A901-492EB521BB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5" authorId="0" shapeId="0" xr:uid="{05817463-2B79-44CF-81D4-573CE9DB6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O5" authorId="0" shapeId="0" xr:uid="{AEA19429-E6DB-48CB-8F9A-437F8B8B67B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R5" authorId="0" shapeId="0" xr:uid="{48FCC182-3462-43ED-B559-816F59EFF5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S5" authorId="0" shapeId="0" xr:uid="{51B87F96-E826-4DD9-8BE5-207D613DE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7,555</t>
        </r>
      </text>
    </comment>
    <comment ref="AT5" authorId="0" shapeId="0" xr:uid="{130F9A35-7262-46AD-BEEE-116B05600F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U5" authorId="0" shapeId="0" xr:uid="{2A8315D9-C7FB-456D-9C3F-49B354D55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S6" authorId="0" shapeId="0" xr:uid="{345EBF2E-83C3-4F26-9BB2-FD2E1BDF7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T6" authorId="0" shapeId="0" xr:uid="{A42535E7-ECC9-445C-A391-B0F34E3A6E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B80408CE-93FA-4EA7-8BE4-E5814969DE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6" authorId="0" shapeId="0" xr:uid="{81964411-E2D9-4244-B8DB-574BD1BB0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5BE7FECC-D175-4D90-B749-99884FF9D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6" authorId="0" shapeId="0" xr:uid="{A3C65DE3-F280-4C34-8307-67A8B2FA7B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F6085D31-9277-499A-91C0-6E4A9DD6F2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7EB71695-5CB5-4A76-85C0-68F0FB10842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A6" authorId="0" shapeId="0" xr:uid="{53DEBF93-1C52-44A2-90D5-04408B849C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6" authorId="0" shapeId="0" xr:uid="{298F8FE1-5103-4C16-9264-F558096131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C6" authorId="0" shapeId="0" xr:uid="{6856EC9C-3F69-4359-8DF6-9C3CCE4A8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90F802E6-BF1C-4006-A24B-A9798DE81C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AE6" authorId="0" shapeId="0" xr:uid="{92A3577E-9FA4-46EF-9CA6-39E28B21A0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6" authorId="0" shapeId="0" xr:uid="{C068F8EB-D151-4C89-8C22-6FD71E8925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6" authorId="0" shapeId="0" xr:uid="{D7CA8152-040C-4C21-ABDC-CC0DE7A84F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6" authorId="0" shapeId="0" xr:uid="{B6B009E8-6702-4A1B-9CD3-6827E1F338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6" authorId="0" shapeId="0" xr:uid="{1A320EFD-4C36-499E-A8E6-37531872DA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J6" authorId="0" shapeId="0" xr:uid="{BB7DE998-6D5C-419B-97BA-C0955DB204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6" authorId="0" shapeId="0" xr:uid="{3FD4E52D-7F8F-4294-8615-FA4CF8516E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6" authorId="0" shapeId="0" xr:uid="{CA1D695E-38D8-4F88-B764-4B8E9EF07D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6" authorId="0" shapeId="0" xr:uid="{297BB22B-6387-48FF-871F-2AC0B22CE8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N6" authorId="0" shapeId="0" xr:uid="{6193654E-28E4-4766-B688-E6AE6061A6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O6" authorId="0" shapeId="0" xr:uid="{1F93C8A8-84A7-493A-8AF8-7364B243D5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6" authorId="0" shapeId="0" xr:uid="{C34BC465-574C-4447-BA0B-5CB4A66C92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S6" authorId="0" shapeId="0" xr:uid="{0788B920-7C57-4774-A1A1-AB189924DF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T6" authorId="0" shapeId="0" xr:uid="{65898846-0132-4FC0-AC4C-98FC6F5A1A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6" authorId="0" shapeId="0" xr:uid="{F8FF71FE-70B6-49F1-8083-B96092A754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S7" authorId="0" shapeId="0" xr:uid="{8329809F-BC92-4821-891F-677704738A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7" authorId="0" shapeId="0" xr:uid="{30330BFB-283F-4934-97BD-64862EAC610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E9E71F52-9DE8-4E4F-9E15-962979258E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B7E52719-1D97-40BC-A6F3-907E6566AD3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W7" authorId="0" shapeId="0" xr:uid="{E23216DC-CAED-4383-8BC8-866327E092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X7" authorId="0" shapeId="0" xr:uid="{06A2028F-0AD0-4422-B0D1-20BA9B9353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F90E4866-41CE-4153-94BB-B958363E65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Z7" authorId="0" shapeId="0" xr:uid="{8F531BC1-BE2D-4F9D-AE83-F6D4F269EC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AA7" authorId="0" shapeId="0" xr:uid="{4BD835A7-32DF-454B-AC78-FD6C328477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6CD05D70-A9FA-43CD-A01D-0C5CAF8E3E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7" authorId="0" shapeId="0" xr:uid="{BD264A96-BD23-4E09-AF11-BE9002F9A1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D90C49F4-CBA1-4101-9862-F99B9EA565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7" authorId="0" shapeId="0" xr:uid="{54C974D5-99A7-4E64-B7A5-63CE070A44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81609345-14EA-42AE-B08E-AE30F9A23B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7" authorId="0" shapeId="0" xr:uid="{AB480BE5-57A9-4D01-A9FA-ADDDC4E645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7" authorId="0" shapeId="0" xr:uid="{318E969D-C18C-4571-905E-FD8DC0F757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7" authorId="0" shapeId="0" xr:uid="{0A64FD5C-6423-48EA-B0AF-89137683EB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E100FFCF-028A-4826-82C1-4E74919C92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K7" authorId="0" shapeId="0" xr:uid="{249199AA-1271-4583-B9EA-29B0FCF4EF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7" authorId="0" shapeId="0" xr:uid="{D9835BEB-F076-474A-845D-0347602E16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M7" authorId="0" shapeId="0" xr:uid="{573CC47D-95E2-48CE-A64F-8004A9198C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7" authorId="0" shapeId="0" xr:uid="{5BB2FB20-9F9E-484F-8A45-DB8917C7AF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O7" authorId="0" shapeId="0" xr:uid="{B24D7EA9-AD30-4282-9396-9DCA3042D0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7" authorId="0" shapeId="0" xr:uid="{CB9BEB65-489B-4D7C-BE7A-C01DEB8815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S7" authorId="0" shapeId="0" xr:uid="{C0F84862-FBB0-489F-8F49-498F525131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T7" authorId="0" shapeId="0" xr:uid="{F52BD923-2558-4A3D-8F08-6617ABC084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U7" authorId="0" shapeId="0" xr:uid="{DBC3E69E-A3D2-4640-9273-D20ABFED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S8" authorId="0" shapeId="0" xr:uid="{F2FF1F25-24F6-45D3-89F4-4FDACADAEF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T8" authorId="0" shapeId="0" xr:uid="{55D22FFB-6FBC-442A-BE3A-3B5C6C0ED2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U8" authorId="0" shapeId="0" xr:uid="{72D09756-47F7-45C4-BB4C-5097C7DB2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FBC491A1-3EDA-43F2-8328-5DCCEEC5E8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W8" authorId="0" shapeId="0" xr:uid="{71CFF99B-A911-40CB-8117-A701E68868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X8" authorId="0" shapeId="0" xr:uid="{14C74213-A723-48BF-BEB8-35610ACD94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F35B1089-8CFD-43A8-992A-A79602100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Z8" authorId="0" shapeId="0" xr:uid="{4D8E1F36-A6AC-4B2A-9251-11A7BBAE12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E0D0C5B5-B97E-4900-810C-D9467DBDA5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00528A59-66C7-4F34-A0F7-C9EA066938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AEEBA360-58D4-4FA8-A8B1-1A9BF269E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C79058-B7B6-4E08-A010-9AAB08FB89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7A804C91-0943-4985-9EEC-4117D87C3B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F876D15E-DAB8-40A1-BFE3-3094D3805F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8" authorId="0" shapeId="0" xr:uid="{F908E27B-A1F4-4909-A8BE-8A3CF97BB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8" authorId="0" shapeId="0" xr:uid="{0F82AD31-DD7B-4930-8FC6-1F6E526E0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8" authorId="0" shapeId="0" xr:uid="{8F5579E2-0049-4AAA-92EF-74EFA6126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17AB62DF-4BD8-4C23-8363-CF2A862E0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8" authorId="0" shapeId="0" xr:uid="{F89B2116-E3B7-4CE3-A5EA-FA2304F00D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8" authorId="0" shapeId="0" xr:uid="{937F78A3-269F-423B-A60B-B4D693159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8" authorId="0" shapeId="0" xr:uid="{C65CFC86-5DCF-48A4-9B9D-7444028789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8" authorId="0" shapeId="0" xr:uid="{E159F3B3-23E1-49AA-9971-94B71F6208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O8" authorId="0" shapeId="0" xr:uid="{3D1CBAFB-F66D-4D70-AF0E-E0E7ACA4DA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8" authorId="0" shapeId="0" xr:uid="{9DBD75CD-3F7E-4657-B23D-E5EF9FE092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S8" authorId="0" shapeId="0" xr:uid="{243C6BA4-0DE1-43A8-AA2E-D919A770C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T8" authorId="0" shapeId="0" xr:uid="{0488E7E1-802F-4123-B5C5-8D1AFD19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8" authorId="0" shapeId="0" xr:uid="{ABCC47F2-C2D3-45A4-AE09-F57FB9AAB7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S9" authorId="0" shapeId="0" xr:uid="{E5C46853-89E7-4217-9E9C-7173F2D413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T9" authorId="0" shapeId="0" xr:uid="{9FFDEA86-42F3-401E-A6B8-B211F387F7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U9" authorId="0" shapeId="0" xr:uid="{2E47FE88-4E29-4C1A-BF43-C94AFCA08F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E991D42E-F156-4E7C-8ABD-BA01934F5E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9" authorId="0" shapeId="0" xr:uid="{207482FA-5929-4437-9A82-EF01A71B5D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X9" authorId="0" shapeId="0" xr:uid="{A461D689-D35A-4CAE-8D09-F89C554415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9" authorId="0" shapeId="0" xr:uid="{E1A70A52-4480-4DD8-B95C-231BC28246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Z9" authorId="0" shapeId="0" xr:uid="{94CBA0B3-F208-4F8C-87C3-76E744CD6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AA9" authorId="0" shapeId="0" xr:uid="{0B7FA0C0-CF9A-431E-9564-BA86A5CF62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18CAF3F0-F8EC-4600-AB8D-BE2F0DCACD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51057968-0D19-4410-A307-348139FFF7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A11A0680-3130-43AF-8F00-56CF9D2929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9" authorId="0" shapeId="0" xr:uid="{B2E72C2E-AFF1-494A-9454-661A12371E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F9" authorId="0" shapeId="0" xr:uid="{2CE35EAE-90EE-46CF-B4CF-1BB4EF7FFC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G9" authorId="0" shapeId="0" xr:uid="{AF61B0FA-0F8B-4C64-A73E-74950DE1F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9" authorId="0" shapeId="0" xr:uid="{E73C9563-201B-46C4-9B55-93DAEF09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9" authorId="0" shapeId="0" xr:uid="{F789594E-EDEE-455A-9E3B-6329825BF9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8EDD3402-AF48-4559-83DC-CBB063887A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9" authorId="0" shapeId="0" xr:uid="{5388C8C4-6676-4562-89B6-D3D2E3914B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9" authorId="0" shapeId="0" xr:uid="{DAD1DAD4-8CD7-40FD-BBCD-3515EFE3FF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M9" authorId="0" shapeId="0" xr:uid="{E5BBFA13-2A4B-41C4-8B0D-C90612C4F8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9" authorId="0" shapeId="0" xr:uid="{D7976017-354F-4AEE-AC3C-41554BF202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O9" authorId="0" shapeId="0" xr:uid="{88588EFC-7AB4-4886-98F3-31495D4D3C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9" authorId="0" shapeId="0" xr:uid="{CD1162C2-C015-444B-9A32-261604C61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S9" authorId="0" shapeId="0" xr:uid="{0481984F-97D2-4DCC-BA6D-6043F9F764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T9" authorId="0" shapeId="0" xr:uid="{E7ECE9AD-2114-45C1-8420-14FB0C7F06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9" authorId="0" shapeId="0" xr:uid="{70809C6D-1E5A-4A46-967D-FF075387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S10" authorId="0" shapeId="0" xr:uid="{F06A92DE-38DC-416F-B422-51274B610F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T10" authorId="0" shapeId="0" xr:uid="{2A989B27-42A6-47CD-A347-F25490323C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4E331480-21A1-45FA-836A-5E8D35F445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F52F8FE3-FCAD-408E-8904-B127C8719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410867C4-6AE6-4CEA-AE72-CA559E843B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A11F7CC6-8A13-4DA9-8DAD-14EE648FF7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1D28FBD3-82EA-4616-A8DD-9648975EB3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Z10" authorId="0" shapeId="0" xr:uid="{A817B952-81DD-4461-8164-DD962A2E4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854BEC7A-1F04-431E-90D4-5D1DB47CA8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0D8B3070-3130-4A16-8614-D713FCBB13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D2A1D680-E1E2-47E5-B8AA-97F77F840B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7F723B42-8D27-43B6-A2CE-E55463D8F2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53F5CB2E-34CD-48AE-9D12-98E2B31844A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D3DEDD56-C760-48FC-9F00-C62E6F0479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0" authorId="0" shapeId="0" xr:uid="{1CE99EFC-0E88-4539-8868-9CED04CCCB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0" authorId="0" shapeId="0" xr:uid="{CDD63273-35E9-4AE1-88D7-EC24553D55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0" authorId="0" shapeId="0" xr:uid="{48272BAF-8327-408F-9815-26A9752A3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DE3CAEAE-14C8-4881-BD7B-F860D025B6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0" authorId="0" shapeId="0" xr:uid="{0DD037F7-6B2E-4920-9A4B-45F1B16DA9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0" authorId="0" shapeId="0" xr:uid="{CF0A7A26-CFD3-4517-8B1C-54D724848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0" authorId="0" shapeId="0" xr:uid="{A8A30FAB-443A-4350-B87D-AD61E4347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0" authorId="0" shapeId="0" xr:uid="{FC9E7E29-1400-42CF-9EC6-A6D77A0A42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O10" authorId="0" shapeId="0" xr:uid="{F34320B1-F5DE-4E86-9A48-62396B8C64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0" authorId="0" shapeId="0" xr:uid="{AC56C52A-D8C8-43B4-AF21-9129ACBC65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S10" authorId="0" shapeId="0" xr:uid="{1BDE7B9E-F314-4DF1-A9D8-088DB38E63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T10" authorId="0" shapeId="0" xr:uid="{DC7FA347-2801-43EC-9067-8FB5E01E29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U10" authorId="0" shapeId="0" xr:uid="{BA3ECE86-9378-4435-90A7-9073213CAD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S11" authorId="0" shapeId="0" xr:uid="{B3E81D68-AB7B-4CFA-B896-2AB5C8D7C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T11" authorId="0" shapeId="0" xr:uid="{CAC0FB11-30B1-44FC-8EF0-A26011A70A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393C200C-62EF-41A5-B3A0-B2095FCACA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DBEBE1F7-562A-4F69-BB24-CB406C2B3A0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11" authorId="0" shapeId="0" xr:uid="{20DAC2D4-EE92-447A-BAE1-50E5A2A058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7419654C-E281-46E0-81A0-02C5AE569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1D43EA8D-E4D4-4C29-8D0F-1FD51FD520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Z11" authorId="0" shapeId="0" xr:uid="{7FA57EA8-C39E-4457-8AFB-6686687AB6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F377726C-9518-4020-B03C-0EEF97369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E8FAFCF8-F739-452D-950C-EB5FE389EF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3C30E1A2-6013-466A-9115-D34C2AD0D0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365A4311-75C2-4AD2-B95F-1F8D59C40B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1" authorId="0" shapeId="0" xr:uid="{41DA9367-3D4C-483C-A4F5-F7D5C169EC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2750F0CD-5816-4A50-939E-720D1C2A8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1" authorId="0" shapeId="0" xr:uid="{14B4DBBE-961D-41DF-A04C-C4525DD654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1" authorId="0" shapeId="0" xr:uid="{8104DD0E-6AEC-4D18-BADF-4E57E81CA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1" authorId="0" shapeId="0" xr:uid="{2C9E0ADD-B8DA-4E77-89E9-1C3A3794F4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D6F155FC-21F7-466F-84AA-1E218107E0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1" authorId="0" shapeId="0" xr:uid="{4CBAE0D0-9EB0-4F3F-98AB-4BADFA057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1" authorId="0" shapeId="0" xr:uid="{C8AB4FEC-DDCB-4F05-8B56-2647A5BE92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1" authorId="0" shapeId="0" xr:uid="{F257A4A2-E0C3-407E-B651-B8BCEBD59F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1" authorId="0" shapeId="0" xr:uid="{96109CB6-39C9-4B5F-BF33-C25C3B22B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O11" authorId="0" shapeId="0" xr:uid="{90BF9CDA-CC95-40A3-B008-76B6945CC1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1" authorId="0" shapeId="0" xr:uid="{5A856B9E-3859-46BB-9B0E-DEB6F7647E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S11" authorId="0" shapeId="0" xr:uid="{189CE187-D5F8-4D76-AAE5-500375419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T11" authorId="0" shapeId="0" xr:uid="{375FB6B3-82FC-4D5B-AC28-4365D1CCB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U11" authorId="0" shapeId="0" xr:uid="{531C0A19-D17F-423C-96FD-18E673A0EE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S12" authorId="0" shapeId="0" xr:uid="{0AD0FAAD-E1D4-4722-A541-AD6342AF23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T12" authorId="0" shapeId="0" xr:uid="{D23B5A9C-8EA6-41E4-A8A8-94530D89F2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4BB588D9-65F1-4A33-8C12-D5D1466668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871FC05C-F26E-4D05-A59D-89AD67A000B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9439EA41-E905-4FD7-B4E7-0F4A03E986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7DD05B79-D8A8-4F26-AD3A-83A5F6F097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CD755A55-6F9E-463B-9D82-A63AA4DA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Z12" authorId="0" shapeId="0" xr:uid="{18514AB6-025B-4CBB-8422-244BF5E81F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9B114664-4B44-4E1F-9254-B757FE897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DF4DE203-9439-429B-A35C-CA1AE6F9DF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8D8CC80C-E187-42F4-BCCB-898C105F5D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13A77808-7D93-4947-9605-0900FEF21A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D7CDF1C1-5BE1-452F-9939-CDE53156DE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FD7D332F-3E38-4275-8A9F-901782203C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2" authorId="0" shapeId="0" xr:uid="{A335354A-C4BE-4750-BC0A-9B93088A95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2" authorId="0" shapeId="0" xr:uid="{2EDE7FA9-CE70-4690-9EC2-B63698C49A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2" authorId="0" shapeId="0" xr:uid="{339138B4-1D3B-4AEB-8AC3-72BFA72540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7CB68C8F-16D6-4B6A-A3E7-3B7B31005B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2" authorId="0" shapeId="0" xr:uid="{2A76A3F2-30A6-42D8-A836-4A6E892152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2" authorId="0" shapeId="0" xr:uid="{BA638281-EF90-4290-AABD-9318419B7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2" authorId="0" shapeId="0" xr:uid="{96A017FB-818E-4F86-A2DE-0F9B8AFDC9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2" authorId="0" shapeId="0" xr:uid="{63C74105-5EE4-41FF-B290-33EC293B2F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O12" authorId="0" shapeId="0" xr:uid="{A0F078EF-459E-4D39-84F2-AACD8C65A8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2" authorId="0" shapeId="0" xr:uid="{5BFF1E0B-9FB0-4B1A-AD2C-1E2B303694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S12" authorId="0" shapeId="0" xr:uid="{CA05AC41-3C67-400F-BB5B-9813134919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T12" authorId="0" shapeId="0" xr:uid="{9B2E0D94-EAB1-4F7D-BB92-BE6258934B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2" authorId="0" shapeId="0" xr:uid="{43FAD3F1-42AF-4D9A-90F5-400BBC409C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S13" authorId="0" shapeId="0" xr:uid="{8AF9E161-6889-4978-93B0-577C1C3B2E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T13" authorId="0" shapeId="0" xr:uid="{9A6E9568-3690-4978-A636-1D482F510C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6A94063-B940-4C78-849B-E50F6BE47F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7E230E4B-4A4C-4BE2-A947-FDE959A1D7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W13" authorId="0" shapeId="0" xr:uid="{247E40B6-3EB2-4B9A-831C-9A12CB703A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F5093AC4-B0A2-4F09-A60F-B62C5AED82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Y13" authorId="0" shapeId="0" xr:uid="{D5EE3F02-EE21-416D-AE05-54487C249F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Z13" authorId="0" shapeId="0" xr:uid="{3757835C-7788-4403-9E34-0C52BED6DC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AA13" authorId="0" shapeId="0" xr:uid="{957597E0-F5A6-492A-A377-077EF53150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3" authorId="0" shapeId="0" xr:uid="{51EFFB74-2B40-4EDB-BAC1-8553DE759E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A0123E1-B0CF-4766-8C4B-22F02C08EB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AD13" authorId="0" shapeId="0" xr:uid="{C31509C7-1B1E-43F8-AD9A-F6E754A9D6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3" authorId="0" shapeId="0" xr:uid="{BFCF3C33-37B8-453B-9AF9-210CE85028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F13" authorId="0" shapeId="0" xr:uid="{9C488A8E-1CE9-4786-AA75-4D1D6EE6FC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G13" authorId="0" shapeId="0" xr:uid="{32D112AC-B56D-4119-AFA4-DAE60D881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3" authorId="0" shapeId="0" xr:uid="{1E428D6E-C085-4FA7-AD54-2AB077040D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3" authorId="0" shapeId="0" xr:uid="{9C883056-6334-4360-87ED-72F26518E2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J13" authorId="0" shapeId="0" xr:uid="{8115CCFC-AC9F-443A-B607-8EDCAFC443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3" authorId="0" shapeId="0" xr:uid="{3966CA46-92BE-427B-946F-6A1ECF7362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3" authorId="0" shapeId="0" xr:uid="{3586C650-4503-415E-8140-9B5D78B12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M13" authorId="0" shapeId="0" xr:uid="{3B3DFBDF-7EAF-49AA-B1D9-276E90BFAF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3" authorId="0" shapeId="0" xr:uid="{8B7E6B91-4755-48C1-9AF3-7559EE441E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O13" authorId="0" shapeId="0" xr:uid="{4E20A2EE-B776-48AF-8249-69963B7E0C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3" authorId="0" shapeId="0" xr:uid="{2DC4E6E3-36B6-48B4-93E8-1899016D99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S13" authorId="0" shapeId="0" xr:uid="{A3DAE321-E649-4EB5-B85A-EFB8D94EBB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T13" authorId="0" shapeId="0" xr:uid="{699F93D6-1C1B-4064-9B59-7C7B7FC2BC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3" authorId="0" shapeId="0" xr:uid="{A4EA8518-EE79-4901-85C1-585BAD0C22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R14" authorId="0" shapeId="0" xr:uid="{E93378B1-4327-4D61-B109-AFA7B4A830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S14" authorId="0" shapeId="0" xr:uid="{7BB29677-9D1F-4C28-9E68-F6083002DD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T14" authorId="0" shapeId="0" xr:uid="{9D42E4FB-6D11-40C9-9D04-A38E2D1CA0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4" authorId="0" shapeId="0" xr:uid="{7C0D7F59-CB4F-490C-B492-B2C6083466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R15" authorId="0" shapeId="0" xr:uid="{92C05A4D-E014-42B0-A44D-6BF74C2B3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S15" authorId="0" shapeId="0" xr:uid="{DC54D27B-F795-4EED-B084-F1C87E2FD0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T15" authorId="0" shapeId="0" xr:uid="{049D95BB-06F5-430E-9C8A-E47A3D06A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U15" authorId="0" shapeId="0" xr:uid="{B430973C-4206-46F0-A936-0B2CBAB142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R16" authorId="0" shapeId="0" xr:uid="{8D41B566-D254-4BBF-8BF2-2DC384F972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S16" authorId="0" shapeId="0" xr:uid="{32E871F1-DFB4-4F21-BA83-E7A491D701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T16" authorId="0" shapeId="0" xr:uid="{9C7085D3-573E-4DBD-84B2-D797C4654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6" authorId="0" shapeId="0" xr:uid="{459D10DA-0B34-48D7-8724-C9563ED078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R17" authorId="0" shapeId="0" xr:uid="{16C0083D-8C76-4674-8E7B-5DE4580008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S17" authorId="0" shapeId="0" xr:uid="{F8C3EAAB-AB84-4AA2-905D-6D3EB3969B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T17" authorId="0" shapeId="0" xr:uid="{DB82FE74-BFBA-4CAD-AF34-0D86595E46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U17" authorId="0" shapeId="0" xr:uid="{56D76834-2D89-454C-B3CC-6E37C73E1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R18" authorId="0" shapeId="0" xr:uid="{9A02D60F-2069-4660-A51F-E6E4361603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S18" authorId="0" shapeId="0" xr:uid="{CB8CD154-391C-4A70-8A1D-5FAA33E8F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T18" authorId="0" shapeId="0" xr:uid="{9AFF288C-892A-4E72-ABA4-3D3899FA1F2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8" authorId="0" shapeId="0" xr:uid="{BF657CED-8553-4DD3-9BB9-2787CD5920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R19" authorId="0" shapeId="0" xr:uid="{B2AD82B3-5358-445C-8D1B-C416A65107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S19" authorId="0" shapeId="0" xr:uid="{975518D3-249C-4F6B-BAE6-E333C33C89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T19" authorId="0" shapeId="0" xr:uid="{89483B84-5953-4C49-B491-7F992C39C2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9" authorId="0" shapeId="0" xr:uid="{CCAE0D99-D337-4063-853F-769296BB8E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R20" authorId="0" shapeId="0" xr:uid="{BB77D153-95C2-4995-A738-BA10656AB2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S20" authorId="0" shapeId="0" xr:uid="{47ECC448-72CF-4663-9878-50FFC2E1B6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T20" authorId="0" shapeId="0" xr:uid="{3AA6557D-492A-481B-928A-F8A0009BE40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20" authorId="0" shapeId="0" xr:uid="{CC0C4437-31A5-4692-8CB3-2DA3B5016F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R21" authorId="0" shapeId="0" xr:uid="{E0D86671-0FB4-4D06-93CA-33BC43E522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S21" authorId="0" shapeId="0" xr:uid="{86A943C3-3E90-41AD-89A6-EF8809CBF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T21" authorId="0" shapeId="0" xr:uid="{05C37FA2-4CD1-483A-B6C1-05495846DA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21" authorId="0" shapeId="0" xr:uid="{097036D6-89FF-438B-B22D-0580729548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R22" authorId="0" shapeId="0" xr:uid="{569CBC2C-991B-4EEC-9B77-1AAE6147A2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S22" authorId="0" shapeId="0" xr:uid="{8D84E990-6F77-472F-882C-8AF86DBAF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T22" authorId="0" shapeId="0" xr:uid="{BF86ECF5-FA45-47B8-80A3-E265E57EE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U22" authorId="0" shapeId="0" xr:uid="{3FDEBC02-335C-4525-A550-65D3A96997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R23" authorId="0" shapeId="0" xr:uid="{1838985A-3902-45C3-A4AE-EB679B28D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S23" authorId="0" shapeId="0" xr:uid="{47971481-761D-45D8-B0C0-BAB635FCAD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T23" authorId="0" shapeId="0" xr:uid="{D9CC7B29-7E1C-4BE0-BA34-87D78A0CC1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23" authorId="0" shapeId="0" xr:uid="{B9F0DDB1-15DB-4DB7-9F6C-31E19FC3A6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R24" authorId="0" shapeId="0" xr:uid="{9A39A5FA-F84B-4B7F-9F52-96766726A0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S24" authorId="0" shapeId="0" xr:uid="{1565579D-7E73-4EDB-A03D-AAB832B9A9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T24" authorId="0" shapeId="0" xr:uid="{083A1158-4E8A-49C0-A8F9-4FBED912142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U24" authorId="0" shapeId="0" xr:uid="{6A9B20B8-BB58-4282-9331-650318606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R25" authorId="0" shapeId="0" xr:uid="{18B476B1-3A84-486A-9B49-38361AB04F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S25" authorId="0" shapeId="0" xr:uid="{E001468C-C30E-4026-BA89-A4FC27337F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T25" authorId="0" shapeId="0" xr:uid="{25C7415D-0CFD-40AD-AA8B-2A5F23F2E9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U25" authorId="0" shapeId="0" xr:uid="{3DCE14D7-11AF-40AA-BFD7-850214D666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tc={0B546F87-6077-4E4C-9A7B-9F50334D8966}</author>
  </authors>
  <commentList>
    <comment ref="B37" authorId="0" shapeId="0" xr:uid="{0B546F87-6077-4E4C-9A7B-9F50334D896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tc={A424A208-9DE5-4453-A6F7-E509194A10A3}</author>
    <author>tc={2FBFFCA4-08E4-4BF7-A0E3-7A417A4C96CD}</author>
    <author>tc={21726900-3236-4A28-8945-06400CA69317}</author>
    <author>tc={B6C9DFBB-1615-4881-9354-A6E5A5AF6859}</author>
    <author>tc={F7B88974-40E2-4701-B9F2-D23FD81AFEAA}</author>
    <author>tc={E9DDB557-FD02-45B5-A704-FA7587ACDAE0}</author>
  </authors>
  <commentList>
    <comment ref="I200" authorId="0" shapeId="0" xr:uid="{A424A208-9DE5-4453-A6F7-E509194A10A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1" shapeId="0" xr:uid="{2FBFFCA4-08E4-4BF7-A0E3-7A417A4C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2" shapeId="0" xr:uid="{21726900-3236-4A28-8945-06400CA69317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3" shapeId="0" xr:uid="{B6C9DFBB-1615-4881-9354-A6E5A5AF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4" shapeId="0" xr:uid="{F7B88974-40E2-4701-B9F2-D23FD81AFEA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5" shapeId="0" xr:uid="{E9DDB557-FD02-45B5-A704-FA7587ACDAE0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<sst xmlns="http://schemas.openxmlformats.org/spreadsheetml/2006/main" count="2469" uniqueCount="592">
  <si>
    <t>Wind Turbines</t>
  </si>
  <si>
    <t>Foundation</t>
  </si>
  <si>
    <t>Tower</t>
  </si>
  <si>
    <t>Nacelle</t>
  </si>
  <si>
    <t>Rotor</t>
  </si>
  <si>
    <t>3MW</t>
  </si>
  <si>
    <t>https://pdf.sciencedirectassets.com/271969/1-s2.0-S1364032109X00079/1-s2.0-S1364032109001403/main.pdf?X-Amz-Security-Token=IQoJb3JpZ2luX2VjEEoaCXVzLWVhc3QtMSJHMEUCIGeJFx5T3qJyB8qiCRQMG1WJ1RTrg%2FAbd4YyNrx92KPvAiEA%2BPEoyANKk1zXJFt33umd537zEdwHhkwh1IOQ7fsdD4EqvQMIk%2F%2F%2F%2F%2F%2F%2F%2F%2F%2F%2FARADGgwwNTkwMDM1NDY4NjUiDGYpYJq8uMC31qrUgiqRA7vwiSSITp5EjHewVuCeXd1saNiiMRKN9lly%2FcY0jIL%2F8vqENLlriC%2B95qVblWfVB8gI%2B8gCzT49n%2FWd5KGCHRpds9ZTBoEOhCSc6yXEe4lzEWRenWKTIyNahR6BeYL%2BJ2OICjUvBFD2%2BX5%2F0tHWmsRkblVRiyF6ptfLFzAKyAwnWqcaTYKaU8rjqHfRoEhpnORzB5qtlM00EvF2sW9ghK7rA8d6XAc%2FVKvyBOYLSMblkX5QxvwGt3S%2BwznkWBYUwMBdZx2poIGf0NcPMVfN7VR994KF5zgiv8%2BtqPUSv6pSA37B2wTT5Q0hCSVIMePzmQ6AZcO%2FU7pGnfau2Ryq%2BcpFw%2BB4hnlRpKnavGdtGNSj5gwftU6WE1lTLRaWgpTv7FiuAtOUGBtwZ53INah80crs%2FHFscmGL9PoytJIroOB8g3riYzbTiAHYz0KyAg%2BNkLmf1XiHL24y2rpEGw3eW7QAdq4rMfzKOyoTQ%2BihfBiQqOw2PQP76i9nsVlgTaUdjHlt%2Bai%2BM1X9DUDJagQUhfgxMJmn%2B%2FUFOusBvoocgEaUxHDWHo%2FFuDoxGqJkKe1E7eXa5TVJQO7zsK7b419a5u4kviS9d%2FdFDnesqOZzc7w5IDikdTcKxvmkIftXx4ULOyLe5kYjIqSJw6P%2FvaltWGmw4GsClx6q4MD3H6tp2iOAGrXqA58b6EX5whr7OiRFfxxw9ejrQ1dr%2FQDCJ11P2Ep%2BJ6iD%2B4fvLuud%2FZFpUaXKEBMekpkEHafb%2FmqwimaU8ZB2OoX8LsE%2BK1O7JSxq8K6tWvOwiq4RVUoX4gOORrgLWEI4CsaX1HFjj7ejsadkzMvyojeL5i2IoOT127aFw5tIRNGzpg%3D%3D&amp;X-Amz-Algorithm=AWS4-HMAC-SHA256&amp;X-Amz-Date=20200515T180741Z&amp;X-Amz-SignedHeaders=host&amp;X-Amz-Expires=300&amp;X-Amz-Credential=ASIAQ3PHCVTYXMGK7Q5N%2F20200515%2Fus-east-1%2Fs3%2Faws4_request&amp;X-Amz-Signature=f23f214d77e3e8983fe258f1e78531aff85fcafbb7b4e98227e1efba25283f3a&amp;hash=905ad63ee230192f11f7ed200c4c9a23cf2a254b82ce136877a6a654477293e5&amp;host=68042c943591013ac2b2430a89b270f6af2c76d8dfd086a07176afe7c76c2c61&amp;pii=S1364032109001403&amp;tid=spdf-bf3c4954-b78e-49e6-97e1-44dccb8d269a&amp;sid=9bf3e2cd92946247c938f1a-fc07864604bagxrqb&amp;type=client</t>
  </si>
  <si>
    <t>Concrete</t>
  </si>
  <si>
    <t>Steel</t>
  </si>
  <si>
    <t>Paint</t>
  </si>
  <si>
    <t>Copper</t>
  </si>
  <si>
    <t>Aluminium</t>
  </si>
  <si>
    <t>Plastic</t>
  </si>
  <si>
    <t>Fibre glass</t>
  </si>
  <si>
    <t>Epoxy</t>
  </si>
  <si>
    <t>Total</t>
  </si>
  <si>
    <t>https://www.sciencedirect.com/science/article/pii/S0960148108002218?casa_token=G8EoKVGFktQAAAAA:HOxOhOSnSdnT01NNMQbtZZQ6-O35k_1JfrBBB6Gk-2PtWs8zWe6pu52Eb0BczXIvd46lQiwNjp4</t>
  </si>
  <si>
    <t>2MW</t>
  </si>
  <si>
    <t>http://www.ourenergypolicy.org/wp-content/uploads/2014/06/turbines.pdf</t>
  </si>
  <si>
    <t>https://www.sciencedirect.com/science/article/pii/S0960148111002254?casa_token=iYpYzc7ENzUAAAAA:UvDF8VZKxGCnfq95Uc3_4G5eNvCpwhKfFXQE_7ua0ZFUmbGZuoEt_22xohnzX-H_LFZ1KVCpX1E</t>
  </si>
  <si>
    <t>1,8MW</t>
  </si>
  <si>
    <t>Economic Input–Output Based Sustainability Analysis of Onshore and Offshore Wind Energy Systems - Noori</t>
  </si>
  <si>
    <t>Manufacturing</t>
  </si>
  <si>
    <t>Construction</t>
  </si>
  <si>
    <t>3 MW (V90 (Onshore))</t>
  </si>
  <si>
    <t>Power Rating</t>
  </si>
  <si>
    <t>Source</t>
  </si>
  <si>
    <t>Average</t>
  </si>
  <si>
    <t>Solar Photovoltaic</t>
  </si>
  <si>
    <t>Crystaline Silicon</t>
  </si>
  <si>
    <t>Thin Film</t>
  </si>
  <si>
    <t>Plexiglas</t>
  </si>
  <si>
    <t>Glass</t>
  </si>
  <si>
    <t>Wire</t>
  </si>
  <si>
    <t>Remark</t>
  </si>
  <si>
    <t>Kato and Murata [35]</t>
  </si>
  <si>
    <t>N/A</t>
  </si>
  <si>
    <t>Alsema and Frankl [36]</t>
  </si>
  <si>
    <t>Frameless</t>
  </si>
  <si>
    <t>Low energy estimate</t>
  </si>
  <si>
    <t>Alsema [37]</t>
  </si>
  <si>
    <t>Knapp and Jester [38]</t>
  </si>
  <si>
    <t>Alsema and Wild-Scholten [15]</t>
  </si>
  <si>
    <t>Frame (236)</t>
  </si>
  <si>
    <t>Wafer thickness 285 μm</t>
  </si>
  <si>
    <t>Jungbluth and Stucki [23]</t>
  </si>
  <si>
    <t>Frame</t>
  </si>
  <si>
    <t>Wild-Scholten [41]</t>
  </si>
  <si>
    <t>Laleman [42]</t>
  </si>
  <si>
    <t>Energy breakdown for manufacturing mono-Si PV module.</t>
  </si>
  <si>
    <t>30 MW/ year</t>
  </si>
  <si>
    <t>Alsema and Nieuwlaar [43]</t>
  </si>
  <si>
    <t>Frame (400)</t>
  </si>
  <si>
    <t>Battisti and Corrado [44]</t>
  </si>
  <si>
    <t>The Si feedstock come from EG silicon scrapsb</t>
  </si>
  <si>
    <t>Pacca and Sivaraman [45]</t>
  </si>
  <si>
    <t>Alsema and Wild-Scholten [46]</t>
  </si>
  <si>
    <t>Frame (270)</t>
  </si>
  <si>
    <t>Energy breakdown for manufacturing multi-Si PV module.</t>
  </si>
  <si>
    <t>https://pdf.sciencedirectassets.com/271969/1-s2.0-S1364032112X0011X/1-s2.0-S1364032112006478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082511Z&amp;X-Amz-SignedHeaders=host&amp;X-Amz-Expires=300&amp;X-Amz-Credential=ASIAQ3PHCVTYQ5GC6PEM%2F20200516%2Fus-east-1%2Fs3%2Faws4_request&amp;X-Amz-Signature=f5f3467aabe9afd948dc737b0e49ef815e67ff65b2cc996bca23f0077b1c599e&amp;hash=83ddc94d15179db2439bd734cc7dd0ab75cff5283acc0e24f6b7befb1abc38ec&amp;host=68042c943591013ac2b2430a89b270f6af2c76d8dfd086a07176afe7c76c2c61&amp;pii=S1364032112006478&amp;tid=spdf-397ac702-6ff8-409a-83e0-b4223ab005ad&amp;sid=9bf3e2cd92946247c938f1a-fc07864604bagxrqb&amp;type=client</t>
  </si>
  <si>
    <t>The SiCl4 was dealt with as a by-product</t>
  </si>
  <si>
    <t>3950 MJ/m2(Converted by2742 kW he/kWp)</t>
  </si>
  <si>
    <t>4100 MJ/m2 (Converted by 2856 kW he/kWp)</t>
  </si>
  <si>
    <t>MG-silicon (MJ/m2)</t>
  </si>
  <si>
    <t>Si feedstock (MJ/m2)</t>
  </si>
  <si>
    <t>CZ of mono-Si (MJ/m2)</t>
  </si>
  <si>
    <t>Wafer (MJ/m2)</t>
  </si>
  <si>
    <t>Cell production (MJ/m2)</t>
  </si>
  <si>
    <t>Module assembly (MJ/m2)</t>
  </si>
  <si>
    <t>Frame (MJ/m2)</t>
  </si>
  <si>
    <t>Total (MJ/m2)</t>
  </si>
  <si>
    <t>Si feedstock production (MJ/m2)</t>
  </si>
  <si>
    <t>Casting, cutting, wafer process (MJ/m2)</t>
  </si>
  <si>
    <t>Cell production process (MJ/m2)</t>
  </si>
  <si>
    <t>Module assembly process (MJ/m2)</t>
  </si>
  <si>
    <t>Others (MJ/m2)</t>
  </si>
  <si>
    <t>Materials</t>
  </si>
  <si>
    <t>Value</t>
  </si>
  <si>
    <t>Quartz</t>
  </si>
  <si>
    <t>Wood coal</t>
  </si>
  <si>
    <t>0.37 kg/kg mg-Si</t>
  </si>
  <si>
    <t>Low-ash coal</t>
  </si>
  <si>
    <t>0.56 kg/kg mg-Si</t>
  </si>
  <si>
    <t>Coke</t>
  </si>
  <si>
    <t>Rejected wood</t>
  </si>
  <si>
    <t>1.32 kg/kg-mg-Si</t>
  </si>
  <si>
    <t>mg-Si</t>
  </si>
  <si>
    <t>1.02 kg/kg-sog-Si</t>
  </si>
  <si>
    <t>0.078 kg/kg-sog-Si</t>
  </si>
  <si>
    <t>Argon</t>
  </si>
  <si>
    <t>5.75 g/wafer</t>
  </si>
  <si>
    <t>Mineral oil</t>
  </si>
  <si>
    <t>15.5 g/wafer</t>
  </si>
  <si>
    <t>SiC</t>
  </si>
  <si>
    <t>20 g/wafer</t>
  </si>
  <si>
    <t>KOH</t>
  </si>
  <si>
    <t>13 g/wafer</t>
  </si>
  <si>
    <t>0.6 g/wafer</t>
  </si>
  <si>
    <t>0.09 g/wafer</t>
  </si>
  <si>
    <t>HF</t>
  </si>
  <si>
    <t>1.1 g/wafer</t>
  </si>
  <si>
    <t>0.08 g/wafer</t>
  </si>
  <si>
    <t>Al–Ag paste</t>
  </si>
  <si>
    <t>0.78 g/wafer</t>
  </si>
  <si>
    <t>Ag paste</t>
  </si>
  <si>
    <t>0.10 g/wafer</t>
  </si>
  <si>
    <t>0.03 g/wafer (18 ml)</t>
  </si>
  <si>
    <t>0.13 g/wafer (178 ml)</t>
  </si>
  <si>
    <t>1.55 g/wafer</t>
  </si>
  <si>
    <t>Copper strips</t>
  </si>
  <si>
    <t>0.5 g/wafer (18 g/module)</t>
  </si>
  <si>
    <t>EVA</t>
  </si>
  <si>
    <t>640 g/module</t>
  </si>
  <si>
    <t>Tempered glass</t>
  </si>
  <si>
    <t>4700 g/module</t>
  </si>
  <si>
    <t>Tedlar/Al/Tedlar</t>
  </si>
  <si>
    <t>91 g/module</t>
  </si>
  <si>
    <t>Al into Tedlar</t>
  </si>
  <si>
    <t>0,09 g/module</t>
  </si>
  <si>
    <t>Polyester</t>
  </si>
  <si>
    <t>440 g/module</t>
  </si>
  <si>
    <t>Silicone adhesive</t>
  </si>
  <si>
    <t>38 g/module</t>
  </si>
  <si>
    <t>Al</t>
  </si>
  <si>
    <t>1200 g/module</t>
  </si>
  <si>
    <t>2.8 kgSiO2/kg mg-Si</t>
  </si>
  <si>
    <t>SiHCl3</t>
  </si>
  <si>
    <t>HNO3</t>
  </si>
  <si>
    <t>POCl3</t>
  </si>
  <si>
    <t>CF4</t>
  </si>
  <si>
    <t>SiH4</t>
  </si>
  <si>
    <t>NH3</t>
  </si>
  <si>
    <t>N2</t>
  </si>
  <si>
    <t>Element</t>
  </si>
  <si>
    <t>New materials and manufacturing</t>
  </si>
  <si>
    <t>Reclycled materials and manufacturing</t>
  </si>
  <si>
    <t>–</t>
  </si>
  <si>
    <t>Al module framec</t>
  </si>
  <si>
    <t>Charge regulatord</t>
  </si>
  <si>
    <t>Lead-acid batteryd</t>
  </si>
  <si>
    <t>Steel galvanizede</t>
  </si>
  <si>
    <t>Cablese</t>
  </si>
  <si>
    <t>mc-Si PV modulea,b</t>
  </si>
  <si>
    <t>Inverterb,d</t>
  </si>
  <si>
    <t>1.583 MWh/m2</t>
  </si>
  <si>
    <t>41.7 kWh/kg</t>
  </si>
  <si>
    <t>2.08 kWh/kg</t>
  </si>
  <si>
    <t>277 kWh/kWel</t>
  </si>
  <si>
    <t>331 kWh/kWh</t>
  </si>
  <si>
    <t>242 kWh/kWh</t>
  </si>
  <si>
    <t>9.72 kWh/kg</t>
  </si>
  <si>
    <t>2.5 kWh/kg</t>
  </si>
  <si>
    <t>19.44 kWh/kg</t>
  </si>
  <si>
    <t>13.9 kWh/kg</t>
  </si>
  <si>
    <t>https://pdf.sciencedirectassets.com/271459/1-s2.0-S0038092X09X00083/1-s2.0-S0038092X09000590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084132Z&amp;X-Amz-SignedHeaders=host&amp;X-Amz-Expires=300&amp;X-Amz-Credential=ASIAQ3PHCVTYQ5GC6PEM%2F20200516%2Fus-east-1%2Fs3%2Faws4_request&amp;X-Amz-Signature=810bf2399a9887cd22a318b6c77df01d87d9117660bddcb378b547da167e0c40&amp;hash=7c1b44cafa953160c7f9b5869a77cd3ccbc4f62dcc2f206b8360c964f65b876f&amp;host=68042c943591013ac2b2430a89b270f6af2c76d8dfd086a07176afe7c76c2c61&amp;pii=S0038092X09000590&amp;tid=spdf-ebc401ab-b018-4a17-a5ec-c0a7523dc66a&amp;sid=9bf3e2cd92946247c938f1a-fc07864604bagxrqb&amp;type=client</t>
  </si>
  <si>
    <t>Standard Deviation</t>
  </si>
  <si>
    <t xml:space="preserve">Standard Error </t>
  </si>
  <si>
    <t xml:space="preserve">Perc Error </t>
  </si>
  <si>
    <t>Resin</t>
  </si>
  <si>
    <t>Carbon Fibre</t>
  </si>
  <si>
    <t>Lubricant</t>
  </si>
  <si>
    <t>[t]</t>
  </si>
  <si>
    <t>https://www.winnipeg.ca/finance/findata/matmgt/documents/2012/682-2012/682-2012_Appendix_H-WSTP_South_End_Plant_Process_Selection_Report/Appendix%207.pdf</t>
  </si>
  <si>
    <t>Uncertainty</t>
  </si>
  <si>
    <t>Mass</t>
  </si>
  <si>
    <t>CO2 embodied</t>
  </si>
  <si>
    <t>[tCO2/t]</t>
  </si>
  <si>
    <t>[tCO2/turbine]</t>
  </si>
  <si>
    <t>Sunpower Maxeon3 400 (w pique)</t>
  </si>
  <si>
    <t>Q cells Q.pique duo 325 (cheaper)</t>
  </si>
  <si>
    <t>Cast iron</t>
  </si>
  <si>
    <t>Cast Iron</t>
  </si>
  <si>
    <t>The global average emissions from hydropower are estimated to be 85 gCO2/kWh and 3 gCH4/kWh, with a multiplicative uncertainty factor of 2. (Hertwich https://pubs.acs.org/doi/abs/10.1021/es401820p?casa_token=kb2OV1GHKggAAAAA:O8D1ll7HDLXLH6QCtChtt0AfQYkZspbhkNUX8HVIhVHT6foeLncT50d9ud7F_Q2Iu57LN9BpFA7KHRvW)</t>
  </si>
  <si>
    <t>85 gCO2/kWh</t>
  </si>
  <si>
    <t>3 gCH4/kWh</t>
  </si>
  <si>
    <t>Embodied energy analysis of photovoltaic (PV) system based on macro- and micro-level - Nawaz</t>
  </si>
  <si>
    <t>Energy viability of photovoltaic systems - Alsema</t>
  </si>
  <si>
    <t>Application of Life-cycle Energy Analysis to Photovoltaic Module Design - Keoleian &amp; Lewis</t>
  </si>
  <si>
    <t>Also has kWh over lifetime etc</t>
  </si>
  <si>
    <t>Can PV or solar thermal systems be cost effective ways of reducing CO2 emissions for residental buildings? - Croxford</t>
  </si>
  <si>
    <t>Carbon footprints are 38.1, 27.2, 34.8, 22.8, 15.8, and 21.4 g CO2-eq/kWh for monocrystalline silicon, multicrystalline silicon, amorphous silicon, “micromorph” silicon, cadmium telluride and CIGS roof-top photovoltaic systems, respectively,</t>
  </si>
  <si>
    <t>Energy payback time and carbon footprint of commercial photovoltaic systems - de Wild-Scholten</t>
  </si>
  <si>
    <t>Review on life cycle assessment of energy payback and greenhouse gas emission of solar photovoltaic systems - Peng.pdf</t>
  </si>
  <si>
    <t>MinFuture - Report on pilot studies - EU.pdf</t>
  </si>
  <si>
    <t>Embodied energy [kWh/m2]</t>
  </si>
  <si>
    <t>CO2 emissions [kg/m2 year]</t>
  </si>
  <si>
    <t>CO2 emissions [g/kWh]</t>
  </si>
  <si>
    <t>uncertainty 5</t>
  </si>
  <si>
    <t>Materials in PV module</t>
  </si>
  <si>
    <t>Embodied Carbon [kgCO2]</t>
  </si>
  <si>
    <t>PV</t>
  </si>
  <si>
    <t xml:space="preserve">Solar Thermal </t>
  </si>
  <si>
    <t>????</t>
  </si>
  <si>
    <t>Mono-Si</t>
  </si>
  <si>
    <t>Multi-Si</t>
  </si>
  <si>
    <t>a-Si</t>
  </si>
  <si>
    <t>mono-Si</t>
  </si>
  <si>
    <t>multi-Si</t>
  </si>
  <si>
    <t>gCO2-eq/kWh</t>
  </si>
  <si>
    <t>gCO2eq/kWh</t>
  </si>
  <si>
    <t>Materials:</t>
  </si>
  <si>
    <t>https://www.irena.org/documentdownloads/publications/re_technologies_cost_analysis-hydropower.pdf</t>
  </si>
  <si>
    <t>Forebay: water</t>
  </si>
  <si>
    <t>Intake structure: steel (trash racks)</t>
  </si>
  <si>
    <t>Penstock: steel or reinforced concrete (pipes)</t>
  </si>
  <si>
    <t>Surge chamber: steel or reinforced concrete</t>
  </si>
  <si>
    <t>Hydraulic turbines: ?? (shaft or turbine is coupeld to generator)</t>
  </si>
  <si>
    <t>https://www.sciencedirect.com/science/article/pii/S0960148111001959?casa_token=20bOrrhk3OQAAAAA:0zKVTPsaIsFPT509tPE5S63psb8Fv4CdJT3eZ11o8bhaEyH1TUKorARNEuxKx5M3TlwcwMrYRVw</t>
  </si>
  <si>
    <t>https://link-springer-com.ezp.lib.cam.ac.uk/content/pdf/10.1007/s11367-015-0878-7.pdf</t>
  </si>
  <si>
    <t>[tonnes]</t>
  </si>
  <si>
    <t>https://www.sciencedirect.com/science/article/pii/S1364032111002620?casa_token=wLy2ehli4N4AAAAA:ybOH9T6_r7vhKrAX0aOqcOPR5qojYsDBw9PkBjG4XmM3iCdDfH1jqEZLoJRdXbZKOsf2dnIdwTw</t>
  </si>
  <si>
    <t>Hele lijst met gCO2/kwh</t>
  </si>
  <si>
    <t>https://www.sciencedirect.com/science/article/pii/S1364032108001354?casa_token=OeqszuDypWUAAAAA:moWrQoxVWrLrmev2HHyykFS0f4rvUMwGSW2NRJWvqyPTScbrxQH6p78vvT8Bq2vS4k0xyL2RJ1A</t>
  </si>
  <si>
    <t>https://www.bnl.gov/pv/files/pdf/226_Task12_LifeCycle_Inventories.pdf</t>
  </si>
  <si>
    <t>kg</t>
  </si>
  <si>
    <t>Material</t>
  </si>
  <si>
    <t>Silver</t>
  </si>
  <si>
    <t>Cement</t>
  </si>
  <si>
    <t>Poly-Si</t>
  </si>
  <si>
    <t>Quartz crucible</t>
  </si>
  <si>
    <t>Silicon Carbide</t>
  </si>
  <si>
    <t>PVC</t>
  </si>
  <si>
    <t>Cast Aluminium</t>
  </si>
  <si>
    <t>Ceramic</t>
  </si>
  <si>
    <t>https://www.sciencedirect.com/science/article/pii/S0360544215005034?casa_token=-URfH8YXKu0AAAAA:n3upsbEU6Qe7ExPHJUwVWPQdXXHEzP9fBKuxCiOABikhFGP8wF6u1gSYVyl0PnXkUXc_nZ3GM7k</t>
  </si>
  <si>
    <t>https://reader.elsevier.com/reader/sd/pii/S0960148111001959?token=99708055E35C43F559E08E71153020664584E4B6DB7413311E0EBDD1E97FF00210DF00884B0172C24542325370D3DB0D</t>
  </si>
  <si>
    <t>https://www.researchgate.net/profile/Gerhard_Weinrebe/publication/224802464_Life_Cycle_Assessment_of_an_80_MW_SEGS_Plant_and_a_30_MW_PHOEBUS_Power_Tower/links/0c960518295595e682000000.pdf</t>
  </si>
  <si>
    <t>Phoebus I+II</t>
  </si>
  <si>
    <t>Stainless Steel</t>
  </si>
  <si>
    <t>Non-Ferrous Metal</t>
  </si>
  <si>
    <t>Ceramics</t>
  </si>
  <si>
    <t>Phoebus III</t>
  </si>
  <si>
    <t>SEGS</t>
  </si>
  <si>
    <t>AVERAGE</t>
  </si>
  <si>
    <t>https://reader.elsevier.com/reader/sd/pii/S1364032113003420?token=2AEF238BD97CD4149D8324FFD9D4E8B2BE2C96FFA33FC5A05EEE441FD8A8820C4D1483EFFC5CAE4286FEAD9320A8DBCD</t>
  </si>
  <si>
    <t>https://reader.elsevier.com/reader/sd/pii/S096014811200465X?token=AA8262AD38EBF8B111079A72687780B4904E87EEC35F8A1AFA15CB0CC28E2ABF18AD9577050FABB086C013BF83738616</t>
  </si>
  <si>
    <t>Meer van dit soort pie charts</t>
  </si>
  <si>
    <t>https://reader.elsevier.com/reader/sd/pii/S0360544210000708?token=2904602F65E3F1F33734E5B6516806042CAB5362FECDDECAE53A3F933F4D31FAF2E4463BB63195A276DE2B6814663765</t>
  </si>
  <si>
    <t>https://www.netl.doe.gov/projects/files/FY12_RoleofAlternativeEnergySourcesHydropowerTechnologyAssessment_090112.pdf</t>
  </si>
  <si>
    <t>Heel gedetailleerd report met alle emissions voor hydro etc</t>
  </si>
  <si>
    <t xml:space="preserve">GHG per kwh for construction, operation and end of life </t>
  </si>
  <si>
    <t>https://s3.amazonaws.com/academia.edu.documents/32884891/Paper_PV_vs_CSP_ELCAS-3_Final2.pdf?response-content-disposition=inline%3B%20filename%3DComparative_analysis_of_solar_power_tech.pdf&amp;X-Amz-Algorithm=AWS4-HMAC-SHA256&amp;X-Amz-Credential=ASIATUSBJ6BAGGNKXF57%2F20200529%2Fus-east-1%2Fs3%2Faws4_request&amp;X-Amz-Date=20200529T085111Z&amp;X-Amz-Expires=3600&amp;X-Amz-SignedHeaders=host&amp;X-Amz-Security-Token=IQoJb3JpZ2luX2VjEJD%2F%2F%2F%2F%2F%2F%2F%2F%2F%2FwEaCXVzLWVhc3QtMSJGMEQCICWecFgM9SNy0fsVF76470Feedz%2B7duusY2mhnZiSqogAiAKMsXgz%2FcTOXQ8mgKGBxtq2JZ0hh%2FaNdF2vfi0QZv5biq9Awjo%2F%2F%2F%2F%2F%2F%2F%2F%2F%2F8BEAAaDDI1MDMxODgxMTIwMCIMOlkqhgDDS9qjzqfhKpEDpw9x8sZNTFIw9kIZOoYIB3zXjLgd07%2Bs1d1IDw7uxWoarvwcu9FK5dgTBJjpQbxkaTSYOvNaAfgyYgg5X%2Baw3InEB7Tc8%2FIS68AoY8uvDRwik91OGLuuG6mbWNn%2BMryL%2FFN1jzkcVsDzbfHPpohke3o681TVXmDEH%2BQ%2F05McEwGFcrQ%2FZUuFvglUh4hX7rZ3UJ6tzE5sQ9GZG2oNp%2B3P9pDHr6T%2F2cdP7goevdIg816L4ThG4sjOjBkkeh91NBNOuqWMM7oV4fJwNup2YJGUdn7uZQZ3%2BShr5XLNXGye9BDfkUp5JDJA9rK7EH93tiXj2FFhywwPwf9VNiDVlRsCX79zuGkjLKKhRKH4DxJg2BmYd3IS0NarPfFr2KjhpGIPCWVn9KYlbbW4JOiGnWOasp8G%2BqNneI8cQeEYSWNeaqPBUCyN%2FNk0x7QRuLXJ8wdemnXE6fCfcjkfWswqZg7c1OCMSzlffN4fEJHHVWXXVK0ICuxlGlZQZOJYjF5NxDZqHKO9pY4OsuFTTvaPXVMH1dAw%2Be7C9gU67AGH%2BYi9kOJ05gqUq1nNLPRqUhhI9DNuBQWrSEcyMT8o9tzK%2Bu42GD6d5SrlIi6sIGenkjtIpom6%2FwU3HwZMJqEU%2BtmNXQS0XdttVt2FJYZINKpXEODSzK62pFB9lLupUNm85esXT2gUcdrXU4GQG%2B37Mviq%2F%2F2PYNErrf%2Frru763p2%2BtBF7xd7d%2FfKBL8MysQa852Nw%2B9ROHWMDocuMv79pRAWzPnSZDhNs33F67LIW9QpInVV4WCN3%2Fa6%2F37DKtYGDh7h2mSHUlFBTATYTmHrQ3JWMjLOsz5O%2BltI1hdz4hs%2FEJnHK7danlWR5Tg%3D%3D&amp;X-Amz-Signature=a6aeeca3f96826897c0bf6ea560e7cf5011dc12f4c01f2ee1ecaa0d2721948fa</t>
  </si>
  <si>
    <t>https://www.sciencedirect.com/science/article/pii/B9780123859341000374</t>
  </si>
  <si>
    <t>Bentonite</t>
  </si>
  <si>
    <t>Iron</t>
  </si>
  <si>
    <t>[g/kWh]</t>
  </si>
  <si>
    <t>https://reader.elsevier.com/reader/sd/pii/S0360544206002799?token=867AEA3DD59143DFBDBD74AFBBAF807B389722BE04452A56E1AB2FE73CC26A74D2092F5125D8BBF9B9B9A41EC1450FD9</t>
  </si>
  <si>
    <t>GOEDE!!</t>
  </si>
  <si>
    <t>https://reader.elsevier.com/reader/sd/pii/S0306261909003274?token=77CBB6C63D21FC8C5DAB37C8D245191869C0581A4C13FA47348D524642E93C853EFF6BCB5D87281798E05CD06BE9CF90</t>
  </si>
  <si>
    <t>https://reader.elsevier.com/reader/sd/pii/S0038092X09002345?token=9080F537A651296F8C8AAFB298230E54D5F8F828F4FB9BB792BAF019B34FD10AFED094DEE0E0EF577DB3D32761FA97B8</t>
  </si>
  <si>
    <t>https://www.sciencedirect.com/science/article/pii/S0038092X05001544?casa_token=zM4e4FACWN8AAAAA:4C5Xr7cljGDfcWvlMMAQyoIp3x7wZP2AgANsdXnIxwvJcfHn8JedjW21r-dPQeKhMHMv-Mdtk_o</t>
  </si>
  <si>
    <t>CO2 footprint [kg/kg]</t>
  </si>
  <si>
    <t>Min</t>
  </si>
  <si>
    <t>Max</t>
  </si>
  <si>
    <t>?</t>
  </si>
  <si>
    <t>Fibre Glass</t>
  </si>
  <si>
    <t>Carbon Fiber</t>
  </si>
  <si>
    <t>Quartz Crucible</t>
  </si>
  <si>
    <t>[2]</t>
  </si>
  <si>
    <t>[1[</t>
  </si>
  <si>
    <t>https://report.akzonobel.com/2016/ar/sustainability/environmental-value-creation/note-8-cradle-to-grave-carbon-footprint.html</t>
  </si>
  <si>
    <t>[3]</t>
  </si>
  <si>
    <t>https://www3.epa.gov/ttn/chief/ap42/ch11/final/c11s25.pdf</t>
  </si>
  <si>
    <t>Error</t>
  </si>
  <si>
    <t>Error %</t>
  </si>
  <si>
    <t>Module</t>
  </si>
  <si>
    <t>[g/m2]</t>
  </si>
  <si>
    <t>Si</t>
  </si>
  <si>
    <t>BOS</t>
  </si>
  <si>
    <t>Silicon</t>
  </si>
  <si>
    <t>kgCO2/kg</t>
  </si>
  <si>
    <t>CES Edupack</t>
  </si>
  <si>
    <t>Paint [1]</t>
  </si>
  <si>
    <t>Lubricant [2]</t>
  </si>
  <si>
    <t>Bentonite [3]</t>
  </si>
  <si>
    <t>Wind</t>
  </si>
  <si>
    <t>[t/turbine]</t>
  </si>
  <si>
    <t>Uncertianty %</t>
  </si>
  <si>
    <t>Uncertainty %</t>
  </si>
  <si>
    <t>[tCO2/turbine] %</t>
  </si>
  <si>
    <t>[t/plant]</t>
  </si>
  <si>
    <t>[tCO2/plant]</t>
  </si>
  <si>
    <t>Change? 20%?</t>
  </si>
  <si>
    <t>Solar (Photovoltaic)</t>
  </si>
  <si>
    <t>[gCO2/g]</t>
  </si>
  <si>
    <t>[gCO2/m2]</t>
  </si>
  <si>
    <t>[tCO2/plant] %</t>
  </si>
  <si>
    <t>Solar (Concentrated Solar Power plant)</t>
  </si>
  <si>
    <t>Hydro Power</t>
  </si>
  <si>
    <t>[kgCO2/kg]</t>
  </si>
  <si>
    <t>Geothermal</t>
  </si>
  <si>
    <t>[gCO2/kWh]</t>
  </si>
  <si>
    <t>[gCO2/kWh] %</t>
  </si>
  <si>
    <t>KWH</t>
  </si>
  <si>
    <t>kWh</t>
  </si>
  <si>
    <t>20 years</t>
  </si>
  <si>
    <t>https://www.irena.org/documentdownloads/publications/re_technologies_cost_analysis-csp.pdf</t>
  </si>
  <si>
    <t xml:space="preserve">2000-2700 kWh/m2/year </t>
  </si>
  <si>
    <t xml:space="preserve">880 to 935 annual full load hours (1050 to 1260 kWh/m2a), 25 years life time and 97 % availability were assumed. </t>
  </si>
  <si>
    <t>370-500 GWh/yr</t>
  </si>
  <si>
    <t>495 GWh/yr</t>
  </si>
  <si>
    <t>https://onlinelibrary.wiley.com/doi/full/10.1002/est2.57</t>
  </si>
  <si>
    <t>30 years</t>
  </si>
  <si>
    <t>GWh in total</t>
  </si>
  <si>
    <t>3,000kWh per year</t>
  </si>
  <si>
    <t>20 to 30 square metres</t>
  </si>
  <si>
    <t>https://www.cat.org.uk/info-resources/free-information-service/energy/solar-photovoltaic/</t>
  </si>
  <si>
    <t>kwh/m2/yr</t>
  </si>
  <si>
    <r>
      <t> 270.59 kWh/m</t>
    </r>
    <r>
      <rPr>
        <sz val="13"/>
        <color rgb="FF333333"/>
        <rFont val="Arial"/>
        <family val="2"/>
      </rPr>
      <t>2</t>
    </r>
    <r>
      <rPr>
        <sz val="18"/>
        <color rgb="FF333333"/>
        <rFont val="Arial"/>
        <family val="2"/>
      </rPr>
      <t>\year</t>
    </r>
  </si>
  <si>
    <t>https://www.tandfonline.com/doi/full/10.1080/19397030802691798?casa_token=vMCAEjfeQxMAAAAA%3AbJihdd7O5kP91TUV7dMxkSESJkdOA3C61MGSPeNmfSIii67_e1amaAS-yfKCYlrWKQX_TglSklxRtQ</t>
  </si>
  <si>
    <t>kWh/m2</t>
  </si>
  <si>
    <r>
      <t>2.1 billion </t>
    </r>
    <r>
      <rPr>
        <b/>
        <sz val="14"/>
        <color rgb="FF5F6368"/>
        <rFont val="Arial"/>
        <family val="2"/>
      </rPr>
      <t>kilowatt hours</t>
    </r>
    <r>
      <rPr>
        <sz val="14"/>
        <color rgb="FF4D5156"/>
        <rFont val="Arial"/>
        <family val="2"/>
      </rPr>
      <t> (</t>
    </r>
    <r>
      <rPr>
        <b/>
        <sz val="14"/>
        <color rgb="FF5F6368"/>
        <rFont val="Arial"/>
        <family val="2"/>
      </rPr>
      <t>kwh</t>
    </r>
    <r>
      <rPr>
        <sz val="14"/>
        <color rgb="FF4D5156"/>
        <rFont val="Arial"/>
        <family val="2"/>
      </rPr>
      <t>) per year</t>
    </r>
  </si>
  <si>
    <t>http://www.wvic.com/Content/Facts_About_Hydropower.cfm</t>
  </si>
  <si>
    <t>7,3 billion kwh per year</t>
  </si>
  <si>
    <t>https://link.springer.com/article/10.1007/s11269-011-9851-9</t>
  </si>
  <si>
    <t>30 to 80 years</t>
  </si>
  <si>
    <t>1400 GWh/yr</t>
  </si>
  <si>
    <t>https://www.sciencedirect.com/science/article/pii/S1364032111001328?casa_token=B9nXQCKvnewAAAAA:L6hfKHMeno1AiufNbqCESzRVTOC29P1w3nM7pBYmYfQg4Rlt5to_c_hNThc3TBTrv8RKIMGTBHo</t>
  </si>
  <si>
    <t>https://www.researchgate.net/profile/Gordana_Janevska/publication/283350941_SMALL_HYDROPOWER_PLANTS_IN_REPUBLIC_OF_MACEDONIA_-_SITUATION_AND_POSSIBILITIES_-/links/5636522508ae88cf81bd1117.pdf</t>
  </si>
  <si>
    <t>132 GWh/yr</t>
  </si>
  <si>
    <t>Minerals (clay, sand)</t>
  </si>
  <si>
    <t>kg/MWh</t>
  </si>
  <si>
    <t>kgCO2/MWh</t>
  </si>
  <si>
    <t>https://www.sciencedirect.com/science/article/pii/S0360544204003652?casa_token=ghEH0973j_EAAAAA:hwFPiO6x4CEdP9nNdt6q3o9gQrI7XP03nO_4ZO8rQLUagPFC4sYk0oS9nFwV2OogZHPiNLLDZmk</t>
  </si>
  <si>
    <t>https://pdf.sciencedirectassets.com/271750/1-s2.0-S0959652609X0017X/1-s2.0-S0959652609002777/main.pdf?X-Amz-Security-Token=IQoJb3JpZ2luX2VjEAYaCXVzLWVhc3QtMSJHMEUCIGa59wQjDfh7pozNbQ%2BUA2vgSYNZqQ7S9MhZWv79IeV7AiEAzYyAKJ7cpKGRfbJQuWdTDGO1VqagfDoY6PBz0GAGHO4qtAMIbxADGgwwNTkwMDM1NDY4NjUiDBhWfA7Ad25rGfYcbSqRAy%2B%2FaotEvbCwSc9uk8CqVQyY3cNYgglUzp1YP6hERhYSTvIusnH3dWLboHRqk3koVQD2sEfHzPJoTNQ5Xe3rFGMAhkpo56RkqyfHFBbm3DgMPZnchEbpdALDQ7iVxK2VrscTEKJDNovGA6FaNwCsGP5XW%2FTavhpOMEm9F6%2BEZGMa8ztUXljzWc5NvDhlwXhttQVInj8hFp6lFjhG3zRh4kYiTREaa6lfyaFn7ssxj9CODQWt3QuY3CmVYcg9aEejiEruY3dHn4QkEcDC0hjBk2Te2NxrMP9%2FQQg5ytcsL9oxvpMj6NjSGpGWUBE%2F60f9pSmQPHcurXS71NRPAq9Ynv4dTmT1HKFiRc5VSAJY4JDBVuJL%2BgdUJpMR2OJppCwVZSXFZEgasD9qo4baJ221rLPqXRnEkzgp8c%2FUR42oVifMqvB9PkbqQawevHwTX42r7U7Ib96Duga4w1lfiyGvrCdQj%2Fit8Qj%2BHpuF%2BITK0RLSs4vzJWLCkAJoeas2DsNqOvQrSSRUJZCbZTCplc8uCTAGMKT23PYFOusBdzuMAsp2s8j54n2JYqJlIFSgpMfXKTPlBFVM95HinH9ozAMd0C96vhUamxkNnkE4fmW%2BFeaDZ%2Fw66GWMwuEHZxXsu6gZ416HEX0uConQ3C5on%2FP%2BLszOkcNedEjswCfveTrOaJZZn%2BSj%2FaVwQ25c0CtYnxlzvh9sVDd8lbwjBudZ%2FcU8KQ31QI%2FdnFBl0N3ZJlJQUl9tcNQMsO6%2FrR9s9sgck9%2BJC8%2FCeUEXPPECkMFX6B41UGt%2BlV7Ke804oCwS9UjyN%2FZXleULEiV%2BB%2FhZAf9jCSHHHl7aC%2F8vuhkvDj%2FuqyUIoxgwXd0mNA%3D%3D&amp;X-Amz-Algorithm=AWS4-HMAC-SHA256&amp;X-Amz-Date=20200603T071837Z&amp;X-Amz-SignedHeaders=host&amp;X-Amz-Expires=300&amp;X-Amz-Credential=ASIAQ3PHCVTYSAIJTES7%2F20200603%2Fus-east-1%2Fs3%2Faws4_request&amp;X-Amz-Signature=2bf67b3f791fa3965928a4d45fbd53e659b11c1a4e7903fdc3eb4d332fed813d&amp;hash=219d1f334ce2d3e2a792f98ba70f837d8238ecfcca460ff2df077bc23cc48ab7&amp;host=68042c943591013ac2b2430a89b270f6af2c76d8dfd086a07176afe7c76c2c61&amp;pii=S0959652609002777&amp;tid=spdf-cb03f517-2af1-4cbd-b6d1-78b184b5e269&amp;sid=b99f870f7ae3764c5319ee334c02cd4f8167gxrqb&amp;type=client</t>
  </si>
  <si>
    <t>UF = 1 MWh</t>
  </si>
  <si>
    <t>Sand</t>
  </si>
  <si>
    <t>[kg/MWh]</t>
  </si>
  <si>
    <t>[kgCO2/MWh]</t>
  </si>
  <si>
    <t>[kgCO2/MWh] %</t>
  </si>
  <si>
    <t>CSP</t>
  </si>
  <si>
    <t>Solar PV</t>
  </si>
  <si>
    <t>Hydro</t>
  </si>
  <si>
    <t xml:space="preserve">EVA </t>
  </si>
  <si>
    <t>GRAPH</t>
  </si>
  <si>
    <t>ERROR</t>
  </si>
  <si>
    <t>Emissions</t>
  </si>
  <si>
    <t>TOT</t>
  </si>
  <si>
    <t>[4]</t>
  </si>
  <si>
    <t>ICE 2011</t>
  </si>
  <si>
    <t>[5]</t>
  </si>
  <si>
    <t>CES EduPack</t>
  </si>
  <si>
    <t>MATERIAL EMISSIONS OVERVIEW [4][5]</t>
  </si>
  <si>
    <t>General CO2 emissions (excl materials)</t>
  </si>
  <si>
    <t>Reducing Carbon Dioxide Emissions from Electricity Sector Using Smart Electric Grid Applications - Lamiaa Abdallah and Tarek El-Shennawy</t>
  </si>
  <si>
    <t>https://www.sciencedirect.com/science/article/pii/S1364032114005395?casa_token=spLU1lwrbP0AAAAA:VvyFxhWdlS6oqKkZ3SSK3RMxTHjNyJZiyUotaO-NVCWI-3m3_ZLYS7ql2ofQReXgGT30fC8o7QY</t>
  </si>
  <si>
    <t>Containing many sources, many GHG emission factors -&gt; mean taken</t>
  </si>
  <si>
    <t>STANDARD ERROR</t>
  </si>
  <si>
    <t>ERROR %</t>
  </si>
  <si>
    <t>Capacity</t>
  </si>
  <si>
    <t>MW</t>
  </si>
  <si>
    <t xml:space="preserve">Load Factor </t>
  </si>
  <si>
    <t>[-]</t>
  </si>
  <si>
    <t>[MW]</t>
  </si>
  <si>
    <t>Lifetime</t>
  </si>
  <si>
    <t>[y]</t>
  </si>
  <si>
    <t>kWh over lifetime</t>
  </si>
  <si>
    <t>[kWh]</t>
  </si>
  <si>
    <t>[MW/m2]</t>
  </si>
  <si>
    <t>Uganda</t>
  </si>
  <si>
    <t>Coal</t>
  </si>
  <si>
    <t>UNCERTAINTIES</t>
  </si>
  <si>
    <t>Recycling [%]</t>
  </si>
  <si>
    <t>Costs [€/kg]</t>
  </si>
  <si>
    <t>Water Usage [l/kg]</t>
  </si>
  <si>
    <t>CO2 [gCO2/g]</t>
  </si>
  <si>
    <t>Water Usage [ml/g]</t>
  </si>
  <si>
    <t>Recycling [g/g]</t>
  </si>
  <si>
    <t>[kWh/m2]</t>
  </si>
  <si>
    <t>https://pdf.sciencedirectassets.com/271750/1-s2.0-S0959652600X00716/1-s2.0-S0959652604001283/main.pdf?X-Amz-Security-Token=IQoJb3JpZ2luX2VjEMP%2F%2F%2F%2F%2F%2F%2F%2F%2F%2FwEaCXVzLWVhc3QtMSJGMEQCIB0GWnbBfuxyMolxzUnu1CCDuqjRXXrbKq0eqIfLd5%2FyAiB8kFqiBjuMpmHTF%2FsPwZLNWx9DFpeCMvnDGQJnMkNOLyq0AwhcEAMaDDA1OTAwMzU0Njg2NSIMHSHNXRH%2BQ3zOWUlIKpEDLJgIYmnpaApf0ohLzxpY2Sn9Wf3gPiKuCDpdCOcq4RpBBl7d0%2FVqIAxIGmlxtneY5cb4%2BYS1SU95HBq6gsZxiKThjrJnB%2FnuPmY0r7X4oynZMJ33U5hI6qp7PxYXV0AhGkdVC6wMJVGrx3s87lxSeNJZd%2F3HOVqn9GsSdnHLuch4dr8N2q79Go1d33C5%2Bo4k5bmi8OmWMvCalyPBQEdHfFcQKKwY9mq3T2DbMmlgAONvLaXpf5fxn0h4ANv2Oy6p0wNEe2bb9k7glO3ar%2Fn%2BsaKGDTIinIakkReR2QX6tVKG8wcBGVZw41E0K14CicGJv7b3cnuX3juPPKlcvAkWm6WA4XooJD7yju4KboLB16iQr50LRGXj4JP2xAnUifOnd1g9uL56GoCeabICfUnqSW4eUOB%2BVe%2BkqaBfJ378M1T3CnZvRPS%2Fyes%2BG4XTtAx061RRUYykuJwpLAPf4WMxDUFhbEwV20lRb6o771fzGao6wBaEMUzBS70H%2BBGaC8IR7Um0ZURzNI%2BNawMZHba%2BcFwwwe729wU67AFlUzMhl%2BLFofdKVuyXKRzRHhg0HjnNJNimAUUyEKqWn8cgKsq%2BjlCeTIGwJK%2FA9dPh%2BdyOv5iaPw1milcnD6KVeLGGiG8Dd8DFxT8dyjMCEMBCWjXtw%2FAbdnIaIk1JEI4kkqyuo3q%2BVv4aCkBQXzHue8%2FhUKfpITI5SsDM3VI2ngSd1xudgU0gQNnpE3A91hOlEEfM7vg%2B5vrHQgW7bnnjHpGaVxl%2F8%2F%2BwifshyBQPFnmYD9UgrfMGDbWMOhaFcMZ4wqFDIeB%2FmZgEpcUlfvoh7Rk54qZh4gCaER9O8TqfuQOmsX2r4OFE%2FAwbkQ%3D%3D&amp;X-Amz-Algorithm=AWS4-HMAC-SHA256&amp;X-Amz-Date=20200702T121418Z&amp;X-Amz-SignedHeaders=host&amp;X-Amz-Expires=300&amp;X-Amz-Credential=ASIAQ3PHCVTYVED46W4K%2F20200702%2Fus-east-1%2Fs3%2Faws4_request&amp;X-Amz-Signature=ef121f17adc9bc6d972b5f1448105856db3ebd6309cc65af7c4605bba86fcba4&amp;hash=65e39183b45ba00b58f87f5e49e44ede5a14a97b3123195ba1a11ec8de481df6&amp;host=68042c943591013ac2b2430a89b270f6af2c76d8dfd086a07176afe7c76c2c61&amp;pii=S0959652604001283&amp;tid=spdf-2e9d6192-dd7c-40e0-a7e1-081769fad3b5&amp;sid=a7ca30ab7becb54de54b5e83e1ecc4cc4e8cgxrqb&amp;type=client</t>
  </si>
  <si>
    <t>Oil</t>
  </si>
  <si>
    <t>https://pdf.sciencedirectassets.com/271098/1-s2.0-S0196890400X02361/1-s2.0-S0196890404000251/main.pdf?X-Amz-Security-Token=IQoJb3JpZ2luX2VjEMT%2F%2F%2F%2F%2F%2F%2F%2F%2F%2FwEaCXVzLWVhc3QtMSJHMEUCIErCc8%2FC08cq3AFXVh9UZ6dr5vaeWu1T1QAqK1Oh1xKbAiEAgcGMq2B2QJEeLscOBMcU62SnvSnDFXCmrx1IleKfp7kqtAMIXBADGgwwNTkwMDM1NDY4NjUiDADRQ5E2iw2fNtl9KiqRA4%2BwiHXULxchmHAK4SnKAswdoNyaattx%2FMmSzsMVLNYc1AotCcEwFB%2Bj%2BcL%2FILaHhtqTYbSudJu9q1La3ERQjVHauShbpSvwe68da3Spjeb0kks0ocFlJywzfTJ%2BG5A9%2BLSVDcpqwTLrhdEU83PGqcZcPC6uFdr9QBWUNeERAXOD%2FqlKwgJF8JcuDoLyp%2FiKnGsPTTocYMFN9Hh3W9UVbcqiTLHwo435qk3pttX%2BTZGyj9xDMEtTRlI2QUKn%2B1x8It%2B3O%2Bubu5qNEkf%2BXDwZv17vGC%2FWSd4MXpgy7ultQ4iewHFPhka7UI3VBKpWVFOexo5DA9yb0%2BC%2Bs4i34oH6Hi7jQ16inWFfb9ooU5O916TXn5zg9KpOmIs4%2B7YMrvy0haauHV9CodEpbOwjwGbgM1vuaWXaNYRxVSEKrF9emZh2MVJ6O1HfLaa9Cic9Z9C6fQjw2f4lwMoeHwgADzPfbQNjCP9IWrat%2Bf0Uves%2BbpR0gtwGR8mrcii0gGDahDkvM1nUpGM7CHUj6gAozDL4FVKoMLOD9%2FcFOusBoBRoVvuOpJR0U3sSMP3bfmvDP%2BLdw3P4MGSswTQwmAEPM%2B98wtQT6SecLn2nrdLQhJpHCqQUKuRJz%2BgCWql%2F4qvY6qHh3T0QBuAWi%2BTbYlNela7S%2FQf%2B8xoqBP7C1hGVXiwDyxNw1ocgYrii5HWkmEqJ3Yf8do6eOfIPs3fUz4ALj%2F2sBMbA41UZWsBbnEQOGL3y6jcWEERpCZwSYpohymP4PpiJW3fv5IL0SyOYVayyfK8Ojtg9mz7y7jQtzaB3%2FqVc8zxc89NBqaee%2FVfKZKbDwv4%2BjPNZrcYEPLxVxpnJnK%2F2a9YCf6p6PA%3D%3D&amp;X-Amz-Algorithm=AWS4-HMAC-SHA256&amp;X-Amz-Date=20200702T121624Z&amp;X-Amz-SignedHeaders=host&amp;X-Amz-Expires=300&amp;X-Amz-Credential=ASIAQ3PHCVTYSHQ3TBEH%2F20200702%2Fus-east-1%2Fs3%2Faws4_request&amp;X-Amz-Signature=d4f9bda2ea65629f9bdf4cec399eb52564a3fd09c3efc82ed30b5b41c34d67be&amp;hash=4fda2e6166b6e0a92ad96dc8d685dc87a403a45b6e3372db210f75289d59603a&amp;host=68042c943591013ac2b2430a89b270f6af2c76d8dfd086a07176afe7c76c2c61&amp;pii=S0196890404000251&amp;tid=spdf-0b3b9739-9786-4fd7-981f-8941a3aaa017&amp;sid=a7ca30ab7becb54de54b5e83e1ecc4cc4e8cgxrqb&amp;type=client</t>
  </si>
  <si>
    <t>https://reader.elsevier.com/reader/sd/pii/S0196890497000058?token=C2C27C59C81C625153DEB781AF5CDE6E143189E3BC3B72B510DD89785FEBBAB2CA7E695EF00D80EE878109E35C6873DB</t>
  </si>
  <si>
    <t>Conventional Coal</t>
  </si>
  <si>
    <t>Conventional Oil</t>
  </si>
  <si>
    <t>Gas CCS</t>
  </si>
  <si>
    <t>Natural Gas</t>
  </si>
  <si>
    <t>Gas</t>
  </si>
  <si>
    <t>https://www.sciencedirect.com/science/article/pii/S0196890404002687?casa_token=XTxSlkQ9KmcAAAAA:W3vCkf2w2aa8d8XbSCKSDUWdAgKd5Vu6cxJLGP0sP2Ws0Udo0StAAuVV2lAhoqL8QsLjm6C91L4</t>
  </si>
  <si>
    <t>Natrual Gas</t>
  </si>
  <si>
    <t>Natural Gas CCS</t>
  </si>
  <si>
    <t>https://www.sciencedirect.com/science/article/pii/S1750583610000435?casa_token=nPx1gKmtsQAAAAAA:BlFYhuzgzuiqXPHDwJBoNpESL-eONcqR0xHhIvOEwzCBnZKY09zHWLFw-Hzz_kfZtqIr5GyrIlw</t>
  </si>
  <si>
    <t>Natrual Gas CCS</t>
  </si>
  <si>
    <t>Reference</t>
  </si>
  <si>
    <t>Solar CSP</t>
  </si>
  <si>
    <t>Wind (Onshore)</t>
  </si>
  <si>
    <t>Costs [€cent/g]</t>
  </si>
  <si>
    <t>Wind (Offshore)</t>
  </si>
  <si>
    <t>[kg/turbine]</t>
  </si>
  <si>
    <t>[kgCO2/turbine]</t>
  </si>
  <si>
    <t xml:space="preserve"> </t>
  </si>
  <si>
    <t>[X/g]</t>
  </si>
  <si>
    <t>Sheet</t>
  </si>
  <si>
    <t>Description</t>
  </si>
  <si>
    <t>Email contact: meh83@cam.ac.uk</t>
  </si>
  <si>
    <t>Disclaimer</t>
  </si>
  <si>
    <t>This software and manual are supplied  "as is" without warranty of any kind</t>
  </si>
  <si>
    <t xml:space="preserve">Clear cells are primarily for calculations </t>
  </si>
  <si>
    <t>Green cells are key input assumptions that users can change for their own simulations</t>
  </si>
  <si>
    <t>Blue cells are key input uncertainties with probability distribution functions</t>
  </si>
  <si>
    <t>Yellow cells are key options that users can select for their own simulations from drop-down menu</t>
  </si>
  <si>
    <t>Clear tab is for the EMELES overview</t>
  </si>
  <si>
    <t>Yellow tabs indicate supporting worksheets that are primarily for calculations</t>
  </si>
  <si>
    <t>Green tabs indicate worksheets for input assumptions that the user can change</t>
  </si>
  <si>
    <t>Blue tabs indicate worksheets for EMELES results</t>
  </si>
  <si>
    <t>Cells with red triangle in the upper right corner contain comments. User can find reference value in comments</t>
  </si>
  <si>
    <t>Key Notes for EMELES Calculations</t>
  </si>
  <si>
    <t>This Software is Authored by:</t>
  </si>
  <si>
    <t>Maaike Hakker</t>
  </si>
  <si>
    <t>Part of the Dissertation for the MPhil Energy Technologies</t>
  </si>
  <si>
    <t>Cambridge University</t>
  </si>
  <si>
    <t>Supervisor: Dr J.M. Cullen</t>
  </si>
  <si>
    <t>Trinity Lane,  CB2 1TN, United Kingdom</t>
  </si>
  <si>
    <t>Phone: +31611757311</t>
  </si>
  <si>
    <t>Email: meh83@cam.ac.uk</t>
  </si>
  <si>
    <t>Matrices</t>
  </si>
  <si>
    <t>Material Breakdowns</t>
  </si>
  <si>
    <t>Conventional</t>
  </si>
  <si>
    <t>Total Material Emissions</t>
  </si>
  <si>
    <t>Outputs</t>
  </si>
  <si>
    <t>Graph</t>
  </si>
  <si>
    <t xml:space="preserve">1. </t>
  </si>
  <si>
    <t>EMELES MATRICES</t>
  </si>
  <si>
    <t>EMELES = Environemtnal Material Emissions of Low-Carbon Energy Systems</t>
  </si>
  <si>
    <t>*********************************************************************</t>
  </si>
  <si>
    <t>CO2 [gCO2/kWh]</t>
  </si>
  <si>
    <t>Water Usage [ml/kWh]</t>
  </si>
  <si>
    <t>Recycling [g/kWh]</t>
  </si>
  <si>
    <t>Costs [€cent/kWh]</t>
  </si>
  <si>
    <t>General (per kWh)</t>
  </si>
  <si>
    <t>EMELES OUTPUT GENERAL</t>
  </si>
  <si>
    <t>[ml/kWh]</t>
  </si>
  <si>
    <t>EMELES OUTPUT COUNTRY</t>
  </si>
  <si>
    <t>Country (Uganda)</t>
  </si>
  <si>
    <t>CO2 [gCO2]</t>
  </si>
  <si>
    <t>Water Usage [ml]</t>
  </si>
  <si>
    <t>Country:</t>
  </si>
  <si>
    <t>[g]</t>
  </si>
  <si>
    <t>[gCO2]</t>
  </si>
  <si>
    <t>[ml]</t>
  </si>
  <si>
    <t>[€cent]</t>
  </si>
  <si>
    <t>[€cent/kWh]</t>
  </si>
  <si>
    <t>Key input parameters for the EMELES model for the country, materials and environemntal impacts</t>
  </si>
  <si>
    <t>Input parameters for the environmental impacts per material</t>
  </si>
  <si>
    <t>Details and references for wind turbine data</t>
  </si>
  <si>
    <t>Details and references for concentrated solar power data</t>
  </si>
  <si>
    <t>Details and references for solar photovoltaic data</t>
  </si>
  <si>
    <t>Details and references for hydro power plant data</t>
  </si>
  <si>
    <t>Details and references for geothermal power plant data</t>
  </si>
  <si>
    <t>Details and references for conventional fossil-fuel based technologies data</t>
  </si>
  <si>
    <t>Calculations for all energy technologies for several steps in the EMELES model</t>
  </si>
  <si>
    <t>Tables and graphs of the EMELES model results</t>
  </si>
  <si>
    <t xml:space="preserve">Preliminary graphs and calculations (do not use) </t>
  </si>
  <si>
    <t>The user can adjust any input parameter of choice. The reference value is given</t>
  </si>
  <si>
    <t xml:space="preserve">in the "note" attached to the cell. The user can always go back to this value. </t>
  </si>
  <si>
    <t xml:space="preserve">2. </t>
  </si>
  <si>
    <t xml:space="preserve">3. </t>
  </si>
  <si>
    <t>The same can be done for the uncertainties.</t>
  </si>
  <si>
    <t xml:space="preserve">The uncertainties are not included in the graphs, as excel does not have </t>
  </si>
  <si>
    <t xml:space="preserve">the function to add uncertainties and display them together. Please feel </t>
  </si>
  <si>
    <t>free to add them if desired.</t>
  </si>
  <si>
    <t>EMELES ANALYTICAL TOOL</t>
  </si>
  <si>
    <t>Color Scheme for Cells in the EMELES Analytical Tool</t>
  </si>
  <si>
    <t>Color Scheme for Tabs in the EMELES Analytical Tool</t>
  </si>
  <si>
    <t>Brief Desciption of EMELES Tool Worksheets</t>
  </si>
  <si>
    <t>UK</t>
  </si>
  <si>
    <t>Country (UK)</t>
  </si>
  <si>
    <t>Nuclear</t>
  </si>
  <si>
    <t>Solar</t>
  </si>
  <si>
    <t>OFFWind</t>
  </si>
  <si>
    <t>ONWind</t>
  </si>
  <si>
    <t>Imported Oil</t>
  </si>
  <si>
    <t>Biomass</t>
  </si>
  <si>
    <t>BECCS</t>
  </si>
  <si>
    <t>Hydrogen</t>
  </si>
  <si>
    <t>Notes</t>
  </si>
  <si>
    <t>Counted as 1% of PV</t>
  </si>
  <si>
    <t>ton</t>
  </si>
  <si>
    <t>this does not consider CO2 removal</t>
  </si>
  <si>
    <t>the Capacity of the plants described are:</t>
  </si>
  <si>
    <t>MW (Gas only)</t>
  </si>
  <si>
    <t>MW (Gas and CCS)</t>
  </si>
  <si>
    <t>Singh2011</t>
  </si>
  <si>
    <t>Kannan2005</t>
  </si>
  <si>
    <t>Capacity of all:</t>
  </si>
  <si>
    <t>this is for a combined cycle plant</t>
  </si>
  <si>
    <t>the 12500 in Maaike's file were wrong because they were for oil…</t>
  </si>
  <si>
    <t>original Maaike's capacity (MW)</t>
  </si>
  <si>
    <t>Kannan2004</t>
  </si>
  <si>
    <t>Oil - steam turbine plant</t>
  </si>
  <si>
    <t>this assumes it has the combined cycle plant from before plus the CCS system from the paper</t>
  </si>
  <si>
    <t>zinc was included in the paper, but not added here by Maaike</t>
  </si>
  <si>
    <t>MW (Gas and CCS with capture)</t>
  </si>
  <si>
    <t>the capacity of Maaike was 250, but the paper said 1000 MW</t>
  </si>
  <si>
    <t>Wang2019</t>
  </si>
  <si>
    <t>Zircon</t>
  </si>
  <si>
    <t>this is without the consideration of decommissioning</t>
  </si>
  <si>
    <t>the materials include coal, but it wasn't added</t>
  </si>
  <si>
    <t>Perilhon2012</t>
  </si>
  <si>
    <t>Bauer2008</t>
  </si>
  <si>
    <t>tonne</t>
  </si>
  <si>
    <t>Brass</t>
  </si>
  <si>
    <t>Zinc</t>
  </si>
  <si>
    <t>Lead</t>
  </si>
  <si>
    <t>Rock wool</t>
  </si>
  <si>
    <t>Glass fibre</t>
  </si>
  <si>
    <t>HDPE</t>
  </si>
  <si>
    <t>PP</t>
  </si>
  <si>
    <t>SAN</t>
  </si>
  <si>
    <t>Flat glass</t>
  </si>
  <si>
    <t>Timber</t>
  </si>
  <si>
    <t>Epoxy resin</t>
  </si>
  <si>
    <t>Lubricating oil</t>
  </si>
  <si>
    <t>Ceramic tiles</t>
  </si>
  <si>
    <t>Synthetic rubber</t>
  </si>
  <si>
    <t>m^3/CH</t>
  </si>
  <si>
    <t>kg/RER</t>
  </si>
  <si>
    <t>kg/CH</t>
  </si>
  <si>
    <t>switzerland</t>
  </si>
  <si>
    <t>europe</t>
  </si>
  <si>
    <t>CH</t>
  </si>
  <si>
    <t>RER</t>
  </si>
  <si>
    <t>m^3 (concrete)</t>
  </si>
  <si>
    <t>tonne (concrete)</t>
  </si>
  <si>
    <t>8000 full load hours per year</t>
  </si>
  <si>
    <t>m^3/tonne</t>
  </si>
  <si>
    <t>https://www.forestresearch.gov.uk/tools-and-resources/statistics/forestry-statistics/forestry-statistics-2016-introduction/sources/timber/conversion-factors/</t>
  </si>
  <si>
    <t>Check, the amounts of materials seem too big</t>
  </si>
  <si>
    <t>[/m2]</t>
  </si>
  <si>
    <t xml:space="preserve"> [/m2]</t>
  </si>
  <si>
    <t>these amounts of materials were for a 1000 MW plant and the capacity in this file says 150 MW…</t>
  </si>
  <si>
    <t>Uncertainty from the part to the right</t>
  </si>
  <si>
    <t>these seem to be gCO2/kWh</t>
  </si>
  <si>
    <t>Employment</t>
  </si>
  <si>
    <t>Land required</t>
  </si>
  <si>
    <t>Job creation (new employees/500 MW)</t>
  </si>
  <si>
    <t>https://www.sciencedirect.com/science/article/pii/S030142150700537X</t>
  </si>
  <si>
    <t>Land requirement (km2/1000 MW)</t>
  </si>
  <si>
    <t>Chatzimouratidis2008</t>
  </si>
  <si>
    <t>Std error</t>
  </si>
  <si>
    <t>Amponsah2014</t>
  </si>
  <si>
    <t>Hertwich2015a</t>
  </si>
  <si>
    <t>m^2a/kWh</t>
  </si>
  <si>
    <t>Hertwich2015a, Table S6</t>
  </si>
  <si>
    <t>Ram2020</t>
  </si>
  <si>
    <t>Employment by stage</t>
  </si>
  <si>
    <t>Construction and Installation</t>
  </si>
  <si>
    <t>Operation and Maintenance</t>
  </si>
  <si>
    <t>Solar PV (utility)</t>
  </si>
  <si>
    <t>Solar PV (rooftop)</t>
  </si>
  <si>
    <t>Hydro (Dam)</t>
  </si>
  <si>
    <t>Hydro (RoR)</t>
  </si>
  <si>
    <t>Storage Pumped Hydro</t>
  </si>
  <si>
    <t>Storage Battery (large scale)</t>
  </si>
  <si>
    <t>Storage Battery (prosumer)</t>
  </si>
  <si>
    <t>Storage Gas</t>
  </si>
  <si>
    <t>Fuel*</t>
  </si>
  <si>
    <t>Decommissioning*</t>
  </si>
  <si>
    <t>Gas (OCGT)</t>
  </si>
  <si>
    <t>Gas (CCGT)</t>
  </si>
  <si>
    <t>Waste-to-energy</t>
  </si>
  <si>
    <t>Biogas</t>
  </si>
  <si>
    <t>Hydrogen uses the values for power-to-gas from Ramm2020</t>
  </si>
  <si>
    <t>* If it is Nuclear, it refers to jobs/GWh. Otherwise jobs/PJ. The sum of nuclear only considers the first two stages.</t>
  </si>
  <si>
    <t>tech</t>
  </si>
  <si>
    <t>[jobs-years/kWh]</t>
  </si>
  <si>
    <t>[jobs-years/MW] for Manuf and C&amp;I, [jobs/MW] for O&amp;M, [jobs/PJ] for fuel</t>
  </si>
  <si>
    <t>Capcity (MW)</t>
  </si>
  <si>
    <t>kWh/lifetime</t>
  </si>
  <si>
    <t>Coal CCS</t>
  </si>
  <si>
    <t>Offshore Wind</t>
  </si>
  <si>
    <t>Cobalt</t>
  </si>
  <si>
    <t>Neodynium</t>
  </si>
  <si>
    <t>Deetman2021a</t>
  </si>
  <si>
    <t>Bonou2016</t>
  </si>
  <si>
    <t>source (up)</t>
  </si>
  <si>
    <t>TOTAL</t>
  </si>
  <si>
    <t>Bonou2016 (tonne)</t>
  </si>
  <si>
    <t>Bonou2016 (%)</t>
  </si>
  <si>
    <t>Deetman2021a (tonne/MW peak)</t>
  </si>
  <si>
    <t>avg lifetime (years)</t>
  </si>
  <si>
    <t>Bonou2016 (tonne/kWhlifetime)</t>
  </si>
  <si>
    <t>the materials look too high, maybe because the infrastructure includes substations and cabling</t>
  </si>
  <si>
    <t>Noori2015</t>
  </si>
  <si>
    <t>Crushed Stone</t>
  </si>
  <si>
    <t>Polibutadiene</t>
  </si>
  <si>
    <t>PEX</t>
  </si>
  <si>
    <t>V-80 (tonne)</t>
  </si>
  <si>
    <t>V-90 (tonne)</t>
  </si>
  <si>
    <t>Average (g)</t>
  </si>
  <si>
    <t>Capacity (MW)</t>
  </si>
  <si>
    <t>This would have had a small lead content and some iron, but there is no reliable info for its 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</si>
</sst>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5">
    <font>
      <sz val="12"/>
      <color theme="1"/>
      <name val="Calibri"/>
      <family val="2"/>
      <scheme val="minor"/>
    </font>
    <font>
      <sz val="16"/>
      <color theme="1"/>
      <name val="Latin Modern Roman 12 Regular"/>
    </font>
    <font>
      <sz val="18"/>
      <color theme="1"/>
      <name val="Latin Modern Roman 12 Regular"/>
    </font>
    <font>
      <u/>
      <sz val="12"/>
      <color theme="10"/>
      <name val="Calibri"/>
      <family val="2"/>
      <scheme val="minor"/>
    </font>
    <font>
      <b/>
      <sz val="16"/>
      <color theme="1"/>
      <name val="Latin Modern Roman 12 Regular"/>
    </font>
    <font>
      <i/>
      <sz val="16"/>
      <color theme="1"/>
      <name val="Latin Modern Roman 12 Regular"/>
    </font>
    <font>
      <b/>
      <sz val="16"/>
      <color rgb="FF2E2E2E"/>
      <name val="Latin Modern Roman 12 Regular"/>
    </font>
    <font>
      <sz val="16"/>
      <color rgb="FF2E2E2E"/>
      <name val="Latin Modern Roman 12 Regular"/>
    </font>
    <font>
      <sz val="16"/>
      <color rgb="FF000000"/>
      <name val="Latin Modern Roman 12 Regular"/>
    </font>
    <font>
      <sz val="16"/>
      <color theme="0" tint="-0.249977111117893"/>
      <name val="Latin Modern Roman 12 Regular"/>
    </font>
    <font>
      <sz val="12"/>
      <color theme="1"/>
      <name val="Helvetica Neue"/>
      <family val="2"/>
    </font>
    <font>
      <sz val="17"/>
      <color theme="1"/>
      <name val="Latin Modern Roman 12 Regular"/>
    </font>
    <font>
      <sz val="12"/>
      <color theme="1"/>
      <name val="Latin Modern Roman 12 Regular"/>
    </font>
    <font>
      <sz val="14"/>
      <color theme="1"/>
      <name val="Latin Modern Roman 12 Regular"/>
    </font>
    <font>
      <b/>
      <sz val="14"/>
      <color theme="1"/>
      <name val="Latin Modern Roman 12 Regular"/>
    </font>
    <font>
      <sz val="14"/>
      <color rgb="FF000000"/>
      <name val="Latin Modern Roman 12 Regular"/>
    </font>
    <font>
      <i/>
      <sz val="14"/>
      <color theme="1"/>
      <name val="Latin Modern Roman 12 Regular"/>
    </font>
    <font>
      <i/>
      <sz val="14"/>
      <color theme="1" tint="0.499984740745262"/>
      <name val="Latin Modern Roman 12 Regular"/>
    </font>
    <font>
      <sz val="14"/>
      <color theme="1" tint="0.499984740745262"/>
      <name val="Latin Modern Roman 12 Regular"/>
    </font>
    <font>
      <sz val="14"/>
      <color theme="0" tint="-0.499984740745262"/>
      <name val="Latin Modern Roman 12 Regular"/>
    </font>
    <font>
      <b/>
      <sz val="18"/>
      <color theme="1"/>
      <name val="Latin Modern Roman 12 Regular"/>
    </font>
    <font>
      <b/>
      <sz val="18"/>
      <color theme="0" tint="-0.249977111117893"/>
      <name val="Latin Modern Roman 12 Regular"/>
    </font>
    <font>
      <sz val="18"/>
      <color theme="0" tint="-0.249977111117893"/>
      <name val="Latin Modern Roman 12 Regular"/>
    </font>
    <font>
      <sz val="18"/>
      <color rgb="FF000000"/>
      <name val="Latin Modern Roman 12 Regular"/>
    </font>
    <font>
      <sz val="18"/>
      <color theme="1" tint="0.499984740745262"/>
      <name val="Latin Modern Roman 12 Regular"/>
    </font>
    <font>
      <sz val="22"/>
      <color theme="1"/>
      <name val="Latin Modern Roman 12 Regular"/>
    </font>
    <font>
      <sz val="14"/>
      <color theme="1"/>
      <name val="TimesNewRoman"/>
    </font>
    <font>
      <i/>
      <sz val="18"/>
      <color theme="0" tint="-0.249977111117893"/>
      <name val="Latin Modern Roman 12 Regular"/>
    </font>
    <font>
      <sz val="16"/>
      <color rgb="FF5A5A5A"/>
      <name val="Arial"/>
      <family val="2"/>
    </font>
    <font>
      <sz val="18"/>
      <color rgb="FF333333"/>
      <name val="Arial"/>
      <family val="2"/>
    </font>
    <font>
      <sz val="13"/>
      <color rgb="FF333333"/>
      <name val="Arial"/>
      <family val="2"/>
    </font>
    <font>
      <sz val="14"/>
      <color rgb="FF4D5156"/>
      <name val="Arial"/>
      <family val="2"/>
    </font>
    <font>
      <b/>
      <sz val="14"/>
      <color rgb="FF5F6368"/>
      <name val="Arial"/>
      <family val="2"/>
    </font>
    <font>
      <i/>
      <sz val="18"/>
      <color rgb="FFC00000"/>
      <name val="Latin Modern Roman 12 Regular"/>
    </font>
    <font>
      <i/>
      <sz val="18"/>
      <color theme="1"/>
      <name val="Latin Modern Roman 12 Regular"/>
    </font>
    <font>
      <sz val="18"/>
      <color rgb="FFBFBFBF"/>
      <name val="Latin Modern Roman 12 Regular"/>
    </font>
    <font>
      <sz val="12"/>
      <color theme="1"/>
      <name val="Calibri"/>
      <family val="2"/>
      <scheme val="minor"/>
    </font>
    <font>
      <i/>
      <sz val="14"/>
      <color rgb="FF000000"/>
      <name val="Latin Modern Roman 12 Regular"/>
    </font>
    <font>
      <i/>
      <sz val="14"/>
      <color rgb="FF808080"/>
      <name val="Latin Modern Roman 12 Regular"/>
    </font>
    <font>
      <sz val="14"/>
      <color rgb="FF808080"/>
      <name val="Latin Modern Roman 12 Regular"/>
    </font>
    <font>
      <sz val="14"/>
      <color rgb="FFC00000"/>
      <name val="Latin Modern Roman 12 Regular"/>
    </font>
    <font>
      <sz val="32"/>
      <color rgb="FF222222"/>
      <name val="Arial"/>
      <family val="2"/>
    </font>
    <font>
      <sz val="26"/>
      <color theme="1"/>
      <name val="Latin Modern Roman 12 Regular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Latin Modern Roman 12 Regular"/>
    </font>
    <font>
      <b/>
      <sz val="12"/>
      <name val="Latin Modern Roman 12 Regular"/>
    </font>
    <font>
      <sz val="10"/>
      <name val="Latin Modern Roman 12 Regular"/>
    </font>
    <font>
      <b/>
      <i/>
      <sz val="14"/>
      <color rgb="FF000000"/>
      <name val="Latin Modern Roman 12 Regular"/>
    </font>
    <font>
      <b/>
      <sz val="14"/>
      <color rgb="FF000000"/>
      <name val="Latin Modern Roman 12 Regular"/>
    </font>
    <font>
      <sz val="12"/>
      <color rgb="FF000000"/>
      <name val="Latin Modern Roman 12 Regular"/>
    </font>
    <font>
      <sz val="10"/>
      <color rgb="FF000000"/>
      <name val="Calibri"/>
      <family val="2"/>
    </font>
    <font>
      <sz val="20"/>
      <color theme="1"/>
      <name val="Latin Modern Roman 12 Regular"/>
    </font>
    <font>
      <sz val="14"/>
      <color theme="0" tint="-0.249977111117893"/>
      <name val="Latin Modern Roman 12 Regula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DEE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36" fillId="0" borderId="0" applyFont="0" applyFill="0" applyBorder="0" applyAlignment="0" applyProtection="0"/>
  </cellStyleXfs>
  <cellXfs count="3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0" borderId="0" xfId="0" applyFont="1" applyAlignment="1">
      <alignment textRotation="45"/>
    </xf>
    <xf numFmtId="0" fontId="1" fillId="3" borderId="0" xfId="0" applyFont="1" applyFill="1"/>
    <xf numFmtId="0" fontId="4" fillId="0" borderId="0" xfId="0" applyFont="1"/>
    <xf numFmtId="0" fontId="1" fillId="0" borderId="0" xfId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1" fillId="0" borderId="0" xfId="0" applyNumberFormat="1" applyFont="1"/>
    <xf numFmtId="0" fontId="8" fillId="0" borderId="0" xfId="0" applyFont="1"/>
    <xf numFmtId="10" fontId="1" fillId="0" borderId="0" xfId="0" applyNumberFormat="1" applyFont="1"/>
    <xf numFmtId="0" fontId="9" fillId="0" borderId="0" xfId="0" applyFont="1"/>
    <xf numFmtId="0" fontId="10" fillId="0" borderId="0" xfId="0" applyFont="1"/>
    <xf numFmtId="0" fontId="1" fillId="4" borderId="0" xfId="0" applyFont="1" applyFill="1"/>
    <xf numFmtId="0" fontId="11" fillId="0" borderId="0" xfId="0" applyFont="1"/>
    <xf numFmtId="0" fontId="1" fillId="0" borderId="0" xfId="0" applyNumberFormat="1" applyFont="1"/>
    <xf numFmtId="0" fontId="3" fillId="0" borderId="0" xfId="1"/>
    <xf numFmtId="0" fontId="12" fillId="0" borderId="0" xfId="0" applyFont="1"/>
    <xf numFmtId="0" fontId="2" fillId="5" borderId="0" xfId="0" applyFont="1" applyFill="1"/>
    <xf numFmtId="0" fontId="13" fillId="0" borderId="0" xfId="0" applyFont="1"/>
    <xf numFmtId="0" fontId="14" fillId="0" borderId="0" xfId="0" applyFont="1"/>
    <xf numFmtId="0" fontId="13" fillId="4" borderId="0" xfId="0" applyFont="1" applyFill="1"/>
    <xf numFmtId="0" fontId="13" fillId="0" borderId="0" xfId="0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8" fillId="0" borderId="0" xfId="0" applyFont="1"/>
    <xf numFmtId="10" fontId="13" fillId="0" borderId="0" xfId="0" applyNumberFormat="1" applyFont="1" applyFill="1"/>
    <xf numFmtId="0" fontId="16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0" fontId="19" fillId="0" borderId="0" xfId="0" applyFont="1"/>
    <xf numFmtId="2" fontId="13" fillId="0" borderId="0" xfId="0" applyNumberFormat="1" applyFont="1"/>
    <xf numFmtId="0" fontId="2" fillId="2" borderId="0" xfId="0" applyFont="1" applyFill="1"/>
    <xf numFmtId="0" fontId="20" fillId="0" borderId="0" xfId="0" applyFont="1"/>
    <xf numFmtId="0" fontId="2" fillId="0" borderId="0" xfId="0" applyFont="1" applyFill="1" applyAlignment="1">
      <alignment textRotation="45"/>
    </xf>
    <xf numFmtId="0" fontId="21" fillId="0" borderId="0" xfId="0" applyFont="1"/>
    <xf numFmtId="0" fontId="22" fillId="0" borderId="0" xfId="0" applyFont="1"/>
    <xf numFmtId="10" fontId="22" fillId="0" borderId="0" xfId="0" applyNumberFormat="1" applyFont="1"/>
    <xf numFmtId="0" fontId="23" fillId="0" borderId="0" xfId="0" applyFont="1" applyAlignment="1"/>
    <xf numFmtId="0" fontId="22" fillId="0" borderId="0" xfId="0" applyFont="1" applyAlignment="1"/>
    <xf numFmtId="10" fontId="2" fillId="0" borderId="0" xfId="0" applyNumberFormat="1" applyFont="1"/>
    <xf numFmtId="0" fontId="2" fillId="0" borderId="0" xfId="0" applyFont="1" applyFill="1"/>
    <xf numFmtId="0" fontId="24" fillId="0" borderId="0" xfId="0" applyFont="1"/>
    <xf numFmtId="10" fontId="2" fillId="0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textRotation="45"/>
    </xf>
    <xf numFmtId="0" fontId="2" fillId="0" borderId="0" xfId="0" applyFont="1" applyAlignment="1"/>
    <xf numFmtId="10" fontId="22" fillId="0" borderId="0" xfId="0" applyNumberFormat="1" applyFont="1" applyAlignment="1"/>
    <xf numFmtId="0" fontId="23" fillId="0" borderId="0" xfId="0" applyFont="1"/>
    <xf numFmtId="0" fontId="22" fillId="0" borderId="0" xfId="0" applyFont="1" applyFill="1"/>
    <xf numFmtId="0" fontId="22" fillId="0" borderId="0" xfId="0" applyFont="1" applyAlignment="1">
      <alignment textRotation="45"/>
    </xf>
    <xf numFmtId="9" fontId="22" fillId="0" borderId="0" xfId="0" applyNumberFormat="1" applyFont="1"/>
    <xf numFmtId="9" fontId="2" fillId="0" borderId="0" xfId="0" applyNumberFormat="1" applyFont="1"/>
    <xf numFmtId="0" fontId="2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textRotation="45"/>
    </xf>
    <xf numFmtId="0" fontId="21" fillId="0" borderId="0" xfId="0" applyFont="1" applyFill="1"/>
    <xf numFmtId="0" fontId="25" fillId="0" borderId="0" xfId="0" applyFont="1"/>
    <xf numFmtId="0" fontId="25" fillId="4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3" fillId="0" borderId="0" xfId="0" applyFont="1" applyFill="1"/>
    <xf numFmtId="0" fontId="2" fillId="0" borderId="0" xfId="0" applyFont="1" applyFill="1" applyAlignment="1"/>
    <xf numFmtId="0" fontId="2" fillId="5" borderId="0" xfId="0" applyFont="1" applyFill="1" applyAlignment="1"/>
    <xf numFmtId="0" fontId="2" fillId="6" borderId="0" xfId="0" applyFont="1" applyFill="1"/>
    <xf numFmtId="0" fontId="2" fillId="7" borderId="0" xfId="0" applyFont="1" applyFill="1"/>
    <xf numFmtId="0" fontId="34" fillId="2" borderId="0" xfId="0" applyFont="1" applyFill="1"/>
    <xf numFmtId="0" fontId="34" fillId="4" borderId="0" xfId="0" applyFont="1" applyFill="1"/>
    <xf numFmtId="0" fontId="34" fillId="6" borderId="0" xfId="0" applyFont="1" applyFill="1"/>
    <xf numFmtId="0" fontId="34" fillId="3" borderId="0" xfId="0" applyFont="1" applyFill="1"/>
    <xf numFmtId="0" fontId="34" fillId="5" borderId="0" xfId="0" applyFont="1" applyFill="1"/>
    <xf numFmtId="0" fontId="34" fillId="0" borderId="0" xfId="0" applyFont="1" applyFill="1"/>
    <xf numFmtId="0" fontId="23" fillId="0" borderId="0" xfId="0" applyFont="1" applyFill="1" applyAlignment="1">
      <alignment textRotation="45"/>
    </xf>
    <xf numFmtId="9" fontId="2" fillId="2" borderId="0" xfId="0" applyNumberFormat="1" applyFont="1" applyFill="1"/>
    <xf numFmtId="9" fontId="2" fillId="4" borderId="0" xfId="0" applyNumberFormat="1" applyFont="1" applyFill="1"/>
    <xf numFmtId="9" fontId="2" fillId="6" borderId="0" xfId="0" applyNumberFormat="1" applyFont="1" applyFill="1"/>
    <xf numFmtId="0" fontId="2" fillId="3" borderId="0" xfId="0" applyFont="1" applyFill="1" applyAlignment="1"/>
    <xf numFmtId="9" fontId="2" fillId="3" borderId="0" xfId="0" applyNumberFormat="1" applyFont="1" applyFill="1"/>
    <xf numFmtId="9" fontId="2" fillId="5" borderId="0" xfId="0" applyNumberFormat="1" applyFont="1" applyFill="1"/>
    <xf numFmtId="0" fontId="18" fillId="0" borderId="0" xfId="0" applyFont="1" applyFill="1"/>
    <xf numFmtId="10" fontId="40" fillId="0" borderId="0" xfId="0" applyNumberFormat="1" applyFont="1" applyFill="1"/>
    <xf numFmtId="10" fontId="13" fillId="0" borderId="0" xfId="0" applyNumberFormat="1" applyFont="1" applyAlignment="1"/>
    <xf numFmtId="0" fontId="13" fillId="0" borderId="0" xfId="0" applyFont="1" applyAlignment="1"/>
    <xf numFmtId="0" fontId="18" fillId="0" borderId="0" xfId="0" applyFont="1" applyAlignment="1"/>
    <xf numFmtId="0" fontId="35" fillId="4" borderId="0" xfId="0" applyFont="1" applyFill="1"/>
    <xf numFmtId="0" fontId="23" fillId="0" borderId="0" xfId="0" applyFont="1" applyAlignment="1">
      <alignment horizontal="left" vertical="center" readingOrder="1"/>
    </xf>
    <xf numFmtId="0" fontId="2" fillId="2" borderId="0" xfId="0" applyFont="1" applyFill="1" applyAlignment="1"/>
    <xf numFmtId="10" fontId="22" fillId="0" borderId="0" xfId="0" applyNumberFormat="1" applyFont="1" applyFill="1"/>
    <xf numFmtId="0" fontId="1" fillId="8" borderId="0" xfId="0" applyFont="1" applyFill="1"/>
    <xf numFmtId="0" fontId="2" fillId="8" borderId="0" xfId="0" applyFont="1" applyFill="1" applyAlignment="1">
      <alignment horizontal="center" textRotation="90"/>
    </xf>
    <xf numFmtId="0" fontId="1" fillId="0" borderId="0" xfId="0" applyFont="1" applyFill="1" applyAlignment="1">
      <alignment horizontal="left"/>
    </xf>
    <xf numFmtId="2" fontId="22" fillId="0" borderId="0" xfId="0" applyNumberFormat="1" applyFont="1"/>
    <xf numFmtId="0" fontId="2" fillId="0" borderId="0" xfId="0" applyNumberFormat="1" applyFont="1"/>
    <xf numFmtId="0" fontId="1" fillId="8" borderId="0" xfId="0" applyFont="1" applyFill="1" applyAlignment="1">
      <alignment horizontal="center" textRotation="90"/>
    </xf>
    <xf numFmtId="0" fontId="2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 textRotation="90"/>
    </xf>
    <xf numFmtId="0" fontId="8" fillId="0" borderId="0" xfId="0" applyFont="1" applyAlignment="1">
      <alignment horizontal="left"/>
    </xf>
    <xf numFmtId="0" fontId="8" fillId="9" borderId="0" xfId="0" applyFont="1" applyFill="1"/>
    <xf numFmtId="0" fontId="23" fillId="9" borderId="0" xfId="0" applyFont="1" applyFill="1" applyAlignment="1">
      <alignment horizontal="center"/>
    </xf>
    <xf numFmtId="9" fontId="22" fillId="0" borderId="0" xfId="2" applyFont="1" applyFill="1"/>
    <xf numFmtId="9" fontId="2" fillId="0" borderId="0" xfId="2" applyFont="1" applyFill="1"/>
    <xf numFmtId="0" fontId="0" fillId="2" borderId="0" xfId="0" applyFill="1"/>
    <xf numFmtId="0" fontId="2" fillId="10" borderId="0" xfId="0" applyFont="1" applyFill="1"/>
    <xf numFmtId="9" fontId="2" fillId="0" borderId="0" xfId="0" applyNumberFormat="1" applyFont="1" applyFill="1"/>
    <xf numFmtId="0" fontId="23" fillId="0" borderId="0" xfId="0" applyFont="1" applyFill="1" applyAlignment="1"/>
    <xf numFmtId="0" fontId="22" fillId="0" borderId="0" xfId="0" applyFont="1" applyFill="1" applyAlignment="1"/>
    <xf numFmtId="9" fontId="22" fillId="0" borderId="0" xfId="0" applyNumberFormat="1" applyFont="1" applyFill="1" applyAlignment="1"/>
    <xf numFmtId="0" fontId="20" fillId="0" borderId="0" xfId="0" applyFont="1" applyFill="1"/>
    <xf numFmtId="9" fontId="22" fillId="0" borderId="0" xfId="2" applyFont="1"/>
    <xf numFmtId="0" fontId="22" fillId="0" borderId="0" xfId="0" applyNumberFormat="1" applyFont="1"/>
    <xf numFmtId="0" fontId="2" fillId="8" borderId="1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 textRotation="90"/>
    </xf>
    <xf numFmtId="9" fontId="2" fillId="0" borderId="0" xfId="2" applyFont="1"/>
    <xf numFmtId="0" fontId="2" fillId="8" borderId="0" xfId="0" applyFont="1" applyFill="1"/>
    <xf numFmtId="9" fontId="22" fillId="0" borderId="0" xfId="0" applyNumberFormat="1" applyFont="1" applyFill="1"/>
    <xf numFmtId="0" fontId="34" fillId="10" borderId="0" xfId="0" applyFont="1" applyFill="1" applyBorder="1" applyAlignment="1">
      <alignment horizontal="left"/>
    </xf>
    <xf numFmtId="0" fontId="34" fillId="8" borderId="0" xfId="0" applyFont="1" applyFill="1" applyBorder="1" applyAlignment="1">
      <alignment horizontal="left"/>
    </xf>
    <xf numFmtId="0" fontId="1" fillId="11" borderId="0" xfId="0" applyFont="1" applyFill="1"/>
    <xf numFmtId="0" fontId="1" fillId="11" borderId="0" xfId="0" applyFont="1" applyFill="1" applyBorder="1"/>
    <xf numFmtId="0" fontId="8" fillId="11" borderId="11" xfId="0" applyFont="1" applyFill="1" applyBorder="1"/>
    <xf numFmtId="0" fontId="8" fillId="11" borderId="0" xfId="0" applyFont="1" applyFill="1"/>
    <xf numFmtId="0" fontId="1" fillId="11" borderId="0" xfId="0" applyFont="1" applyFill="1" applyAlignment="1">
      <alignment horizontal="left"/>
    </xf>
    <xf numFmtId="0" fontId="41" fillId="11" borderId="0" xfId="0" applyFont="1" applyFill="1"/>
    <xf numFmtId="10" fontId="1" fillId="11" borderId="0" xfId="0" applyNumberFormat="1" applyFont="1" applyFill="1" applyBorder="1"/>
    <xf numFmtId="9" fontId="1" fillId="11" borderId="0" xfId="2" applyFont="1" applyFill="1" applyBorder="1"/>
    <xf numFmtId="0" fontId="2" fillId="11" borderId="0" xfId="0" applyFont="1" applyFill="1" applyBorder="1" applyAlignment="1">
      <alignment horizontal="center"/>
    </xf>
    <xf numFmtId="0" fontId="1" fillId="11" borderId="0" xfId="0" applyNumberFormat="1" applyFont="1" applyFill="1" applyBorder="1"/>
    <xf numFmtId="0" fontId="2" fillId="11" borderId="0" xfId="0" applyFont="1" applyFill="1" applyAlignment="1">
      <alignment textRotation="45"/>
    </xf>
    <xf numFmtId="0" fontId="1" fillId="11" borderId="0" xfId="0" applyNumberFormat="1" applyFont="1" applyFill="1"/>
    <xf numFmtId="0" fontId="2" fillId="11" borderId="0" xfId="0" applyFont="1" applyFill="1" applyBorder="1" applyAlignment="1">
      <alignment horizontal="center" textRotation="90"/>
    </xf>
    <xf numFmtId="0" fontId="1" fillId="11" borderId="0" xfId="0" applyFont="1" applyFill="1" applyBorder="1" applyAlignment="1">
      <alignment horizontal="left"/>
    </xf>
    <xf numFmtId="0" fontId="2" fillId="11" borderId="0" xfId="0" applyNumberFormat="1" applyFont="1" applyFill="1" applyBorder="1"/>
    <xf numFmtId="0" fontId="2" fillId="11" borderId="0" xfId="0" applyFont="1" applyFill="1" applyBorder="1"/>
    <xf numFmtId="0" fontId="2" fillId="11" borderId="0" xfId="0" applyFont="1" applyFill="1" applyAlignment="1">
      <alignment horizontal="center" textRotation="90"/>
    </xf>
    <xf numFmtId="0" fontId="1" fillId="11" borderId="11" xfId="0" applyFont="1" applyFill="1" applyBorder="1"/>
    <xf numFmtId="0" fontId="8" fillId="11" borderId="0" xfId="0" applyFont="1" applyFill="1" applyAlignment="1">
      <alignment horizontal="left"/>
    </xf>
    <xf numFmtId="2" fontId="8" fillId="11" borderId="0" xfId="0" applyNumberFormat="1" applyFont="1" applyFill="1"/>
    <xf numFmtId="0" fontId="2" fillId="11" borderId="0" xfId="0" applyFont="1" applyFill="1" applyAlignment="1">
      <alignment horizontal="left" textRotation="45"/>
    </xf>
    <xf numFmtId="10" fontId="8" fillId="11" borderId="0" xfId="0" applyNumberFormat="1" applyFont="1" applyFill="1"/>
    <xf numFmtId="0" fontId="2" fillId="11" borderId="0" xfId="0" applyFont="1" applyFill="1" applyBorder="1" applyAlignment="1"/>
    <xf numFmtId="9" fontId="2" fillId="11" borderId="0" xfId="2" applyFont="1" applyFill="1" applyBorder="1" applyAlignment="1"/>
    <xf numFmtId="0" fontId="1" fillId="3" borderId="9" xfId="0" applyNumberFormat="1" applyFont="1" applyFill="1" applyBorder="1"/>
    <xf numFmtId="0" fontId="1" fillId="3" borderId="10" xfId="0" applyFont="1" applyFill="1" applyBorder="1"/>
    <xf numFmtId="0" fontId="1" fillId="3" borderId="15" xfId="0" applyFont="1" applyFill="1" applyBorder="1"/>
    <xf numFmtId="0" fontId="1" fillId="3" borderId="1" xfId="0" applyNumberFormat="1" applyFont="1" applyFill="1" applyBorder="1"/>
    <xf numFmtId="0" fontId="1" fillId="3" borderId="2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0" xfId="0" applyNumberFormat="1" applyFont="1" applyFill="1" applyBorder="1"/>
    <xf numFmtId="0" fontId="1" fillId="3" borderId="5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Font="1" applyFill="1" applyBorder="1"/>
    <xf numFmtId="0" fontId="1" fillId="3" borderId="14" xfId="0" applyFont="1" applyFill="1" applyBorder="1"/>
    <xf numFmtId="0" fontId="1" fillId="3" borderId="13" xfId="0" applyFont="1" applyFill="1" applyBorder="1"/>
    <xf numFmtId="0" fontId="1" fillId="3" borderId="12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9" fontId="1" fillId="3" borderId="2" xfId="0" applyNumberFormat="1" applyFont="1" applyFill="1" applyBorder="1"/>
    <xf numFmtId="9" fontId="1" fillId="3" borderId="0" xfId="0" applyNumberFormat="1" applyFont="1" applyFill="1" applyBorder="1"/>
    <xf numFmtId="9" fontId="1" fillId="3" borderId="7" xfId="0" applyNumberFormat="1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1" fillId="2" borderId="10" xfId="0" applyFont="1" applyFill="1" applyBorder="1"/>
    <xf numFmtId="0" fontId="1" fillId="2" borderId="15" xfId="0" applyFont="1" applyFill="1" applyBorder="1"/>
    <xf numFmtId="2" fontId="8" fillId="2" borderId="1" xfId="0" applyNumberFormat="1" applyFont="1" applyFill="1" applyBorder="1"/>
    <xf numFmtId="0" fontId="8" fillId="2" borderId="2" xfId="0" applyFont="1" applyFill="1" applyBorder="1"/>
    <xf numFmtId="2" fontId="8" fillId="2" borderId="2" xfId="0" applyNumberFormat="1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2" borderId="0" xfId="0" applyFont="1" applyFill="1" applyBorder="1"/>
    <xf numFmtId="0" fontId="8" fillId="2" borderId="5" xfId="0" applyFont="1" applyFill="1" applyBorder="1"/>
    <xf numFmtId="0" fontId="8" fillId="2" borderId="0" xfId="0" applyNumberFormat="1" applyFont="1" applyFill="1" applyBorder="1"/>
    <xf numFmtId="0" fontId="1" fillId="2" borderId="4" xfId="0" applyNumberFormat="1" applyFont="1" applyFill="1" applyBorder="1"/>
    <xf numFmtId="0" fontId="1" fillId="2" borderId="0" xfId="0" applyNumberFormat="1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2" xfId="0" applyFont="1" applyFill="1" applyBorder="1"/>
    <xf numFmtId="0" fontId="1" fillId="2" borderId="4" xfId="0" applyFont="1" applyFill="1" applyBorder="1"/>
    <xf numFmtId="0" fontId="8" fillId="2" borderId="6" xfId="0" applyFont="1" applyFill="1" applyBorder="1"/>
    <xf numFmtId="0" fontId="8" fillId="2" borderId="7" xfId="0" applyFont="1" applyFill="1" applyBorder="1"/>
    <xf numFmtId="0" fontId="2" fillId="2" borderId="7" xfId="0" applyFont="1" applyFill="1" applyBorder="1" applyAlignment="1"/>
    <xf numFmtId="0" fontId="8" fillId="2" borderId="8" xfId="0" applyFont="1" applyFill="1" applyBorder="1"/>
    <xf numFmtId="0" fontId="8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1" fillId="2" borderId="3" xfId="0" applyFont="1" applyFill="1" applyBorder="1"/>
    <xf numFmtId="9" fontId="1" fillId="2" borderId="0" xfId="0" applyNumberFormat="1" applyFont="1" applyFill="1" applyBorder="1"/>
    <xf numFmtId="0" fontId="1" fillId="2" borderId="7" xfId="0" applyFont="1" applyFill="1" applyBorder="1"/>
    <xf numFmtId="9" fontId="1" fillId="2" borderId="7" xfId="0" applyNumberFormat="1" applyFont="1" applyFill="1" applyBorder="1"/>
    <xf numFmtId="0" fontId="1" fillId="2" borderId="8" xfId="0" applyFont="1" applyFill="1" applyBorder="1"/>
    <xf numFmtId="0" fontId="12" fillId="11" borderId="0" xfId="0" applyFont="1" applyFill="1"/>
    <xf numFmtId="0" fontId="4" fillId="11" borderId="0" xfId="0" applyFont="1" applyFill="1" applyAlignment="1">
      <alignment horizontal="center"/>
    </xf>
    <xf numFmtId="0" fontId="46" fillId="11" borderId="0" xfId="0" applyFont="1" applyFill="1" applyAlignment="1">
      <alignment horizontal="center"/>
    </xf>
    <xf numFmtId="0" fontId="47" fillId="11" borderId="0" xfId="0" applyFont="1" applyFill="1"/>
    <xf numFmtId="0" fontId="12" fillId="11" borderId="16" xfId="0" applyFont="1" applyFill="1" applyBorder="1"/>
    <xf numFmtId="0" fontId="48" fillId="11" borderId="0" xfId="0" applyFont="1" applyFill="1"/>
    <xf numFmtId="0" fontId="12" fillId="11" borderId="17" xfId="0" applyFont="1" applyFill="1" applyBorder="1"/>
    <xf numFmtId="0" fontId="12" fillId="12" borderId="16" xfId="0" applyFont="1" applyFill="1" applyBorder="1"/>
    <xf numFmtId="0" fontId="12" fillId="12" borderId="17" xfId="0" applyFont="1" applyFill="1" applyBorder="1"/>
    <xf numFmtId="0" fontId="12" fillId="6" borderId="16" xfId="0" applyFont="1" applyFill="1" applyBorder="1"/>
    <xf numFmtId="0" fontId="12" fillId="6" borderId="17" xfId="0" applyFont="1" applyFill="1" applyBorder="1"/>
    <xf numFmtId="0" fontId="12" fillId="13" borderId="16" xfId="0" applyFont="1" applyFill="1" applyBorder="1"/>
    <xf numFmtId="0" fontId="12" fillId="13" borderId="17" xfId="0" applyFont="1" applyFill="1" applyBorder="1"/>
    <xf numFmtId="0" fontId="12" fillId="11" borderId="0" xfId="0" applyFont="1" applyFill="1" applyBorder="1"/>
    <xf numFmtId="0" fontId="48" fillId="11" borderId="0" xfId="0" applyFont="1" applyFill="1" applyBorder="1"/>
    <xf numFmtId="0" fontId="47" fillId="11" borderId="0" xfId="0" applyFont="1" applyFill="1" applyBorder="1"/>
    <xf numFmtId="0" fontId="46" fillId="11" borderId="0" xfId="0" applyFont="1" applyFill="1" applyBorder="1"/>
    <xf numFmtId="0" fontId="46" fillId="11" borderId="0" xfId="0" applyFont="1" applyFill="1"/>
    <xf numFmtId="0" fontId="12" fillId="12" borderId="0" xfId="0" applyFont="1" applyFill="1"/>
    <xf numFmtId="0" fontId="12" fillId="6" borderId="0" xfId="0" applyFont="1" applyFill="1"/>
    <xf numFmtId="0" fontId="12" fillId="13" borderId="0" xfId="0" applyFont="1" applyFill="1"/>
    <xf numFmtId="0" fontId="12" fillId="11" borderId="0" xfId="0" applyFont="1" applyFill="1" applyAlignment="1">
      <alignment horizontal="right"/>
    </xf>
    <xf numFmtId="0" fontId="13" fillId="14" borderId="0" xfId="0" applyFont="1" applyFill="1"/>
    <xf numFmtId="0" fontId="14" fillId="3" borderId="23" xfId="0" applyFont="1" applyFill="1" applyBorder="1"/>
    <xf numFmtId="0" fontId="13" fillId="3" borderId="13" xfId="0" applyFont="1" applyFill="1" applyBorder="1"/>
    <xf numFmtId="0" fontId="13" fillId="3" borderId="18" xfId="0" applyFont="1" applyFill="1" applyBorder="1"/>
    <xf numFmtId="0" fontId="38" fillId="3" borderId="0" xfId="0" applyFont="1" applyFill="1" applyBorder="1" applyAlignment="1">
      <alignment horizontal="right"/>
    </xf>
    <xf numFmtId="0" fontId="37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right"/>
    </xf>
    <xf numFmtId="0" fontId="17" fillId="3" borderId="19" xfId="0" applyFont="1" applyFill="1" applyBorder="1" applyAlignment="1">
      <alignment horizontal="right"/>
    </xf>
    <xf numFmtId="0" fontId="39" fillId="3" borderId="0" xfId="0" applyFont="1" applyFill="1" applyBorder="1"/>
    <xf numFmtId="0" fontId="15" fillId="3" borderId="0" xfId="0" applyFont="1" applyFill="1" applyBorder="1"/>
    <xf numFmtId="0" fontId="13" fillId="3" borderId="0" xfId="0" applyFont="1" applyFill="1" applyBorder="1"/>
    <xf numFmtId="10" fontId="18" fillId="3" borderId="19" xfId="0" applyNumberFormat="1" applyFont="1" applyFill="1" applyBorder="1"/>
    <xf numFmtId="0" fontId="19" fillId="3" borderId="0" xfId="0" applyFont="1" applyFill="1" applyBorder="1"/>
    <xf numFmtId="0" fontId="18" fillId="3" borderId="0" xfId="0" applyFont="1" applyFill="1" applyBorder="1"/>
    <xf numFmtId="0" fontId="18" fillId="3" borderId="21" xfId="0" applyFont="1" applyFill="1" applyBorder="1"/>
    <xf numFmtId="0" fontId="15" fillId="3" borderId="21" xfId="0" applyFont="1" applyFill="1" applyBorder="1"/>
    <xf numFmtId="0" fontId="13" fillId="3" borderId="21" xfId="0" applyFont="1" applyFill="1" applyBorder="1"/>
    <xf numFmtId="10" fontId="18" fillId="3" borderId="22" xfId="0" applyNumberFormat="1" applyFont="1" applyFill="1" applyBorder="1"/>
    <xf numFmtId="0" fontId="17" fillId="3" borderId="11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0" fontId="17" fillId="3" borderId="19" xfId="0" applyNumberFormat="1" applyFont="1" applyFill="1" applyBorder="1" applyAlignment="1">
      <alignment horizontal="right"/>
    </xf>
    <xf numFmtId="0" fontId="18" fillId="3" borderId="11" xfId="0" applyFont="1" applyFill="1" applyBorder="1"/>
    <xf numFmtId="0" fontId="18" fillId="3" borderId="20" xfId="0" applyFont="1" applyFill="1" applyBorder="1"/>
    <xf numFmtId="9" fontId="18" fillId="3" borderId="11" xfId="2" applyFont="1" applyFill="1" applyBorder="1"/>
    <xf numFmtId="9" fontId="18" fillId="3" borderId="0" xfId="2" applyFont="1" applyFill="1" applyBorder="1"/>
    <xf numFmtId="9" fontId="13" fillId="3" borderId="0" xfId="0" applyNumberFormat="1" applyFont="1" applyFill="1" applyBorder="1"/>
    <xf numFmtId="9" fontId="13" fillId="3" borderId="0" xfId="2" applyFont="1" applyFill="1" applyBorder="1"/>
    <xf numFmtId="9" fontId="18" fillId="3" borderId="19" xfId="0" applyNumberFormat="1" applyFont="1" applyFill="1" applyBorder="1"/>
    <xf numFmtId="9" fontId="18" fillId="3" borderId="20" xfId="2" applyFont="1" applyFill="1" applyBorder="1"/>
    <xf numFmtId="9" fontId="18" fillId="3" borderId="21" xfId="2" applyFont="1" applyFill="1" applyBorder="1"/>
    <xf numFmtId="9" fontId="13" fillId="3" borderId="21" xfId="0" applyNumberFormat="1" applyFont="1" applyFill="1" applyBorder="1"/>
    <xf numFmtId="9" fontId="13" fillId="3" borderId="21" xfId="2" applyFont="1" applyFill="1" applyBorder="1"/>
    <xf numFmtId="9" fontId="18" fillId="3" borderId="22" xfId="0" applyNumberFormat="1" applyFont="1" applyFill="1" applyBorder="1"/>
    <xf numFmtId="0" fontId="38" fillId="3" borderId="11" xfId="0" applyFont="1" applyFill="1" applyBorder="1" applyAlignment="1">
      <alignment horizontal="right"/>
    </xf>
    <xf numFmtId="10" fontId="38" fillId="3" borderId="19" xfId="0" applyNumberFormat="1" applyFont="1" applyFill="1" applyBorder="1" applyAlignment="1">
      <alignment horizontal="right"/>
    </xf>
    <xf numFmtId="9" fontId="18" fillId="3" borderId="19" xfId="2" applyFont="1" applyFill="1" applyBorder="1"/>
    <xf numFmtId="9" fontId="18" fillId="3" borderId="22" xfId="2" applyFont="1" applyFill="1" applyBorder="1"/>
    <xf numFmtId="0" fontId="42" fillId="8" borderId="0" xfId="0" applyFont="1" applyFill="1"/>
    <xf numFmtId="0" fontId="42" fillId="8" borderId="11" xfId="0" applyFont="1" applyFill="1" applyBorder="1"/>
    <xf numFmtId="0" fontId="12" fillId="11" borderId="0" xfId="0" applyFont="1" applyFill="1" applyAlignment="1">
      <alignment horizontal="center"/>
    </xf>
    <xf numFmtId="0" fontId="14" fillId="0" borderId="0" xfId="0" applyFont="1" applyFill="1" applyBorder="1"/>
    <xf numFmtId="0" fontId="49" fillId="0" borderId="0" xfId="0" applyFont="1" applyFill="1" applyBorder="1" applyAlignment="1">
      <alignment horizontal="right"/>
    </xf>
    <xf numFmtId="0" fontId="50" fillId="0" borderId="0" xfId="0" applyFont="1" applyFill="1" applyBorder="1"/>
    <xf numFmtId="0" fontId="39" fillId="3" borderId="11" xfId="0" applyFont="1" applyFill="1" applyBorder="1"/>
    <xf numFmtId="0" fontId="19" fillId="3" borderId="11" xfId="0" applyFont="1" applyFill="1" applyBorder="1"/>
    <xf numFmtId="0" fontId="25" fillId="8" borderId="0" xfId="0" applyFont="1" applyFill="1"/>
    <xf numFmtId="0" fontId="25" fillId="8" borderId="0" xfId="0" applyFont="1" applyFill="1" applyBorder="1"/>
    <xf numFmtId="0" fontId="2" fillId="11" borderId="0" xfId="0" applyFont="1" applyFill="1"/>
    <xf numFmtId="0" fontId="2" fillId="11" borderId="23" xfId="0" applyFont="1" applyFill="1" applyBorder="1"/>
    <xf numFmtId="0" fontId="2" fillId="11" borderId="13" xfId="0" applyFont="1" applyFill="1" applyBorder="1"/>
    <xf numFmtId="0" fontId="2" fillId="11" borderId="18" xfId="0" applyFont="1" applyFill="1" applyBorder="1"/>
    <xf numFmtId="0" fontId="2" fillId="11" borderId="11" xfId="0" applyFont="1" applyFill="1" applyBorder="1"/>
    <xf numFmtId="0" fontId="2" fillId="11" borderId="19" xfId="0" applyFont="1" applyFill="1" applyBorder="1"/>
    <xf numFmtId="0" fontId="2" fillId="11" borderId="20" xfId="0" applyFont="1" applyFill="1" applyBorder="1"/>
    <xf numFmtId="0" fontId="2" fillId="11" borderId="21" xfId="0" applyFont="1" applyFill="1" applyBorder="1"/>
    <xf numFmtId="0" fontId="2" fillId="11" borderId="22" xfId="0" applyFont="1" applyFill="1" applyBorder="1"/>
    <xf numFmtId="0" fontId="2" fillId="11" borderId="0" xfId="0" applyNumberFormat="1" applyFont="1" applyFill="1" applyBorder="1" applyAlignment="1">
      <alignment horizontal="center"/>
    </xf>
    <xf numFmtId="0" fontId="2" fillId="11" borderId="0" xfId="0" applyNumberFormat="1" applyFont="1" applyFill="1" applyBorder="1" applyAlignment="1"/>
    <xf numFmtId="0" fontId="2" fillId="11" borderId="0" xfId="2" applyNumberFormat="1" applyFont="1" applyFill="1" applyBorder="1" applyAlignment="1"/>
    <xf numFmtId="0" fontId="25" fillId="8" borderId="11" xfId="0" applyFont="1" applyFill="1" applyBorder="1"/>
    <xf numFmtId="0" fontId="51" fillId="15" borderId="0" xfId="0" applyFont="1" applyFill="1"/>
    <xf numFmtId="0" fontId="53" fillId="0" borderId="0" xfId="0" applyFont="1"/>
    <xf numFmtId="2" fontId="1" fillId="11" borderId="0" xfId="0" applyNumberFormat="1" applyFont="1" applyFill="1"/>
    <xf numFmtId="0" fontId="25" fillId="8" borderId="19" xfId="0" applyFont="1" applyFill="1" applyBorder="1"/>
    <xf numFmtId="0" fontId="1" fillId="8" borderId="0" xfId="0" applyFont="1" applyFill="1" applyBorder="1" applyAlignment="1">
      <alignment horizontal="center" textRotation="90"/>
    </xf>
    <xf numFmtId="0" fontId="5" fillId="0" borderId="0" xfId="0" applyFont="1" applyBorder="1"/>
    <xf numFmtId="0" fontId="1" fillId="3" borderId="10" xfId="0" applyNumberFormat="1" applyFont="1" applyFill="1" applyBorder="1"/>
    <xf numFmtId="0" fontId="9" fillId="11" borderId="0" xfId="0" applyFont="1" applyFill="1"/>
    <xf numFmtId="0" fontId="13" fillId="11" borderId="0" xfId="0" applyFont="1" applyFill="1"/>
    <xf numFmtId="0" fontId="54" fillId="0" borderId="0" xfId="0" applyFont="1"/>
    <xf numFmtId="164" fontId="2" fillId="0" borderId="0" xfId="0" applyNumberFormat="1" applyFont="1" applyFill="1"/>
    <xf numFmtId="2" fontId="2" fillId="0" borderId="0" xfId="0" applyNumberFormat="1" applyFont="1" applyFill="1"/>
    <xf numFmtId="164" fontId="22" fillId="0" borderId="0" xfId="0" applyNumberFormat="1" applyFont="1" applyFill="1"/>
    <xf numFmtId="11" fontId="2" fillId="0" borderId="0" xfId="0" applyNumberFormat="1" applyFont="1" applyFill="1"/>
    <xf numFmtId="11" fontId="2" fillId="0" borderId="0" xfId="0" applyNumberFormat="1" applyFont="1"/>
    <xf numFmtId="0" fontId="2" fillId="16" borderId="0" xfId="0" applyFont="1" applyFill="1"/>
    <xf numFmtId="0" fontId="2" fillId="17" borderId="0" xfId="0" applyFont="1" applyFill="1"/>
    <xf numFmtId="0" fontId="34" fillId="11" borderId="0" xfId="0" applyFont="1" applyFill="1" applyBorder="1" applyAlignment="1">
      <alignment horizontal="left"/>
    </xf>
    <xf numFmtId="11" fontId="2" fillId="10" borderId="0" xfId="0" applyNumberFormat="1" applyFont="1" applyFill="1"/>
    <xf numFmtId="11" fontId="2" fillId="3" borderId="0" xfId="0" applyNumberFormat="1" applyFont="1" applyFill="1"/>
    <xf numFmtId="0" fontId="1" fillId="3" borderId="24" xfId="0" applyFont="1" applyFill="1" applyBorder="1"/>
    <xf numFmtId="0" fontId="1" fillId="3" borderId="21" xfId="0" applyFont="1" applyFill="1" applyBorder="1"/>
    <xf numFmtId="0" fontId="1" fillId="3" borderId="25" xfId="0" applyFont="1" applyFill="1" applyBorder="1"/>
    <xf numFmtId="0" fontId="1" fillId="2" borderId="24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0" borderId="0" xfId="0" applyFont="1" applyAlignment="1">
      <alignment wrapText="1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6D6FF"/>
      <color rgb="FF7A81FF"/>
      <color rgb="FFFFCDEE"/>
      <color rgb="FFFF8AD8"/>
      <color rgb="FFD883FF"/>
      <color rgb="FF73FDD6"/>
      <color rgb="FF73FB79"/>
      <color rgb="FFFFFD78"/>
      <color rgb="FFFFD5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8-EB4D-8FDB-D944E60DBD2B}"/>
              </c:ext>
            </c:extLst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8-EB4D-8FDB-D944E60DBD2B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8-EB4D-8FDB-D944E60DBD2B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8-EB4D-8FDB-D944E60DBD2B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8-EB4D-8FDB-D944E60DBD2B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8-EB4D-8FDB-D944E60DBD2B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8-EB4D-8FDB-D944E60DBD2B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8-EB4D-8FDB-D944E60DBD2B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8-EB4D-8FDB-D944E60DBD2B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8-EB4D-8FDB-D944E60DBD2B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8-EB4D-8FDB-D944E60DBD2B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8-EB4D-8FDB-D944E60DBD2B}"/>
              </c:ext>
            </c:extLst>
          </c:dPt>
          <c:dLbls>
            <c:dLbl>
              <c:idx val="0"/>
              <c:layout>
                <c:manualLayout>
                  <c:x val="-0.23261590717084882"/>
                  <c:y val="-0.11036653582646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8-EB4D-8FDB-D944E60DBD2B}"/>
                </c:ext>
              </c:extLst>
            </c:dLbl>
            <c:dLbl>
              <c:idx val="1"/>
              <c:layout>
                <c:manualLayout>
                  <c:x val="0.20519076990456406"/>
                  <c:y val="5.75155024120175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8-EB4D-8FDB-D944E60DBD2B}"/>
                </c:ext>
              </c:extLst>
            </c:dLbl>
            <c:dLbl>
              <c:idx val="2"/>
              <c:layout>
                <c:manualLayout>
                  <c:x val="0.13885643737828962"/>
                  <c:y val="0.10989182177047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E8-EB4D-8FDB-D944E60DBD2B}"/>
                </c:ext>
              </c:extLst>
            </c:dLbl>
            <c:dLbl>
              <c:idx val="3"/>
              <c:layout>
                <c:manualLayout>
                  <c:x val="-0.11022359577203568"/>
                  <c:y val="0.11353255785415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E8-EB4D-8FDB-D944E60DBD2B}"/>
                </c:ext>
              </c:extLst>
            </c:dLbl>
            <c:dLbl>
              <c:idx val="11"/>
              <c:layout>
                <c:manualLayout>
                  <c:x val="0.16220834068942866"/>
                  <c:y val="0.160740012080008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55154521869738"/>
                      <c:h val="9.24541487836919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2AE8-EB4D-8FDB-D944E60DB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8-EB4D-8FDB-D944E60DBD2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E-2E4A-999C-9BEBD76CF124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E-2E4A-999C-9BEBD76CF124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9E-2E4A-999C-9BEBD76CF12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9E-2E4A-999C-9BEBD76CF124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9E-2E4A-999C-9BEBD76CF124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9E-2E4A-999C-9BEBD76CF124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26-7143-9ABE-D77963E64D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Hydro!$O$163:$O$169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Hydro!$V$163:$V$169</c:f>
              <c:numCache>
                <c:formatCode>General</c:formatCode>
                <c:ptCount val="7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2E4A-999C-9BEBD76CF1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Photovoltaic</a:t>
            </a:r>
          </a:p>
        </c:rich>
      </c:tx>
      <c:layout>
        <c:manualLayout>
          <c:xMode val="edge"/>
          <c:yMode val="edge"/>
          <c:x val="0.32499380417532475"/>
          <c:y val="2.0299864016512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AF-7741-B44E-0FF45F98CE1A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AF-7741-B44E-0FF45F98CE1A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AF-7741-B44E-0FF45F98CE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AF-7741-B44E-0FF45F98CE1A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AF-7741-B44E-0FF45F98CE1A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AF-7741-B44E-0FF45F98CE1A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3AF-7741-B44E-0FF45F98CE1A}"/>
              </c:ext>
            </c:extLst>
          </c:dPt>
          <c:dLbls>
            <c:dLbl>
              <c:idx val="1"/>
              <c:layout>
                <c:manualLayout>
                  <c:x val="8.3621563700606635E-3"/>
                  <c:y val="1.3676946042122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AF-7741-B44E-0FF45F98CE1A}"/>
                </c:ext>
              </c:extLst>
            </c:dLbl>
            <c:dLbl>
              <c:idx val="2"/>
              <c:layout>
                <c:manualLayout>
                  <c:x val="1.2482579017507451E-2"/>
                  <c:y val="1.52060394966352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AF-7741-B44E-0FF45F98CE1A}"/>
                </c:ext>
              </c:extLst>
            </c:dLbl>
            <c:dLbl>
              <c:idx val="4"/>
              <c:layout>
                <c:manualLayout>
                  <c:x val="8.9015879797764014E-2"/>
                  <c:y val="-0.2481672888373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AF-7741-B44E-0FF45F98CE1A}"/>
                </c:ext>
              </c:extLst>
            </c:dLbl>
            <c:dLbl>
              <c:idx val="5"/>
              <c:layout>
                <c:manualLayout>
                  <c:x val="-0.10307524847153128"/>
                  <c:y val="1.85316851116880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3AF-7741-B44E-0FF45F98CE1A}"/>
                </c:ext>
              </c:extLst>
            </c:dLbl>
            <c:dLbl>
              <c:idx val="6"/>
              <c:layout>
                <c:manualLayout>
                  <c:x val="-4.5038467714140835E-2"/>
                  <c:y val="-2.79738725825027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3AF-7741-B44E-0FF45F98CE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Photovoltaic'!$E$345:$E$351</c:f>
              <c:strCache>
                <c:ptCount val="7"/>
                <c:pt idx="0">
                  <c:v>Glass</c:v>
                </c:pt>
                <c:pt idx="1">
                  <c:v>EVA</c:v>
                </c:pt>
                <c:pt idx="2">
                  <c:v>Si</c:v>
                </c:pt>
                <c:pt idx="3">
                  <c:v>Aluminium</c:v>
                </c:pt>
                <c:pt idx="4">
                  <c:v>Steel</c:v>
                </c:pt>
                <c:pt idx="5">
                  <c:v>Copper</c:v>
                </c:pt>
                <c:pt idx="6">
                  <c:v>Plastic</c:v>
                </c:pt>
              </c:strCache>
            </c:strRef>
          </c:cat>
          <c:val>
            <c:numRef>
              <c:f>'Solar Photovoltaic'!$F$345:$F$351</c:f>
              <c:numCache>
                <c:formatCode>General</c:formatCode>
                <c:ptCount val="7"/>
                <c:pt idx="0">
                  <c:v>24.96</c:v>
                </c:pt>
                <c:pt idx="1">
                  <c:v>630</c:v>
                </c:pt>
                <c:pt idx="2">
                  <c:v>230</c:v>
                </c:pt>
                <c:pt idx="3">
                  <c:v>1900</c:v>
                </c:pt>
                <c:pt idx="4">
                  <c:v>25000</c:v>
                </c:pt>
                <c:pt idx="5">
                  <c:v>40</c:v>
                </c:pt>
                <c:pt idx="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F-7741-B44E-0FF45F98CE1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6-7B4C-98B5-C299501CC201}"/>
              </c:ext>
            </c:extLst>
          </c:dPt>
          <c:dPt>
            <c:idx val="1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6-7B4C-98B5-C299501CC201}"/>
              </c:ext>
            </c:extLst>
          </c:dPt>
          <c:dPt>
            <c:idx val="2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36-7B4C-98B5-C299501CC2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36-7B4C-98B5-C299501CC201}"/>
              </c:ext>
            </c:extLst>
          </c:dPt>
          <c:dPt>
            <c:idx val="4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36-7B4C-98B5-C299501CC201}"/>
              </c:ext>
            </c:extLst>
          </c:dPt>
          <c:dPt>
            <c:idx val="5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36-7B4C-98B5-C299501CC201}"/>
              </c:ext>
            </c:extLst>
          </c:dPt>
          <c:dPt>
            <c:idx val="6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36-7B4C-98B5-C299501CC2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36-7B4C-98B5-C299501CC2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36-7B4C-98B5-C299501CC20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36-7B4C-98B5-C299501CC20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36-7B4C-98B5-C299501CC20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36-7B4C-98B5-C299501CC20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36-7B4C-98B5-C299501CC2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4-CF4C-9164-10C9D075E53B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4-CF4C-9164-10C9D075E53B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4-CF4C-9164-10C9D075E53B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4-CF4C-9164-10C9D075E53B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4-CF4C-9164-10C9D075E53B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A4-CF4C-9164-10C9D075E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A4-CF4C-9164-10C9D075E53B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A4-CF4C-9164-10C9D075E53B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A4-CF4C-9164-10C9D075E53B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A4-CF4C-9164-10C9D075E53B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A4-CF4C-9164-10C9D075E53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Wind Turbine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FA-AB4D-BF8E-CCDE59FB0DC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A-AB4D-BF8E-CCDE59FB0DC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FA-AB4D-BF8E-CCDE59FB0DC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96-D443-94ED-99CB778A7B7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96-D443-94ED-99CB778A7B7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96-D443-94ED-99CB778A7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96-D443-94ED-99CB778A7B72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96-D443-94ED-99CB778A7B72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96-D443-94ED-99CB778A7B72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96-D443-94ED-99CB778A7B72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96-D443-94ED-99CB778A7B72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96-D443-94ED-99CB778A7B72}"/>
              </c:ext>
            </c:extLst>
          </c:dPt>
          <c:dLbls>
            <c:dLbl>
              <c:idx val="0"/>
              <c:layout>
                <c:manualLayout>
                  <c:x val="-0.19087866564579148"/>
                  <c:y val="-0.1462612693782141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A-AB4D-BF8E-CCDE59FB0DC5}"/>
                </c:ext>
              </c:extLst>
            </c:dLbl>
            <c:dLbl>
              <c:idx val="1"/>
              <c:layout>
                <c:manualLayout>
                  <c:x val="0.15602094162092908"/>
                  <c:y val="1.245523019588514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FA-AB4D-BF8E-CCDE59FB0DC5}"/>
                </c:ext>
              </c:extLst>
            </c:dLbl>
            <c:dLbl>
              <c:idx val="2"/>
              <c:layout>
                <c:manualLayout>
                  <c:x val="8.0275855460144235E-2"/>
                  <c:y val="7.157497034295874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A-AB4D-BF8E-CCDE59FB0DC5}"/>
                </c:ext>
              </c:extLst>
            </c:dLbl>
            <c:dLbl>
              <c:idx val="11"/>
              <c:layout>
                <c:manualLayout>
                  <c:x val="7.2196489466306746E-2"/>
                  <c:y val="0.1657332391903907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2471785788174E-2"/>
                      <c:h val="7.18265541312417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F96-D443-94ED-99CB778A7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AB4D-BF8E-CCDE59FB0DC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1-0541-B478-F28C180B5BBE}"/>
              </c:ext>
            </c:extLst>
          </c:dPt>
          <c:dPt>
            <c:idx val="1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1-0541-B478-F28C180B5BBE}"/>
              </c:ext>
            </c:extLst>
          </c:dPt>
          <c:dPt>
            <c:idx val="2"/>
            <c:bubble3D val="0"/>
            <c:spPr>
              <a:solidFill>
                <a:schemeClr val="accent5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81-0541-B478-F28C180B5BB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81-0541-B478-F28C180B5BBE}"/>
              </c:ext>
            </c:extLst>
          </c:dPt>
          <c:dPt>
            <c:idx val="4"/>
            <c:bubble3D val="0"/>
            <c:spPr>
              <a:solidFill>
                <a:schemeClr val="accent5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81-0541-B478-F28C180B5BBE}"/>
              </c:ext>
            </c:extLst>
          </c:dPt>
          <c:dPt>
            <c:idx val="5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81-0541-B478-F28C180B5BBE}"/>
              </c:ext>
            </c:extLst>
          </c:dPt>
          <c:dPt>
            <c:idx val="6"/>
            <c:bubble3D val="0"/>
            <c:spPr>
              <a:solidFill>
                <a:schemeClr val="accent5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81-0541-B478-F28C180B5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681-0541-B478-F28C180B5B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681-0541-B478-F28C180B5BB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681-0541-B478-F28C180B5BB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681-0541-B478-F28C180B5BB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681-0541-B478-F28C180B5BBE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681-0541-B478-F28C180B5BBE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681-0541-B478-F28C180B5B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Panel</a:t>
            </a:r>
          </a:p>
        </c:rich>
      </c:tx>
      <c:layout>
        <c:manualLayout>
          <c:xMode val="edge"/>
          <c:yMode val="edge"/>
          <c:x val="0.32604339105759594"/>
          <c:y val="1.840116061853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1-5B4F-AB7F-A9A5A0C5106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1-5B4F-AB7F-A9A5A0C5106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1-5B4F-AB7F-A9A5A0C5106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1-5B4F-AB7F-A9A5A0C5106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1-5B4F-AB7F-A9A5A0C51061}"/>
              </c:ext>
            </c:extLst>
          </c:dPt>
          <c:dLbls>
            <c:dLbl>
              <c:idx val="3"/>
              <c:layout>
                <c:manualLayout>
                  <c:x val="-7.707612353430783E-2"/>
                  <c:y val="-0.190323939347526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1-5B4F-AB7F-A9A5A0C51061}"/>
                </c:ext>
              </c:extLst>
            </c:dLbl>
            <c:dLbl>
              <c:idx val="4"/>
              <c:layout>
                <c:manualLayout>
                  <c:x val="0.19201903412222621"/>
                  <c:y val="7.7300541904616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1-5B4F-AB7F-A9A5A0C51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Photovoltaic'!$H$272:$H$276</c:f>
              <c:numCache>
                <c:formatCode>General</c:formatCode>
                <c:ptCount val="5"/>
                <c:pt idx="0">
                  <c:v>1.1499999999999999</c:v>
                </c:pt>
                <c:pt idx="1">
                  <c:v>0.36</c:v>
                </c:pt>
                <c:pt idx="2">
                  <c:v>0.1</c:v>
                </c:pt>
                <c:pt idx="3">
                  <c:v>1.49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C1-5B4F-AB7F-A9A5A0C5106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C1-5B4F-AB7F-A9A5A0C5106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Photovoltaic'!$H$274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C1-5B4F-AB7F-A9A5A0C5106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Photovoltaic'!$H$275</c:f>
              <c:numCache>
                <c:formatCode>General</c:formatCode>
                <c:ptCount val="1"/>
                <c:pt idx="0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C1-5B4F-AB7F-A9A5A0C5106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Photovoltaic'!$H$276</c:f>
              <c:numCache>
                <c:formatCode>General</c:formatCode>
                <c:ptCount val="1"/>
                <c:pt idx="0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C1-5B4F-AB7F-A9A5A0C510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(2-3MW)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B-2B42-B3D4-6898CBD0E26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B-2B42-B3D4-6898CBD0E26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B-2B42-B3D4-6898CBD0E26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B-2B42-B3D4-6898CBD0E26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B-2B42-B3D4-6898CBD0E2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Photovoltaic'!$G$120:$G$124</c:f>
              <c:numCache>
                <c:formatCode>0.00%</c:formatCode>
                <c:ptCount val="5"/>
                <c:pt idx="0" formatCode="0%">
                  <c:v>0.38</c:v>
                </c:pt>
                <c:pt idx="1">
                  <c:v>0.36199999999999999</c:v>
                </c:pt>
                <c:pt idx="2">
                  <c:v>0.252</c:v>
                </c:pt>
                <c:pt idx="3" formatCode="0%">
                  <c:v>5.0000000000000001E-4</c:v>
                </c:pt>
                <c:pt idx="4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CB-2B42-B3D4-6898CBD0E26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Photovoltaic'!$G$121</c:f>
              <c:numCache>
                <c:formatCode>0.00%</c:formatCode>
                <c:ptCount val="1"/>
                <c:pt idx="0">
                  <c:v>0.36199999999999999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CB-2B42-B3D4-6898CBD0E26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Photovoltaic'!$G$122</c:f>
              <c:numCache>
                <c:formatCode>0.00%</c:formatCode>
                <c:ptCount val="1"/>
                <c:pt idx="0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CB-2B42-B3D4-6898CBD0E26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Photovoltaic'!$G$123</c:f>
              <c:numCache>
                <c:formatCode>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CB-2B42-B3D4-6898CBD0E26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Photovoltaic'!$G$124</c:f>
              <c:numCache>
                <c:formatCode>0.00%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CB-2B42-B3D4-6898CBD0E26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E-C74B-8768-48D2CF4F148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E-C74B-8768-48D2CF4F148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E-C74B-8768-48D2CF4F14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E-C74B-8768-48D2CF4F148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E-C74B-8768-48D2CF4F148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BE-C74B-8768-48D2CF4F1481}"/>
              </c:ext>
            </c:extLst>
          </c:dPt>
          <c:dLbls>
            <c:dLbl>
              <c:idx val="0"/>
              <c:layout>
                <c:manualLayout>
                  <c:x val="-0.15741368757614435"/>
                  <c:y val="-0.11590941424934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BE-C74B-8768-48D2CF4F1481}"/>
                </c:ext>
              </c:extLst>
            </c:dLbl>
            <c:dLbl>
              <c:idx val="1"/>
              <c:layout>
                <c:manualLayout>
                  <c:x val="0.13212534072603827"/>
                  <c:y val="7.5520354928402427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BE-C74B-8768-48D2CF4F1481}"/>
                </c:ext>
              </c:extLst>
            </c:dLbl>
            <c:dLbl>
              <c:idx val="2"/>
              <c:layout>
                <c:manualLayout>
                  <c:x val="0.10054609078207587"/>
                  <c:y val="0.14808498750650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BE-C74B-8768-48D2CF4F1481}"/>
                </c:ext>
              </c:extLst>
            </c:dLbl>
            <c:dLbl>
              <c:idx val="3"/>
              <c:layout>
                <c:manualLayout>
                  <c:x val="2.6698287746405756E-3"/>
                  <c:y val="3.31861371286656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BE-C74B-8768-48D2CF4F1481}"/>
                </c:ext>
              </c:extLst>
            </c:dLbl>
            <c:dLbl>
              <c:idx val="4"/>
              <c:layout>
                <c:manualLayout>
                  <c:x val="3.7912602246846505E-2"/>
                  <c:y val="3.4514217993113043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BE-C74B-8768-48D2CF4F148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2BE-C74B-8768-48D2CF4F1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Hydro!$O$35:$O$40</c:f>
              <c:strCache>
                <c:ptCount val="6"/>
                <c:pt idx="0">
                  <c:v>Cement</c:v>
                </c:pt>
                <c:pt idx="1">
                  <c:v>PVC</c:v>
                </c:pt>
                <c:pt idx="2">
                  <c:v>Aluminium</c:v>
                </c:pt>
                <c:pt idx="3">
                  <c:v>Cast Aluminium</c:v>
                </c:pt>
                <c:pt idx="4">
                  <c:v>Ceramic</c:v>
                </c:pt>
                <c:pt idx="5">
                  <c:v>Steel</c:v>
                </c:pt>
              </c:strCache>
            </c:strRef>
          </c:cat>
          <c:val>
            <c:numRef>
              <c:f>Hydro!$P$35:$P$40</c:f>
              <c:numCache>
                <c:formatCode>General</c:formatCode>
                <c:ptCount val="6"/>
                <c:pt idx="0">
                  <c:v>2098.6999999999998</c:v>
                </c:pt>
                <c:pt idx="1">
                  <c:v>694</c:v>
                </c:pt>
                <c:pt idx="2">
                  <c:v>223</c:v>
                </c:pt>
                <c:pt idx="3">
                  <c:v>66.7</c:v>
                </c:pt>
                <c:pt idx="4">
                  <c:v>69.900000000000006</c:v>
                </c:pt>
                <c:pt idx="5">
                  <c:v>102.7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BE-C74B-8768-48D2CF4F148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B-8944-9F99-E632A448270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B-8944-9F99-E632A448270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B-8944-9F99-E632A44827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B-8944-9F99-E632A448270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B-8944-9F99-E632A448270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B-8944-9F99-E632A44827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AF-334D-A174-9FA86E89B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Hydro!$P$54:$P$60</c:f>
              <c:numCache>
                <c:formatCode>General</c:formatCode>
                <c:ptCount val="7"/>
                <c:pt idx="0">
                  <c:v>88</c:v>
                </c:pt>
                <c:pt idx="1">
                  <c:v>27</c:v>
                </c:pt>
                <c:pt idx="2">
                  <c:v>2.2744999999999997</c:v>
                </c:pt>
                <c:pt idx="3">
                  <c:v>7.1000000000000004E-3</c:v>
                </c:pt>
                <c:pt idx="4">
                  <c:v>3.8E-3</c:v>
                </c:pt>
                <c:pt idx="5">
                  <c:v>2.7999999999999998E-4</c:v>
                </c:pt>
                <c:pt idx="6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B-8944-9F99-E632A44827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12-F64F-B308-B20EC9550BB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12-F64F-B308-B20EC9550BB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12-F64F-B308-B20EC9550BB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12-F64F-B308-B20EC9550BB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12-F64F-B308-B20EC9550B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12-F64F-B308-B20EC9550B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12-F64F-B308-B20EC9550B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Hydro!$T$54:$T$60</c:f>
              <c:numCache>
                <c:formatCode>General</c:formatCode>
                <c:ptCount val="7"/>
                <c:pt idx="0">
                  <c:v>2.4903999999999997</c:v>
                </c:pt>
                <c:pt idx="1">
                  <c:v>25.731000000000002</c:v>
                </c:pt>
                <c:pt idx="2">
                  <c:v>9.9850550000000009</c:v>
                </c:pt>
                <c:pt idx="3">
                  <c:v>3.8659500000000006E-2</c:v>
                </c:pt>
                <c:pt idx="4">
                  <c:v>9.025E-3</c:v>
                </c:pt>
                <c:pt idx="5">
                  <c:v>3.5699999999999998E-3</c:v>
                </c:pt>
                <c:pt idx="6">
                  <c:v>0.39874999999999999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12-F64F-B308-B20EC9550BB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34-0943-854C-B49C674299E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4-0943-854C-B49C674299E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4-0943-854C-B49C674299E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4-0943-854C-B49C674299E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4-0943-854C-B49C674299E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4-0943-854C-B49C67429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0-574B-AADA-52266212CAF3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0-574B-AADA-52266212C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Hydro!$O$163:$O$170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Hydro!$V$163:$V$170</c:f>
              <c:numCache>
                <c:formatCode>General</c:formatCode>
                <c:ptCount val="8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4-0943-854C-B49C674299E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1F-E04E-81C1-CFA194F88895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1F-E04E-81C1-CFA194F88895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1F-E04E-81C1-CFA194F88895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1F-E04E-81C1-CFA194F88895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1F-E04E-81C1-CFA194F88895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1F-E04E-81C1-CFA194F88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1F-E04E-81C1-CFA194F8889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1F-E04E-81C1-CFA194F88895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1F-E04E-81C1-CFA194F88895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1F-E04E-81C1-CFA194F88895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1F-E04E-81C1-CFA194F88895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1F-E04E-81C1-CFA194F888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C08-98D4-224380C2505F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C08-98D4-224380C2505F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C08-98D4-224380C2505F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C08-98D4-224380C2505F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C08-98D4-224380C2505F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3-4C08-98D4-224380C2505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A3-4C08-98D4-224380C2505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A3-4C08-98D4-224380C2505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A3-4C08-98D4-224380C2505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A3-4C08-98D4-224380C2505F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A3-4C08-98D4-224380C25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1AF-A67A-0CF476F94CEA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1AF-A67A-0CF476F94CEA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1AF-A67A-0CF476F94CEA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1AF-A67A-0CF476F94CEA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3B-41AF-A67A-0CF476F94CEA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3B-41AF-A67A-0CF476F94CE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3B-41AF-A67A-0CF476F94CEA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F3B-41AF-A67A-0CF476F94CEA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F3B-41AF-A67A-0CF476F94CEA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F3B-41AF-A67A-0CF476F94CEA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3B-41AF-A67A-0CF476F94C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(Onshore)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53-FF4D-BD53-5D0107D95FB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53-FF4D-BD53-5D0107D95FB6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53-FF4D-BD53-5D0107D95FB6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53-FF4D-BD53-5D0107D95FB6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53-FF4D-BD53-5D0107D95FB6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53-FF4D-BD53-5D0107D95FB6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53-FF4D-BD53-5D0107D95FB6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53-FF4D-BD53-5D0107D95FB6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53-FF4D-BD53-5D0107D95FB6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53-FF4D-BD53-5D0107D95FB6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53-FF4D-BD53-5D0107D95FB6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53-FF4D-BD53-5D0107D95FB6}"/>
              </c:ext>
            </c:extLst>
          </c:dPt>
          <c:dLbls>
            <c:dLbl>
              <c:idx val="0"/>
              <c:layout>
                <c:manualLayout>
                  <c:x val="-0.18449642919400705"/>
                  <c:y val="0.142867813991457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53-FF4D-BD53-5D0107D95FB6}"/>
                </c:ext>
              </c:extLst>
            </c:dLbl>
            <c:dLbl>
              <c:idx val="1"/>
              <c:layout>
                <c:manualLayout>
                  <c:x val="-0.12283905278131595"/>
                  <c:y val="-0.195151930413557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3-FF4D-BD53-5D0107D95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Emissions'!$C$8:$N$8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Fiber</c:v>
                </c:pt>
                <c:pt idx="11">
                  <c:v>Lubricant</c:v>
                </c:pt>
              </c:strCache>
            </c:strRef>
          </c:cat>
          <c:val>
            <c:numRef>
              <c:f>'Total Material Emissions'!$C$21:$N$21</c:f>
              <c:numCache>
                <c:formatCode>0.00%</c:formatCode>
                <c:ptCount val="12"/>
                <c:pt idx="0">
                  <c:v>8.0373599848662367E-2</c:v>
                </c:pt>
                <c:pt idx="1">
                  <c:v>0.58239653212423181</c:v>
                </c:pt>
                <c:pt idx="2">
                  <c:v>8.8084097197424771E-2</c:v>
                </c:pt>
                <c:pt idx="3">
                  <c:v>4.1871718330413108E-4</c:v>
                </c:pt>
                <c:pt idx="4">
                  <c:v>1.4886642613340301E-2</c:v>
                </c:pt>
                <c:pt idx="5">
                  <c:v>7.2864687586392755E-3</c:v>
                </c:pt>
                <c:pt idx="6">
                  <c:v>3.239065134409031E-3</c:v>
                </c:pt>
                <c:pt idx="7">
                  <c:v>4.1341119045030558E-2</c:v>
                </c:pt>
                <c:pt idx="8">
                  <c:v>3.0629466145400602E-2</c:v>
                </c:pt>
                <c:pt idx="9">
                  <c:v>6.012117634540546E-3</c:v>
                </c:pt>
                <c:pt idx="10">
                  <c:v>1.0452162106692399E-2</c:v>
                </c:pt>
                <c:pt idx="11">
                  <c:v>0.13488001220832405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53-FF4D-BD53-5D0107D95FB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4F-AA42-A670-D38BC1707E86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4F-AA42-A670-D38BC1707E86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F-AA42-A670-D38BC1707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4F-AA42-A670-D38BC1707E86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4F-AA42-A670-D38BC1707E86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4F-AA42-A670-D38BC1707E86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4F-AA42-A670-D38BC1707E86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4F-AA42-A670-D38BC1707E86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4F-AA42-A670-D38BC1707E86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4F-AA42-A670-D38BC1707E86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4F-AA42-A670-D38BC1707E86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4F-AA42-A670-D38BC1707E86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4F-AA42-A670-D38BC1707E86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4F-AA42-A670-D38BC1707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A4F-AA42-A670-D38BC1707E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9A48-BA2B-D3E1A4EDD29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9A48-BA2B-D3E1A4EDD29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9A48-BA2B-D3E1A4EDD2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9A48-BA2B-D3E1A4EDD29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9A48-BA2B-D3E1A4EDD29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9A48-BA2B-D3E1A4EDD29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9A48-BA2B-D3E1A4EDD29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BA-9A48-BA2B-D3E1A4EDD29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A-9A48-BA2B-D3E1A4EDD29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A-9A48-BA2B-D3E1A4EDD29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BA-9A48-BA2B-D3E1A4EDD29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BA-9A48-BA2B-D3E1A4EDD29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BA-9A48-BA2B-D3E1A4EDD2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BA-9A48-BA2B-D3E1A4EDD2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71-0848-85D9-C36067870241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71-0848-85D9-C36067870241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71-0848-85D9-C3606787024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71-0848-85D9-C36067870241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71-0848-85D9-C36067870241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71-0848-85D9-C36067870241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71-0848-85D9-C36067870241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71-0848-85D9-C36067870241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71-0848-85D9-C36067870241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71-0848-85D9-C36067870241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71-0848-85D9-C360678702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71-0848-85D9-C360678702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80-D24D-94C9-503CCF06B804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80-D24D-94C9-503CCF06B804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80-D24D-94C9-503CCF06B804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80-D24D-94C9-503CCF06B804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80-D24D-94C9-503CCF06B804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80-D24D-94C9-503CCF06B804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0-D24D-94C9-503CCF06B804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0-D24D-94C9-503CCF06B804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0-D24D-94C9-503CCF06B804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0-D24D-94C9-503CCF06B8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0-D24D-94C9-503CCF06B80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E0-F542-A94B-024F95C10B56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E0-F542-A94B-024F95C10B56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E0-F542-A94B-024F95C10B56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E0-F542-A94B-024F95C10B56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E0-F542-A94B-024F95C10B56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E0-F542-A94B-024F95C10B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E0-F542-A94B-024F95C10B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E-FF4D-A34D-1165BC88052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E-FF4D-A34D-1165BC88052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E-FF4D-A34D-1165BC8805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DE-FF4D-A34D-1165BC88052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7D-5F46-890C-7A82A718A2D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7D-5F46-890C-7A82A718A2D0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7D-5F46-890C-7A82A718A2D0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7D-5F46-890C-7A82A718A2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D-5F46-890C-7A82A718A2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9C-3746-96EC-CFF81908B751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9C-3746-96EC-CFF81908B751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9C-3746-96EC-CFF81908B751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16-624B-A8A3-48D96AFEEE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9C-3746-96EC-CFF81908B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1-6D48-AE59-DA7C5226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1-6D48-AE59-DA7C5226930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31-6D48-AE59-DA7C5226930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31-6D48-AE59-DA7C5226930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C1-C74A-A4BA-6871D7675C86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8C1-C74A-A4BA-6871D7675C86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8C1-C74A-A4BA-6871D7675C86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8C1-C74A-A4BA-6871D7675C86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8C1-C74A-A4BA-6871D7675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31-6D48-AE59-DA7C5226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60-484E-BC6D-F4F3C1A264BE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60-484E-BC6D-F4F3C1A264BE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60-484E-BC6D-F4F3C1A264BE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60-484E-BC6D-F4F3C1A264BE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60-484E-BC6D-F4F3C1A264BE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60-484E-BC6D-F4F3C1A264BE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60-484E-BC6D-F4F3C1A264BE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60-484E-BC6D-F4F3C1A264BE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60-484E-BC6D-F4F3C1A264BE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60-484E-BC6D-F4F3C1A264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Emissions'!$AE$8:$AN$8</c:f>
              <c:strCache>
                <c:ptCount val="9"/>
                <c:pt idx="0">
                  <c:v>Steel</c:v>
                </c:pt>
                <c:pt idx="1">
                  <c:v>Cast Iron</c:v>
                </c:pt>
                <c:pt idx="2">
                  <c:v>Fibre Glass</c:v>
                </c:pt>
                <c:pt idx="3">
                  <c:v>Epoxy</c:v>
                </c:pt>
                <c:pt idx="4">
                  <c:v>Copper</c:v>
                </c:pt>
                <c:pt idx="5">
                  <c:v>Lubricant</c:v>
                </c:pt>
                <c:pt idx="6">
                  <c:v>Aluminium</c:v>
                </c:pt>
                <c:pt idx="7">
                  <c:v>Sand</c:v>
                </c:pt>
                <c:pt idx="8">
                  <c:v>Concrete</c:v>
                </c:pt>
              </c:strCache>
            </c:strRef>
          </c:cat>
          <c:val>
            <c:numRef>
              <c:f>'Total Material Emissions'!$AE$21:$AN$21</c:f>
              <c:numCache>
                <c:formatCode>0%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8-7960-484E-BC6D-F4F3C1A264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1-433E-9677-9847C0AA2513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1-433E-9677-9847C0AA2513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1-433E-9677-9847C0AA2513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A2-4CDE-B38F-F5C7233B49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Emissions'!$C$190:$F$190</c:f>
              <c:numCache>
                <c:formatCode>0%</c:formatCode>
                <c:ptCount val="4"/>
                <c:pt idx="0">
                  <c:v>0.86281821682832227</c:v>
                </c:pt>
                <c:pt idx="1">
                  <c:v>3.706330349946442E-2</c:v>
                </c:pt>
                <c:pt idx="2">
                  <c:v>0.10011847967221327</c:v>
                </c:pt>
                <c:pt idx="3">
                  <c:v>9.5681629898685498E-3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1-433E-9677-9847C0AA25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6-43DD-BCB5-C0533E23B456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6-43DD-BCB5-C0533E23B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6-43DD-BCB5-C0533E23B456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66-43DD-BCB5-C0533E23B456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6-43DD-BCB5-C0533E23B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Emissions'!$C$265:$G$265</c:f>
              <c:numCache>
                <c:formatCode>0%</c:formatCode>
                <c:ptCount val="5"/>
                <c:pt idx="0">
                  <c:v>1.0274293079984301E-2</c:v>
                </c:pt>
                <c:pt idx="1">
                  <c:v>1.6825459801910953E-4</c:v>
                </c:pt>
                <c:pt idx="2">
                  <c:v>7.7923516045999815E-3</c:v>
                </c:pt>
                <c:pt idx="3">
                  <c:v>1.1576065839212406E-3</c:v>
                </c:pt>
                <c:pt idx="4">
                  <c:v>1.5407574145817024E-6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66-43DD-BCB5-C0533E23B4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2-4EFC-A423-38B76B3C441C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2-4EFC-A423-38B76B3C441C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2-4EFC-A423-38B76B3C441C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2-4EFC-A423-38B76B3C441C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2-4EFC-A423-38B76B3C441C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98B-432C-988D-3DA8C41F173D}"/>
              </c:ext>
            </c:extLst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98B-432C-988D-3DA8C41F173D}"/>
              </c:ext>
            </c:extLst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98B-432C-988D-3DA8C41F173D}"/>
              </c:ext>
            </c:extLst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98B-432C-988D-3DA8C41F173D}"/>
              </c:ext>
            </c:extLst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98B-432C-988D-3DA8C41F173D}"/>
              </c:ext>
            </c:extLst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98B-432C-988D-3DA8C41F17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Emissions'!$C$290:$M$290</c:f>
              <c:numCache>
                <c:formatCode>0%</c:formatCode>
                <c:ptCount val="11"/>
                <c:pt idx="0">
                  <c:v>0.35426383919021431</c:v>
                </c:pt>
                <c:pt idx="1">
                  <c:v>5.7726728529399432E-2</c:v>
                </c:pt>
                <c:pt idx="2">
                  <c:v>9.5941256422026028E-2</c:v>
                </c:pt>
                <c:pt idx="3">
                  <c:v>4.2016089116647289E-3</c:v>
                </c:pt>
                <c:pt idx="4">
                  <c:v>5.8173250164170629E-3</c:v>
                </c:pt>
                <c:pt idx="5">
                  <c:v>1.1792665086600739E-3</c:v>
                </c:pt>
                <c:pt idx="6">
                  <c:v>4.9097534563197244E-3</c:v>
                </c:pt>
                <c:pt idx="7">
                  <c:v>1.8106608843427153E-3</c:v>
                </c:pt>
                <c:pt idx="8">
                  <c:v>1.536984657613533E-4</c:v>
                </c:pt>
                <c:pt idx="9">
                  <c:v>8.8655052355103795E-3</c:v>
                </c:pt>
                <c:pt idx="10">
                  <c:v>4.0541498481291858E-5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02-4EFC-A423-38B76B3C441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B-43DB-9DE7-612336BD2075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B-43DB-9DE7-612336BD2075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B-43DB-9DE7-612336BD2075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9B-43DB-9DE7-612336BD207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9B-43DB-9DE7-612336BD2075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2B-4798-8EAE-D51EE2F61115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12B-4798-8EAE-D51EE2F61115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12B-4798-8EAE-D51EE2F61115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12B-4798-8EAE-D51EE2F611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Emissions'!$C$315:$K$315</c:f>
              <c:numCache>
                <c:formatCode>0%</c:formatCode>
                <c:ptCount val="9"/>
                <c:pt idx="0">
                  <c:v>2.5328530159975174E-3</c:v>
                </c:pt>
                <c:pt idx="1">
                  <c:v>9.8330339756409695E-5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9B-43DB-9DE7-612336BD207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Matrices!$L$4:$L$13</c:f>
              <c:numCache>
                <c:formatCode>General</c:formatCode>
                <c:ptCount val="10"/>
                <c:pt idx="0">
                  <c:v>6.7694063926940643E-3</c:v>
                </c:pt>
                <c:pt idx="1">
                  <c:v>0</c:v>
                </c:pt>
                <c:pt idx="2">
                  <c:v>0.95</c:v>
                </c:pt>
                <c:pt idx="3">
                  <c:v>0</c:v>
                </c:pt>
                <c:pt idx="4">
                  <c:v>0.84499999999999997</c:v>
                </c:pt>
                <c:pt idx="5">
                  <c:v>1.0285714285714285E-2</c:v>
                </c:pt>
                <c:pt idx="6">
                  <c:v>5.3272450532724505E-4</c:v>
                </c:pt>
                <c:pt idx="7">
                  <c:v>1.2244897959183673E-3</c:v>
                </c:pt>
                <c:pt idx="8">
                  <c:v>4.7488584474885843E-3</c:v>
                </c:pt>
                <c:pt idx="9">
                  <c:v>1.8264840182648401E-3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8-6D4B-9D3F-3BBAA547F22C}"/>
            </c:ext>
          </c:extLst>
        </c:ser>
        <c:ser>
          <c:idx val="1"/>
          <c:order val="1"/>
          <c:tx>
            <c:strRef>
              <c:f>Matrices!$M$3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Matrices!$M$4:$M$13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0.49540000000000001</c:v>
                </c:pt>
                <c:pt idx="5">
                  <c:v>2.6122448979591835E-4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8-6D4B-9D3F-3BBAA547F22C}"/>
            </c:ext>
          </c:extLst>
        </c:ser>
        <c:ser>
          <c:idx val="2"/>
          <c:order val="2"/>
          <c:tx>
            <c:strRef>
              <c:f>Matrices!$N$3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Matrices!$N$4:$N$13</c:f>
              <c:numCache>
                <c:formatCode>General</c:formatCode>
                <c:ptCount val="10"/>
                <c:pt idx="0">
                  <c:v>6.0176125244618397E-3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8-6D4B-9D3F-3BBAA547F22C}"/>
            </c:ext>
          </c:extLst>
        </c:ser>
        <c:ser>
          <c:idx val="3"/>
          <c:order val="3"/>
          <c:tx>
            <c:strRef>
              <c:f>Matrices!$O$3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Matrices!$O$4:$O$13</c:f>
              <c:numCache>
                <c:formatCode>General</c:formatCode>
                <c:ptCount val="10"/>
                <c:pt idx="0">
                  <c:v>0.467938682322244</c:v>
                </c:pt>
                <c:pt idx="1">
                  <c:v>0</c:v>
                </c:pt>
                <c:pt idx="2">
                  <c:v>0</c:v>
                </c:pt>
                <c:pt idx="3">
                  <c:v>0.35525000000000001</c:v>
                </c:pt>
                <c:pt idx="4">
                  <c:v>1.9E-2</c:v>
                </c:pt>
                <c:pt idx="5">
                  <c:v>2.4489795918367346E-3</c:v>
                </c:pt>
                <c:pt idx="6">
                  <c:v>7.8640284119736172E-4</c:v>
                </c:pt>
                <c:pt idx="7">
                  <c:v>2.2000000000000002</c:v>
                </c:pt>
                <c:pt idx="8">
                  <c:v>0</c:v>
                </c:pt>
                <c:pt idx="9">
                  <c:v>0.36027397260273974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8-6D4B-9D3F-3BBAA547F22C}"/>
            </c:ext>
          </c:extLst>
        </c:ser>
        <c:ser>
          <c:idx val="4"/>
          <c:order val="4"/>
          <c:tx>
            <c:strRef>
              <c:f>Matrices!$P$3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Matrices!$P$4:$P$13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0.921333333333333</c:v>
                </c:pt>
                <c:pt idx="4">
                  <c:v>0.89373999999999998</c:v>
                </c:pt>
                <c:pt idx="5">
                  <c:v>0.32914285714285713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8-6D4B-9D3F-3BBAA547F22C}"/>
            </c:ext>
          </c:extLst>
        </c:ser>
        <c:ser>
          <c:idx val="5"/>
          <c:order val="5"/>
          <c:tx>
            <c:strRef>
              <c:f>Matrices!$Q$3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Matrices!$Q$4:$Q$13</c:f>
              <c:numCache>
                <c:formatCode>General</c:formatCode>
                <c:ptCount val="10"/>
                <c:pt idx="0">
                  <c:v>0</c:v>
                </c:pt>
                <c:pt idx="1">
                  <c:v>0.33244545915778789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8-6D4B-9D3F-3BBAA547F22C}"/>
            </c:ext>
          </c:extLst>
        </c:ser>
        <c:ser>
          <c:idx val="6"/>
          <c:order val="6"/>
          <c:tx>
            <c:strRef>
              <c:f>Matrices!$R$3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Matrices!$R$4:$R$13</c:f>
              <c:numCache>
                <c:formatCode>General</c:formatCode>
                <c:ptCount val="10"/>
                <c:pt idx="0">
                  <c:v>9.8723091976516635</c:v>
                </c:pt>
                <c:pt idx="1">
                  <c:v>0.22323693556570268</c:v>
                </c:pt>
                <c:pt idx="2">
                  <c:v>0</c:v>
                </c:pt>
                <c:pt idx="3">
                  <c:v>9.68</c:v>
                </c:pt>
                <c:pt idx="4">
                  <c:v>1.6786000000000001</c:v>
                </c:pt>
                <c:pt idx="5">
                  <c:v>0.58649795918367342</c:v>
                </c:pt>
                <c:pt idx="6">
                  <c:v>0.19025875190258751</c:v>
                </c:pt>
                <c:pt idx="7">
                  <c:v>9.5150000000000012E-2</c:v>
                </c:pt>
                <c:pt idx="8">
                  <c:v>1.3570776255707762</c:v>
                </c:pt>
                <c:pt idx="9">
                  <c:v>3.2328767123287672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8-6D4B-9D3F-3BBAA547F22C}"/>
            </c:ext>
          </c:extLst>
        </c:ser>
        <c:ser>
          <c:idx val="7"/>
          <c:order val="7"/>
          <c:tx>
            <c:strRef>
              <c:f>Matrices!$S$3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Matrices!$S$4:$S$13</c:f>
              <c:numCache>
                <c:formatCode>General</c:formatCode>
                <c:ptCount val="10"/>
                <c:pt idx="0">
                  <c:v>4.7995759947814735E-2</c:v>
                </c:pt>
                <c:pt idx="1">
                  <c:v>0</c:v>
                </c:pt>
                <c:pt idx="2">
                  <c:v>0.02</c:v>
                </c:pt>
                <c:pt idx="3">
                  <c:v>0.11132499999999999</c:v>
                </c:pt>
                <c:pt idx="4">
                  <c:v>0</c:v>
                </c:pt>
                <c:pt idx="5">
                  <c:v>5.7142857142857139E-7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3.8812785388127852E-2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8-6D4B-9D3F-3BBAA547F22C}"/>
            </c:ext>
          </c:extLst>
        </c:ser>
        <c:ser>
          <c:idx val="8"/>
          <c:order val="8"/>
          <c:tx>
            <c:strRef>
              <c:f>Matrices!$T$3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Matrices!$T$4:$T$13</c:f>
              <c:numCache>
                <c:formatCode>General</c:formatCode>
                <c:ptCount val="10"/>
                <c:pt idx="0">
                  <c:v>4.978799739073711E-2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8.9041095890410954E-2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8-6D4B-9D3F-3BBAA547F22C}"/>
            </c:ext>
          </c:extLst>
        </c:ser>
        <c:ser>
          <c:idx val="9"/>
          <c:order val="9"/>
          <c:tx>
            <c:strRef>
              <c:f>Matrices!$U$3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Matrices!$U$4:$U$13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8-6D4B-9D3F-3BBAA547F22C}"/>
            </c:ext>
          </c:extLst>
        </c:ser>
        <c:ser>
          <c:idx val="10"/>
          <c:order val="10"/>
          <c:tx>
            <c:strRef>
              <c:f>Matrices!$V$3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Matrices!$V$4:$V$13</c:f>
              <c:numCache>
                <c:formatCode>General</c:formatCode>
                <c:ptCount val="10"/>
                <c:pt idx="0">
                  <c:v>0.16132420091324201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0.17625570776255708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8-6D4B-9D3F-3BBAA547F22C}"/>
            </c:ext>
          </c:extLst>
        </c:ser>
        <c:ser>
          <c:idx val="11"/>
          <c:order val="11"/>
          <c:tx>
            <c:strRef>
              <c:f>Matrices!$W$3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Matrices!$W$4:$W$13</c:f>
              <c:numCache>
                <c:formatCode>General</c:formatCode>
                <c:ptCount val="10"/>
                <c:pt idx="0">
                  <c:v>0</c:v>
                </c:pt>
                <c:pt idx="1">
                  <c:v>0.3919330289193303</c:v>
                </c:pt>
                <c:pt idx="2">
                  <c:v>1.248E-2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8-6D4B-9D3F-3BBAA547F22C}"/>
            </c:ext>
          </c:extLst>
        </c:ser>
        <c:ser>
          <c:idx val="12"/>
          <c:order val="12"/>
          <c:tx>
            <c:strRef>
              <c:f>Matrices!$X$3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Matrices!$X$4:$X$13</c:f>
              <c:numCache>
                <c:formatCode>General</c:formatCode>
                <c:ptCount val="10"/>
                <c:pt idx="0">
                  <c:v>1.4732550554468364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7.8367346938775515E-4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8.6757990867579911E-3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8-6D4B-9D3F-3BBAA547F22C}"/>
            </c:ext>
          </c:extLst>
        </c:ser>
        <c:ser>
          <c:idx val="13"/>
          <c:order val="13"/>
          <c:tx>
            <c:strRef>
              <c:f>Matrices!$Y$3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Matrices!$Y$4:$Y$13</c:f>
              <c:numCache>
                <c:formatCode>General</c:formatCode>
                <c:ptCount val="10"/>
                <c:pt idx="0">
                  <c:v>0</c:v>
                </c:pt>
                <c:pt idx="1">
                  <c:v>8.8470319634703198E-2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8-6D4B-9D3F-3BBAA547F22C}"/>
            </c:ext>
          </c:extLst>
        </c:ser>
        <c:ser>
          <c:idx val="14"/>
          <c:order val="14"/>
          <c:tx>
            <c:strRef>
              <c:f>Matrices!$Z$3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Matrices!$Z$4:$Z$13</c:f>
              <c:numCache>
                <c:formatCode>General</c:formatCode>
                <c:ptCount val="10"/>
                <c:pt idx="0">
                  <c:v>2.0221787345075016E-3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8-6D4B-9D3F-3BBAA547F22C}"/>
            </c:ext>
          </c:extLst>
        </c:ser>
        <c:ser>
          <c:idx val="15"/>
          <c:order val="15"/>
          <c:tx>
            <c:strRef>
              <c:f>Matrices!$AA$3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Matrices!$AA$4:$AA$13</c:f>
              <c:numCache>
                <c:formatCode>General</c:formatCode>
                <c:ptCount val="10"/>
                <c:pt idx="0">
                  <c:v>1.3943248532289627E-2</c:v>
                </c:pt>
                <c:pt idx="1">
                  <c:v>5.041856925418569E-2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8-6D4B-9D3F-3BBAA547F22C}"/>
            </c:ext>
          </c:extLst>
        </c:ser>
        <c:ser>
          <c:idx val="16"/>
          <c:order val="16"/>
          <c:tx>
            <c:strRef>
              <c:f>Matrices!$AB$3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Matrices!$AB$4:$AB$13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2.1688900000000002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8-6D4B-9D3F-3BBAA547F22C}"/>
            </c:ext>
          </c:extLst>
        </c:ser>
        <c:ser>
          <c:idx val="17"/>
          <c:order val="17"/>
          <c:tx>
            <c:strRef>
              <c:f>Matrices!$AC$3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Matrices!$AC$4:$AC$13</c:f>
              <c:numCache>
                <c:formatCode>General</c:formatCode>
                <c:ptCount val="10"/>
                <c:pt idx="0">
                  <c:v>1.9383561643835617E-2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8-6D4B-9D3F-3BBAA547F22C}"/>
            </c:ext>
          </c:extLst>
        </c:ser>
        <c:ser>
          <c:idx val="18"/>
          <c:order val="18"/>
          <c:tx>
            <c:strRef>
              <c:f>Matrices!$AD$3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Matrices!$AD$4:$AD$13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3.9594499999999999</c:v>
                </c:pt>
                <c:pt idx="4">
                  <c:v>0</c:v>
                </c:pt>
                <c:pt idx="5">
                  <c:v>1.8448979591836734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4.2831050228310499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8-6D4B-9D3F-3BBAA547F22C}"/>
            </c:ext>
          </c:extLst>
        </c:ser>
        <c:ser>
          <c:idx val="19"/>
          <c:order val="19"/>
          <c:tx>
            <c:strRef>
              <c:f>Matrices!$AE$3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Matrices!$AE$4:$AE$13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8-6D4B-9D3F-3BBAA547F22C}"/>
            </c:ext>
          </c:extLst>
        </c:ser>
        <c:ser>
          <c:idx val="20"/>
          <c:order val="20"/>
          <c:tx>
            <c:strRef>
              <c:f>Matrices!$AF$3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Matrices!$AF$4:$AF$13</c:f>
              <c:numCache>
                <c:formatCode>General</c:formatCode>
                <c:ptCount val="10"/>
                <c:pt idx="0">
                  <c:v>2.7669275929549899</c:v>
                </c:pt>
                <c:pt idx="1">
                  <c:v>2.0991882293252155</c:v>
                </c:pt>
                <c:pt idx="2">
                  <c:v>12.5</c:v>
                </c:pt>
                <c:pt idx="3">
                  <c:v>0.89386666666666703</c:v>
                </c:pt>
                <c:pt idx="4">
                  <c:v>2.3849999999999998</c:v>
                </c:pt>
                <c:pt idx="5">
                  <c:v>1.8379102040816326</c:v>
                </c:pt>
                <c:pt idx="6">
                  <c:v>6.3419583967529169E-2</c:v>
                </c:pt>
                <c:pt idx="7">
                  <c:v>2.46</c:v>
                </c:pt>
                <c:pt idx="8">
                  <c:v>0.47336377473363772</c:v>
                </c:pt>
                <c:pt idx="9">
                  <c:v>1.6273972602739726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8-6D4B-9D3F-3BBAA547F22C}"/>
            </c:ext>
          </c:extLst>
        </c:ser>
        <c:ser>
          <c:idx val="21"/>
          <c:order val="21"/>
          <c:tx>
            <c:strRef>
              <c:f>Matrices!$AG$3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Matrices!$AG$4:$AG$13</c:f>
              <c:numCache>
                <c:formatCode>General</c:formatCode>
                <c:ptCount val="10"/>
                <c:pt idx="0">
                  <c:v>0</c:v>
                </c:pt>
                <c:pt idx="1">
                  <c:v>5.1623541349568676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8-6D4B-9D3F-3BBAA5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Matrices!$L$147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Matrices!$L$148:$L$157</c:f>
              <c:numCache>
                <c:formatCode>General</c:formatCode>
                <c:ptCount val="10"/>
                <c:pt idx="0">
                  <c:v>8.5159132420091335E-2</c:v>
                </c:pt>
                <c:pt idx="1">
                  <c:v>0</c:v>
                </c:pt>
                <c:pt idx="2">
                  <c:v>11.950999999999999</c:v>
                </c:pt>
                <c:pt idx="3">
                  <c:v>0</c:v>
                </c:pt>
                <c:pt idx="4">
                  <c:v>10.630100000000001</c:v>
                </c:pt>
                <c:pt idx="5">
                  <c:v>0.12939428571428571</c:v>
                </c:pt>
                <c:pt idx="6">
                  <c:v>6.7016742770167424E-3</c:v>
                </c:pt>
                <c:pt idx="7">
                  <c:v>1.540408163265306E-2</c:v>
                </c:pt>
                <c:pt idx="8">
                  <c:v>5.9740639269406391E-2</c:v>
                </c:pt>
                <c:pt idx="9">
                  <c:v>2.2977168949771688E-2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A747-8B89-D02D6BEB5A5A}"/>
            </c:ext>
          </c:extLst>
        </c:ser>
        <c:ser>
          <c:idx val="1"/>
          <c:order val="1"/>
          <c:tx>
            <c:strRef>
              <c:f>Matrices!$M$147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Matrices!$M$148:$M$157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  <c:pt idx="5">
                  <c:v>8.6204081632653057E-6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A747-8B89-D02D6BEB5A5A}"/>
            </c:ext>
          </c:extLst>
        </c:ser>
        <c:ser>
          <c:idx val="2"/>
          <c:order val="2"/>
          <c:tx>
            <c:strRef>
              <c:f>Matrices!$N$147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Matrices!$N$148:$N$157</c:f>
              <c:numCache>
                <c:formatCode>General</c:formatCode>
                <c:ptCount val="10"/>
                <c:pt idx="0">
                  <c:v>0.12215753424657536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4-A747-8B89-D02D6BEB5A5A}"/>
            </c:ext>
          </c:extLst>
        </c:ser>
        <c:ser>
          <c:idx val="3"/>
          <c:order val="3"/>
          <c:tx>
            <c:strRef>
              <c:f>Matrices!$O$147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Matrices!$O$148:$O$157</c:f>
              <c:numCache>
                <c:formatCode>General</c:formatCode>
                <c:ptCount val="10"/>
                <c:pt idx="0">
                  <c:v>1.0294651011089369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  <c:pt idx="5">
                  <c:v>5.3877551020408169E-3</c:v>
                </c:pt>
                <c:pt idx="6">
                  <c:v>1.7300862506341959E-3</c:v>
                </c:pt>
                <c:pt idx="7">
                  <c:v>4.8400000000000007</c:v>
                </c:pt>
                <c:pt idx="8">
                  <c:v>0</c:v>
                </c:pt>
                <c:pt idx="9">
                  <c:v>0.79260273972602746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4-A747-8B89-D02D6BEB5A5A}"/>
            </c:ext>
          </c:extLst>
        </c:ser>
        <c:ser>
          <c:idx val="4"/>
          <c:order val="4"/>
          <c:tx>
            <c:strRef>
              <c:f>Matrices!$P$147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Matrices!$P$148:$P$157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  <c:pt idx="5">
                  <c:v>0.28470857142857142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4-A747-8B89-D02D6BEB5A5A}"/>
            </c:ext>
          </c:extLst>
        </c:ser>
        <c:ser>
          <c:idx val="5"/>
          <c:order val="5"/>
          <c:tx>
            <c:strRef>
              <c:f>Matrices!$Q$147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Matrices!$Q$148:$Q$157</c:f>
              <c:numCache>
                <c:formatCode>General</c:formatCode>
                <c:ptCount val="10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4-A747-8B89-D02D6BEB5A5A}"/>
            </c:ext>
          </c:extLst>
        </c:ser>
        <c:ser>
          <c:idx val="6"/>
          <c:order val="6"/>
          <c:tx>
            <c:strRef>
              <c:f>Matrices!$R$147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Matrices!$R$148:$R$157</c:f>
              <c:numCache>
                <c:formatCode>General</c:formatCode>
                <c:ptCount val="10"/>
                <c:pt idx="0">
                  <c:v>0.93935022015655589</c:v>
                </c:pt>
                <c:pt idx="1">
                  <c:v>2.1240994419076613E-2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  <c:pt idx="5">
                  <c:v>5.5805280816326533E-2</c:v>
                </c:pt>
                <c:pt idx="6">
                  <c:v>1.8103120243531202E-2</c:v>
                </c:pt>
                <c:pt idx="7">
                  <c:v>9.0535225000000028E-3</c:v>
                </c:pt>
                <c:pt idx="8">
                  <c:v>0.12912593607305936</c:v>
                </c:pt>
                <c:pt idx="9">
                  <c:v>0.30760821917808223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14-A747-8B89-D02D6BEB5A5A}"/>
            </c:ext>
          </c:extLst>
        </c:ser>
        <c:ser>
          <c:idx val="7"/>
          <c:order val="7"/>
          <c:tx>
            <c:strRef>
              <c:f>Matrices!$S$147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Matrices!$S$148:$S$157</c:f>
              <c:numCache>
                <c:formatCode>General</c:formatCode>
                <c:ptCount val="10"/>
                <c:pt idx="0">
                  <c:v>0.17398462981082841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  <c:pt idx="5">
                  <c:v>2.0714285714285713E-6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0.14069634703196346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14-A747-8B89-D02D6BEB5A5A}"/>
            </c:ext>
          </c:extLst>
        </c:ser>
        <c:ser>
          <c:idx val="8"/>
          <c:order val="8"/>
          <c:tx>
            <c:strRef>
              <c:f>Matrices!$T$147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Matrices!$T$148:$T$157</c:f>
              <c:numCache>
                <c:formatCode>General</c:formatCode>
                <c:ptCount val="10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0.64020547945205475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4-A747-8B89-D02D6BEB5A5A}"/>
            </c:ext>
          </c:extLst>
        </c:ser>
        <c:ser>
          <c:idx val="9"/>
          <c:order val="9"/>
          <c:tx>
            <c:strRef>
              <c:f>Matrices!$U$147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Matrices!$U$148:$U$157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14-A747-8B89-D02D6BEB5A5A}"/>
            </c:ext>
          </c:extLst>
        </c:ser>
        <c:ser>
          <c:idx val="10"/>
          <c:order val="10"/>
          <c:tx>
            <c:strRef>
              <c:f>Matrices!$V$147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Matrices!$V$148:$V$157</c:f>
              <c:numCache>
                <c:formatCode>General</c:formatCode>
                <c:ptCount val="10"/>
                <c:pt idx="0">
                  <c:v>0.48316598173515984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0.52788584474885847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4-A747-8B89-D02D6BEB5A5A}"/>
            </c:ext>
          </c:extLst>
        </c:ser>
        <c:ser>
          <c:idx val="11"/>
          <c:order val="11"/>
          <c:tx>
            <c:strRef>
              <c:f>Matrices!$W$147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Matrices!$W$148:$W$157</c:f>
              <c:numCache>
                <c:formatCode>General</c:formatCode>
                <c:ptCount val="10"/>
                <c:pt idx="0">
                  <c:v>0</c:v>
                </c:pt>
                <c:pt idx="1">
                  <c:v>0.30962709284627093</c:v>
                </c:pt>
                <c:pt idx="2">
                  <c:v>9.8592000000000003E-3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14-A747-8B89-D02D6BEB5A5A}"/>
            </c:ext>
          </c:extLst>
        </c:ser>
        <c:ser>
          <c:idx val="12"/>
          <c:order val="12"/>
          <c:tx>
            <c:strRef>
              <c:f>Matrices!$X$147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Matrices!$X$148:$X$157</c:f>
              <c:numCache>
                <c:formatCode>General</c:formatCode>
                <c:ptCount val="10"/>
                <c:pt idx="0">
                  <c:v>1.576382909328115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8.385306122448981E-4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9.2831050228310511E-3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14-A747-8B89-D02D6BEB5A5A}"/>
            </c:ext>
          </c:extLst>
        </c:ser>
        <c:ser>
          <c:idx val="13"/>
          <c:order val="13"/>
          <c:tx>
            <c:strRef>
              <c:f>Matrices!$Y$147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Matrices!$Y$148:$Y$157</c:f>
              <c:numCache>
                <c:formatCode>General</c:formatCode>
                <c:ptCount val="10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14-A747-8B89-D02D6BEB5A5A}"/>
            </c:ext>
          </c:extLst>
        </c:ser>
        <c:ser>
          <c:idx val="14"/>
          <c:order val="14"/>
          <c:tx>
            <c:strRef>
              <c:f>Matrices!$Z$147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Matrices!$Z$148:$Z$157</c:f>
              <c:numCache>
                <c:formatCode>General</c:formatCode>
                <c:ptCount val="10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14-A747-8B89-D02D6BEB5A5A}"/>
            </c:ext>
          </c:extLst>
        </c:ser>
        <c:ser>
          <c:idx val="15"/>
          <c:order val="15"/>
          <c:tx>
            <c:strRef>
              <c:f>Matrices!$AA$147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Matrices!$AA$148:$AA$157</c:f>
              <c:numCache>
                <c:formatCode>General</c:formatCode>
                <c:ptCount val="10"/>
                <c:pt idx="0">
                  <c:v>3.7855919765166335E-2</c:v>
                </c:pt>
                <c:pt idx="1">
                  <c:v>0.13688641552511413</c:v>
                </c:pt>
                <c:pt idx="2">
                  <c:v>5.4300000000000001E-2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14-A747-8B89-D02D6BEB5A5A}"/>
            </c:ext>
          </c:extLst>
        </c:ser>
        <c:ser>
          <c:idx val="16"/>
          <c:order val="16"/>
          <c:tx>
            <c:strRef>
              <c:f>Matrices!$AB$147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Matrices!$AB$148:$AB$157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14-A747-8B89-D02D6BEB5A5A}"/>
            </c:ext>
          </c:extLst>
        </c:ser>
        <c:ser>
          <c:idx val="17"/>
          <c:order val="17"/>
          <c:tx>
            <c:strRef>
              <c:f>Matrices!$AC$147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Matrices!$AC$148:$AC$157</c:f>
              <c:numCache>
                <c:formatCode>General</c:formatCode>
                <c:ptCount val="10"/>
                <c:pt idx="0">
                  <c:v>7.0265410958904109E-2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514-A747-8B89-D02D6BEB5A5A}"/>
            </c:ext>
          </c:extLst>
        </c:ser>
        <c:ser>
          <c:idx val="18"/>
          <c:order val="18"/>
          <c:tx>
            <c:strRef>
              <c:f>Matrices!$AD$147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Matrices!$AD$148:$AD$157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  <c:pt idx="5">
                  <c:v>2.9241632653061223E-2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6.7887214611872138E-2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14-A747-8B89-D02D6BEB5A5A}"/>
            </c:ext>
          </c:extLst>
        </c:ser>
        <c:ser>
          <c:idx val="19"/>
          <c:order val="19"/>
          <c:tx>
            <c:strRef>
              <c:f>Matrices!$AE$147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Matrices!$AE$148:$AE$157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514-A747-8B89-D02D6BEB5A5A}"/>
            </c:ext>
          </c:extLst>
        </c:ser>
        <c:ser>
          <c:idx val="20"/>
          <c:order val="20"/>
          <c:tx>
            <c:strRef>
              <c:f>Matrices!$AF$147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Matrices!$AF$148:$AF$157</c:f>
              <c:numCache>
                <c:formatCode>General</c:formatCode>
                <c:ptCount val="10"/>
                <c:pt idx="0">
                  <c:v>6.8066418786692751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  <c:pt idx="5">
                  <c:v>4.5212591020408164</c:v>
                </c:pt>
                <c:pt idx="6">
                  <c:v>0.15601217656012176</c:v>
                </c:pt>
                <c:pt idx="7">
                  <c:v>6.0515999999999996</c:v>
                </c:pt>
                <c:pt idx="8">
                  <c:v>1.1644748858447487</c:v>
                </c:pt>
                <c:pt idx="9">
                  <c:v>4.0033972602739727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4-A747-8B89-D02D6BEB5A5A}"/>
            </c:ext>
          </c:extLst>
        </c:ser>
        <c:ser>
          <c:idx val="21"/>
          <c:order val="21"/>
          <c:tx>
            <c:strRef>
              <c:f>Matrices!$AG$147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Matrices!$AG$148:$AG$157</c:f>
              <c:numCache>
                <c:formatCode>General</c:formatCode>
                <c:ptCount val="10"/>
                <c:pt idx="0">
                  <c:v>0</c:v>
                </c:pt>
                <c:pt idx="1">
                  <c:v>29.244736174530654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514-A747-8B89-D02D6BEB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Matrices!$L$159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Matrices!$L$160:$L$169</c:f>
              <c:numCache>
                <c:formatCode>General</c:formatCode>
                <c:ptCount val="10"/>
                <c:pt idx="0">
                  <c:v>7.1078767123287676</c:v>
                </c:pt>
                <c:pt idx="1">
                  <c:v>0</c:v>
                </c:pt>
                <c:pt idx="2">
                  <c:v>997.5</c:v>
                </c:pt>
                <c:pt idx="3">
                  <c:v>0</c:v>
                </c:pt>
                <c:pt idx="4">
                  <c:v>887.25</c:v>
                </c:pt>
                <c:pt idx="5">
                  <c:v>10.799999999999999</c:v>
                </c:pt>
                <c:pt idx="6">
                  <c:v>0.55936073059360725</c:v>
                </c:pt>
                <c:pt idx="7">
                  <c:v>1.2857142857142856</c:v>
                </c:pt>
                <c:pt idx="8">
                  <c:v>4.9863013698630132</c:v>
                </c:pt>
                <c:pt idx="9">
                  <c:v>1.9178082191780821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6-714B-89E9-0D87DC5FBE0E}"/>
            </c:ext>
          </c:extLst>
        </c:ser>
        <c:ser>
          <c:idx val="1"/>
          <c:order val="1"/>
          <c:tx>
            <c:strRef>
              <c:f>Matrices!$M$159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Matrices!$M$160:$M$169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3.742747</c:v>
                </c:pt>
                <c:pt idx="5">
                  <c:v>1.973551020408163E-3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6-714B-89E9-0D87DC5FBE0E}"/>
            </c:ext>
          </c:extLst>
        </c:ser>
        <c:ser>
          <c:idx val="2"/>
          <c:order val="2"/>
          <c:tx>
            <c:strRef>
              <c:f>Matrices!$N$159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Matrices!$N$160:$N$169</c:f>
              <c:numCache>
                <c:formatCode>General</c:formatCode>
                <c:ptCount val="10"/>
                <c:pt idx="0">
                  <c:v>8.5239481409001963E-2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6-714B-89E9-0D87DC5FBE0E}"/>
            </c:ext>
          </c:extLst>
        </c:ser>
        <c:ser>
          <c:idx val="3"/>
          <c:order val="3"/>
          <c:tx>
            <c:strRef>
              <c:f>Matrices!$O$159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Matrices!$O$160:$O$169</c:f>
              <c:numCache>
                <c:formatCode>General</c:formatCode>
                <c:ptCount val="10"/>
                <c:pt idx="0">
                  <c:v>21.291210045662101</c:v>
                </c:pt>
                <c:pt idx="1">
                  <c:v>0</c:v>
                </c:pt>
                <c:pt idx="2">
                  <c:v>0</c:v>
                </c:pt>
                <c:pt idx="3">
                  <c:v>16.163875000000001</c:v>
                </c:pt>
                <c:pt idx="4">
                  <c:v>0.86449999999999994</c:v>
                </c:pt>
                <c:pt idx="5">
                  <c:v>0.11142857142857142</c:v>
                </c:pt>
                <c:pt idx="6">
                  <c:v>3.578132927447996E-2</c:v>
                </c:pt>
                <c:pt idx="7">
                  <c:v>100.10000000000001</c:v>
                </c:pt>
                <c:pt idx="8">
                  <c:v>0</c:v>
                </c:pt>
                <c:pt idx="9">
                  <c:v>16.392465753424659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6-714B-89E9-0D87DC5FBE0E}"/>
            </c:ext>
          </c:extLst>
        </c:ser>
        <c:ser>
          <c:idx val="4"/>
          <c:order val="4"/>
          <c:tx>
            <c:strRef>
              <c:f>Matrices!$P$159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Matrices!$P$160:$P$169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34.043266666666661</c:v>
                </c:pt>
                <c:pt idx="4">
                  <c:v>33.023693000000002</c:v>
                </c:pt>
                <c:pt idx="5">
                  <c:v>12.161828571428572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6-714B-89E9-0D87DC5FBE0E}"/>
            </c:ext>
          </c:extLst>
        </c:ser>
        <c:ser>
          <c:idx val="5"/>
          <c:order val="5"/>
          <c:tx>
            <c:strRef>
              <c:f>Matrices!$Q$159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Matrices!$Q$160:$Q$169</c:f>
              <c:numCache>
                <c:formatCode>General</c:formatCode>
                <c:ptCount val="10"/>
                <c:pt idx="0">
                  <c:v>0</c:v>
                </c:pt>
                <c:pt idx="1">
                  <c:v>2.2190734398782341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6-714B-89E9-0D87DC5FBE0E}"/>
            </c:ext>
          </c:extLst>
        </c:ser>
        <c:ser>
          <c:idx val="6"/>
          <c:order val="6"/>
          <c:tx>
            <c:strRef>
              <c:f>Matrices!$R$159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Matrices!$R$160:$R$169</c:f>
              <c:numCache>
                <c:formatCode>General</c:formatCode>
                <c:ptCount val="10"/>
                <c:pt idx="0">
                  <c:v>33.565851272015657</c:v>
                </c:pt>
                <c:pt idx="1">
                  <c:v>0.7590055809233891</c:v>
                </c:pt>
                <c:pt idx="2">
                  <c:v>0</c:v>
                </c:pt>
                <c:pt idx="3">
                  <c:v>32.911999999999999</c:v>
                </c:pt>
                <c:pt idx="4">
                  <c:v>5.7072400000000005</c:v>
                </c:pt>
                <c:pt idx="5">
                  <c:v>1.9940930612244896</c:v>
                </c:pt>
                <c:pt idx="6">
                  <c:v>0.64687975646879747</c:v>
                </c:pt>
                <c:pt idx="7">
                  <c:v>0.32351000000000002</c:v>
                </c:pt>
                <c:pt idx="8">
                  <c:v>4.6140639269406387</c:v>
                </c:pt>
                <c:pt idx="9">
                  <c:v>10.991780821917809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6-714B-89E9-0D87DC5FBE0E}"/>
            </c:ext>
          </c:extLst>
        </c:ser>
        <c:ser>
          <c:idx val="7"/>
          <c:order val="7"/>
          <c:tx>
            <c:strRef>
              <c:f>Matrices!$S$159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Matrices!$S$160:$S$169</c:f>
              <c:numCache>
                <c:formatCode>General</c:formatCode>
                <c:ptCount val="10"/>
                <c:pt idx="0">
                  <c:v>15.118664383561642</c:v>
                </c:pt>
                <c:pt idx="1">
                  <c:v>0</c:v>
                </c:pt>
                <c:pt idx="2">
                  <c:v>6.3</c:v>
                </c:pt>
                <c:pt idx="3">
                  <c:v>35.067374999999998</c:v>
                </c:pt>
                <c:pt idx="4">
                  <c:v>0</c:v>
                </c:pt>
                <c:pt idx="5">
                  <c:v>1.7999999999999998E-4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12.226027397260273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6-714B-89E9-0D87DC5FBE0E}"/>
            </c:ext>
          </c:extLst>
        </c:ser>
        <c:ser>
          <c:idx val="8"/>
          <c:order val="8"/>
          <c:tx>
            <c:strRef>
              <c:f>Matrices!$T$159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Matrices!$T$160:$T$169</c:f>
              <c:numCache>
                <c:formatCode>General</c:formatCode>
                <c:ptCount val="10"/>
                <c:pt idx="0">
                  <c:v>1.394063926940639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2.4931506849315066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6-714B-89E9-0D87DC5FBE0E}"/>
            </c:ext>
          </c:extLst>
        </c:ser>
        <c:ser>
          <c:idx val="9"/>
          <c:order val="9"/>
          <c:tx>
            <c:strRef>
              <c:f>Matrices!$U$159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Matrices!$U$160:$U$169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6-714B-89E9-0D87DC5FBE0E}"/>
            </c:ext>
          </c:extLst>
        </c:ser>
        <c:ser>
          <c:idx val="10"/>
          <c:order val="10"/>
          <c:tx>
            <c:strRef>
              <c:f>Matrices!$V$159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Matrices!$V$160:$V$169</c:f>
              <c:numCache>
                <c:formatCode>General</c:formatCode>
                <c:ptCount val="10"/>
                <c:pt idx="0">
                  <c:v>47.751963470319637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52.171689497716898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6-714B-89E9-0D87DC5FBE0E}"/>
            </c:ext>
          </c:extLst>
        </c:ser>
        <c:ser>
          <c:idx val="11"/>
          <c:order val="11"/>
          <c:tx>
            <c:strRef>
              <c:f>Matrices!$W$159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Matrices!$W$160:$W$169</c:f>
              <c:numCache>
                <c:formatCode>General</c:formatCode>
                <c:ptCount val="10"/>
                <c:pt idx="0">
                  <c:v>0</c:v>
                </c:pt>
                <c:pt idx="1">
                  <c:v>5.6242389649923892</c:v>
                </c:pt>
                <c:pt idx="2">
                  <c:v>0.179088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6-714B-89E9-0D87DC5FBE0E}"/>
            </c:ext>
          </c:extLst>
        </c:ser>
        <c:ser>
          <c:idx val="12"/>
          <c:order val="12"/>
          <c:tx>
            <c:strRef>
              <c:f>Matrices!$X$159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Matrices!$X$160:$X$169</c:f>
              <c:numCache>
                <c:formatCode>General</c:formatCode>
                <c:ptCount val="10"/>
                <c:pt idx="0">
                  <c:v>13.701272015655579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7.2881632653061237E-3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8.0684931506849328E-2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6-714B-89E9-0D87DC5FBE0E}"/>
            </c:ext>
          </c:extLst>
        </c:ser>
        <c:ser>
          <c:idx val="13"/>
          <c:order val="13"/>
          <c:tx>
            <c:strRef>
              <c:f>Matrices!$Y$159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Matrices!$Y$160:$Y$169</c:f>
              <c:numCache>
                <c:formatCode>General</c:formatCode>
                <c:ptCount val="10"/>
                <c:pt idx="0">
                  <c:v>0</c:v>
                </c:pt>
                <c:pt idx="1">
                  <c:v>518.52454337899542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6-714B-89E9-0D87DC5FBE0E}"/>
            </c:ext>
          </c:extLst>
        </c:ser>
        <c:ser>
          <c:idx val="14"/>
          <c:order val="14"/>
          <c:tx>
            <c:strRef>
              <c:f>Matrices!$Z$159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Matrices!$Z$160:$Z$169</c:f>
              <c:numCache>
                <c:formatCode>General</c:formatCode>
                <c:ptCount val="10"/>
                <c:pt idx="0">
                  <c:v>0.36095890410958903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6-714B-89E9-0D87DC5FBE0E}"/>
            </c:ext>
          </c:extLst>
        </c:ser>
        <c:ser>
          <c:idx val="15"/>
          <c:order val="15"/>
          <c:tx>
            <c:strRef>
              <c:f>Matrices!$AA$159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Matrices!$AA$160:$AA$169</c:f>
              <c:numCache>
                <c:formatCode>General</c:formatCode>
                <c:ptCount val="10"/>
                <c:pt idx="0">
                  <c:v>0.29001956947162427</c:v>
                </c:pt>
                <c:pt idx="1">
                  <c:v>1.0487062404870624</c:v>
                </c:pt>
                <c:pt idx="2">
                  <c:v>0.41600000000000004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6-714B-89E9-0D87DC5FBE0E}"/>
            </c:ext>
          </c:extLst>
        </c:ser>
        <c:ser>
          <c:idx val="16"/>
          <c:order val="16"/>
          <c:tx>
            <c:strRef>
              <c:f>Matrices!$AB$159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Matrices!$AB$160:$AB$169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450.04467500000004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6-714B-89E9-0D87DC5FBE0E}"/>
            </c:ext>
          </c:extLst>
        </c:ser>
        <c:ser>
          <c:idx val="17"/>
          <c:order val="17"/>
          <c:tx>
            <c:strRef>
              <c:f>Matrices!$AC$159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Matrices!$AC$160:$AC$169</c:f>
              <c:numCache>
                <c:formatCode>General</c:formatCode>
                <c:ptCount val="10"/>
                <c:pt idx="0">
                  <c:v>1.0040684931506849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46-714B-89E9-0D87DC5FBE0E}"/>
            </c:ext>
          </c:extLst>
        </c:ser>
        <c:ser>
          <c:idx val="18"/>
          <c:order val="18"/>
          <c:tx>
            <c:strRef>
              <c:f>Matrices!$AD$159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Matrices!$AD$160:$AD$169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13.46213</c:v>
                </c:pt>
                <c:pt idx="4">
                  <c:v>0</c:v>
                </c:pt>
                <c:pt idx="5">
                  <c:v>6.2726530612244895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14.56255707762557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46-714B-89E9-0D87DC5FBE0E}"/>
            </c:ext>
          </c:extLst>
        </c:ser>
        <c:ser>
          <c:idx val="19"/>
          <c:order val="19"/>
          <c:tx>
            <c:strRef>
              <c:f>Matrices!$AE$159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Matrices!$AE$160:$AE$169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2.81175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46-714B-89E9-0D87DC5FBE0E}"/>
            </c:ext>
          </c:extLst>
        </c:ser>
        <c:ser>
          <c:idx val="20"/>
          <c:order val="20"/>
          <c:tx>
            <c:strRef>
              <c:f>Matrices!$AF$159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Matrices!$AF$160:$AF$169</c:f>
              <c:numCache>
                <c:formatCode>General</c:formatCode>
                <c:ptCount val="10"/>
                <c:pt idx="0">
                  <c:v>132.81252446183953</c:v>
                </c:pt>
                <c:pt idx="1">
                  <c:v>100.76103500761035</c:v>
                </c:pt>
                <c:pt idx="2">
                  <c:v>600</c:v>
                </c:pt>
                <c:pt idx="3">
                  <c:v>42.905600000000021</c:v>
                </c:pt>
                <c:pt idx="4">
                  <c:v>114.47999999999999</c:v>
                </c:pt>
                <c:pt idx="5">
                  <c:v>88.21968979591837</c:v>
                </c:pt>
                <c:pt idx="6">
                  <c:v>3.0441400304414001</c:v>
                </c:pt>
                <c:pt idx="7">
                  <c:v>118.08</c:v>
                </c:pt>
                <c:pt idx="8">
                  <c:v>22.721461187214611</c:v>
                </c:pt>
                <c:pt idx="9">
                  <c:v>78.115068493150687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6-714B-89E9-0D87DC5FBE0E}"/>
            </c:ext>
          </c:extLst>
        </c:ser>
        <c:ser>
          <c:idx val="21"/>
          <c:order val="21"/>
          <c:tx>
            <c:strRef>
              <c:f>Matrices!$AG$159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Matrices!$AG$160:$AG$169</c:f>
              <c:numCache>
                <c:formatCode>General</c:formatCode>
                <c:ptCount val="10"/>
                <c:pt idx="0">
                  <c:v>0</c:v>
                </c:pt>
                <c:pt idx="1">
                  <c:v>696.91780821917712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46-714B-89E9-0D87DC5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Matrices!$L$171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Matrices!$L$172:$L$181</c:f>
              <c:numCache>
                <c:formatCode>General</c:formatCode>
                <c:ptCount val="10"/>
                <c:pt idx="0">
                  <c:v>2.9108447488584476E-3</c:v>
                </c:pt>
                <c:pt idx="1">
                  <c:v>0</c:v>
                </c:pt>
                <c:pt idx="2">
                  <c:v>0.40849999999999997</c:v>
                </c:pt>
                <c:pt idx="3">
                  <c:v>0</c:v>
                </c:pt>
                <c:pt idx="4">
                  <c:v>0.36335000000000001</c:v>
                </c:pt>
                <c:pt idx="5">
                  <c:v>4.4228571428571424E-3</c:v>
                </c:pt>
                <c:pt idx="6">
                  <c:v>2.2907153729071535E-4</c:v>
                </c:pt>
                <c:pt idx="7">
                  <c:v>5.2653061224489789E-4</c:v>
                </c:pt>
                <c:pt idx="8">
                  <c:v>2.0420091324200914E-3</c:v>
                </c:pt>
                <c:pt idx="9">
                  <c:v>7.8538812785388127E-4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1B43-A97C-05E7F68BB3EC}"/>
            </c:ext>
          </c:extLst>
        </c:ser>
        <c:ser>
          <c:idx val="1"/>
          <c:order val="1"/>
          <c:tx>
            <c:strRef>
              <c:f>Matrices!$M$171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Matrices!$M$172:$M$181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2.9724000000000004E-2</c:v>
                </c:pt>
                <c:pt idx="5">
                  <c:v>1.5673469387755102E-5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1B43-A97C-05E7F68BB3EC}"/>
            </c:ext>
          </c:extLst>
        </c:ser>
        <c:ser>
          <c:idx val="2"/>
          <c:order val="2"/>
          <c:tx>
            <c:strRef>
              <c:f>Matrices!$N$171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Matrices!$N$172:$N$181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1B43-A97C-05E7F68BB3EC}"/>
            </c:ext>
          </c:extLst>
        </c:ser>
        <c:ser>
          <c:idx val="3"/>
          <c:order val="3"/>
          <c:tx>
            <c:strRef>
              <c:f>Matrices!$O$171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Matrices!$O$172:$O$181</c:f>
              <c:numCache>
                <c:formatCode>General</c:formatCode>
                <c:ptCount val="10"/>
                <c:pt idx="0">
                  <c:v>0.32521738421395963</c:v>
                </c:pt>
                <c:pt idx="1">
                  <c:v>0</c:v>
                </c:pt>
                <c:pt idx="2">
                  <c:v>0</c:v>
                </c:pt>
                <c:pt idx="3">
                  <c:v>0.24689875000000003</c:v>
                </c:pt>
                <c:pt idx="4">
                  <c:v>1.3205000000000001E-2</c:v>
                </c:pt>
                <c:pt idx="5">
                  <c:v>1.7020408163265306E-3</c:v>
                </c:pt>
                <c:pt idx="6">
                  <c:v>5.4654997463216644E-4</c:v>
                </c:pt>
                <c:pt idx="7">
                  <c:v>1.5290000000000004</c:v>
                </c:pt>
                <c:pt idx="8">
                  <c:v>0</c:v>
                </c:pt>
                <c:pt idx="9">
                  <c:v>0.25039041095890413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D-1B43-A97C-05E7F68BB3EC}"/>
            </c:ext>
          </c:extLst>
        </c:ser>
        <c:ser>
          <c:idx val="4"/>
          <c:order val="4"/>
          <c:tx>
            <c:strRef>
              <c:f>Matrices!$P$171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Matrices!$P$172:$P$181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1.1516666666666663E-2</c:v>
                </c:pt>
                <c:pt idx="4">
                  <c:v>1.1171750000000001E-2</c:v>
                </c:pt>
                <c:pt idx="5">
                  <c:v>4.1142857142857144E-3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D-1B43-A97C-05E7F68BB3EC}"/>
            </c:ext>
          </c:extLst>
        </c:ser>
        <c:ser>
          <c:idx val="5"/>
          <c:order val="5"/>
          <c:tx>
            <c:strRef>
              <c:f>Matrices!$Q$171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Matrices!$Q$172:$Q$181</c:f>
              <c:numCache>
                <c:formatCode>General</c:formatCode>
                <c:ptCount val="10"/>
                <c:pt idx="0">
                  <c:v>0</c:v>
                </c:pt>
                <c:pt idx="1">
                  <c:v>1.6622272957889396E-4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D-1B43-A97C-05E7F68BB3EC}"/>
            </c:ext>
          </c:extLst>
        </c:ser>
        <c:ser>
          <c:idx val="6"/>
          <c:order val="6"/>
          <c:tx>
            <c:strRef>
              <c:f>Matrices!$R$171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Matrices!$R$172:$R$181</c:f>
              <c:numCache>
                <c:formatCode>General</c:formatCode>
                <c:ptCount val="10"/>
                <c:pt idx="0">
                  <c:v>1.3574425146771039</c:v>
                </c:pt>
                <c:pt idx="1">
                  <c:v>3.0695078640284122E-2</c:v>
                </c:pt>
                <c:pt idx="2">
                  <c:v>0</c:v>
                </c:pt>
                <c:pt idx="3">
                  <c:v>1.331</c:v>
                </c:pt>
                <c:pt idx="4">
                  <c:v>0.23080750000000003</c:v>
                </c:pt>
                <c:pt idx="5">
                  <c:v>8.0643469387755101E-2</c:v>
                </c:pt>
                <c:pt idx="6">
                  <c:v>2.6160578386605786E-2</c:v>
                </c:pt>
                <c:pt idx="7">
                  <c:v>1.3083125000000003E-2</c:v>
                </c:pt>
                <c:pt idx="8">
                  <c:v>0.18659817351598174</c:v>
                </c:pt>
                <c:pt idx="9">
                  <c:v>0.44452054794520551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D-1B43-A97C-05E7F68BB3EC}"/>
            </c:ext>
          </c:extLst>
        </c:ser>
        <c:ser>
          <c:idx val="7"/>
          <c:order val="7"/>
          <c:tx>
            <c:strRef>
              <c:f>Matrices!$S$171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Matrices!$S$172:$S$181</c:f>
              <c:numCache>
                <c:formatCode>General</c:formatCode>
                <c:ptCount val="10"/>
                <c:pt idx="0">
                  <c:v>2.0638176777560337E-2</c:v>
                </c:pt>
                <c:pt idx="1">
                  <c:v>0</c:v>
                </c:pt>
                <c:pt idx="2">
                  <c:v>8.6E-3</c:v>
                </c:pt>
                <c:pt idx="3">
                  <c:v>4.7869749999999996E-2</c:v>
                </c:pt>
                <c:pt idx="4">
                  <c:v>0</c:v>
                </c:pt>
                <c:pt idx="5">
                  <c:v>2.4571428571428571E-7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1.6689497716894975E-2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D-1B43-A97C-05E7F68BB3EC}"/>
            </c:ext>
          </c:extLst>
        </c:ser>
        <c:ser>
          <c:idx val="8"/>
          <c:order val="8"/>
          <c:tx>
            <c:strRef>
              <c:f>Matrices!$T$171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Matrices!$T$172:$T$181</c:f>
              <c:numCache>
                <c:formatCode>General</c:formatCode>
                <c:ptCount val="10"/>
                <c:pt idx="0">
                  <c:v>3.7340998043052832E-4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6.6780821917808214E-4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D-1B43-A97C-05E7F68BB3EC}"/>
            </c:ext>
          </c:extLst>
        </c:ser>
        <c:ser>
          <c:idx val="9"/>
          <c:order val="9"/>
          <c:tx>
            <c:strRef>
              <c:f>Matrices!$U$171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Matrices!$U$172:$U$181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D-1B43-A97C-05E7F68BB3EC}"/>
            </c:ext>
          </c:extLst>
        </c:ser>
        <c:ser>
          <c:idx val="10"/>
          <c:order val="10"/>
          <c:tx>
            <c:strRef>
              <c:f>Matrices!$V$171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Matrices!$V$172:$V$181</c:f>
              <c:numCache>
                <c:formatCode>General</c:formatCode>
                <c:ptCount val="10"/>
                <c:pt idx="0">
                  <c:v>2.4198630136986301E-4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2.6438356164383564E-4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D-1B43-A97C-05E7F68BB3EC}"/>
            </c:ext>
          </c:extLst>
        </c:ser>
        <c:ser>
          <c:idx val="11"/>
          <c:order val="11"/>
          <c:tx>
            <c:strRef>
              <c:f>Matrices!$W$171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Matrices!$W$172:$W$181</c:f>
              <c:numCache>
                <c:formatCode>General</c:formatCode>
                <c:ptCount val="10"/>
                <c:pt idx="0">
                  <c:v>0</c:v>
                </c:pt>
                <c:pt idx="1">
                  <c:v>9.4063926940639267E-2</c:v>
                </c:pt>
                <c:pt idx="2">
                  <c:v>2.9951999999999999E-3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CD-1B43-A97C-05E7F68BB3EC}"/>
            </c:ext>
          </c:extLst>
        </c:ser>
        <c:ser>
          <c:idx val="12"/>
          <c:order val="12"/>
          <c:tx>
            <c:strRef>
              <c:f>Matrices!$X$171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Matrices!$X$172:$X$181</c:f>
              <c:numCache>
                <c:formatCode>General</c:formatCode>
                <c:ptCount val="10"/>
                <c:pt idx="0">
                  <c:v>1.4732550554468364E-2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7.8367346938775509E-6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8.6757990867579918E-5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CD-1B43-A97C-05E7F68BB3EC}"/>
            </c:ext>
          </c:extLst>
        </c:ser>
        <c:ser>
          <c:idx val="13"/>
          <c:order val="13"/>
          <c:tx>
            <c:strRef>
              <c:f>Matrices!$Y$171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Matrices!$Y$172:$Y$181</c:f>
              <c:numCache>
                <c:formatCode>General</c:formatCode>
                <c:ptCount val="10"/>
                <c:pt idx="0">
                  <c:v>0</c:v>
                </c:pt>
                <c:pt idx="1">
                  <c:v>2.985873287671233E-2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CD-1B43-A97C-05E7F68BB3EC}"/>
            </c:ext>
          </c:extLst>
        </c:ser>
        <c:ser>
          <c:idx val="14"/>
          <c:order val="14"/>
          <c:tx>
            <c:strRef>
              <c:f>Matrices!$Z$171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Matrices!$Z$172:$Z$181</c:f>
              <c:numCache>
                <c:formatCode>General</c:formatCode>
                <c:ptCount val="10"/>
                <c:pt idx="0">
                  <c:v>1.0110893672537508E-6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CD-1B43-A97C-05E7F68BB3EC}"/>
            </c:ext>
          </c:extLst>
        </c:ser>
        <c:ser>
          <c:idx val="15"/>
          <c:order val="15"/>
          <c:tx>
            <c:strRef>
              <c:f>Matrices!$AA$171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Matrices!$AA$172:$AA$181</c:f>
              <c:numCache>
                <c:formatCode>General</c:formatCode>
                <c:ptCount val="10"/>
                <c:pt idx="0">
                  <c:v>1.045743639921722E-4</c:v>
                </c:pt>
                <c:pt idx="1">
                  <c:v>3.7813926940639264E-4</c:v>
                </c:pt>
                <c:pt idx="2">
                  <c:v>1.4999999999999999E-4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CD-1B43-A97C-05E7F68BB3EC}"/>
            </c:ext>
          </c:extLst>
        </c:ser>
        <c:ser>
          <c:idx val="16"/>
          <c:order val="16"/>
          <c:tx>
            <c:strRef>
              <c:f>Matrices!$AB$171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Matrices!$AB$172:$AB$181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1.6266675000000001E-2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CD-1B43-A97C-05E7F68BB3EC}"/>
            </c:ext>
          </c:extLst>
        </c:ser>
        <c:ser>
          <c:idx val="17"/>
          <c:order val="17"/>
          <c:tx>
            <c:strRef>
              <c:f>Matrices!$AC$171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Matrices!$AC$172:$AC$181</c:f>
              <c:numCache>
                <c:formatCode>General</c:formatCode>
                <c:ptCount val="10"/>
                <c:pt idx="0">
                  <c:v>1.4537671232876714E-4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CD-1B43-A97C-05E7F68BB3EC}"/>
            </c:ext>
          </c:extLst>
        </c:ser>
        <c:ser>
          <c:idx val="18"/>
          <c:order val="18"/>
          <c:tx>
            <c:strRef>
              <c:f>Matrices!$AD$171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Matrices!$AD$172:$AD$181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5.9391749999999993E-2</c:v>
                </c:pt>
                <c:pt idx="4">
                  <c:v>0</c:v>
                </c:pt>
                <c:pt idx="5">
                  <c:v>2.7673469387755101E-2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6.424657534246575E-2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CD-1B43-A97C-05E7F68BB3EC}"/>
            </c:ext>
          </c:extLst>
        </c:ser>
        <c:ser>
          <c:idx val="19"/>
          <c:order val="19"/>
          <c:tx>
            <c:strRef>
              <c:f>Matrices!$AE$171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Matrices!$AE$172:$AE$181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5.7500000000000002E-5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CD-1B43-A97C-05E7F68BB3EC}"/>
            </c:ext>
          </c:extLst>
        </c:ser>
        <c:ser>
          <c:idx val="20"/>
          <c:order val="20"/>
          <c:tx>
            <c:strRef>
              <c:f>Matrices!$AF$171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Matrices!$AF$172:$AF$181</c:f>
              <c:numCache>
                <c:formatCode>General</c:formatCode>
                <c:ptCount val="10"/>
                <c:pt idx="0">
                  <c:v>1.162109589041096</c:v>
                </c:pt>
                <c:pt idx="1">
                  <c:v>0.88165905631659058</c:v>
                </c:pt>
                <c:pt idx="2">
                  <c:v>5.2500000000000009</c:v>
                </c:pt>
                <c:pt idx="3">
                  <c:v>0.3754240000000002</c:v>
                </c:pt>
                <c:pt idx="4">
                  <c:v>1.0017</c:v>
                </c:pt>
                <c:pt idx="5">
                  <c:v>0.77192228571428578</c:v>
                </c:pt>
                <c:pt idx="6">
                  <c:v>2.6636225266362255E-2</c:v>
                </c:pt>
                <c:pt idx="7">
                  <c:v>1.0332000000000001</c:v>
                </c:pt>
                <c:pt idx="8">
                  <c:v>0.19881278538812786</c:v>
                </c:pt>
                <c:pt idx="9">
                  <c:v>0.68350684931506855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CD-1B43-A97C-05E7F68BB3EC}"/>
            </c:ext>
          </c:extLst>
        </c:ser>
        <c:ser>
          <c:idx val="21"/>
          <c:order val="21"/>
          <c:tx>
            <c:strRef>
              <c:f>Matrices!$AG$171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Matrices!$AG$172:$AG$181</c:f>
              <c:numCache>
                <c:formatCode>General</c:formatCode>
                <c:ptCount val="10"/>
                <c:pt idx="0">
                  <c:v>0</c:v>
                </c:pt>
                <c:pt idx="1">
                  <c:v>1.9358828006088253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CD-1B43-A97C-05E7F68B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Matrices!$L$183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Matrices!$L$184:$L$193</c:f>
              <c:numCache>
                <c:formatCode>General</c:formatCode>
                <c:ptCount val="10"/>
                <c:pt idx="0">
                  <c:v>1.4283447488584474E-2</c:v>
                </c:pt>
                <c:pt idx="1">
                  <c:v>0</c:v>
                </c:pt>
                <c:pt idx="2">
                  <c:v>2.0044999999999997</c:v>
                </c:pt>
                <c:pt idx="3">
                  <c:v>0</c:v>
                </c:pt>
                <c:pt idx="4">
                  <c:v>1.7829499999999998</c:v>
                </c:pt>
                <c:pt idx="5">
                  <c:v>2.1702857142857142E-2</c:v>
                </c:pt>
                <c:pt idx="6">
                  <c:v>1.124048706240487E-3</c:v>
                </c:pt>
                <c:pt idx="7">
                  <c:v>2.5836734693877547E-3</c:v>
                </c:pt>
                <c:pt idx="8">
                  <c:v>1.0020091324200913E-2</c:v>
                </c:pt>
                <c:pt idx="9">
                  <c:v>3.8538812785388126E-3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7345-B50F-26D7DCD7BE67}"/>
            </c:ext>
          </c:extLst>
        </c:ser>
        <c:ser>
          <c:idx val="1"/>
          <c:order val="1"/>
          <c:tx>
            <c:strRef>
              <c:f>Matrices!$M$183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Matrices!$M$184:$M$193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0.21822369999999999</c:v>
                </c:pt>
                <c:pt idx="5">
                  <c:v>1.1506938775510203E-4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7345-B50F-26D7DCD7BE67}"/>
            </c:ext>
          </c:extLst>
        </c:ser>
        <c:ser>
          <c:idx val="2"/>
          <c:order val="2"/>
          <c:tx>
            <c:strRef>
              <c:f>Matrices!$N$183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Matrices!$N$184:$N$193</c:f>
              <c:numCache>
                <c:formatCode>General</c:formatCode>
                <c:ptCount val="10"/>
                <c:pt idx="0">
                  <c:v>0.40588796477495109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7345-B50F-26D7DCD7BE67}"/>
            </c:ext>
          </c:extLst>
        </c:ser>
        <c:ser>
          <c:idx val="3"/>
          <c:order val="3"/>
          <c:tx>
            <c:strRef>
              <c:f>Matrices!$O$183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Matrices!$O$184:$O$193</c:f>
              <c:numCache>
                <c:formatCode>General</c:formatCode>
                <c:ptCount val="10"/>
                <c:pt idx="0">
                  <c:v>0.15933312133072408</c:v>
                </c:pt>
                <c:pt idx="1">
                  <c:v>0</c:v>
                </c:pt>
                <c:pt idx="2">
                  <c:v>0</c:v>
                </c:pt>
                <c:pt idx="3">
                  <c:v>0.12096262500000002</c:v>
                </c:pt>
                <c:pt idx="4">
                  <c:v>6.4695000000000004E-3</c:v>
                </c:pt>
                <c:pt idx="5">
                  <c:v>8.3387755102040813E-4</c:v>
                </c:pt>
                <c:pt idx="6">
                  <c:v>2.6777016742770166E-4</c:v>
                </c:pt>
                <c:pt idx="7">
                  <c:v>0.7491000000000001</c:v>
                </c:pt>
                <c:pt idx="8">
                  <c:v>0</c:v>
                </c:pt>
                <c:pt idx="9">
                  <c:v>0.12267328767123289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7345-B50F-26D7DCD7BE67}"/>
            </c:ext>
          </c:extLst>
        </c:ser>
        <c:ser>
          <c:idx val="4"/>
          <c:order val="4"/>
          <c:tx>
            <c:strRef>
              <c:f>Matrices!$P$183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Matrices!$P$184:$P$193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8.6743533333333303E-2</c:v>
                </c:pt>
                <c:pt idx="4">
                  <c:v>8.414562099999999E-2</c:v>
                </c:pt>
                <c:pt idx="5">
                  <c:v>3.0988799999999997E-2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9-7345-B50F-26D7DCD7BE67}"/>
            </c:ext>
          </c:extLst>
        </c:ser>
        <c:ser>
          <c:idx val="5"/>
          <c:order val="5"/>
          <c:tx>
            <c:strRef>
              <c:f>Matrices!$Q$183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Matrices!$Q$184:$Q$193</c:f>
              <c:numCache>
                <c:formatCode>General</c:formatCode>
                <c:ptCount val="10"/>
                <c:pt idx="0">
                  <c:v>0</c:v>
                </c:pt>
                <c:pt idx="1">
                  <c:v>2.0561751648909179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9-7345-B50F-26D7DCD7BE67}"/>
            </c:ext>
          </c:extLst>
        </c:ser>
        <c:ser>
          <c:idx val="6"/>
          <c:order val="6"/>
          <c:tx>
            <c:strRef>
              <c:f>Matrices!$R$183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Matrices!$R$184:$R$193</c:f>
              <c:numCache>
                <c:formatCode>General</c:formatCode>
                <c:ptCount val="10"/>
                <c:pt idx="0">
                  <c:v>0.42253483365949124</c:v>
                </c:pt>
                <c:pt idx="1">
                  <c:v>9.5545408422120764E-3</c:v>
                </c:pt>
                <c:pt idx="2">
                  <c:v>0</c:v>
                </c:pt>
                <c:pt idx="3">
                  <c:v>0.41430400000000006</c:v>
                </c:pt>
                <c:pt idx="4">
                  <c:v>7.1844080000000018E-2</c:v>
                </c:pt>
                <c:pt idx="5">
                  <c:v>2.5102112653061226E-2</c:v>
                </c:pt>
                <c:pt idx="6">
                  <c:v>8.1430745814307457E-3</c:v>
                </c:pt>
                <c:pt idx="7">
                  <c:v>4.0724200000000011E-3</c:v>
                </c:pt>
                <c:pt idx="8">
                  <c:v>5.8082922374429226E-2</c:v>
                </c:pt>
                <c:pt idx="9">
                  <c:v>0.13836712328767126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9-7345-B50F-26D7DCD7BE67}"/>
            </c:ext>
          </c:extLst>
        </c:ser>
        <c:ser>
          <c:idx val="7"/>
          <c:order val="7"/>
          <c:tx>
            <c:strRef>
              <c:f>Matrices!$S$183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Matrices!$S$184:$S$193</c:f>
              <c:numCache>
                <c:formatCode>General</c:formatCode>
                <c:ptCount val="10"/>
                <c:pt idx="0">
                  <c:v>0.25509746412263534</c:v>
                </c:pt>
                <c:pt idx="1">
                  <c:v>0</c:v>
                </c:pt>
                <c:pt idx="2">
                  <c:v>0.10630000000000001</c:v>
                </c:pt>
                <c:pt idx="3">
                  <c:v>0.59169237500000005</c:v>
                </c:pt>
                <c:pt idx="4">
                  <c:v>0</c:v>
                </c:pt>
                <c:pt idx="5">
                  <c:v>3.0371428571428572E-6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0.20628995433789954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9-7345-B50F-26D7DCD7BE67}"/>
            </c:ext>
          </c:extLst>
        </c:ser>
        <c:ser>
          <c:idx val="8"/>
          <c:order val="8"/>
          <c:tx>
            <c:strRef>
              <c:f>Matrices!$T$183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Matrices!$T$184:$T$193</c:f>
              <c:numCache>
                <c:formatCode>General</c:formatCode>
                <c:ptCount val="10"/>
                <c:pt idx="0">
                  <c:v>0.11003147423352901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0.19678082191780821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A9-7345-B50F-26D7DCD7BE67}"/>
            </c:ext>
          </c:extLst>
        </c:ser>
        <c:ser>
          <c:idx val="9"/>
          <c:order val="9"/>
          <c:tx>
            <c:strRef>
              <c:f>Matrices!$U$183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Matrices!$U$184:$U$193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A9-7345-B50F-26D7DCD7BE67}"/>
            </c:ext>
          </c:extLst>
        </c:ser>
        <c:ser>
          <c:idx val="10"/>
          <c:order val="10"/>
          <c:tx>
            <c:strRef>
              <c:f>Matrices!$V$183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Matrices!$V$184:$V$193</c:f>
              <c:numCache>
                <c:formatCode>General</c:formatCode>
                <c:ptCount val="10"/>
                <c:pt idx="0">
                  <c:v>2.7578372146118721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3.013091324200913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A9-7345-B50F-26D7DCD7BE67}"/>
            </c:ext>
          </c:extLst>
        </c:ser>
        <c:ser>
          <c:idx val="11"/>
          <c:order val="11"/>
          <c:tx>
            <c:strRef>
              <c:f>Matrices!$W$183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Matrices!$W$184:$W$193</c:f>
              <c:numCache>
                <c:formatCode>General</c:formatCode>
                <c:ptCount val="10"/>
                <c:pt idx="0">
                  <c:v>0</c:v>
                </c:pt>
                <c:pt idx="1">
                  <c:v>0.4977549467275495</c:v>
                </c:pt>
                <c:pt idx="2">
                  <c:v>1.5849599999999998E-2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A9-7345-B50F-26D7DCD7BE67}"/>
            </c:ext>
          </c:extLst>
        </c:ser>
        <c:ser>
          <c:idx val="12"/>
          <c:order val="12"/>
          <c:tx>
            <c:strRef>
              <c:f>Matrices!$X$183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Matrices!$X$184:$X$193</c:f>
              <c:numCache>
                <c:formatCode>General</c:formatCode>
                <c:ptCount val="10"/>
                <c:pt idx="0">
                  <c:v>1.0460110893672538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5.564081632653061E-4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6.159817351598173E-3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A9-7345-B50F-26D7DCD7BE67}"/>
            </c:ext>
          </c:extLst>
        </c:ser>
        <c:ser>
          <c:idx val="13"/>
          <c:order val="13"/>
          <c:tx>
            <c:strRef>
              <c:f>Matrices!$Y$183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Matrices!$Y$184:$Y$193</c:f>
              <c:numCache>
                <c:formatCode>General</c:formatCode>
                <c:ptCount val="10"/>
                <c:pt idx="0">
                  <c:v>0</c:v>
                </c:pt>
                <c:pt idx="1">
                  <c:v>0.88337614155251143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A9-7345-B50F-26D7DCD7BE67}"/>
            </c:ext>
          </c:extLst>
        </c:ser>
        <c:ser>
          <c:idx val="14"/>
          <c:order val="14"/>
          <c:tx>
            <c:strRef>
              <c:f>Matrices!$Z$183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Matrices!$Z$184:$Z$193</c:f>
              <c:numCache>
                <c:formatCode>General</c:formatCode>
                <c:ptCount val="10"/>
                <c:pt idx="0">
                  <c:v>4.1960208741030659E-3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A9-7345-B50F-26D7DCD7BE67}"/>
            </c:ext>
          </c:extLst>
        </c:ser>
        <c:ser>
          <c:idx val="15"/>
          <c:order val="15"/>
          <c:tx>
            <c:strRef>
              <c:f>Matrices!$AA$183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Matrices!$AA$184:$AA$193</c:f>
              <c:numCache>
                <c:formatCode>General</c:formatCode>
                <c:ptCount val="10"/>
                <c:pt idx="0">
                  <c:v>3.9041095890410951E-2</c:v>
                </c:pt>
                <c:pt idx="1">
                  <c:v>0.14117199391171992</c:v>
                </c:pt>
                <c:pt idx="2">
                  <c:v>5.5999999999999994E-2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A9-7345-B50F-26D7DCD7BE67}"/>
            </c:ext>
          </c:extLst>
        </c:ser>
        <c:ser>
          <c:idx val="16"/>
          <c:order val="16"/>
          <c:tx>
            <c:strRef>
              <c:f>Matrices!$AB$183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Matrices!$AB$184:$AB$193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4.7715580000000006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A9-7345-B50F-26D7DCD7BE67}"/>
            </c:ext>
          </c:extLst>
        </c:ser>
        <c:ser>
          <c:idx val="17"/>
          <c:order val="17"/>
          <c:tx>
            <c:strRef>
              <c:f>Matrices!$AC$183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Matrices!$AC$184:$AC$193</c:f>
              <c:numCache>
                <c:formatCode>General</c:formatCode>
                <c:ptCount val="10"/>
                <c:pt idx="0">
                  <c:v>2.9269178082191781E-2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A9-7345-B50F-26D7DCD7BE67}"/>
            </c:ext>
          </c:extLst>
        </c:ser>
        <c:ser>
          <c:idx val="18"/>
          <c:order val="18"/>
          <c:tx>
            <c:strRef>
              <c:f>Matrices!$AD$183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Matrices!$AD$184:$AD$193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1.1207223225</c:v>
                </c:pt>
                <c:pt idx="4">
                  <c:v>0</c:v>
                </c:pt>
                <c:pt idx="5">
                  <c:v>0.52219836734693881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1.2123328767123287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A9-7345-B50F-26D7DCD7BE67}"/>
            </c:ext>
          </c:extLst>
        </c:ser>
        <c:ser>
          <c:idx val="19"/>
          <c:order val="19"/>
          <c:tx>
            <c:strRef>
              <c:f>Matrices!$AE$183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Matrices!$AE$184:$AE$193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11.80475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A9-7345-B50F-26D7DCD7BE67}"/>
            </c:ext>
          </c:extLst>
        </c:ser>
        <c:ser>
          <c:idx val="20"/>
          <c:order val="20"/>
          <c:tx>
            <c:strRef>
              <c:f>Matrices!$AF$183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Matrices!$AF$184:$AF$193</c:f>
              <c:numCache>
                <c:formatCode>General</c:formatCode>
                <c:ptCount val="10"/>
                <c:pt idx="0">
                  <c:v>1.7320966731898237</c:v>
                </c:pt>
                <c:pt idx="1">
                  <c:v>1.3140918315575849</c:v>
                </c:pt>
                <c:pt idx="2">
                  <c:v>7.8250000000000002</c:v>
                </c:pt>
                <c:pt idx="3">
                  <c:v>0.55956053333333355</c:v>
                </c:pt>
                <c:pt idx="4">
                  <c:v>1.4930099999999999</c:v>
                </c:pt>
                <c:pt idx="5">
                  <c:v>1.150531787755102</c:v>
                </c:pt>
                <c:pt idx="6">
                  <c:v>3.970065956367326E-2</c:v>
                </c:pt>
                <c:pt idx="7">
                  <c:v>1.53996</c:v>
                </c:pt>
                <c:pt idx="8">
                  <c:v>0.29632572298325721</c:v>
                </c:pt>
                <c:pt idx="9">
                  <c:v>1.0187506849315069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A9-7345-B50F-26D7DCD7BE67}"/>
            </c:ext>
          </c:extLst>
        </c:ser>
        <c:ser>
          <c:idx val="21"/>
          <c:order val="21"/>
          <c:tx>
            <c:strRef>
              <c:f>Matrices!$AG$183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Matrices!$AG$184:$AG$193</c:f>
              <c:numCache>
                <c:formatCode>General</c:formatCode>
                <c:ptCount val="10"/>
                <c:pt idx="0">
                  <c:v>0</c:v>
                </c:pt>
                <c:pt idx="1">
                  <c:v>13.860920852359188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A9-7345-B50F-26D7DCD7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F-B548-8CA8-8569AC64F4BF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F-B548-8CA8-8569AC64F4BF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F-B548-8CA8-8569AC64F4BF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F-B548-8CA8-8569AC64F4BF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F-B548-8CA8-8569AC64F4BF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F-B548-8CA8-8569AC64F4BF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F-B548-8CA8-8569AC64F4BF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F-B548-8CA8-8569AC64F4BF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F-B548-8CA8-8569AC64F4BF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F-B548-8CA8-8569AC64F4BF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F-B548-8CA8-8569AC64F4BF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F-B548-8CA8-8569AC64F4BF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F-B548-8CA8-8569AC64F4BF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F-B548-8CA8-8569AC64F4BF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F-B548-8CA8-8569AC64F4BF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F-B548-8CA8-8569AC64F4BF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F-B548-8CA8-8569AC64F4BF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F-B548-8CA8-8569AC64F4BF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F-B548-8CA8-8569AC64F4BF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E0F-B548-8CA8-8569AC64F4BF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F-B548-8CA8-8569AC64F4BF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E0F-B548-8CA8-8569AC64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7B46-9CB1-F9C71448CBB9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7B46-9CB1-F9C71448CBB9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7B46-9CB1-F9C71448CBB9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7B46-9CB1-F9C71448CBB9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7B46-9CB1-F9C71448CBB9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7B46-9CB1-F9C71448CBB9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5-7B46-9CB1-F9C71448CBB9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B5-7B46-9CB1-F9C71448CBB9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B5-7B46-9CB1-F9C71448CBB9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5-7B46-9CB1-F9C71448CBB9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5-7B46-9CB1-F9C71448CBB9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5-7B46-9CB1-F9C71448CBB9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B5-7B46-9CB1-F9C71448CBB9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B5-7B46-9CB1-F9C71448CBB9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B5-7B46-9CB1-F9C71448CBB9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B5-7B46-9CB1-F9C71448CBB9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B5-7B46-9CB1-F9C71448CBB9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B5-7B46-9CB1-F9C71448CBB9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B5-7B46-9CB1-F9C71448CBB9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B5-7B46-9CB1-F9C71448CBB9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B5-7B46-9CB1-F9C71448CBB9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B5-7B46-9CB1-F9C71448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4-6B44-A01E-106C7F30B3F4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4-6B44-A01E-106C7F30B3F4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4-6B44-A01E-106C7F30B3F4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4-6B44-A01E-106C7F30B3F4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14-6B44-A01E-106C7F30B3F4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4-6B44-A01E-106C7F30B3F4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4-6B44-A01E-106C7F30B3F4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4-6B44-A01E-106C7F30B3F4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4-6B44-A01E-106C7F30B3F4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14-6B44-A01E-106C7F30B3F4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14-6B44-A01E-106C7F30B3F4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14-6B44-A01E-106C7F30B3F4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14-6B44-A01E-106C7F30B3F4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4-6B44-A01E-106C7F30B3F4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14-6B44-A01E-106C7F30B3F4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14-6B44-A01E-106C7F30B3F4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14-6B44-A01E-106C7F30B3F4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14-6B44-A01E-106C7F30B3F4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14-6B44-A01E-106C7F30B3F4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14-6B44-A01E-106C7F30B3F4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4-6B44-A01E-106C7F30B3F4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14-6B44-A01E-106C7F30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6142-8A1E-8AEA3EF3C9E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A-6142-8A1E-8AEA3EF3C9E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A-6142-8A1E-8AEA3EF3C9E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A-6142-8A1E-8AEA3EF3C9E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8A-6142-8A1E-8AEA3EF3C9E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8A-6142-8A1E-8AEA3EF3C9E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8A-6142-8A1E-8AEA3EF3C9E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8A-6142-8A1E-8AEA3EF3C9E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8A-6142-8A1E-8AEA3EF3C9E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8A-6142-8A1E-8AEA3EF3C9E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8A-6142-8A1E-8AEA3EF3C9E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8A-6142-8A1E-8AEA3EF3C9E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8A-6142-8A1E-8AEA3EF3C9E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8A-6142-8A1E-8AEA3EF3C9E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8A-6142-8A1E-8AEA3EF3C9E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8A-6142-8A1E-8AEA3EF3C9E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8A-6142-8A1E-8AEA3EF3C9E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8A-6142-8A1E-8AEA3EF3C9E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8A-6142-8A1E-8AEA3EF3C9E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8A-6142-8A1E-8AEA3EF3C9E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8A-6142-8A1E-8AEA3EF3C9E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8A-6142-8A1E-8AEA3EF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C-1547-B0E9-B7539BD7D25E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C-1547-B0E9-B7539BD7D25E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C-1547-B0E9-B7539BD7D25E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C-1547-B0E9-B7539BD7D25E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C-1547-B0E9-B7539BD7D25E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C-1547-B0E9-B7539BD7D25E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C-1547-B0E9-B7539BD7D25E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CC-1547-B0E9-B7539BD7D25E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CC-1547-B0E9-B7539BD7D25E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CC-1547-B0E9-B7539BD7D25E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CC-1547-B0E9-B7539BD7D25E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C-1547-B0E9-B7539BD7D25E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C-1547-B0E9-B7539BD7D25E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CC-1547-B0E9-B7539BD7D25E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CC-1547-B0E9-B7539BD7D25E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CC-1547-B0E9-B7539BD7D25E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CC-1547-B0E9-B7539BD7D25E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CC-1547-B0E9-B7539BD7D25E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CC-1547-B0E9-B7539BD7D25E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FCC-1547-B0E9-B7539BD7D25E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CC-1547-B0E9-B7539BD7D25E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FCC-1547-B0E9-B7539BD7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D-4816-8116-E0FF4CBD574E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D-4816-8116-E0FF4CBD574E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D-4816-8116-E0FF4CBD574E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D-4816-8116-E0FF4CBD574E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D-4816-8116-E0FF4CBD574E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AD-4816-8116-E0FF4CBD574E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AD-4816-8116-E0FF4CBD574E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AD-4816-8116-E0FF4CBD574E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AD-4816-8116-E0FF4CBD574E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AD-4816-8116-E0FF4CBD574E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D-4816-8116-E0FF4CBD574E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AD-4816-8116-E0FF4CBD574E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AD-4816-8116-E0FF4CBD574E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AD-4816-8116-E0FF4CBD574E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AD-4816-8116-E0FF4CBD574E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AD-4816-8116-E0FF4CBD574E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AD-4816-8116-E0FF4CBD574E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AD-4816-8116-E0FF4CBD574E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AD-4816-8116-E0FF4CBD574E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AD-4816-8116-E0FF4CBD574E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AD-4816-8116-E0FF4CBD574E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AD-4816-8116-E0FF4CBD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32E-91A2-6F2728501933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9-432E-91A2-6F2728501933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9-432E-91A2-6F2728501933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32E-91A2-6F2728501933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B9-432E-91A2-6F2728501933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B9-432E-91A2-6F2728501933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9-432E-91A2-6F2728501933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9-432E-91A2-6F2728501933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9-432E-91A2-6F2728501933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9-432E-91A2-6F2728501933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9-432E-91A2-6F2728501933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9-432E-91A2-6F2728501933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B9-432E-91A2-6F2728501933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B9-432E-91A2-6F2728501933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B9-432E-91A2-6F2728501933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9-432E-91A2-6F2728501933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B9-432E-91A2-6F2728501933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B9-432E-91A2-6F2728501933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B9-432E-91A2-6F2728501933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B9-432E-91A2-6F2728501933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B9-432E-91A2-6F2728501933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B9-432E-91A2-6F272850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FA9-B3EF-BD47F3F62AE9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FA9-B3EF-BD47F3F62AE9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FA9-B3EF-BD47F3F62AE9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FA9-B3EF-BD47F3F62AE9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FA9-B3EF-BD47F3F62AE9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FA9-B3EF-BD47F3F62AE9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FA9-B3EF-BD47F3F62AE9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FA9-B3EF-BD47F3F62AE9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FA9-B3EF-BD47F3F62AE9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FA9-B3EF-BD47F3F62AE9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4FA9-B3EF-BD47F3F62AE9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F3-4FA9-B3EF-BD47F3F62AE9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F3-4FA9-B3EF-BD47F3F62AE9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F3-4FA9-B3EF-BD47F3F62AE9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3-4FA9-B3EF-BD47F3F62AE9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F3-4FA9-B3EF-BD47F3F62AE9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3-4FA9-B3EF-BD47F3F62AE9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F3-4FA9-B3EF-BD47F3F62AE9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3-4FA9-B3EF-BD47F3F62AE9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F3-4FA9-B3EF-BD47F3F62AE9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3-4FA9-B3EF-BD47F3F62AE9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F3-4FA9-B3EF-BD47F3F62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D37-840C-EEAB7D8DA92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D37-840C-EEAB7D8DA92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6-4D37-840C-EEAB7D8DA92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6-4D37-840C-EEAB7D8DA92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6-4D37-840C-EEAB7D8DA92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6-4D37-840C-EEAB7D8DA92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6-4D37-840C-EEAB7D8DA92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6-4D37-840C-EEAB7D8DA92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6-4D37-840C-EEAB7D8DA92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E6-4D37-840C-EEAB7D8DA92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E6-4D37-840C-EEAB7D8DA92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E6-4D37-840C-EEAB7D8DA92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E6-4D37-840C-EEAB7D8DA92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E6-4D37-840C-EEAB7D8DA92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E6-4D37-840C-EEAB7D8DA92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E6-4D37-840C-EEAB7D8DA92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E6-4D37-840C-EEAB7D8DA92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E6-4D37-840C-EEAB7D8DA92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E6-4D37-840C-EEAB7D8DA92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E6-4D37-840C-EEAB7D8DA92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E6-4D37-840C-EEAB7D8DA92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E6-4D37-840C-EEAB7D8D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4-462F-8686-D1C5260165AB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4-462F-8686-D1C5260165AB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4-462F-8686-D1C5260165AB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4-462F-8686-D1C5260165AB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44-462F-8686-D1C5260165AB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4-462F-8686-D1C5260165AB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44-462F-8686-D1C5260165AB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44-462F-8686-D1C5260165AB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44-462F-8686-D1C5260165AB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4-462F-8686-D1C5260165AB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4-462F-8686-D1C5260165AB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44-462F-8686-D1C5260165AB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44-462F-8686-D1C5260165AB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44-462F-8686-D1C5260165AB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44-462F-8686-D1C5260165AB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44-462F-8686-D1C5260165AB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44-462F-8686-D1C5260165AB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44-462F-8686-D1C5260165AB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44-462F-8686-D1C5260165AB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44-462F-8686-D1C5260165AB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44-462F-8686-D1C5260165AB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44-462F-8686-D1C5260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Embodied Material Emissions in Several Energy</a:t>
            </a:r>
            <a:r>
              <a:rPr lang="en-GB" sz="2400" b="1" baseline="0">
                <a:solidFill>
                  <a:schemeClr val="tx1"/>
                </a:solidFill>
                <a:latin typeface="Latin Modern Roman 12" pitchFamily="2" charset="77"/>
              </a:rPr>
              <a:t> Technologies</a:t>
            </a: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Graph!$C$3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Graph!$C$4:$C$8</c:f>
              <c:numCache>
                <c:formatCode>General</c:formatCode>
                <c:ptCount val="5"/>
                <c:pt idx="0">
                  <c:v>6.8066418786692759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F-1B4D-BDBD-433F261D7F7E}"/>
            </c:ext>
          </c:extLst>
        </c:ser>
        <c:ser>
          <c:idx val="1"/>
          <c:order val="1"/>
          <c:tx>
            <c:strRef>
              <c:f>Graph!$D$3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Graph!$D$4:$D$8</c:f>
              <c:numCache>
                <c:formatCode>General</c:formatCode>
                <c:ptCount val="5"/>
                <c:pt idx="0">
                  <c:v>0</c:v>
                </c:pt>
                <c:pt idx="1">
                  <c:v>29.244736174530658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F-1B4D-BDBD-433F261D7F7E}"/>
            </c:ext>
          </c:extLst>
        </c:ser>
        <c:ser>
          <c:idx val="2"/>
          <c:order val="2"/>
          <c:tx>
            <c:strRef>
              <c:f>Graph!$E$3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Graph!$E$4:$E$8</c:f>
              <c:numCache>
                <c:formatCode>General</c:formatCode>
                <c:ptCount val="5"/>
                <c:pt idx="0">
                  <c:v>0.93935022015655589</c:v>
                </c:pt>
                <c:pt idx="1">
                  <c:v>2.1240994419076609E-2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F-1B4D-BDBD-433F261D7F7E}"/>
            </c:ext>
          </c:extLst>
        </c:ser>
        <c:ser>
          <c:idx val="3"/>
          <c:order val="3"/>
          <c:tx>
            <c:strRef>
              <c:f>Graph!$F$3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Graph!$F$4:$F$8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F-1B4D-BDBD-433F261D7F7E}"/>
            </c:ext>
          </c:extLst>
        </c:ser>
        <c:ser>
          <c:idx val="4"/>
          <c:order val="4"/>
          <c:tx>
            <c:strRef>
              <c:f>Graph!$G$3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Graph!$G$4:$G$8</c:f>
              <c:numCache>
                <c:formatCode>General</c:formatCode>
                <c:ptCount val="5"/>
                <c:pt idx="0">
                  <c:v>1.0294651011089366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F-1B4D-BDBD-433F261D7F7E}"/>
            </c:ext>
          </c:extLst>
        </c:ser>
        <c:ser>
          <c:idx val="5"/>
          <c:order val="5"/>
          <c:tx>
            <c:strRef>
              <c:f>Graph!$H$3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Graph!$H$4:$H$8</c:f>
              <c:numCache>
                <c:formatCode>General</c:formatCode>
                <c:ptCount val="5"/>
                <c:pt idx="0">
                  <c:v>8.5159132420091321E-2</c:v>
                </c:pt>
                <c:pt idx="1">
                  <c:v>0</c:v>
                </c:pt>
                <c:pt idx="2">
                  <c:v>11.951000000000001</c:v>
                </c:pt>
                <c:pt idx="3">
                  <c:v>0</c:v>
                </c:pt>
                <c:pt idx="4">
                  <c:v>10.630100000000001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EF-1B4D-BDBD-433F261D7F7E}"/>
            </c:ext>
          </c:extLst>
        </c:ser>
        <c:ser>
          <c:idx val="6"/>
          <c:order val="6"/>
          <c:tx>
            <c:strRef>
              <c:f>Graph!$I$3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Graph!$I$4:$I$8</c:f>
              <c:numCache>
                <c:formatCode>General</c:formatCode>
                <c:ptCount val="5"/>
                <c:pt idx="0">
                  <c:v>0.17398462981082843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EF-1B4D-BDBD-433F261D7F7E}"/>
            </c:ext>
          </c:extLst>
        </c:ser>
        <c:ser>
          <c:idx val="7"/>
          <c:order val="7"/>
          <c:tx>
            <c:strRef>
              <c:f>Graph!$J$3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Graph!$J$4:$J$8</c:f>
              <c:numCache>
                <c:formatCode>General</c:formatCode>
                <c:ptCount val="5"/>
                <c:pt idx="0">
                  <c:v>0</c:v>
                </c:pt>
                <c:pt idx="1">
                  <c:v>0.30962709284627093</c:v>
                </c:pt>
                <c:pt idx="2">
                  <c:v>9.859200000000002E-3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EF-1B4D-BDBD-433F261D7F7E}"/>
            </c:ext>
          </c:extLst>
        </c:ser>
        <c:ser>
          <c:idx val="8"/>
          <c:order val="8"/>
          <c:tx>
            <c:strRef>
              <c:f>Graph!$K$3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Graph!$K$4:$K$8</c:f>
              <c:numCache>
                <c:formatCode>General</c:formatCode>
                <c:ptCount val="5"/>
                <c:pt idx="0">
                  <c:v>3.7855919765166335E-2</c:v>
                </c:pt>
                <c:pt idx="1">
                  <c:v>0.13688641552511413</c:v>
                </c:pt>
                <c:pt idx="2">
                  <c:v>5.4299999999999994E-2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EF-1B4D-BDBD-433F261D7F7E}"/>
            </c:ext>
          </c:extLst>
        </c:ser>
        <c:ser>
          <c:idx val="9"/>
          <c:order val="9"/>
          <c:tx>
            <c:strRef>
              <c:f>Graph!$L$3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Graph!$L$4:$L$8</c:f>
              <c:numCache>
                <c:formatCode>General</c:formatCode>
                <c:ptCount val="5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EF-1B4D-BDBD-433F261D7F7E}"/>
            </c:ext>
          </c:extLst>
        </c:ser>
        <c:ser>
          <c:idx val="10"/>
          <c:order val="10"/>
          <c:tx>
            <c:strRef>
              <c:f>Graph!$M$3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Graph!$M$4:$M$8</c:f>
              <c:numCache>
                <c:formatCode>General</c:formatCode>
                <c:ptCount val="5"/>
                <c:pt idx="0">
                  <c:v>0.48316598173515973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EF-1B4D-BDBD-433F261D7F7E}"/>
            </c:ext>
          </c:extLst>
        </c:ser>
        <c:ser>
          <c:idx val="11"/>
          <c:order val="11"/>
          <c:tx>
            <c:strRef>
              <c:f>Graph!$N$3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Graph!$N$4:$N$8</c:f>
              <c:numCache>
                <c:formatCode>General</c:formatCode>
                <c:ptCount val="5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EF-1B4D-BDBD-433F261D7F7E}"/>
            </c:ext>
          </c:extLst>
        </c:ser>
        <c:ser>
          <c:idx val="12"/>
          <c:order val="12"/>
          <c:tx>
            <c:strRef>
              <c:f>Graph!$O$3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Graph!$O$4:$O$8</c:f>
              <c:numCache>
                <c:formatCode>General</c:formatCode>
                <c:ptCount val="5"/>
                <c:pt idx="0">
                  <c:v>7.0265410958904095E-2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EF-1B4D-BDBD-433F261D7F7E}"/>
            </c:ext>
          </c:extLst>
        </c:ser>
        <c:ser>
          <c:idx val="13"/>
          <c:order val="13"/>
          <c:tx>
            <c:strRef>
              <c:f>Graph!$P$3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Graph!$P$4:$P$8</c:f>
              <c:numCache>
                <c:formatCode>General</c:formatCode>
                <c:ptCount val="5"/>
                <c:pt idx="0">
                  <c:v>0.12215753424657534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EF-1B4D-BDBD-433F261D7F7E}"/>
            </c:ext>
          </c:extLst>
        </c:ser>
        <c:ser>
          <c:idx val="14"/>
          <c:order val="14"/>
          <c:tx>
            <c:strRef>
              <c:f>Graph!$Q$3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Graph!$Q$4:$Q$8</c:f>
              <c:numCache>
                <c:formatCode>General</c:formatCode>
                <c:ptCount val="5"/>
                <c:pt idx="0">
                  <c:v>1.5763829093281154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EF-1B4D-BDBD-433F261D7F7E}"/>
            </c:ext>
          </c:extLst>
        </c:ser>
        <c:ser>
          <c:idx val="15"/>
          <c:order val="15"/>
          <c:tx>
            <c:strRef>
              <c:f>Graph!$R$3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Graph!$R$4:$R$8</c:f>
              <c:numCache>
                <c:formatCode>General</c:formatCode>
                <c:ptCount val="5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EF-1B4D-BDBD-433F261D7F7E}"/>
            </c:ext>
          </c:extLst>
        </c:ser>
        <c:ser>
          <c:idx val="16"/>
          <c:order val="16"/>
          <c:tx>
            <c:strRef>
              <c:f>Graph!$S$3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Graph!$S$4:$S$8</c:f>
              <c:numCache>
                <c:formatCode>General</c:formatCode>
                <c:ptCount val="5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EF-1B4D-BDBD-433F261D7F7E}"/>
            </c:ext>
          </c:extLst>
        </c:ser>
        <c:ser>
          <c:idx val="17"/>
          <c:order val="17"/>
          <c:tx>
            <c:strRef>
              <c:f>Graph!$T$3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Graph!$T$4:$T$8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0.66307500000000008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EF-1B4D-BDBD-433F261D7F7E}"/>
            </c:ext>
          </c:extLst>
        </c:ser>
        <c:ser>
          <c:idx val="18"/>
          <c:order val="18"/>
          <c:tx>
            <c:strRef>
              <c:f>Graph!$U$3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Graph!$U$4:$U$8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EF-1B4D-BDBD-433F261D7F7E}"/>
            </c:ext>
          </c:extLst>
        </c:ser>
        <c:ser>
          <c:idx val="19"/>
          <c:order val="19"/>
          <c:tx>
            <c:strRef>
              <c:f>Graph!$V$3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Graph!$V$4:$V$8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EF-1B4D-BDBD-433F261D7F7E}"/>
            </c:ext>
          </c:extLst>
        </c:ser>
        <c:ser>
          <c:idx val="20"/>
          <c:order val="20"/>
          <c:tx>
            <c:strRef>
              <c:f>Graph!$W$3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Graph!$W$4:$W$8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EF-1B4D-BDBD-433F261D7F7E}"/>
            </c:ext>
          </c:extLst>
        </c:ser>
        <c:ser>
          <c:idx val="21"/>
          <c:order val="21"/>
          <c:tx>
            <c:strRef>
              <c:f>Graph!$X$3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Graph!$X$4:$X$8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EF-1B4D-BDBD-433F261D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99375312"/>
        <c:axId val="937304816"/>
      </c:barChart>
      <c:catAx>
        <c:axId val="20993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Energy</a:t>
                </a:r>
                <a:r>
                  <a:rPr lang="en-GB" sz="1800" baseline="0">
                    <a:solidFill>
                      <a:schemeClr val="tx1"/>
                    </a:solidFill>
                    <a:latin typeface="Latin Modern Roman 12" pitchFamily="2" charset="77"/>
                  </a:rPr>
                  <a:t> Technologies</a:t>
                </a:r>
                <a:endParaRPr lang="en-GB" sz="1800">
                  <a:solidFill>
                    <a:schemeClr val="tx1"/>
                  </a:solidFill>
                  <a:latin typeface="Latin Modern Roman 12" pitchFamily="2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937304816"/>
        <c:crosses val="autoZero"/>
        <c:auto val="1"/>
        <c:lblAlgn val="ctr"/>
        <c:lblOffset val="100"/>
        <c:noMultiLvlLbl val="0"/>
      </c:catAx>
      <c:valAx>
        <c:axId val="93730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[gCO2/kWh]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20993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5641512377584"/>
          <c:y val="2.6315851884332095E-2"/>
          <c:w val="0.11980981921835746"/>
          <c:h val="0.8916667464175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chart" Target="../charts/chart9.xml"/><Relationship Id="rId18" Type="http://schemas.openxmlformats.org/officeDocument/2006/relationships/image" Target="../media/image22.png"/><Relationship Id="rId3" Type="http://schemas.openxmlformats.org/officeDocument/2006/relationships/image" Target="../media/image9.png"/><Relationship Id="rId21" Type="http://schemas.openxmlformats.org/officeDocument/2006/relationships/image" Target="../media/image25.png"/><Relationship Id="rId7" Type="http://schemas.openxmlformats.org/officeDocument/2006/relationships/image" Target="../media/image13.png"/><Relationship Id="rId12" Type="http://schemas.openxmlformats.org/officeDocument/2006/relationships/chart" Target="../charts/chart8.xml"/><Relationship Id="rId17" Type="http://schemas.openxmlformats.org/officeDocument/2006/relationships/image" Target="../media/image21.png"/><Relationship Id="rId2" Type="http://schemas.openxmlformats.org/officeDocument/2006/relationships/image" Target="../media/image8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19.png"/><Relationship Id="rId10" Type="http://schemas.openxmlformats.org/officeDocument/2006/relationships/image" Target="../media/image16.png"/><Relationship Id="rId19" Type="http://schemas.openxmlformats.org/officeDocument/2006/relationships/image" Target="../media/image23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8.png"/><Relationship Id="rId7" Type="http://schemas.openxmlformats.org/officeDocument/2006/relationships/image" Target="../media/image31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0.png"/><Relationship Id="rId11" Type="http://schemas.openxmlformats.org/officeDocument/2006/relationships/chart" Target="../charts/chart13.xml"/><Relationship Id="rId5" Type="http://schemas.openxmlformats.org/officeDocument/2006/relationships/chart" Target="../charts/chart10.xml"/><Relationship Id="rId10" Type="http://schemas.openxmlformats.org/officeDocument/2006/relationships/image" Target="../media/image32.png"/><Relationship Id="rId4" Type="http://schemas.openxmlformats.org/officeDocument/2006/relationships/image" Target="../media/image29.png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chart" Target="../charts/chart14.xml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50.png"/><Relationship Id="rId5" Type="http://schemas.openxmlformats.org/officeDocument/2006/relationships/chart" Target="../charts/chart15.xml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chart" Target="../charts/chart16.xml"/><Relationship Id="rId4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chart" Target="../charts/chart4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1014850</xdr:colOff>
      <xdr:row>2</xdr:row>
      <xdr:rowOff>67478</xdr:rowOff>
    </xdr:from>
    <xdr:to>
      <xdr:col>7</xdr:col>
      <xdr:colOff>717107</xdr:colOff>
      <xdr:row>19</xdr:row>
      <xdr:rowOff>191973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B7C3-ACCD-0842-82DC-61C3DBA7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549735</xdr:colOff>
      <xdr:row>2</xdr:row>
      <xdr:rowOff>101905</xdr:rowOff>
    </xdr:from>
    <xdr:to>
      <xdr:col>32</xdr:col>
      <xdr:colOff>536650</xdr:colOff>
      <xdr:row>19</xdr:row>
      <xdr:rowOff>228512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EC8D-68DD-3649-B54C-ED286F83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305910</xdr:colOff>
      <xdr:row>2</xdr:row>
      <xdr:rowOff>84292</xdr:rowOff>
    </xdr:from>
    <xdr:to>
      <xdr:col>22</xdr:col>
      <xdr:colOff>144972</xdr:colOff>
      <xdr:row>19</xdr:row>
      <xdr:rowOff>207228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4D7BA-999E-CB46-B2DB-5677837F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289182</xdr:colOff>
      <xdr:row>2</xdr:row>
      <xdr:rowOff>76672</xdr:rowOff>
    </xdr:from>
    <xdr:to>
      <xdr:col>17</xdr:col>
      <xdr:colOff>302622</xdr:colOff>
      <xdr:row>19</xdr:row>
      <xdr:rowOff>197576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EBE3D-9469-8141-9028-A561D521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834180</xdr:colOff>
      <xdr:row>2</xdr:row>
      <xdr:rowOff>100309</xdr:rowOff>
    </xdr:from>
    <xdr:to>
      <xdr:col>41</xdr:col>
      <xdr:colOff>590849</xdr:colOff>
      <xdr:row>19</xdr:row>
      <xdr:rowOff>227816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CCC4-AB6D-CC44-95A9-A048A0FF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1112764</xdr:colOff>
      <xdr:row>43</xdr:row>
      <xdr:rowOff>165620</xdr:rowOff>
    </xdr:from>
    <xdr:to>
      <xdr:col>9</xdr:col>
      <xdr:colOff>729897</xdr:colOff>
      <xdr:row>64</xdr:row>
      <xdr:rowOff>205254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E4AAA-8A42-FE40-A940-2135C056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1224643</xdr:colOff>
      <xdr:row>71</xdr:row>
      <xdr:rowOff>211667</xdr:rowOff>
    </xdr:from>
    <xdr:to>
      <xdr:col>7</xdr:col>
      <xdr:colOff>1230191</xdr:colOff>
      <xdr:row>93</xdr:row>
      <xdr:rowOff>249767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54208-790A-424B-94E8-75D0ABD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19" y="23691548"/>
          <a:ext cx="8267700" cy="702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219633</xdr:colOff>
      <xdr:row>86</xdr:row>
      <xdr:rowOff>74798</xdr:rowOff>
    </xdr:from>
    <xdr:to>
      <xdr:col>21</xdr:col>
      <xdr:colOff>611136</xdr:colOff>
      <xdr:row>106</xdr:row>
      <xdr:rowOff>218766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C963D1-2F4C-4F01-AF35-6E6BBF3C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4265" y="22598622"/>
          <a:ext cx="11858763" cy="5704608"/>
        </a:xfrm>
        <a:prstGeom prst="rect">
          <a:avLst/>
        </a:prstGeom>
      </xdr:spPr>
    </xdr:pic>
    <xdr:clientData/>
  </xdr:twoCellAnchor>
  <xdr:twoCellAnchor editAs="oneCell">
    <xdr:from>
      <xdr:col>11</xdr:col>
      <xdr:colOff>84044</xdr:colOff>
      <xdr:row>113</xdr:row>
      <xdr:rowOff>224118</xdr:rowOff>
    </xdr:from>
    <xdr:to>
      <xdr:col>18</xdr:col>
      <xdr:colOff>751454</xdr:colOff>
      <xdr:row>134</xdr:row>
      <xdr:rowOff>102814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FCBE6-3E0D-4CFF-84DF-64817AC7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0" y="29555515"/>
          <a:ext cx="8567557" cy="51687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1046069</xdr:colOff>
      <xdr:row>112</xdr:row>
      <xdr:rowOff>215151</xdr:rowOff>
    </xdr:from>
    <xdr:to>
      <xdr:col>10</xdr:col>
      <xdr:colOff>607636</xdr:colOff>
      <xdr:row>125</xdr:row>
      <xdr:rowOff>152007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B5F02-B3AE-48D5-9CD0-E6C89E6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069" y="29840702"/>
          <a:ext cx="13316788" cy="3214577"/>
        </a:xfrm>
        <a:prstGeom prst="rect">
          <a:avLst/>
        </a:prstGeom>
      </xdr:spPr>
    </xdr:pic>
    <xdr:clientData/>
  </xdr:twoCellAnchor>
  <xdr:twoCellAnchor editAs="oneCell">
    <xdr:from>
      <xdr:col>8</xdr:col>
      <xdr:colOff>991621</xdr:colOff>
      <xdr:row>137</xdr:row>
      <xdr:rowOff>112058</xdr:rowOff>
    </xdr:from>
    <xdr:to>
      <xdr:col>20</xdr:col>
      <xdr:colOff>133645</xdr:colOff>
      <xdr:row>160</xdr:row>
      <xdr:rowOff>211425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03B364-E911-448B-99CF-D93F89D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1547" y="36040918"/>
          <a:ext cx="12252907" cy="5898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432695</xdr:colOff>
      <xdr:row>8</xdr:row>
      <xdr:rowOff>71906</xdr:rowOff>
    </xdr:from>
    <xdr:to>
      <xdr:col>14</xdr:col>
      <xdr:colOff>305695</xdr:colOff>
      <xdr:row>24</xdr:row>
      <xdr:rowOff>297635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84889-CA66-E045-993C-7CF1770D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329" y="1717540"/>
          <a:ext cx="9746803" cy="761105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</xdr:row>
      <xdr:rowOff>0</xdr:rowOff>
    </xdr:from>
    <xdr:to>
      <xdr:col>26</xdr:col>
      <xdr:colOff>81845</xdr:colOff>
      <xdr:row>49</xdr:row>
      <xdr:rowOff>168503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B4C4A-BA25-624E-BDB2-A449E508F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986117</xdr:colOff>
      <xdr:row>72</xdr:row>
      <xdr:rowOff>239059</xdr:rowOff>
    </xdr:from>
    <xdr:to>
      <xdr:col>2</xdr:col>
      <xdr:colOff>2690158</xdr:colOff>
      <xdr:row>93</xdr:row>
      <xdr:rowOff>33617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18A42-18B1-DD4F-A925-5ACF58D2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7" y="27880235"/>
          <a:ext cx="7277100" cy="641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73</xdr:row>
      <xdr:rowOff>63542</xdr:rowOff>
    </xdr:from>
    <xdr:to>
      <xdr:col>6</xdr:col>
      <xdr:colOff>1307076</xdr:colOff>
      <xdr:row>91</xdr:row>
      <xdr:rowOff>3777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B6F4B-FFC3-5D44-BB9D-AFFD8E87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4934" y="28543657"/>
          <a:ext cx="7800993" cy="5735522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95</xdr:row>
      <xdr:rowOff>268941</xdr:rowOff>
    </xdr:from>
    <xdr:to>
      <xdr:col>4</xdr:col>
      <xdr:colOff>391458</xdr:colOff>
      <xdr:row>112</xdr:row>
      <xdr:rowOff>231844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ABC10A-FE61-044A-9238-0515318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5156588"/>
          <a:ext cx="10058400" cy="53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1120588</xdr:colOff>
      <xdr:row>113</xdr:row>
      <xdr:rowOff>239058</xdr:rowOff>
    </xdr:from>
    <xdr:to>
      <xdr:col>4</xdr:col>
      <xdr:colOff>525929</xdr:colOff>
      <xdr:row>127</xdr:row>
      <xdr:rowOff>296569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ECBD7-F878-B242-8548-C57297B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88" y="40804352"/>
          <a:ext cx="10058400" cy="445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283882</xdr:colOff>
      <xdr:row>128</xdr:row>
      <xdr:rowOff>164352</xdr:rowOff>
    </xdr:from>
    <xdr:to>
      <xdr:col>3</xdr:col>
      <xdr:colOff>1373094</xdr:colOff>
      <xdr:row>148</xdr:row>
      <xdr:rowOff>35858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5EBE5B-6830-6744-9426-D007B586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9529" y="45436117"/>
          <a:ext cx="7035800" cy="614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343</xdr:colOff>
      <xdr:row>152</xdr:row>
      <xdr:rowOff>73331</xdr:rowOff>
    </xdr:from>
    <xdr:to>
      <xdr:col>4</xdr:col>
      <xdr:colOff>1781331</xdr:colOff>
      <xdr:row>165</xdr:row>
      <xdr:rowOff>70211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D5CB99-E8B1-574C-91BE-CFF1DBD9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768" y="53953446"/>
          <a:ext cx="10057885" cy="417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171</xdr:row>
      <xdr:rowOff>209177</xdr:rowOff>
    </xdr:from>
    <xdr:to>
      <xdr:col>5</xdr:col>
      <xdr:colOff>1480087</xdr:colOff>
      <xdr:row>185</xdr:row>
      <xdr:rowOff>268941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1E7ED5-84C0-E04C-B66E-936AE103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999" y="58972824"/>
          <a:ext cx="12999735" cy="445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185</xdr:row>
      <xdr:rowOff>209176</xdr:rowOff>
    </xdr:from>
    <xdr:to>
      <xdr:col>5</xdr:col>
      <xdr:colOff>1479175</xdr:colOff>
      <xdr:row>205</xdr:row>
      <xdr:rowOff>40134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921318-C713-A841-8DB5-AC86B40D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3999" y="63365529"/>
          <a:ext cx="12998823" cy="61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1096810</xdr:colOff>
      <xdr:row>204</xdr:row>
      <xdr:rowOff>164354</xdr:rowOff>
    </xdr:from>
    <xdr:to>
      <xdr:col>4</xdr:col>
      <xdr:colOff>1330511</xdr:colOff>
      <xdr:row>222</xdr:row>
      <xdr:rowOff>209177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A63C22-0715-194A-B82F-FD43C490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2457" y="69282236"/>
          <a:ext cx="8511113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2524698</xdr:colOff>
      <xdr:row>233</xdr:row>
      <xdr:rowOff>153012</xdr:rowOff>
    </xdr:from>
    <xdr:to>
      <xdr:col>4</xdr:col>
      <xdr:colOff>2019146</xdr:colOff>
      <xdr:row>263</xdr:row>
      <xdr:rowOff>59073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0159D-C0A2-9F45-92BB-C8340A4C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6385" y="80086506"/>
          <a:ext cx="7772400" cy="95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2929802</xdr:colOff>
      <xdr:row>265</xdr:row>
      <xdr:rowOff>251486</xdr:rowOff>
    </xdr:from>
    <xdr:to>
      <xdr:col>4</xdr:col>
      <xdr:colOff>2192817</xdr:colOff>
      <xdr:row>297</xdr:row>
      <xdr:rowOff>250480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D72C1-E67E-614E-BCF0-F9CCC51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6337" y="88673664"/>
          <a:ext cx="7549450" cy="10058400"/>
        </a:xfrm>
        <a:prstGeom prst="rect">
          <a:avLst/>
        </a:prstGeom>
      </xdr:spPr>
    </xdr:pic>
    <xdr:clientData/>
  </xdr:twoCellAnchor>
  <xdr:twoCellAnchor>
    <xdr:from>
      <xdr:col>5</xdr:col>
      <xdr:colOff>1270000</xdr:colOff>
      <xdr:row>277</xdr:row>
      <xdr:rowOff>90716</xdr:rowOff>
    </xdr:from>
    <xdr:to>
      <xdr:col>11</xdr:col>
      <xdr:colOff>580571</xdr:colOff>
      <xdr:row>294</xdr:row>
      <xdr:rowOff>177576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E8593D-D5AF-4546-B648-80340CDFB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146455</xdr:colOff>
      <xdr:row>118</xdr:row>
      <xdr:rowOff>128442</xdr:rowOff>
    </xdr:from>
    <xdr:to>
      <xdr:col>19</xdr:col>
      <xdr:colOff>696608</xdr:colOff>
      <xdr:row>139</xdr:row>
      <xdr:rowOff>91583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FB8B8C-8605-164D-80BC-2F74C81D7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597647</xdr:colOff>
      <xdr:row>303</xdr:row>
      <xdr:rowOff>205441</xdr:rowOff>
    </xdr:from>
    <xdr:to>
      <xdr:col>5</xdr:col>
      <xdr:colOff>1547159</xdr:colOff>
      <xdr:row>312</xdr:row>
      <xdr:rowOff>27641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1597C-DF75-5445-8059-5C24D61A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5" y="101506617"/>
          <a:ext cx="84201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316</xdr:row>
      <xdr:rowOff>74707</xdr:rowOff>
    </xdr:from>
    <xdr:to>
      <xdr:col>6</xdr:col>
      <xdr:colOff>536388</xdr:colOff>
      <xdr:row>335</xdr:row>
      <xdr:rowOff>138207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BEC809-3441-594A-A3CB-3DDD9D93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4412" y="105503383"/>
          <a:ext cx="9575800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1797424</xdr:colOff>
      <xdr:row>350</xdr:row>
      <xdr:rowOff>241300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56CD86-FEC3-AC4B-A477-18EC039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912" y="112413676"/>
          <a:ext cx="49911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19265</xdr:colOff>
      <xdr:row>350</xdr:row>
      <xdr:rowOff>112647</xdr:rowOff>
    </xdr:from>
    <xdr:to>
      <xdr:col>2</xdr:col>
      <xdr:colOff>1740489</xdr:colOff>
      <xdr:row>356</xdr:row>
      <xdr:rowOff>163447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9983FB-F611-4944-B668-AEC9DC29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77" y="116336323"/>
          <a:ext cx="49149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514048</xdr:colOff>
      <xdr:row>358</xdr:row>
      <xdr:rowOff>196548</xdr:rowOff>
    </xdr:from>
    <xdr:to>
      <xdr:col>2</xdr:col>
      <xdr:colOff>2236409</xdr:colOff>
      <xdr:row>381</xdr:row>
      <xdr:rowOff>209248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449414-60D8-2C4B-A1BD-6F6B82C4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7738" y="118971786"/>
          <a:ext cx="49276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1506461</xdr:colOff>
      <xdr:row>393</xdr:row>
      <xdr:rowOff>292100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7A2F69-440B-E245-9714-864B4608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690" y="127030238"/>
          <a:ext cx="97917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1888690</xdr:colOff>
      <xdr:row>393</xdr:row>
      <xdr:rowOff>165119</xdr:rowOff>
    </xdr:from>
    <xdr:to>
      <xdr:col>3</xdr:col>
      <xdr:colOff>897485</xdr:colOff>
      <xdr:row>406</xdr:row>
      <xdr:rowOff>25419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549FFA-5A91-C243-B4AD-20E30DE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80" y="130052857"/>
          <a:ext cx="4965700" cy="3987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650119</xdr:colOff>
      <xdr:row>409</xdr:row>
      <xdr:rowOff>196547</xdr:rowOff>
    </xdr:from>
    <xdr:to>
      <xdr:col>3</xdr:col>
      <xdr:colOff>293914</xdr:colOff>
      <xdr:row>421</xdr:row>
      <xdr:rowOff>221947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3A2EDF5-45A4-9348-AD7B-B3D2B435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23809" y="135164285"/>
          <a:ext cx="5600700" cy="3835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215900</xdr:rowOff>
    </xdr:from>
    <xdr:to>
      <xdr:col>5</xdr:col>
      <xdr:colOff>694717</xdr:colOff>
      <xdr:row>17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0E329-9D00-224A-B4E1-69A559C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416300"/>
          <a:ext cx="5448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27</xdr:row>
      <xdr:rowOff>76200</xdr:rowOff>
    </xdr:from>
    <xdr:to>
      <xdr:col>11</xdr:col>
      <xdr:colOff>622300</xdr:colOff>
      <xdr:row>48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04DC5-E20A-6A4B-A6E4-249C7C96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9677400"/>
          <a:ext cx="8826500" cy="741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49</xdr:row>
      <xdr:rowOff>101600</xdr:rowOff>
    </xdr:from>
    <xdr:to>
      <xdr:col>9</xdr:col>
      <xdr:colOff>632204</xdr:colOff>
      <xdr:row>77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58F9F7-CD81-B846-BCD3-E42BA1E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17526000"/>
          <a:ext cx="470890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50800</xdr:colOff>
      <xdr:row>97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E82D0A-1123-C84E-8BE4-B07184E1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8448000"/>
          <a:ext cx="9131300" cy="523240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32</xdr:row>
      <xdr:rowOff>114300</xdr:rowOff>
    </xdr:from>
    <xdr:to>
      <xdr:col>30</xdr:col>
      <xdr:colOff>203200</xdr:colOff>
      <xdr:row>48</xdr:row>
      <xdr:rowOff>206603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80154E-5D78-1C4D-8DAD-F1BB212D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0</xdr:colOff>
      <xdr:row>100</xdr:row>
      <xdr:rowOff>0</xdr:rowOff>
    </xdr:from>
    <xdr:to>
      <xdr:col>12</xdr:col>
      <xdr:colOff>778417</xdr:colOff>
      <xdr:row>118</xdr:row>
      <xdr:rowOff>255549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B2E82-465D-6547-85D1-FB1EA02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61" y="34553293"/>
          <a:ext cx="81661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138</xdr:row>
      <xdr:rowOff>241300</xdr:rowOff>
    </xdr:from>
    <xdr:to>
      <xdr:col>10</xdr:col>
      <xdr:colOff>444500</xdr:colOff>
      <xdr:row>154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A4A763-040A-DC42-900E-2C3391E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4800" y="48247300"/>
          <a:ext cx="6527800" cy="5511800"/>
        </a:xfrm>
        <a:prstGeom prst="rect">
          <a:avLst/>
        </a:prstGeom>
      </xdr:spPr>
    </xdr:pic>
    <xdr:clientData/>
  </xdr:twoCellAnchor>
  <xdr:twoCellAnchor>
    <xdr:from>
      <xdr:col>22</xdr:col>
      <xdr:colOff>780641</xdr:colOff>
      <xdr:row>52</xdr:row>
      <xdr:rowOff>0</xdr:rowOff>
    </xdr:from>
    <xdr:to>
      <xdr:col>33</xdr:col>
      <xdr:colOff>361542</xdr:colOff>
      <xdr:row>68</xdr:row>
      <xdr:rowOff>92303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FACF93-4564-4C4C-8AC1-8E6A8717D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827247</xdr:colOff>
      <xdr:row>62</xdr:row>
      <xdr:rowOff>163119</xdr:rowOff>
    </xdr:from>
    <xdr:to>
      <xdr:col>22</xdr:col>
      <xdr:colOff>186771</xdr:colOff>
      <xdr:row>78</xdr:row>
      <xdr:rowOff>255422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375494-2D2A-C44C-935B-7711C956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600983</xdr:colOff>
      <xdr:row>157</xdr:row>
      <xdr:rowOff>70501</xdr:rowOff>
    </xdr:from>
    <xdr:to>
      <xdr:col>12</xdr:col>
      <xdr:colOff>51235</xdr:colOff>
      <xdr:row>171</xdr:row>
      <xdr:rowOff>16777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9EBB2-0A5D-6646-BFC8-E464AF43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983" y="55258805"/>
          <a:ext cx="10052484" cy="486752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321326</xdr:rowOff>
    </xdr:from>
    <xdr:to>
      <xdr:col>21</xdr:col>
      <xdr:colOff>161857</xdr:colOff>
      <xdr:row>192</xdr:row>
      <xdr:rowOff>61702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5A5BC2-BFFC-0D44-8A85-8CBA1209E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190500</xdr:rowOff>
    </xdr:from>
    <xdr:to>
      <xdr:col>10</xdr:col>
      <xdr:colOff>427977</xdr:colOff>
      <xdr:row>29</xdr:row>
      <xdr:rowOff>292100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0D5D6-A5AB-9345-8E43-85B27435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6100"/>
          <a:ext cx="769237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28</xdr:row>
      <xdr:rowOff>340500</xdr:rowOff>
    </xdr:from>
    <xdr:to>
      <xdr:col>10</xdr:col>
      <xdr:colOff>540877</xdr:colOff>
      <xdr:row>57</xdr:row>
      <xdr:rowOff>86500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58504-3FF0-9749-B13C-E8FF666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00" y="10297300"/>
          <a:ext cx="774417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9201A2-9A9C-C542-A8AA-DF85D83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20904200"/>
          <a:ext cx="11215163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298289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6B5745-2891-BA46-BAB5-70DABA2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885" y="24638487"/>
          <a:ext cx="9437077" cy="8594321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168622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D7932D-A31B-BA4D-8D4E-8CF6B9B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8606" y="25417022"/>
          <a:ext cx="8608733" cy="5577964"/>
        </a:xfrm>
        <a:prstGeom prst="rect">
          <a:avLst/>
        </a:prstGeom>
      </xdr:spPr>
    </xdr:pic>
    <xdr:clientData/>
  </xdr:twoCellAnchor>
  <xdr:twoCellAnchor editAs="oneCell">
    <xdr:from>
      <xdr:col>0</xdr:col>
      <xdr:colOff>94476</xdr:colOff>
      <xdr:row>95</xdr:row>
      <xdr:rowOff>1</xdr:rowOff>
    </xdr:from>
    <xdr:to>
      <xdr:col>12</xdr:col>
      <xdr:colOff>764885</xdr:colOff>
      <xdr:row>124</xdr:row>
      <xdr:rowOff>96899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C58B4-4798-F94C-A4D1-1DEAA1AE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76" y="27420456"/>
          <a:ext cx="10541773" cy="846735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9E7B10-8A13-9E40-9084-D073F862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3</xdr:row>
      <xdr:rowOff>63500</xdr:rowOff>
    </xdr:from>
    <xdr:to>
      <xdr:col>8</xdr:col>
      <xdr:colOff>792162</xdr:colOff>
      <xdr:row>26</xdr:row>
      <xdr:rowOff>182562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45B24-BB64-6C41-A19B-F1B753A8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73100"/>
          <a:ext cx="657860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213848</xdr:colOff>
      <xdr:row>72</xdr:row>
      <xdr:rowOff>181736</xdr:rowOff>
    </xdr:from>
    <xdr:to>
      <xdr:col>10</xdr:col>
      <xdr:colOff>515860</xdr:colOff>
      <xdr:row>87</xdr:row>
      <xdr:rowOff>11441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7E0A8D-04E3-534C-8474-D4E362E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89" y="14399541"/>
          <a:ext cx="7829086" cy="279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601662</xdr:colOff>
      <xdr:row>43</xdr:row>
      <xdr:rowOff>93662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5B72F1-9F72-024C-B93E-FDA00EBD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80264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91</xdr:row>
      <xdr:rowOff>76200</xdr:rowOff>
    </xdr:from>
    <xdr:to>
      <xdr:col>11</xdr:col>
      <xdr:colOff>665162</xdr:colOff>
      <xdr:row>119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A55D1-059F-104E-9DB3-11D17844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67400"/>
          <a:ext cx="88900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125</xdr:row>
      <xdr:rowOff>177800</xdr:rowOff>
    </xdr:from>
    <xdr:to>
      <xdr:col>12</xdr:col>
      <xdr:colOff>754062</xdr:colOff>
      <xdr:row>153</xdr:row>
      <xdr:rowOff>55562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CAEB1-3434-AC40-BBF3-2F731FA2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25577800"/>
          <a:ext cx="93853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101600</xdr:rowOff>
    </xdr:from>
    <xdr:to>
      <xdr:col>12</xdr:col>
      <xdr:colOff>571500</xdr:colOff>
      <xdr:row>177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6FEF7E-27B4-2148-B7A0-763760FE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784800"/>
          <a:ext cx="9182100" cy="530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230226</xdr:colOff>
      <xdr:row>63</xdr:row>
      <xdr:rowOff>3963</xdr:rowOff>
    </xdr:from>
    <xdr:to>
      <xdr:col>10</xdr:col>
      <xdr:colOff>245020</xdr:colOff>
      <xdr:row>73</xdr:row>
      <xdr:rowOff>46464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26392-6BC5-4F95-ADC8-6162991F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67" y="12444542"/>
          <a:ext cx="7541868" cy="20171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489672</xdr:colOff>
      <xdr:row>0</xdr:row>
      <xdr:rowOff>103910</xdr:rowOff>
    </xdr:from>
    <xdr:to>
      <xdr:col>13</xdr:col>
      <xdr:colOff>506990</xdr:colOff>
      <xdr:row>15</xdr:row>
      <xdr:rowOff>182522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745E96-05F5-4ADF-B691-343E8A1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490" y="103910"/>
          <a:ext cx="8330045" cy="448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692727</xdr:colOff>
      <xdr:row>50</xdr:row>
      <xdr:rowOff>225136</xdr:rowOff>
    </xdr:from>
    <xdr:to>
      <xdr:col>13</xdr:col>
      <xdr:colOff>124277</xdr:colOff>
      <xdr:row>64</xdr:row>
      <xdr:rowOff>112933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83F205-6253-42CF-A6CC-A020CB26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945591"/>
          <a:ext cx="1023333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398318</xdr:colOff>
      <xdr:row>15</xdr:row>
      <xdr:rowOff>110987</xdr:rowOff>
    </xdr:from>
    <xdr:to>
      <xdr:col>13</xdr:col>
      <xdr:colOff>125990</xdr:colOff>
      <xdr:row>48</xdr:row>
      <xdr:rowOff>56717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AEA63C-D71E-460D-8365-9FA7BFB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4527123"/>
          <a:ext cx="10529455" cy="9661230"/>
        </a:xfrm>
        <a:prstGeom prst="rect">
          <a:avLst/>
        </a:prstGeom>
      </xdr:spPr>
    </xdr:pic>
    <xdr:clientData/>
  </xdr:twoCellAnchor>
  <xdr:twoCellAnchor editAs="oneCell">
    <xdr:from>
      <xdr:col>23</xdr:col>
      <xdr:colOff>343332</xdr:colOff>
      <xdr:row>16</xdr:row>
      <xdr:rowOff>9524</xdr:rowOff>
    </xdr:from>
    <xdr:to>
      <xdr:col>37</xdr:col>
      <xdr:colOff>47492</xdr:colOff>
      <xdr:row>35</xdr:row>
      <xdr:rowOff>219544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6B4D7-9CDC-48C5-91F4-4178FEAD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71514" y="4720069"/>
          <a:ext cx="11337216" cy="58037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85965-B0CF-4610-8394-79A854F4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56F25-E68D-458A-8122-3C299DBE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2952C0-F6F4-4E7A-A21B-B2CF00DB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5B0302-A574-4393-82CE-44CA829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76DDFF-BEA3-43C9-88B5-854B4146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1279775</xdr:colOff>
      <xdr:row>14</xdr:row>
      <xdr:rowOff>28864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C5798-8A75-494B-90AF-60A1586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614" y="288636"/>
          <a:ext cx="13618979" cy="37811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DBE7D-5720-48BA-9A5B-31D5907E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D6C601-2507-45B7-BC9C-880AF870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B0D44-7F98-4A46-978E-1EAEF8C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DF36-3E8D-4607-A1EB-64BDC003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9AF148-0332-42CE-9AF8-AC75BC7C9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979163</xdr:colOff>
      <xdr:row>6</xdr:row>
      <xdr:rowOff>243343</xdr:rowOff>
    </xdr:from>
    <xdr:to>
      <xdr:col>24</xdr:col>
      <xdr:colOff>522077</xdr:colOff>
      <xdr:row>22</xdr:row>
      <xdr:rowOff>271123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A0A8-3F62-9C4E-8B8F-ACFCC66BB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66D23-15FF-6F4A-A4D5-8EBBB4858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20F84-3B37-C74D-AF72-BC0637CF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90C520-2801-0E48-810E-0A3A6AB6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D8CF53-FD90-CC49-9728-0D9AE71A7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45B60-0F17-BC4A-965D-307AE67C6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1C4AA-D637-8A46-B1DA-CD434E859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D60421-3085-3840-9E15-290EEA32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4BFC95-9D8B-EE44-9424-3A61CBE04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05928B0-4DA1-454C-AF87-168BC0D0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20376</xdr:colOff>
      <xdr:row>6</xdr:row>
      <xdr:rowOff>205646</xdr:rowOff>
    </xdr:from>
    <xdr:to>
      <xdr:col>55</xdr:col>
      <xdr:colOff>677585</xdr:colOff>
      <xdr:row>22</xdr:row>
      <xdr:rowOff>209613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DCFB67-F4D7-6446-8467-8D917C38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52A0D05-78D3-437C-8710-8A2296B8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90140-29A7-42A3-9380-78971C7CA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731DBE-BE74-4F68-8ED6-9DD87727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D6236C-3BD2-4061-B52F-BD3E4C46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15</xdr:col>
      <xdr:colOff>206744</xdr:colOff>
      <xdr:row>34</xdr:row>
      <xdr:rowOff>205169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5AACA-EAB4-384F-961B-50EA542B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36</xdr:row>
      <xdr:rowOff>0</xdr:rowOff>
    </xdr:from>
    <xdr:to>
      <xdr:col>15</xdr:col>
      <xdr:colOff>206744</xdr:colOff>
      <xdr:row>55</xdr:row>
      <xdr:rowOff>205170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C1E35-F2DD-E248-8C64-E50D9D113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15</xdr:col>
      <xdr:colOff>206744</xdr:colOff>
      <xdr:row>76</xdr:row>
      <xdr:rowOff>205169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E5578-5FBB-BF46-9F27-3DEFBF8E0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206744</xdr:colOff>
      <xdr:row>97</xdr:row>
      <xdr:rowOff>205169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D47451-195F-7043-B59F-3549BBA3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99</xdr:row>
      <xdr:rowOff>0</xdr:rowOff>
    </xdr:from>
    <xdr:to>
      <xdr:col>15</xdr:col>
      <xdr:colOff>206744</xdr:colOff>
      <xdr:row>118</xdr:row>
      <xdr:rowOff>205170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F09A95-9BFA-0741-A8E2-D0E6327F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15</xdr:row>
      <xdr:rowOff>0</xdr:rowOff>
    </xdr:from>
    <xdr:to>
      <xdr:col>31</xdr:col>
      <xdr:colOff>262774</xdr:colOff>
      <xdr:row>34</xdr:row>
      <xdr:rowOff>205169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DC8F9B-1EA8-F946-AE8B-9947907EA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262774</xdr:colOff>
      <xdr:row>55</xdr:row>
      <xdr:rowOff>205170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184DD7-0A62-D343-8D6E-C933A829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31</xdr:col>
      <xdr:colOff>262774</xdr:colOff>
      <xdr:row>76</xdr:row>
      <xdr:rowOff>205169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11359E-4F35-2042-B400-FD848BB10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78</xdr:row>
      <xdr:rowOff>0</xdr:rowOff>
    </xdr:from>
    <xdr:to>
      <xdr:col>31</xdr:col>
      <xdr:colOff>262774</xdr:colOff>
      <xdr:row>97</xdr:row>
      <xdr:rowOff>205169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B457CC-9474-F448-AA5F-DBA7A49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99</xdr:row>
      <xdr:rowOff>0</xdr:rowOff>
    </xdr:from>
    <xdr:to>
      <xdr:col>31</xdr:col>
      <xdr:colOff>262774</xdr:colOff>
      <xdr:row>118</xdr:row>
      <xdr:rowOff>205170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C271069-7AD1-0446-8204-16BB8A8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15</xdr:row>
      <xdr:rowOff>0</xdr:rowOff>
    </xdr:from>
    <xdr:to>
      <xdr:col>47</xdr:col>
      <xdr:colOff>262774</xdr:colOff>
      <xdr:row>34</xdr:row>
      <xdr:rowOff>205169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4C19CE-3320-4CB6-84CB-410F6AAB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47</xdr:col>
      <xdr:colOff>262774</xdr:colOff>
      <xdr:row>55</xdr:row>
      <xdr:rowOff>205170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CC83BC-9D3E-4392-83B3-437CBE6EB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57</xdr:row>
      <xdr:rowOff>0</xdr:rowOff>
    </xdr:from>
    <xdr:to>
      <xdr:col>47</xdr:col>
      <xdr:colOff>262774</xdr:colOff>
      <xdr:row>76</xdr:row>
      <xdr:rowOff>205169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01B725-710A-4AF0-8E92-0779AF2DD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0</xdr:colOff>
      <xdr:row>78</xdr:row>
      <xdr:rowOff>0</xdr:rowOff>
    </xdr:from>
    <xdr:to>
      <xdr:col>47</xdr:col>
      <xdr:colOff>262774</xdr:colOff>
      <xdr:row>97</xdr:row>
      <xdr:rowOff>205169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C1B1E98-DA9A-4989-B94C-493D23C8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0</xdr:colOff>
      <xdr:row>99</xdr:row>
      <xdr:rowOff>0</xdr:rowOff>
    </xdr:from>
    <xdr:to>
      <xdr:col>47</xdr:col>
      <xdr:colOff>262774</xdr:colOff>
      <xdr:row>118</xdr:row>
      <xdr:rowOff>205170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327ABC-9E64-4A01-8DBA-37A396BF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279598</xdr:colOff>
      <xdr:row>9</xdr:row>
      <xdr:rowOff>290461</xdr:rowOff>
    </xdr:from>
    <xdr:to>
      <xdr:col>16</xdr:col>
      <xdr:colOff>420842</xdr:colOff>
      <xdr:row>31</xdr:row>
      <xdr:rowOff>81983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827C-DB2A-2843-AB1A-346BED412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235751</xdr:colOff>
      <xdr:row>9</xdr:row>
      <xdr:rowOff>204872</xdr:rowOff>
    </xdr:from>
    <xdr:to>
      <xdr:col>31</xdr:col>
      <xdr:colOff>600</xdr:colOff>
      <xdr:row>31</xdr:row>
      <xdr:rowOff>268020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CA7E04-1D1F-4C4C-8F9C-837DF53D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933" y="3322145"/>
          <a:ext cx="21681368" cy="7678386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62</xdr:row>
      <xdr:rowOff>207818</xdr:rowOff>
    </xdr:from>
    <xdr:to>
      <xdr:col>15</xdr:col>
      <xdr:colOff>26337</xdr:colOff>
      <xdr:row>90</xdr:row>
      <xdr:rowOff>131894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7E93B-76D2-4BB0-989F-46B28F32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8461182"/>
          <a:ext cx="10971428" cy="81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1040943</xdr:colOff>
      <xdr:row>37</xdr:row>
      <xdr:rowOff>1557138</xdr:rowOff>
    </xdr:from>
    <xdr:to>
      <xdr:col>33</xdr:col>
      <xdr:colOff>506523</xdr:colOff>
      <xdr:row>58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8B02C-28C4-466C-860F-A7C9B69B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9037" y="11796513"/>
          <a:ext cx="9450161" cy="6599717"/>
        </a:xfrm>
        <a:prstGeom prst="rect">
          <a:avLst/>
        </a:prstGeom>
      </xdr:spPr>
    </xdr:pic>
    <xdr:clientData/>
  </xdr:twoCellAnchor>
  <xdr:twoCellAnchor editAs="oneCell">
    <xdr:from>
      <xdr:col>12</xdr:col>
      <xdr:colOff>612322</xdr:colOff>
      <xdr:row>65</xdr:row>
      <xdr:rowOff>991293</xdr:rowOff>
    </xdr:from>
    <xdr:to>
      <xdr:col>35</xdr:col>
      <xdr:colOff>96036</xdr:colOff>
      <xdr:row>81</xdr:row>
      <xdr:rowOff>223595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52B8A-3318-48C1-8A54-D61C425C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2608" y="21157079"/>
          <a:ext cx="16342964" cy="5763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oj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untries"/>
      <sheetName val="All countries (e)"/>
      <sheetName val="Projection (Uganda)"/>
      <sheetName val="Projection (UK)"/>
      <sheetName val="UK NatGrid Capacity"/>
      <sheetName val="UK NatGrid Scenarios"/>
      <sheetName val="UK NatGrid Scenarios(2)"/>
      <sheetName val="UK CCC Scenarios"/>
    </sheetNames>
    <sheetDataSet>
      <sheetData sheetId="0"/>
      <sheetData sheetId="1"/>
      <sheetData sheetId="2">
        <row r="13">
          <cell r="E13">
            <v>2618000000</v>
          </cell>
          <cell r="H13">
            <v>119000000</v>
          </cell>
          <cell r="I13">
            <v>7140000000</v>
          </cell>
          <cell r="J13">
            <v>952000000</v>
          </cell>
          <cell r="K13">
            <v>10948000000</v>
          </cell>
          <cell r="N13">
            <v>2142000000</v>
          </cell>
        </row>
        <row r="14">
          <cell r="E14">
            <v>523600000</v>
          </cell>
          <cell r="H14">
            <v>23800000</v>
          </cell>
          <cell r="I14">
            <v>1428000000</v>
          </cell>
          <cell r="J14">
            <v>190400000</v>
          </cell>
          <cell r="K14">
            <v>2189600000</v>
          </cell>
          <cell r="N14">
            <v>428400000</v>
          </cell>
        </row>
      </sheetData>
      <sheetData sheetId="3">
        <row r="2">
          <cell r="E2" t="str">
            <v>Solar PV</v>
          </cell>
          <cell r="F2" t="str">
            <v>Solar CSP</v>
          </cell>
          <cell r="G2" t="str">
            <v>OFFWind</v>
          </cell>
          <cell r="H2" t="str">
            <v>ONWind</v>
          </cell>
          <cell r="I2" t="str">
            <v>Hydro</v>
          </cell>
          <cell r="J2" t="str">
            <v>Imported Oil</v>
          </cell>
          <cell r="K2" t="str">
            <v>Gas</v>
          </cell>
          <cell r="L2" t="str">
            <v>Gas CCS</v>
          </cell>
          <cell r="M2" t="str">
            <v>Nuclear</v>
          </cell>
          <cell r="N2" t="str">
            <v>Geothermal</v>
          </cell>
          <cell r="O2" t="str">
            <v>Coal</v>
          </cell>
          <cell r="P2" t="str">
            <v>Biomass</v>
          </cell>
          <cell r="Q2" t="str">
            <v>BECCS</v>
          </cell>
          <cell r="R2" t="str">
            <v>Hydrogen</v>
          </cell>
        </row>
        <row r="3">
          <cell r="E3">
            <v>4.332284930476437E-2</v>
          </cell>
          <cell r="F3">
            <v>0</v>
          </cell>
          <cell r="G3">
            <v>0.12369817762064535</v>
          </cell>
          <cell r="H3">
            <v>0.11710048617692068</v>
          </cell>
          <cell r="I3">
            <v>0</v>
          </cell>
          <cell r="J3">
            <v>0</v>
          </cell>
          <cell r="K3">
            <v>0.41315757379724011</v>
          </cell>
          <cell r="L3">
            <v>0</v>
          </cell>
          <cell r="M3">
            <v>0.22544811136343498</v>
          </cell>
          <cell r="N3">
            <v>0</v>
          </cell>
          <cell r="O3">
            <v>0</v>
          </cell>
          <cell r="P3">
            <v>7.7272801736994495E-2</v>
          </cell>
          <cell r="Q3">
            <v>0</v>
          </cell>
          <cell r="R3">
            <v>0</v>
          </cell>
        </row>
        <row r="4">
          <cell r="E4">
            <v>11786.593540000002</v>
          </cell>
          <cell r="F4">
            <v>0</v>
          </cell>
          <cell r="G4">
            <v>33653.837747300058</v>
          </cell>
          <cell r="H4">
            <v>31858.842528899997</v>
          </cell>
          <cell r="I4">
            <v>0</v>
          </cell>
          <cell r="J4">
            <v>0</v>
          </cell>
          <cell r="K4">
            <v>112405.358107069</v>
          </cell>
          <cell r="L4">
            <v>0</v>
          </cell>
          <cell r="M4">
            <v>61336.345500000032</v>
          </cell>
          <cell r="N4">
            <v>0</v>
          </cell>
          <cell r="O4">
            <v>0</v>
          </cell>
          <cell r="P4">
            <v>21023.157996000002</v>
          </cell>
          <cell r="Q4">
            <v>0</v>
          </cell>
          <cell r="R4">
            <v>0</v>
          </cell>
        </row>
        <row r="5">
          <cell r="E5">
            <v>2357.3187080000002</v>
          </cell>
          <cell r="F5">
            <v>0</v>
          </cell>
          <cell r="G5">
            <v>6730.7675494600117</v>
          </cell>
          <cell r="H5">
            <v>6371.7685057799999</v>
          </cell>
          <cell r="I5">
            <v>0</v>
          </cell>
          <cell r="J5">
            <v>0</v>
          </cell>
          <cell r="K5">
            <v>22481.071621413801</v>
          </cell>
          <cell r="L5">
            <v>0</v>
          </cell>
          <cell r="M5">
            <v>12267.269100000007</v>
          </cell>
          <cell r="N5">
            <v>0</v>
          </cell>
          <cell r="O5">
            <v>0</v>
          </cell>
          <cell r="P5">
            <v>4204.6315992000009</v>
          </cell>
          <cell r="Q5">
            <v>0</v>
          </cell>
          <cell r="R5">
            <v>0</v>
          </cell>
        </row>
        <row r="6">
          <cell r="G6">
            <v>33.653837747300059</v>
          </cell>
          <cell r="H6">
            <v>31.858842528899999</v>
          </cell>
          <cell r="I6">
            <v>0</v>
          </cell>
          <cell r="J6">
            <v>0</v>
          </cell>
          <cell r="K6">
            <v>112.40535810706899</v>
          </cell>
          <cell r="L6">
            <v>0</v>
          </cell>
          <cell r="M6">
            <v>61.336345500000036</v>
          </cell>
          <cell r="N6">
            <v>0</v>
          </cell>
          <cell r="O6">
            <v>0</v>
          </cell>
          <cell r="P6">
            <v>21.023157996000002</v>
          </cell>
          <cell r="Q6">
            <v>0</v>
          </cell>
          <cell r="R6">
            <v>0</v>
          </cell>
        </row>
        <row r="7">
          <cell r="E7">
            <v>11786593540.000002</v>
          </cell>
          <cell r="F7">
            <v>0</v>
          </cell>
          <cell r="G7">
            <v>33653837747.300056</v>
          </cell>
          <cell r="H7">
            <v>31858842528.899998</v>
          </cell>
          <cell r="I7">
            <v>0</v>
          </cell>
          <cell r="J7">
            <v>0</v>
          </cell>
          <cell r="K7">
            <v>112405358107.069</v>
          </cell>
          <cell r="L7">
            <v>0</v>
          </cell>
          <cell r="M7">
            <v>61336345500.000031</v>
          </cell>
          <cell r="N7">
            <v>0</v>
          </cell>
          <cell r="O7">
            <v>0</v>
          </cell>
          <cell r="P7">
            <v>21023157996</v>
          </cell>
          <cell r="Q7">
            <v>0</v>
          </cell>
          <cell r="R7">
            <v>0</v>
          </cell>
        </row>
        <row r="8">
          <cell r="E8">
            <v>2357318708.0000005</v>
          </cell>
          <cell r="F8">
            <v>0</v>
          </cell>
          <cell r="G8">
            <v>6730767549.4600115</v>
          </cell>
          <cell r="H8">
            <v>6371768505.7799997</v>
          </cell>
          <cell r="I8">
            <v>0</v>
          </cell>
          <cell r="J8">
            <v>0</v>
          </cell>
          <cell r="K8">
            <v>22481071621.413799</v>
          </cell>
          <cell r="L8">
            <v>0</v>
          </cell>
          <cell r="M8">
            <v>12267269100.000008</v>
          </cell>
          <cell r="N8">
            <v>0</v>
          </cell>
          <cell r="O8">
            <v>0</v>
          </cell>
          <cell r="P8">
            <v>4204631599.2000008</v>
          </cell>
          <cell r="Q8">
            <v>0</v>
          </cell>
          <cell r="R8">
            <v>0</v>
          </cell>
        </row>
        <row r="9">
          <cell r="E9">
            <v>9.9696816910292432E-2</v>
          </cell>
          <cell r="F9">
            <v>0</v>
          </cell>
          <cell r="G9">
            <v>0.47690028020782826</v>
          </cell>
          <cell r="H9">
            <v>0.16699470081099516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0.15637299064981194</v>
          </cell>
          <cell r="N9">
            <v>0</v>
          </cell>
          <cell r="O9">
            <v>0</v>
          </cell>
          <cell r="P9">
            <v>2.3738626800737872E-3</v>
          </cell>
          <cell r="Q9">
            <v>8.5456869038796429E-2</v>
          </cell>
          <cell r="R9">
            <v>1.2204479702202072E-2</v>
          </cell>
        </row>
        <row r="10">
          <cell r="E10">
            <v>64469.996200300011</v>
          </cell>
          <cell r="F10">
            <v>0</v>
          </cell>
          <cell r="G10">
            <v>308392.58670199919</v>
          </cell>
          <cell r="H10">
            <v>107988.88129439994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101120.24060000005</v>
          </cell>
          <cell r="N10">
            <v>0</v>
          </cell>
          <cell r="O10">
            <v>0</v>
          </cell>
          <cell r="P10">
            <v>1535.0832925999998</v>
          </cell>
          <cell r="Q10">
            <v>55261.583999999952</v>
          </cell>
          <cell r="R10">
            <v>7892.1552805000001</v>
          </cell>
        </row>
        <row r="11">
          <cell r="E11">
            <v>12893.999240060002</v>
          </cell>
          <cell r="F11">
            <v>0</v>
          </cell>
          <cell r="G11">
            <v>61678.517340399841</v>
          </cell>
          <cell r="H11">
            <v>21597.776258879989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20224.04812000001</v>
          </cell>
          <cell r="N11">
            <v>0</v>
          </cell>
          <cell r="O11">
            <v>0</v>
          </cell>
          <cell r="P11">
            <v>307.01665851999996</v>
          </cell>
          <cell r="Q11">
            <v>11052.316799999991</v>
          </cell>
          <cell r="R11">
            <v>1578.4310561000002</v>
          </cell>
        </row>
        <row r="12">
          <cell r="E12">
            <v>64.469996200300017</v>
          </cell>
          <cell r="F12">
            <v>0</v>
          </cell>
          <cell r="G12">
            <v>308.39258670199916</v>
          </cell>
          <cell r="H12">
            <v>107.98888129439993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101.12024060000005</v>
          </cell>
          <cell r="N12">
            <v>0</v>
          </cell>
          <cell r="O12">
            <v>0</v>
          </cell>
          <cell r="P12">
            <v>1.5350832925999998</v>
          </cell>
          <cell r="Q12">
            <v>55.261583999999949</v>
          </cell>
          <cell r="R12">
            <v>7.8921552804999999</v>
          </cell>
        </row>
        <row r="13">
          <cell r="E13">
            <v>64469996200.300011</v>
          </cell>
          <cell r="F13">
            <v>0</v>
          </cell>
          <cell r="G13">
            <v>308392586701.99921</v>
          </cell>
          <cell r="H13">
            <v>107988881294.39993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101120240600.00005</v>
          </cell>
          <cell r="N13">
            <v>0</v>
          </cell>
          <cell r="O13">
            <v>0</v>
          </cell>
          <cell r="P13">
            <v>1535083292.5999999</v>
          </cell>
          <cell r="Q13">
            <v>55261583999.999954</v>
          </cell>
          <cell r="R13">
            <v>7892155280.5</v>
          </cell>
        </row>
        <row r="14">
          <cell r="E14">
            <v>12893999240.060003</v>
          </cell>
          <cell r="F14">
            <v>0</v>
          </cell>
          <cell r="G14">
            <v>61678517340.399841</v>
          </cell>
          <cell r="H14">
            <v>21597776258.87999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20224048120.000011</v>
          </cell>
          <cell r="N14">
            <v>0</v>
          </cell>
          <cell r="O14">
            <v>0</v>
          </cell>
          <cell r="P14">
            <v>307016658.51999998</v>
          </cell>
          <cell r="Q14">
            <v>11052316799.999992</v>
          </cell>
          <cell r="R14">
            <v>1578431056.1000001</v>
          </cell>
        </row>
        <row r="16">
          <cell r="E16">
            <v>52683.402660300009</v>
          </cell>
          <cell r="F16">
            <v>0</v>
          </cell>
          <cell r="G16">
            <v>8.163667722464746</v>
          </cell>
          <cell r="H16">
            <v>2.3896046661594932</v>
          </cell>
          <cell r="I16" t="e">
            <v>#DIV/0!</v>
          </cell>
          <cell r="J16" t="e">
            <v>#DIV/0!</v>
          </cell>
          <cell r="K16">
            <v>-1</v>
          </cell>
          <cell r="L16" t="e">
            <v>#DIV/0!</v>
          </cell>
          <cell r="M16">
            <v>0.64861860901054169</v>
          </cell>
          <cell r="N16" t="e">
            <v>#DIV/0!</v>
          </cell>
          <cell r="O16" t="e">
            <v>#DIV/0!</v>
          </cell>
          <cell r="P16">
            <v>-0.92698131779763659</v>
          </cell>
          <cell r="Q16" t="e">
            <v>#DIV/0!</v>
          </cell>
          <cell r="R16" t="e">
            <v>#DIV/0!</v>
          </cell>
        </row>
        <row r="18">
          <cell r="E18">
            <v>4.332284930476437E-2</v>
          </cell>
          <cell r="F18">
            <v>0</v>
          </cell>
          <cell r="G18">
            <v>0.12369817762064535</v>
          </cell>
          <cell r="H18">
            <v>0.11710048617692068</v>
          </cell>
          <cell r="I18">
            <v>0</v>
          </cell>
          <cell r="J18">
            <v>0</v>
          </cell>
          <cell r="K18">
            <v>0.41315757379724011</v>
          </cell>
          <cell r="L18">
            <v>0</v>
          </cell>
          <cell r="M18">
            <v>0.22544811136343498</v>
          </cell>
          <cell r="N18">
            <v>0</v>
          </cell>
          <cell r="O18">
            <v>0</v>
          </cell>
          <cell r="P18">
            <v>7.7272801736994495E-2</v>
          </cell>
          <cell r="Q18">
            <v>0</v>
          </cell>
          <cell r="R18">
            <v>0</v>
          </cell>
        </row>
        <row r="19">
          <cell r="E19">
            <v>11786.593540000002</v>
          </cell>
          <cell r="F19">
            <v>0</v>
          </cell>
          <cell r="G19">
            <v>33653.837747300058</v>
          </cell>
          <cell r="H19">
            <v>31858.842528899997</v>
          </cell>
          <cell r="I19">
            <v>0</v>
          </cell>
          <cell r="J19">
            <v>0</v>
          </cell>
          <cell r="K19">
            <v>112405.358107069</v>
          </cell>
          <cell r="L19">
            <v>0</v>
          </cell>
          <cell r="M19">
            <v>61336.345500000032</v>
          </cell>
          <cell r="N19">
            <v>0</v>
          </cell>
          <cell r="O19">
            <v>0</v>
          </cell>
          <cell r="P19">
            <v>21023.157996000002</v>
          </cell>
          <cell r="Q19">
            <v>0</v>
          </cell>
          <cell r="R19">
            <v>0</v>
          </cell>
        </row>
        <row r="20">
          <cell r="E20">
            <v>2357.3187080000002</v>
          </cell>
          <cell r="F20">
            <v>0</v>
          </cell>
          <cell r="G20">
            <v>6730.7675494600117</v>
          </cell>
          <cell r="H20">
            <v>6371.7685057799999</v>
          </cell>
          <cell r="I20">
            <v>0</v>
          </cell>
          <cell r="J20">
            <v>0</v>
          </cell>
          <cell r="K20">
            <v>22481.071621413801</v>
          </cell>
          <cell r="L20">
            <v>0</v>
          </cell>
          <cell r="M20">
            <v>12267.269100000007</v>
          </cell>
          <cell r="N20">
            <v>0</v>
          </cell>
          <cell r="O20">
            <v>0</v>
          </cell>
          <cell r="P20">
            <v>4204.6315992000009</v>
          </cell>
          <cell r="Q20">
            <v>0</v>
          </cell>
          <cell r="R20">
            <v>0</v>
          </cell>
        </row>
        <row r="21">
          <cell r="E21"/>
          <cell r="F21"/>
          <cell r="G21">
            <v>33.653837747300059</v>
          </cell>
          <cell r="H21">
            <v>31.858842528899999</v>
          </cell>
          <cell r="I21">
            <v>0</v>
          </cell>
          <cell r="J21">
            <v>0</v>
          </cell>
          <cell r="K21">
            <v>112.40535810706899</v>
          </cell>
          <cell r="L21">
            <v>0</v>
          </cell>
          <cell r="M21">
            <v>61.336345500000036</v>
          </cell>
          <cell r="N21">
            <v>0</v>
          </cell>
          <cell r="O21">
            <v>0</v>
          </cell>
          <cell r="P21">
            <v>21.023157996000002</v>
          </cell>
          <cell r="Q21">
            <v>0</v>
          </cell>
          <cell r="R21">
            <v>0</v>
          </cell>
        </row>
        <row r="22">
          <cell r="E22">
            <v>11786593540.000002</v>
          </cell>
          <cell r="F22">
            <v>0</v>
          </cell>
          <cell r="G22">
            <v>33653837747.300056</v>
          </cell>
          <cell r="H22">
            <v>31858842528.899998</v>
          </cell>
          <cell r="I22">
            <v>0</v>
          </cell>
          <cell r="J22">
            <v>0</v>
          </cell>
          <cell r="K22">
            <v>112405358107.069</v>
          </cell>
          <cell r="L22">
            <v>0</v>
          </cell>
          <cell r="M22">
            <v>61336345500.000031</v>
          </cell>
          <cell r="N22">
            <v>0</v>
          </cell>
          <cell r="O22">
            <v>0</v>
          </cell>
          <cell r="P22">
            <v>21023157996</v>
          </cell>
          <cell r="Q22">
            <v>0</v>
          </cell>
          <cell r="R22">
            <v>0</v>
          </cell>
        </row>
        <row r="23">
          <cell r="E23">
            <v>2357318708.0000005</v>
          </cell>
          <cell r="F23">
            <v>0</v>
          </cell>
          <cell r="G23">
            <v>6730767549.4600115</v>
          </cell>
          <cell r="H23">
            <v>6371768505.7799997</v>
          </cell>
          <cell r="I23">
            <v>0</v>
          </cell>
          <cell r="J23">
            <v>0</v>
          </cell>
          <cell r="K23">
            <v>22481071621.413799</v>
          </cell>
          <cell r="L23">
            <v>0</v>
          </cell>
          <cell r="M23">
            <v>12267269100.000008</v>
          </cell>
          <cell r="N23">
            <v>0</v>
          </cell>
          <cell r="O23">
            <v>0</v>
          </cell>
          <cell r="P23">
            <v>4204631599.2000008</v>
          </cell>
          <cell r="Q23">
            <v>0</v>
          </cell>
          <cell r="R23">
            <v>0</v>
          </cell>
        </row>
        <row r="24">
          <cell r="E24">
            <v>7.7322335625049671E-2</v>
          </cell>
          <cell r="F24">
            <v>0</v>
          </cell>
          <cell r="G24">
            <v>0.55864128752858089</v>
          </cell>
          <cell r="H24">
            <v>8.3828445269032992E-2</v>
          </cell>
          <cell r="I24">
            <v>0</v>
          </cell>
          <cell r="J24">
            <v>0</v>
          </cell>
          <cell r="K24">
            <v>1.3191230718658493E-4</v>
          </cell>
          <cell r="L24">
            <v>0</v>
          </cell>
          <cell r="M24">
            <v>0.15841160944624866</v>
          </cell>
          <cell r="N24">
            <v>0</v>
          </cell>
          <cell r="O24">
            <v>0</v>
          </cell>
          <cell r="P24">
            <v>2.0509988457689918E-3</v>
          </cell>
          <cell r="Q24">
            <v>9.4392926795091481E-2</v>
          </cell>
          <cell r="R24">
            <v>2.5220484183040803E-2</v>
          </cell>
        </row>
        <row r="25">
          <cell r="E25">
            <v>42426.130768499999</v>
          </cell>
          <cell r="F25">
            <v>0</v>
          </cell>
          <cell r="G25">
            <v>306521.88821999979</v>
          </cell>
          <cell r="H25">
            <v>45995.979717299881</v>
          </cell>
          <cell r="I25">
            <v>0</v>
          </cell>
          <cell r="J25">
            <v>0</v>
          </cell>
          <cell r="K25">
            <v>72.379199999999997</v>
          </cell>
          <cell r="L25">
            <v>0</v>
          </cell>
          <cell r="M25">
            <v>86919.149599999917</v>
          </cell>
          <cell r="N25">
            <v>0</v>
          </cell>
          <cell r="O25">
            <v>0</v>
          </cell>
          <cell r="P25">
            <v>1125.3662287</v>
          </cell>
          <cell r="Q25">
            <v>51792.623999999953</v>
          </cell>
          <cell r="R25">
            <v>13838.272619999994</v>
          </cell>
        </row>
        <row r="26">
          <cell r="E26">
            <v>8485.2261536999995</v>
          </cell>
          <cell r="F26">
            <v>0</v>
          </cell>
          <cell r="G26">
            <v>61304.377643999964</v>
          </cell>
          <cell r="H26">
            <v>9199.1959434599758</v>
          </cell>
          <cell r="I26">
            <v>0</v>
          </cell>
          <cell r="J26">
            <v>0</v>
          </cell>
          <cell r="K26">
            <v>14.47584</v>
          </cell>
          <cell r="L26">
            <v>0</v>
          </cell>
          <cell r="M26">
            <v>17383.829919999986</v>
          </cell>
          <cell r="N26">
            <v>0</v>
          </cell>
          <cell r="O26">
            <v>0</v>
          </cell>
          <cell r="P26">
            <v>225.07324574</v>
          </cell>
          <cell r="Q26">
            <v>10358.524799999992</v>
          </cell>
          <cell r="R26">
            <v>2767.6545239999991</v>
          </cell>
        </row>
        <row r="27">
          <cell r="E27">
            <v>42.426130768500002</v>
          </cell>
          <cell r="F27">
            <v>0</v>
          </cell>
          <cell r="G27">
            <v>306.52188821999977</v>
          </cell>
          <cell r="H27">
            <v>45.995979717299882</v>
          </cell>
          <cell r="I27">
            <v>0</v>
          </cell>
          <cell r="J27">
            <v>0</v>
          </cell>
          <cell r="K27">
            <v>7.2379199999999991E-2</v>
          </cell>
          <cell r="L27">
            <v>0</v>
          </cell>
          <cell r="M27">
            <v>86.919149599999912</v>
          </cell>
          <cell r="N27">
            <v>0</v>
          </cell>
          <cell r="O27">
            <v>0</v>
          </cell>
          <cell r="P27">
            <v>1.1253662286999999</v>
          </cell>
          <cell r="Q27">
            <v>51.792623999999954</v>
          </cell>
          <cell r="R27">
            <v>13.838272619999994</v>
          </cell>
        </row>
        <row r="28">
          <cell r="E28">
            <v>42426130768.5</v>
          </cell>
          <cell r="F28">
            <v>0</v>
          </cell>
          <cell r="G28">
            <v>306521888219.99982</v>
          </cell>
          <cell r="H28">
            <v>45995979717.299881</v>
          </cell>
          <cell r="I28">
            <v>0</v>
          </cell>
          <cell r="J28">
            <v>0</v>
          </cell>
          <cell r="K28">
            <v>72379200</v>
          </cell>
          <cell r="L28">
            <v>0</v>
          </cell>
          <cell r="M28">
            <v>86919149599.999924</v>
          </cell>
          <cell r="N28">
            <v>0</v>
          </cell>
          <cell r="O28">
            <v>0</v>
          </cell>
          <cell r="P28">
            <v>1125366228.7</v>
          </cell>
          <cell r="Q28">
            <v>51792623999.999954</v>
          </cell>
          <cell r="R28">
            <v>13838272619.999994</v>
          </cell>
        </row>
        <row r="29">
          <cell r="E29">
            <v>8485226153.7000008</v>
          </cell>
          <cell r="F29">
            <v>0</v>
          </cell>
          <cell r="G29">
            <v>61304377643.999969</v>
          </cell>
          <cell r="H29">
            <v>9199195943.4599762</v>
          </cell>
          <cell r="I29">
            <v>0</v>
          </cell>
          <cell r="J29">
            <v>0</v>
          </cell>
          <cell r="K29">
            <v>14475840</v>
          </cell>
          <cell r="L29">
            <v>0</v>
          </cell>
          <cell r="M29">
            <v>17383829919.999985</v>
          </cell>
          <cell r="N29">
            <v>0</v>
          </cell>
          <cell r="O29">
            <v>0</v>
          </cell>
          <cell r="P29">
            <v>225073245.74000001</v>
          </cell>
          <cell r="Q29">
            <v>10358524799.999992</v>
          </cell>
          <cell r="R29">
            <v>2767654523.999999</v>
          </cell>
        </row>
        <row r="31">
          <cell r="E31">
            <v>30639.537228499998</v>
          </cell>
          <cell r="F31">
            <v>0</v>
          </cell>
          <cell r="G31">
            <v>272868.05047269975</v>
          </cell>
          <cell r="H31">
            <v>14137.137188399884</v>
          </cell>
          <cell r="I31">
            <v>0</v>
          </cell>
          <cell r="J31">
            <v>0</v>
          </cell>
          <cell r="K31">
            <v>-112332.978907069</v>
          </cell>
          <cell r="L31">
            <v>0</v>
          </cell>
          <cell r="M31">
            <v>25582.804099999885</v>
          </cell>
          <cell r="N31">
            <v>0</v>
          </cell>
          <cell r="O31">
            <v>0</v>
          </cell>
          <cell r="P31">
            <v>-19897.791767300001</v>
          </cell>
          <cell r="Q31">
            <v>51792.623999999953</v>
          </cell>
          <cell r="R31">
            <v>13838.272619999994</v>
          </cell>
        </row>
        <row r="33">
          <cell r="E33">
            <v>4.332284930476437E-2</v>
          </cell>
          <cell r="F33">
            <v>0</v>
          </cell>
          <cell r="G33">
            <v>0.12369817762064535</v>
          </cell>
          <cell r="H33">
            <v>0.11710048617692068</v>
          </cell>
          <cell r="I33">
            <v>0</v>
          </cell>
          <cell r="J33">
            <v>0</v>
          </cell>
          <cell r="K33">
            <v>0.41315757379724011</v>
          </cell>
          <cell r="L33">
            <v>0</v>
          </cell>
          <cell r="M33">
            <v>0.22544811136343498</v>
          </cell>
          <cell r="N33">
            <v>0</v>
          </cell>
          <cell r="O33">
            <v>0</v>
          </cell>
          <cell r="P33">
            <v>7.7272801736994495E-2</v>
          </cell>
          <cell r="Q33">
            <v>0</v>
          </cell>
          <cell r="R33">
            <v>0</v>
          </cell>
        </row>
        <row r="34">
          <cell r="E34">
            <v>11786.593540000002</v>
          </cell>
          <cell r="F34">
            <v>0</v>
          </cell>
          <cell r="G34">
            <v>33653.837747300058</v>
          </cell>
          <cell r="H34">
            <v>31858.842528899997</v>
          </cell>
          <cell r="I34">
            <v>0</v>
          </cell>
          <cell r="J34">
            <v>0</v>
          </cell>
          <cell r="K34">
            <v>112405.358107069</v>
          </cell>
          <cell r="L34">
            <v>0</v>
          </cell>
          <cell r="M34">
            <v>61336.345500000032</v>
          </cell>
          <cell r="N34">
            <v>0</v>
          </cell>
          <cell r="O34">
            <v>0</v>
          </cell>
          <cell r="P34">
            <v>21023.157996000002</v>
          </cell>
          <cell r="Q34">
            <v>0</v>
          </cell>
          <cell r="R34">
            <v>0</v>
          </cell>
        </row>
        <row r="35">
          <cell r="E35">
            <v>2357.3187080000002</v>
          </cell>
          <cell r="F35">
            <v>0</v>
          </cell>
          <cell r="G35">
            <v>6730.7675494600117</v>
          </cell>
          <cell r="H35">
            <v>6371.7685057799999</v>
          </cell>
          <cell r="I35">
            <v>0</v>
          </cell>
          <cell r="J35">
            <v>0</v>
          </cell>
          <cell r="K35">
            <v>22481.071621413801</v>
          </cell>
          <cell r="L35">
            <v>0</v>
          </cell>
          <cell r="M35">
            <v>12267.269100000007</v>
          </cell>
          <cell r="N35">
            <v>0</v>
          </cell>
          <cell r="O35">
            <v>0</v>
          </cell>
          <cell r="P35">
            <v>4204.6315992000009</v>
          </cell>
          <cell r="Q35">
            <v>0</v>
          </cell>
          <cell r="R35">
            <v>0</v>
          </cell>
        </row>
        <row r="36">
          <cell r="E36"/>
          <cell r="F36"/>
          <cell r="G36">
            <v>33.653837747300059</v>
          </cell>
          <cell r="H36">
            <v>31.858842528899999</v>
          </cell>
          <cell r="I36">
            <v>0</v>
          </cell>
          <cell r="J36">
            <v>0</v>
          </cell>
          <cell r="K36">
            <v>112.40535810706899</v>
          </cell>
          <cell r="L36">
            <v>0</v>
          </cell>
          <cell r="M36">
            <v>61.336345500000036</v>
          </cell>
          <cell r="N36">
            <v>0</v>
          </cell>
          <cell r="O36">
            <v>0</v>
          </cell>
          <cell r="P36">
            <v>21.023157996000002</v>
          </cell>
          <cell r="Q36">
            <v>0</v>
          </cell>
          <cell r="R36">
            <v>0</v>
          </cell>
        </row>
        <row r="37">
          <cell r="E37">
            <v>11786593540.000002</v>
          </cell>
          <cell r="F37">
            <v>0</v>
          </cell>
          <cell r="G37">
            <v>33653837747.300056</v>
          </cell>
          <cell r="H37">
            <v>31858842528.899998</v>
          </cell>
          <cell r="I37">
            <v>0</v>
          </cell>
          <cell r="J37">
            <v>0</v>
          </cell>
          <cell r="K37">
            <v>112405358107.069</v>
          </cell>
          <cell r="L37">
            <v>0</v>
          </cell>
          <cell r="M37">
            <v>61336345500.000031</v>
          </cell>
          <cell r="N37">
            <v>0</v>
          </cell>
          <cell r="O37">
            <v>0</v>
          </cell>
          <cell r="P37">
            <v>21023157996</v>
          </cell>
          <cell r="Q37">
            <v>0</v>
          </cell>
          <cell r="R37">
            <v>0</v>
          </cell>
        </row>
        <row r="38">
          <cell r="E38">
            <v>2357318708.0000005</v>
          </cell>
          <cell r="F38">
            <v>0</v>
          </cell>
          <cell r="G38">
            <v>6730767549.4600115</v>
          </cell>
          <cell r="H38">
            <v>6371768505.7799997</v>
          </cell>
          <cell r="I38">
            <v>0</v>
          </cell>
          <cell r="J38">
            <v>0</v>
          </cell>
          <cell r="K38">
            <v>22481071621.413799</v>
          </cell>
          <cell r="L38">
            <v>0</v>
          </cell>
          <cell r="M38">
            <v>12267269100.000008</v>
          </cell>
          <cell r="N38">
            <v>0</v>
          </cell>
          <cell r="O38">
            <v>0</v>
          </cell>
          <cell r="P38">
            <v>4204631599.2000008</v>
          </cell>
          <cell r="Q38">
            <v>0</v>
          </cell>
          <cell r="R38">
            <v>0</v>
          </cell>
        </row>
        <row r="39">
          <cell r="E39">
            <v>0.10846349339646529</v>
          </cell>
          <cell r="F39">
            <v>0</v>
          </cell>
          <cell r="G39">
            <v>0.53876699735550293</v>
          </cell>
          <cell r="H39">
            <v>0.17023756528402167</v>
          </cell>
          <cell r="I39">
            <v>0</v>
          </cell>
          <cell r="J39">
            <v>0</v>
          </cell>
          <cell r="K39">
            <v>2.0875525119435022E-5</v>
          </cell>
          <cell r="L39">
            <v>0</v>
          </cell>
          <cell r="M39">
            <v>5.8331162527419794E-2</v>
          </cell>
          <cell r="N39">
            <v>0</v>
          </cell>
          <cell r="O39">
            <v>0</v>
          </cell>
          <cell r="P39">
            <v>2.7560164292672832E-3</v>
          </cell>
          <cell r="Q39">
            <v>0.10897016419702145</v>
          </cell>
          <cell r="R39">
            <v>1.2453725285181976E-2</v>
          </cell>
        </row>
        <row r="40">
          <cell r="E40">
            <v>63448.378498600003</v>
          </cell>
          <cell r="F40">
            <v>0</v>
          </cell>
          <cell r="G40">
            <v>315164.95827599993</v>
          </cell>
          <cell r="H40">
            <v>99584.635701699954</v>
          </cell>
          <cell r="I40">
            <v>0</v>
          </cell>
          <cell r="J40">
            <v>0</v>
          </cell>
          <cell r="K40">
            <v>12.211649999999999</v>
          </cell>
          <cell r="L40">
            <v>0</v>
          </cell>
          <cell r="M40">
            <v>34122.243000000002</v>
          </cell>
          <cell r="N40">
            <v>0</v>
          </cell>
          <cell r="O40">
            <v>0</v>
          </cell>
          <cell r="P40">
            <v>1612.1993500000001</v>
          </cell>
          <cell r="Q40">
            <v>63744.76799999996</v>
          </cell>
          <cell r="R40">
            <v>7285.1117999999988</v>
          </cell>
        </row>
        <row r="41">
          <cell r="E41">
            <v>12689.675699720001</v>
          </cell>
          <cell r="F41">
            <v>0</v>
          </cell>
          <cell r="G41">
            <v>63032.991655199992</v>
          </cell>
          <cell r="H41">
            <v>19916.927140339991</v>
          </cell>
          <cell r="I41">
            <v>0</v>
          </cell>
          <cell r="J41">
            <v>0</v>
          </cell>
          <cell r="K41">
            <v>2.4423300000000001</v>
          </cell>
          <cell r="L41">
            <v>0</v>
          </cell>
          <cell r="M41">
            <v>6824.4486000000006</v>
          </cell>
          <cell r="N41">
            <v>0</v>
          </cell>
          <cell r="O41">
            <v>0</v>
          </cell>
          <cell r="P41">
            <v>322.43987000000004</v>
          </cell>
          <cell r="Q41">
            <v>12748.953599999993</v>
          </cell>
          <cell r="R41">
            <v>1457.0223599999999</v>
          </cell>
        </row>
        <row r="42">
          <cell r="E42">
            <v>63.4483784986</v>
          </cell>
          <cell r="F42">
            <v>0</v>
          </cell>
          <cell r="G42">
            <v>315.16495827599994</v>
          </cell>
          <cell r="H42">
            <v>99.584635701699952</v>
          </cell>
          <cell r="I42">
            <v>0</v>
          </cell>
          <cell r="J42">
            <v>0</v>
          </cell>
          <cell r="K42">
            <v>1.2211649999999999E-2</v>
          </cell>
          <cell r="L42">
            <v>0</v>
          </cell>
          <cell r="M42">
            <v>34.122243000000005</v>
          </cell>
          <cell r="N42">
            <v>0</v>
          </cell>
          <cell r="O42">
            <v>0</v>
          </cell>
          <cell r="P42">
            <v>1.61219935</v>
          </cell>
          <cell r="Q42">
            <v>63.744767999999958</v>
          </cell>
          <cell r="R42">
            <v>7.2851117999999984</v>
          </cell>
        </row>
        <row r="43">
          <cell r="E43">
            <v>63448378498.600006</v>
          </cell>
          <cell r="F43">
            <v>0</v>
          </cell>
          <cell r="G43">
            <v>315164958275.99994</v>
          </cell>
          <cell r="H43">
            <v>99584635701.699951</v>
          </cell>
          <cell r="I43">
            <v>0</v>
          </cell>
          <cell r="J43">
            <v>0</v>
          </cell>
          <cell r="K43">
            <v>12211649.999999998</v>
          </cell>
          <cell r="L43">
            <v>0</v>
          </cell>
          <cell r="M43">
            <v>34122243000.000004</v>
          </cell>
          <cell r="N43">
            <v>0</v>
          </cell>
          <cell r="O43">
            <v>0</v>
          </cell>
          <cell r="P43">
            <v>1612199350</v>
          </cell>
          <cell r="Q43">
            <v>63744767999.999962</v>
          </cell>
          <cell r="R43">
            <v>7285111799.999999</v>
          </cell>
        </row>
        <row r="44">
          <cell r="E44">
            <v>12689675699.720001</v>
          </cell>
          <cell r="F44">
            <v>0</v>
          </cell>
          <cell r="G44">
            <v>63032991655.199989</v>
          </cell>
          <cell r="H44">
            <v>19916927140.339993</v>
          </cell>
          <cell r="I44">
            <v>0</v>
          </cell>
          <cell r="J44">
            <v>0</v>
          </cell>
          <cell r="K44">
            <v>2442329.9999999995</v>
          </cell>
          <cell r="L44">
            <v>0</v>
          </cell>
          <cell r="M44">
            <v>6824448600.000001</v>
          </cell>
          <cell r="N44">
            <v>0</v>
          </cell>
          <cell r="O44">
            <v>0</v>
          </cell>
          <cell r="P44">
            <v>322439870</v>
          </cell>
          <cell r="Q44">
            <v>12748953599.999992</v>
          </cell>
          <cell r="R44">
            <v>1457022360</v>
          </cell>
        </row>
        <row r="46">
          <cell r="E46">
            <v>51661.784958600001</v>
          </cell>
          <cell r="F46">
            <v>0</v>
          </cell>
          <cell r="G46">
            <v>281511.12052869989</v>
          </cell>
          <cell r="H46">
            <v>67725.793172799953</v>
          </cell>
          <cell r="I46">
            <v>0</v>
          </cell>
          <cell r="J46">
            <v>0</v>
          </cell>
          <cell r="K46">
            <v>-112393.146457069</v>
          </cell>
          <cell r="L46">
            <v>0</v>
          </cell>
          <cell r="M46">
            <v>-27214.10250000003</v>
          </cell>
          <cell r="N46">
            <v>0</v>
          </cell>
          <cell r="O46">
            <v>0</v>
          </cell>
          <cell r="P46">
            <v>-19410.958646000003</v>
          </cell>
          <cell r="Q46">
            <v>63744.76799999996</v>
          </cell>
          <cell r="R46">
            <v>7285.1117999999988</v>
          </cell>
        </row>
        <row r="48">
          <cell r="E48">
            <v>4.332284930476437E-2</v>
          </cell>
          <cell r="F48">
            <v>0</v>
          </cell>
          <cell r="G48">
            <v>0.12369817762064535</v>
          </cell>
          <cell r="H48">
            <v>0.11710048617692068</v>
          </cell>
          <cell r="I48">
            <v>0</v>
          </cell>
          <cell r="J48">
            <v>0</v>
          </cell>
          <cell r="K48">
            <v>0.41315757379724011</v>
          </cell>
          <cell r="L48">
            <v>0</v>
          </cell>
          <cell r="M48">
            <v>0.22544811136343498</v>
          </cell>
          <cell r="N48">
            <v>0</v>
          </cell>
          <cell r="O48">
            <v>0</v>
          </cell>
          <cell r="P48">
            <v>7.7272801736994495E-2</v>
          </cell>
          <cell r="Q48">
            <v>0</v>
          </cell>
          <cell r="R48">
            <v>0</v>
          </cell>
        </row>
        <row r="49">
          <cell r="E49">
            <v>11786.593540000002</v>
          </cell>
          <cell r="F49">
            <v>0</v>
          </cell>
          <cell r="G49">
            <v>33653.837747300058</v>
          </cell>
          <cell r="H49">
            <v>31858.842528899997</v>
          </cell>
          <cell r="I49">
            <v>0</v>
          </cell>
          <cell r="J49">
            <v>0</v>
          </cell>
          <cell r="K49">
            <v>112405.358107069</v>
          </cell>
          <cell r="L49">
            <v>0</v>
          </cell>
          <cell r="M49">
            <v>61336.345500000032</v>
          </cell>
          <cell r="N49">
            <v>0</v>
          </cell>
          <cell r="O49">
            <v>0</v>
          </cell>
          <cell r="P49">
            <v>21023.157996000002</v>
          </cell>
          <cell r="Q49">
            <v>0</v>
          </cell>
          <cell r="R49">
            <v>0</v>
          </cell>
        </row>
        <row r="50">
          <cell r="E50">
            <v>2357.3187080000002</v>
          </cell>
          <cell r="F50">
            <v>0</v>
          </cell>
          <cell r="G50">
            <v>6730.7675494600117</v>
          </cell>
          <cell r="H50">
            <v>6371.7685057799999</v>
          </cell>
          <cell r="I50">
            <v>0</v>
          </cell>
          <cell r="J50">
            <v>0</v>
          </cell>
          <cell r="K50">
            <v>22481.071621413801</v>
          </cell>
          <cell r="L50">
            <v>0</v>
          </cell>
          <cell r="M50">
            <v>12267.269100000007</v>
          </cell>
          <cell r="N50">
            <v>0</v>
          </cell>
          <cell r="O50">
            <v>0</v>
          </cell>
          <cell r="P50">
            <v>4204.6315992000009</v>
          </cell>
          <cell r="Q50">
            <v>0</v>
          </cell>
          <cell r="R50">
            <v>0</v>
          </cell>
        </row>
        <row r="51">
          <cell r="E51"/>
          <cell r="F51"/>
          <cell r="G51">
            <v>33.653837747300059</v>
          </cell>
          <cell r="H51">
            <v>31.858842528899999</v>
          </cell>
          <cell r="I51">
            <v>0</v>
          </cell>
          <cell r="J51">
            <v>0</v>
          </cell>
          <cell r="K51">
            <v>112.40535810706899</v>
          </cell>
          <cell r="L51">
            <v>0</v>
          </cell>
          <cell r="M51">
            <v>61.336345500000036</v>
          </cell>
          <cell r="N51">
            <v>0</v>
          </cell>
          <cell r="O51">
            <v>0</v>
          </cell>
          <cell r="P51">
            <v>21.023157996000002</v>
          </cell>
          <cell r="Q51">
            <v>0</v>
          </cell>
          <cell r="R51">
            <v>0</v>
          </cell>
        </row>
        <row r="52">
          <cell r="E52">
            <v>11786593540.000002</v>
          </cell>
          <cell r="F52">
            <v>0</v>
          </cell>
          <cell r="G52">
            <v>33653837747.300056</v>
          </cell>
          <cell r="H52">
            <v>31858842528.899998</v>
          </cell>
          <cell r="I52">
            <v>0</v>
          </cell>
          <cell r="J52">
            <v>0</v>
          </cell>
          <cell r="K52">
            <v>112405358107.069</v>
          </cell>
          <cell r="L52">
            <v>0</v>
          </cell>
          <cell r="M52">
            <v>61336345500.000031</v>
          </cell>
          <cell r="N52">
            <v>0</v>
          </cell>
          <cell r="O52">
            <v>0</v>
          </cell>
          <cell r="P52">
            <v>21023157996</v>
          </cell>
          <cell r="Q52">
            <v>0</v>
          </cell>
          <cell r="R52">
            <v>0</v>
          </cell>
        </row>
        <row r="53">
          <cell r="E53">
            <v>2357318708.0000005</v>
          </cell>
          <cell r="F53">
            <v>0</v>
          </cell>
          <cell r="G53">
            <v>6730767549.4600115</v>
          </cell>
          <cell r="H53">
            <v>6371768505.7799997</v>
          </cell>
          <cell r="I53">
            <v>0</v>
          </cell>
          <cell r="J53">
            <v>0</v>
          </cell>
          <cell r="K53">
            <v>22481071621.413799</v>
          </cell>
          <cell r="L53">
            <v>0</v>
          </cell>
          <cell r="M53">
            <v>12267269100.000008</v>
          </cell>
          <cell r="N53">
            <v>0</v>
          </cell>
          <cell r="O53">
            <v>0</v>
          </cell>
          <cell r="P53">
            <v>4204631599.2000008</v>
          </cell>
          <cell r="Q53">
            <v>0</v>
          </cell>
          <cell r="R53">
            <v>0</v>
          </cell>
        </row>
        <row r="54">
          <cell r="E54">
            <v>5.8763948544668175E-2</v>
          </cell>
          <cell r="F54">
            <v>0</v>
          </cell>
          <cell r="G54">
            <v>0.53343739243644928</v>
          </cell>
          <cell r="H54">
            <v>0.12941727919056509</v>
          </cell>
          <cell r="I54">
            <v>0</v>
          </cell>
          <cell r="J54">
            <v>0</v>
          </cell>
          <cell r="K54">
            <v>0.13057072668503067</v>
          </cell>
          <cell r="L54">
            <v>0</v>
          </cell>
          <cell r="M54">
            <v>0.13339019664490892</v>
          </cell>
          <cell r="N54">
            <v>0</v>
          </cell>
          <cell r="O54">
            <v>0</v>
          </cell>
          <cell r="P54">
            <v>1.4420456498377858E-2</v>
          </cell>
          <cell r="Q54">
            <v>0</v>
          </cell>
          <cell r="R54">
            <v>0</v>
          </cell>
        </row>
        <row r="55">
          <cell r="E55">
            <v>27202.720958900005</v>
          </cell>
          <cell r="F55">
            <v>0</v>
          </cell>
          <cell r="G55">
            <v>246936.24058399981</v>
          </cell>
          <cell r="H55">
            <v>59909.216794800013</v>
          </cell>
          <cell r="I55">
            <v>0</v>
          </cell>
          <cell r="J55">
            <v>0</v>
          </cell>
          <cell r="K55">
            <v>60443.165093199998</v>
          </cell>
          <cell r="L55">
            <v>0</v>
          </cell>
          <cell r="M55">
            <v>61748.340400000037</v>
          </cell>
          <cell r="N55">
            <v>0</v>
          </cell>
          <cell r="O55">
            <v>0</v>
          </cell>
          <cell r="P55">
            <v>6675.4475140000013</v>
          </cell>
          <cell r="Q55">
            <v>0</v>
          </cell>
          <cell r="R55">
            <v>0</v>
          </cell>
        </row>
        <row r="56">
          <cell r="E56">
            <v>5440.5441917800017</v>
          </cell>
          <cell r="F56">
            <v>0</v>
          </cell>
          <cell r="G56">
            <v>49387.248116799965</v>
          </cell>
          <cell r="H56">
            <v>11981.843358960003</v>
          </cell>
          <cell r="I56">
            <v>0</v>
          </cell>
          <cell r="J56">
            <v>0</v>
          </cell>
          <cell r="K56">
            <v>12088.633018640001</v>
          </cell>
          <cell r="L56">
            <v>0</v>
          </cell>
          <cell r="M56">
            <v>12349.668080000009</v>
          </cell>
          <cell r="N56">
            <v>0</v>
          </cell>
          <cell r="O56">
            <v>0</v>
          </cell>
          <cell r="P56">
            <v>1335.0895028000004</v>
          </cell>
          <cell r="Q56">
            <v>0</v>
          </cell>
          <cell r="R56">
            <v>0</v>
          </cell>
        </row>
        <row r="57">
          <cell r="E57">
            <v>27.202720958900006</v>
          </cell>
          <cell r="F57">
            <v>0</v>
          </cell>
          <cell r="G57">
            <v>246.93624058399982</v>
          </cell>
          <cell r="H57">
            <v>59.909216794800017</v>
          </cell>
          <cell r="I57">
            <v>0</v>
          </cell>
          <cell r="J57">
            <v>0</v>
          </cell>
          <cell r="K57">
            <v>60.443165093199994</v>
          </cell>
          <cell r="L57">
            <v>0</v>
          </cell>
          <cell r="M57">
            <v>61.748340400000039</v>
          </cell>
          <cell r="N57">
            <v>0</v>
          </cell>
          <cell r="O57">
            <v>0</v>
          </cell>
          <cell r="P57">
            <v>6.6754475140000009</v>
          </cell>
          <cell r="Q57">
            <v>0</v>
          </cell>
          <cell r="R57">
            <v>0</v>
          </cell>
        </row>
        <row r="58">
          <cell r="E58">
            <v>27202720958.900005</v>
          </cell>
          <cell r="F58">
            <v>0</v>
          </cell>
          <cell r="G58">
            <v>246936240583.99982</v>
          </cell>
          <cell r="H58">
            <v>59909216794.800011</v>
          </cell>
          <cell r="I58">
            <v>0</v>
          </cell>
          <cell r="J58">
            <v>0</v>
          </cell>
          <cell r="K58">
            <v>60443165093.199997</v>
          </cell>
          <cell r="L58">
            <v>0</v>
          </cell>
          <cell r="M58">
            <v>61748340400.000038</v>
          </cell>
          <cell r="N58">
            <v>0</v>
          </cell>
          <cell r="O58">
            <v>0</v>
          </cell>
          <cell r="P58">
            <v>6675447514.000001</v>
          </cell>
          <cell r="Q58">
            <v>0</v>
          </cell>
          <cell r="R58">
            <v>0</v>
          </cell>
        </row>
        <row r="59">
          <cell r="E59">
            <v>5440544191.7800016</v>
          </cell>
          <cell r="F59">
            <v>0</v>
          </cell>
          <cell r="G59">
            <v>49387248116.799965</v>
          </cell>
          <cell r="H59">
            <v>11981843358.960003</v>
          </cell>
          <cell r="I59">
            <v>0</v>
          </cell>
          <cell r="J59">
            <v>0</v>
          </cell>
          <cell r="K59">
            <v>12088633018.639999</v>
          </cell>
          <cell r="L59">
            <v>0</v>
          </cell>
          <cell r="M59">
            <v>12349668080.000008</v>
          </cell>
          <cell r="N59">
            <v>0</v>
          </cell>
          <cell r="O59">
            <v>0</v>
          </cell>
          <cell r="P59">
            <v>1335089502.8000002</v>
          </cell>
          <cell r="Q59">
            <v>0</v>
          </cell>
          <cell r="R59">
            <v>0</v>
          </cell>
        </row>
        <row r="61">
          <cell r="E61">
            <v>15416.127418900003</v>
          </cell>
          <cell r="F61">
            <v>0</v>
          </cell>
          <cell r="G61">
            <v>6.3375358388007532</v>
          </cell>
          <cell r="H61">
            <v>0.88045804678731754</v>
          </cell>
          <cell r="I61" t="e">
            <v>#DIV/0!</v>
          </cell>
          <cell r="J61" t="e">
            <v>#DIV/0!</v>
          </cell>
          <cell r="K61">
            <v>-0.46227505422271487</v>
          </cell>
          <cell r="L61" t="e">
            <v>#DIV/0!</v>
          </cell>
          <cell r="M61">
            <v>6.7169782718796787E-3</v>
          </cell>
          <cell r="N61" t="e">
            <v>#DIV/0!</v>
          </cell>
          <cell r="O61" t="e">
            <v>#DIV/0!</v>
          </cell>
          <cell r="P61">
            <v>-0.68247170499931009</v>
          </cell>
          <cell r="Q61" t="e">
            <v>#DIV/0!</v>
          </cell>
          <cell r="R61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la Cervantes Barrón" id="{F72BDEF8-DAFC-4F25-9DEE-EEAC5666EFD8}" userId="c796ed42e31a4d52" providerId="Windows Liv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22</v>
    <v>8</v>
    <v>13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7" dT="2021-01-07T16:58:07.38" personId="{F72BDEF8-DAFC-4F25-9DEE-EEAC5666EFD8}" id="{0B546F87-6077-4E4C-9A7B-9F50334D8966}">
    <text>Averaging this values doesn't seem like a good idea, because the materials don't scale up linearly with Power Output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200" dT="2021-01-07T14:43:41.81" personId="{F72BDEF8-DAFC-4F25-9DEE-EEAC5666EFD8}" id="{A424A208-9DE5-4453-A6F7-E509194A10A3}">
    <text>From Maaike's version of the calculation</text>
  </threadedComment>
  <threadedComment ref="J200" dT="2021-01-07T14:43:24.38" personId="{F72BDEF8-DAFC-4F25-9DEE-EEAC5666EFD8}" id="{2FBFFCA4-08E4-4BF7-A0E3-7A417A4C96CD}">
    <text>Calculated w capacity and load factor</text>
  </threadedComment>
  <threadedComment ref="K200" dT="2021-01-07T14:43:08.17" personId="{F72BDEF8-DAFC-4F25-9DEE-EEAC5666EFD8}" id="{21726900-3236-4A28-8945-06400CA69317}">
    <text>From the paper Kannan2005</text>
  </threadedComment>
  <threadedComment ref="H224" dT="2021-01-07T16:08:55.10" personId="{F72BDEF8-DAFC-4F25-9DEE-EEAC5666EFD8}" id="{B6C9DFBB-1615-4881-9354-A6E5A5AF6859}">
    <text>Old kWh/lifetime from Maaike</text>
  </threadedComment>
  <threadedComment ref="B225" dT="2021-01-07T16:00:20.77" personId="{F72BDEF8-DAFC-4F25-9DEE-EEAC5666EFD8}" id="{F7B88974-40E2-4701-B9F2-D23FD81AFEAA}">
    <text>this new value assumes the same kWh are obtained as with gas without CCS</text>
  </threadedComment>
  <threadedComment ref="G227" dT="2021-01-07T15:48:04.50" personId="{F72BDEF8-DAFC-4F25-9DEE-EEAC5666EFD8}" id="{E9DDB557-FD02-45B5-A704-FA7587ACDAE0}">
    <text>Singh2011 says gravel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3.epa.gov/ttn/chief/ap42/ch11/final/c11s25.pd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1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6" Type="http://schemas.openxmlformats.org/officeDocument/2006/relationships/hyperlink" Target="https://www.sciencedirect.com/science/article/pii/S1364032111002620?casa_token=wLy2ehli4N4AAAAA:ybOH9T6_r7vhKrAX0aOqcOPR5qojYsDBw9PkBjG4XmM3iCdDfH1jqEZLoJRdXbZKOsf2dnIdwTw" TargetMode="External"/><Relationship Id="rId5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4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sciencedirect.com/science/article/pii/S0960148111001959?casa_token=20bOrrhk3OQAAAAA:0zKVTPsaIsFPT509tPE5S63psb8Fv4CdJT3eZ11o8bhaEyH1TUKorARNEuxKx5M3TlwcwMrYRVw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reader.elsevier.com/reader/sd/pii/S0196890497000058?token=C2C27C59C81C625153DEB781AF5CDE6E143189E3BC3B72B510DD89785FEBBAB2CA7E695EF00D80EE878109E35C6873DB" TargetMode="External"/><Relationship Id="rId1" Type="http://schemas.openxmlformats.org/officeDocument/2006/relationships/hyperlink" Target="https://www.sciencedirect.com/science/article/pii/S1750583610000435?casa_token=nPx1gKmtsQAAAAAA:BlFYhuzgzuiqXPHDwJBoNpESL-eONcqR0xHhIvOEwzCBnZKY09zHWLFw-Hzz_kfZtqIr5GyrIlw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forestresearch.gov.uk/tools-and-resources/statistics/forestry-statistics/forestry-statistics-2016-introduction/sources/timber/conversion-factors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17FC-30BC-EA40-AB27-9ED7320D3CB0}">
  <dimension ref="A1:E80"/>
  <sheetViews>
    <sheetView zoomScale="120" workbookViewId="0">
      <selection activeCell="Q111" sqref="Q111"/>
    </sheetView>
  </sheetViews>
  <sheetFormatPr defaultColWidth="10.8125" defaultRowHeight="15"/>
  <cols>
    <col min="1" max="1" width="22.6875" style="206" customWidth="1"/>
    <col min="2" max="2" width="2.5" style="206" customWidth="1"/>
    <col min="3" max="3" width="70.3125" style="206" customWidth="1"/>
    <col min="4" max="16384" width="10.8125" style="206"/>
  </cols>
  <sheetData>
    <row r="1" spans="3:3">
      <c r="C1" s="206" t="s">
        <v>424</v>
      </c>
    </row>
    <row r="3" spans="3:3" ht="20.65">
      <c r="C3" s="207" t="s">
        <v>461</v>
      </c>
    </row>
    <row r="4" spans="3:3">
      <c r="C4" s="267" t="s">
        <v>423</v>
      </c>
    </row>
    <row r="6" spans="3:3">
      <c r="C6" s="208" t="s">
        <v>394</v>
      </c>
    </row>
    <row r="8" spans="3:3">
      <c r="C8" s="206" t="s">
        <v>424</v>
      </c>
    </row>
    <row r="10" spans="3:3">
      <c r="C10" s="208" t="s">
        <v>395</v>
      </c>
    </row>
    <row r="11" spans="3:3">
      <c r="C11" s="208"/>
    </row>
    <row r="12" spans="3:3">
      <c r="C12" s="206" t="s">
        <v>396</v>
      </c>
    </row>
    <row r="14" spans="3:3">
      <c r="C14" s="206" t="s">
        <v>424</v>
      </c>
    </row>
    <row r="17" spans="1:3">
      <c r="C17" s="209" t="s">
        <v>462</v>
      </c>
    </row>
    <row r="18" spans="1:3">
      <c r="C18" s="209"/>
    </row>
    <row r="19" spans="1:3">
      <c r="A19" s="210"/>
      <c r="C19" s="211" t="s">
        <v>397</v>
      </c>
    </row>
    <row r="20" spans="1:3">
      <c r="A20" s="212"/>
      <c r="C20" s="211"/>
    </row>
    <row r="21" spans="1:3">
      <c r="C21" s="211"/>
    </row>
    <row r="22" spans="1:3">
      <c r="A22" s="213"/>
      <c r="C22" s="211" t="s">
        <v>398</v>
      </c>
    </row>
    <row r="23" spans="1:3">
      <c r="A23" s="214"/>
      <c r="C23" s="211"/>
    </row>
    <row r="24" spans="1:3">
      <c r="C24" s="211"/>
    </row>
    <row r="25" spans="1:3">
      <c r="A25" s="215"/>
      <c r="C25" s="211" t="s">
        <v>400</v>
      </c>
    </row>
    <row r="26" spans="1:3">
      <c r="A26" s="216"/>
      <c r="C26" s="211"/>
    </row>
    <row r="27" spans="1:3">
      <c r="C27" s="211"/>
    </row>
    <row r="28" spans="1:3">
      <c r="A28" s="217"/>
      <c r="C28" s="211" t="s">
        <v>399</v>
      </c>
    </row>
    <row r="29" spans="1:3">
      <c r="A29" s="218"/>
      <c r="C29" s="211"/>
    </row>
    <row r="30" spans="1:3">
      <c r="C30" s="211"/>
    </row>
    <row r="31" spans="1:3">
      <c r="A31" s="210"/>
      <c r="C31" s="211" t="s">
        <v>405</v>
      </c>
    </row>
    <row r="32" spans="1:3">
      <c r="A32" s="212"/>
      <c r="C32" s="211"/>
    </row>
    <row r="33" spans="1:5">
      <c r="A33" s="219"/>
      <c r="B33" s="219"/>
    </row>
    <row r="34" spans="1:5">
      <c r="C34" s="220"/>
    </row>
    <row r="35" spans="1:5">
      <c r="C35" s="209" t="s">
        <v>463</v>
      </c>
    </row>
    <row r="36" spans="1:5">
      <c r="C36" s="209"/>
    </row>
    <row r="37" spans="1:5">
      <c r="A37" s="210"/>
      <c r="C37" s="211" t="s">
        <v>401</v>
      </c>
    </row>
    <row r="38" spans="1:5">
      <c r="A38" s="212"/>
      <c r="C38" s="211"/>
    </row>
    <row r="39" spans="1:5">
      <c r="C39" s="211"/>
    </row>
    <row r="40" spans="1:5">
      <c r="A40" s="213"/>
      <c r="C40" s="211" t="s">
        <v>403</v>
      </c>
    </row>
    <row r="41" spans="1:5">
      <c r="A41" s="214"/>
      <c r="C41" s="211"/>
    </row>
    <row r="42" spans="1:5">
      <c r="C42" s="211"/>
    </row>
    <row r="43" spans="1:5">
      <c r="A43" s="215"/>
      <c r="C43" s="211" t="s">
        <v>402</v>
      </c>
    </row>
    <row r="44" spans="1:5">
      <c r="A44" s="216"/>
      <c r="C44" s="211"/>
    </row>
    <row r="45" spans="1:5">
      <c r="C45" s="211"/>
    </row>
    <row r="46" spans="1:5">
      <c r="A46" s="217"/>
      <c r="C46" s="211" t="s">
        <v>404</v>
      </c>
    </row>
    <row r="47" spans="1:5">
      <c r="A47" s="218"/>
      <c r="C47" s="211"/>
    </row>
    <row r="48" spans="1:5">
      <c r="A48" s="219"/>
      <c r="B48" s="219"/>
      <c r="C48" s="211"/>
      <c r="D48" s="219"/>
      <c r="E48" s="219"/>
    </row>
    <row r="49" spans="1:5">
      <c r="A49" s="219"/>
      <c r="B49" s="219"/>
      <c r="C49" s="220"/>
      <c r="D49" s="219"/>
      <c r="E49" s="219"/>
    </row>
    <row r="50" spans="1:5">
      <c r="B50" s="222"/>
      <c r="C50" s="221" t="s">
        <v>464</v>
      </c>
      <c r="D50" s="219"/>
      <c r="E50" s="219"/>
    </row>
    <row r="51" spans="1:5">
      <c r="A51" s="222" t="s">
        <v>392</v>
      </c>
      <c r="C51" s="222" t="s">
        <v>393</v>
      </c>
    </row>
    <row r="52" spans="1:5">
      <c r="A52" s="224" t="s">
        <v>415</v>
      </c>
      <c r="C52" s="206" t="s">
        <v>442</v>
      </c>
    </row>
    <row r="53" spans="1:5">
      <c r="A53" s="224" t="s">
        <v>416</v>
      </c>
      <c r="C53" s="206" t="s">
        <v>443</v>
      </c>
    </row>
    <row r="54" spans="1:5">
      <c r="A54" s="225" t="s">
        <v>275</v>
      </c>
      <c r="C54" s="206" t="s">
        <v>444</v>
      </c>
    </row>
    <row r="55" spans="1:5">
      <c r="A55" s="225" t="s">
        <v>330</v>
      </c>
      <c r="C55" s="206" t="s">
        <v>445</v>
      </c>
    </row>
    <row r="56" spans="1:5">
      <c r="A56" s="225" t="s">
        <v>190</v>
      </c>
      <c r="C56" s="288" t="s">
        <v>446</v>
      </c>
    </row>
    <row r="57" spans="1:5">
      <c r="A57" s="225" t="s">
        <v>332</v>
      </c>
      <c r="C57" s="288" t="s">
        <v>447</v>
      </c>
    </row>
    <row r="58" spans="1:5">
      <c r="A58" s="225" t="s">
        <v>290</v>
      </c>
      <c r="C58" s="288" t="s">
        <v>448</v>
      </c>
    </row>
    <row r="59" spans="1:5">
      <c r="A59" s="225" t="s">
        <v>417</v>
      </c>
      <c r="C59" s="288" t="s">
        <v>449</v>
      </c>
    </row>
    <row r="60" spans="1:5">
      <c r="A60" s="225" t="s">
        <v>418</v>
      </c>
      <c r="C60" s="288" t="s">
        <v>450</v>
      </c>
    </row>
    <row r="61" spans="1:5">
      <c r="A61" s="226" t="s">
        <v>419</v>
      </c>
      <c r="C61" s="206" t="s">
        <v>451</v>
      </c>
    </row>
    <row r="62" spans="1:5">
      <c r="A62" s="226" t="s">
        <v>420</v>
      </c>
      <c r="C62" s="206" t="s">
        <v>452</v>
      </c>
    </row>
    <row r="64" spans="1:5">
      <c r="C64" s="221" t="s">
        <v>406</v>
      </c>
    </row>
    <row r="65" spans="1:3">
      <c r="A65" s="227" t="s">
        <v>421</v>
      </c>
      <c r="C65" s="206" t="s">
        <v>453</v>
      </c>
    </row>
    <row r="66" spans="1:3">
      <c r="A66" s="227"/>
      <c r="C66" s="206" t="s">
        <v>454</v>
      </c>
    </row>
    <row r="67" spans="1:3">
      <c r="A67" s="227" t="s">
        <v>455</v>
      </c>
      <c r="C67" s="206" t="s">
        <v>457</v>
      </c>
    </row>
    <row r="68" spans="1:3">
      <c r="A68" s="227" t="s">
        <v>456</v>
      </c>
      <c r="C68" s="206" t="s">
        <v>458</v>
      </c>
    </row>
    <row r="69" spans="1:3">
      <c r="A69" s="227"/>
      <c r="C69" s="206" t="s">
        <v>459</v>
      </c>
    </row>
    <row r="70" spans="1:3">
      <c r="A70" s="227"/>
      <c r="C70" s="206" t="s">
        <v>460</v>
      </c>
    </row>
    <row r="72" spans="1:3">
      <c r="C72" s="223" t="s">
        <v>407</v>
      </c>
    </row>
    <row r="74" spans="1:3">
      <c r="C74" s="206" t="s">
        <v>408</v>
      </c>
    </row>
    <row r="75" spans="1:3">
      <c r="C75" s="206" t="s">
        <v>409</v>
      </c>
    </row>
    <row r="76" spans="1:3">
      <c r="C76" s="206" t="s">
        <v>411</v>
      </c>
    </row>
    <row r="77" spans="1:3">
      <c r="C77" s="206" t="s">
        <v>410</v>
      </c>
    </row>
    <row r="78" spans="1:3">
      <c r="C78" s="206" t="s">
        <v>412</v>
      </c>
    </row>
    <row r="79" spans="1:3">
      <c r="C79" s="206" t="s">
        <v>413</v>
      </c>
    </row>
    <row r="80" spans="1:3">
      <c r="C80" s="206" t="s">
        <v>414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9423-234E-AE4E-848F-17F3E3911DB7}">
  <sheetPr codeName="Sheet10">
    <tabColor theme="9" tint="0.39997558519241921"/>
  </sheetPr>
  <dimension ref="A1:HA346"/>
  <sheetViews>
    <sheetView zoomScale="70" zoomScaleNormal="70" workbookViewId="0">
      <selection activeCell="AI3" sqref="AI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4" width="15.8125" style="1"/>
    <col min="5" max="5" width="17.3125" style="1" bestFit="1" customWidth="1"/>
    <col min="6" max="10" width="15.8125" style="1"/>
    <col min="11" max="11" width="23" style="1" customWidth="1"/>
    <col min="12" max="33" width="8.8125" style="1" customWidth="1"/>
    <col min="34" max="34" width="17.3125" style="127" bestFit="1" customWidth="1"/>
    <col min="35" max="35" width="24.8125" style="1" customWidth="1"/>
    <col min="36" max="39" width="13.8125" style="1" customWidth="1"/>
    <col min="40" max="40" width="15.8125" style="127"/>
    <col min="41" max="41" width="15.8125" style="144"/>
    <col min="42" max="49" width="15.8125" style="1"/>
    <col min="50" max="50" width="15.8125" style="127"/>
    <col min="51" max="51" width="22.1875" style="1" customWidth="1"/>
    <col min="52" max="73" width="8.8125" style="1" customWidth="1"/>
    <col min="74" max="74" width="15.8125" style="127"/>
    <col min="75" max="75" width="23.8125" style="1" customWidth="1"/>
    <col min="76" max="79" width="15.8125" style="1"/>
    <col min="80" max="209" width="15.8125" style="127"/>
    <col min="210" max="16384" width="15.8125" style="1"/>
  </cols>
  <sheetData>
    <row r="1" spans="1:79" s="265" customFormat="1" ht="31.9">
      <c r="B1" s="265" t="s">
        <v>422</v>
      </c>
      <c r="AO1" s="266"/>
      <c r="AQ1" s="265" t="s">
        <v>361</v>
      </c>
    </row>
    <row r="2" spans="1:79" s="127" customFormat="1">
      <c r="S2" s="128"/>
      <c r="T2" s="128"/>
      <c r="U2" s="128"/>
      <c r="V2" s="128"/>
      <c r="W2" s="128"/>
      <c r="X2" s="128"/>
      <c r="Y2" s="128"/>
      <c r="Z2" s="128"/>
      <c r="AO2" s="129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</row>
    <row r="3" spans="1:79" ht="150" thickBot="1">
      <c r="B3" s="1" t="s">
        <v>357</v>
      </c>
      <c r="C3" s="98" t="s">
        <v>385</v>
      </c>
      <c r="D3" s="98" t="s">
        <v>384</v>
      </c>
      <c r="E3" s="98" t="s">
        <v>331</v>
      </c>
      <c r="F3" s="98" t="s">
        <v>332</v>
      </c>
      <c r="G3" s="98" t="s">
        <v>290</v>
      </c>
      <c r="H3" s="98" t="s">
        <v>375</v>
      </c>
      <c r="I3" s="121" t="s">
        <v>370</v>
      </c>
      <c r="J3" s="127"/>
      <c r="K3" s="1" t="s">
        <v>245</v>
      </c>
      <c r="L3" s="102" t="s">
        <v>11</v>
      </c>
      <c r="M3" s="102" t="s">
        <v>243</v>
      </c>
      <c r="N3" s="102" t="s">
        <v>256</v>
      </c>
      <c r="O3" s="102" t="s">
        <v>171</v>
      </c>
      <c r="P3" s="102" t="s">
        <v>217</v>
      </c>
      <c r="Q3" s="102" t="s">
        <v>230</v>
      </c>
      <c r="R3" s="102" t="s">
        <v>7</v>
      </c>
      <c r="S3" s="102" t="s">
        <v>10</v>
      </c>
      <c r="T3" s="102" t="s">
        <v>14</v>
      </c>
      <c r="U3" s="102" t="s">
        <v>333</v>
      </c>
      <c r="V3" s="102" t="s">
        <v>255</v>
      </c>
      <c r="W3" s="102" t="s">
        <v>32</v>
      </c>
      <c r="X3" s="102" t="s">
        <v>160</v>
      </c>
      <c r="Y3" s="102" t="s">
        <v>229</v>
      </c>
      <c r="Z3" s="102" t="s">
        <v>9</v>
      </c>
      <c r="AA3" s="102" t="s">
        <v>12</v>
      </c>
      <c r="AB3" s="102" t="s">
        <v>221</v>
      </c>
      <c r="AC3" s="102" t="s">
        <v>158</v>
      </c>
      <c r="AD3" s="102" t="s">
        <v>326</v>
      </c>
      <c r="AE3" s="102" t="s">
        <v>269</v>
      </c>
      <c r="AF3" s="102" t="s">
        <v>8</v>
      </c>
      <c r="AG3" s="102" t="s">
        <v>228</v>
      </c>
      <c r="AH3" s="131"/>
      <c r="AI3" s="99" t="s">
        <v>391</v>
      </c>
      <c r="AJ3" s="102" t="s">
        <v>365</v>
      </c>
      <c r="AK3" s="102" t="s">
        <v>366</v>
      </c>
      <c r="AL3" s="102" t="s">
        <v>367</v>
      </c>
      <c r="AM3" s="102" t="s">
        <v>386</v>
      </c>
      <c r="AN3" s="143"/>
      <c r="AO3" s="129"/>
      <c r="AP3" s="13" t="s">
        <v>357</v>
      </c>
      <c r="AQ3" s="98" t="s">
        <v>385</v>
      </c>
      <c r="AR3" s="98" t="s">
        <v>384</v>
      </c>
      <c r="AS3" s="98" t="s">
        <v>331</v>
      </c>
      <c r="AT3" s="98" t="s">
        <v>332</v>
      </c>
      <c r="AU3" s="98" t="s">
        <v>290</v>
      </c>
      <c r="AV3" s="98" t="s">
        <v>375</v>
      </c>
      <c r="AW3" s="121" t="s">
        <v>370</v>
      </c>
      <c r="AX3" s="130"/>
      <c r="AY3" s="13" t="s">
        <v>245</v>
      </c>
      <c r="AZ3" s="104" t="s">
        <v>11</v>
      </c>
      <c r="BA3" s="104" t="s">
        <v>243</v>
      </c>
      <c r="BB3" s="104" t="s">
        <v>256</v>
      </c>
      <c r="BC3" s="104" t="s">
        <v>171</v>
      </c>
      <c r="BD3" s="104" t="s">
        <v>217</v>
      </c>
      <c r="BE3" s="104" t="s">
        <v>230</v>
      </c>
      <c r="BF3" s="104" t="s">
        <v>7</v>
      </c>
      <c r="BG3" s="104" t="s">
        <v>10</v>
      </c>
      <c r="BH3" s="104" t="s">
        <v>14</v>
      </c>
      <c r="BI3" s="104" t="s">
        <v>333</v>
      </c>
      <c r="BJ3" s="104" t="s">
        <v>255</v>
      </c>
      <c r="BK3" s="104" t="s">
        <v>32</v>
      </c>
      <c r="BL3" s="104" t="s">
        <v>160</v>
      </c>
      <c r="BM3" s="104" t="s">
        <v>229</v>
      </c>
      <c r="BN3" s="104" t="s">
        <v>9</v>
      </c>
      <c r="BO3" s="104" t="s">
        <v>12</v>
      </c>
      <c r="BP3" s="104" t="s">
        <v>221</v>
      </c>
      <c r="BQ3" s="104" t="s">
        <v>158</v>
      </c>
      <c r="BR3" s="104" t="s">
        <v>326</v>
      </c>
      <c r="BS3" s="104" t="s">
        <v>269</v>
      </c>
      <c r="BT3" s="104" t="s">
        <v>8</v>
      </c>
      <c r="BU3" s="104" t="s">
        <v>228</v>
      </c>
      <c r="BV3" s="145"/>
      <c r="BW3" s="105" t="s">
        <v>391</v>
      </c>
      <c r="BX3" s="102" t="s">
        <v>365</v>
      </c>
      <c r="BY3" s="102" t="s">
        <v>366</v>
      </c>
      <c r="BZ3" s="102" t="s">
        <v>367</v>
      </c>
      <c r="CA3" s="102" t="s">
        <v>386</v>
      </c>
    </row>
    <row r="4" spans="1:79" ht="22.5" thickBot="1">
      <c r="B4" s="97" t="s">
        <v>359</v>
      </c>
      <c r="C4" s="151">
        <f>'[1]Projection (Uganda)'!$H$13</f>
        <v>119000000</v>
      </c>
      <c r="D4" s="152">
        <f>0.01*E4</f>
        <v>26180000</v>
      </c>
      <c r="E4" s="152">
        <f>'[1]Projection (Uganda)'!$E$13</f>
        <v>2618000000</v>
      </c>
      <c r="F4" s="152">
        <f>'[1]Projection (Uganda)'!$I$13</f>
        <v>7140000000</v>
      </c>
      <c r="G4" s="152">
        <f>'[1]Projection (Uganda)'!$N$13</f>
        <v>2142000000</v>
      </c>
      <c r="H4" s="152">
        <f>'[1]Projection (Uganda)'!$K$13</f>
        <v>10948000000</v>
      </c>
      <c r="I4" s="153">
        <f>'[1]Projection (Uganda)'!$J$13</f>
        <v>952000000</v>
      </c>
      <c r="J4" s="127"/>
      <c r="K4" s="103" t="s">
        <v>385</v>
      </c>
      <c r="L4" s="154">
        <f>_xlfn.IFNA(HLOOKUP(L$3,'Total Material Emissions'!$C$8:$N$13,5, FALSE),0)</f>
        <v>6.7694063926940643E-3</v>
      </c>
      <c r="M4" s="155">
        <f>_xlfn.IFNA(HLOOKUP(M$3,'Total Material Emissions'!$C$8:$N$13,5, FALSE),0)</f>
        <v>0</v>
      </c>
      <c r="N4" s="155">
        <f>_xlfn.IFNA(HLOOKUP(N$3,'Total Material Emissions'!$C$8:$N$13,5, FALSE),0)</f>
        <v>6.0176125244618397E-3</v>
      </c>
      <c r="O4" s="155">
        <f>_xlfn.IFNA(HLOOKUP(O$3,'Total Material Emissions'!$C$8:$N$13,5, FALSE),0)</f>
        <v>0.467938682322244</v>
      </c>
      <c r="P4" s="155">
        <f>_xlfn.IFNA(HLOOKUP(P$3,'Total Material Emissions'!$C$8:$N$13,5, FALSE),0)</f>
        <v>0</v>
      </c>
      <c r="Q4" s="155">
        <f>_xlfn.IFNA(HLOOKUP(Q$3,'Total Material Emissions'!$C$8:$N$13,5, FALSE),0)</f>
        <v>0</v>
      </c>
      <c r="R4" s="155">
        <f>_xlfn.IFNA(HLOOKUP(R$3,'Total Material Emissions'!$C$8:$N$13,5, FALSE),0)</f>
        <v>9.8723091976516635</v>
      </c>
      <c r="S4" s="155">
        <f>_xlfn.IFNA(HLOOKUP(S$3,'Total Material Emissions'!$C$8:$N$13,5, FALSE),0)</f>
        <v>4.7995759947814735E-2</v>
      </c>
      <c r="T4" s="155">
        <f>_xlfn.IFNA(HLOOKUP(T$3,'Total Material Emissions'!$C$8:$N$13,5, FALSE),0)</f>
        <v>4.978799739073711E-2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0.16132420091324201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1.4732550554468364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2.0221787345075016E-3</v>
      </c>
      <c r="AA4" s="155">
        <f>_xlfn.IFNA(HLOOKUP(AA$3,'Total Material Emissions'!$C$8:$N$13,5, FALSE),0)</f>
        <v>1.3943248532289627E-2</v>
      </c>
      <c r="AB4" s="156">
        <f>_xlfn.IFNA(HLOOKUP(AB$3,'Total Material Emissions'!$C$8:$N$13,5, FALSE),0)</f>
        <v>0</v>
      </c>
      <c r="AC4" s="155">
        <f>_xlfn.IFNA(HLOOKUP(AC$3,'Total Material Emissions'!$C$8:$N$13,5, FALSE),0)</f>
        <v>1.9383561643835617E-2</v>
      </c>
      <c r="AD4" s="156">
        <f>_xlfn.IFNA(HLOOKUP(AD$3,'Total Material Emissions'!$C$8:$N$13,5, FALSE),0)</f>
        <v>0</v>
      </c>
      <c r="AE4" s="156">
        <f>_xlfn.IFNA(HLOOKUP(AE$3,'Total Material Emissions'!$C$8:$N$13,5, FALSE),0)</f>
        <v>0</v>
      </c>
      <c r="AF4" s="155">
        <f>_xlfn.IFNA(HLOOKUP(AF$3,'Total Material Emissions'!$C$8:$N$13,5, FALSE),0)</f>
        <v>2.7669275929549899</v>
      </c>
      <c r="AG4" s="157">
        <f>_xlfn.IFNA(HLOOKUP(AG$3,'Total Material Emissions'!$C$8:$N$13,5, FALSE),0)</f>
        <v>0</v>
      </c>
      <c r="AI4" s="97" t="s">
        <v>11</v>
      </c>
      <c r="AJ4" s="170">
        <f>VLOOKUP($AI4,'Material Breakdowns'!$B$42:$Y$63,5,FALSE)</f>
        <v>12.58</v>
      </c>
      <c r="AK4" s="156">
        <f>VLOOKUP($AI4,'Material Breakdowns'!$B$42:$Y$63,11,FALSE)</f>
        <v>1050</v>
      </c>
      <c r="AL4" s="171">
        <f>VLOOKUP($AI4,'Material Breakdowns'!$B$42:$Y$63,17,FALSE)</f>
        <v>0.43</v>
      </c>
      <c r="AM4" s="157">
        <f>VLOOKUP($AI4,'Material Breakdowns'!$B$42:$Y$63,23,FALSE)</f>
        <v>2.11</v>
      </c>
      <c r="AO4" s="129"/>
      <c r="AP4" s="106" t="s">
        <v>359</v>
      </c>
      <c r="AQ4" s="174">
        <f>'[1]Projection (Uganda)'!$H$14</f>
        <v>23800000</v>
      </c>
      <c r="AR4" s="175">
        <f>0.01*AS4</f>
        <v>5236000</v>
      </c>
      <c r="AS4" s="175">
        <f>'[1]Projection (Uganda)'!$E$14</f>
        <v>523600000</v>
      </c>
      <c r="AT4" s="175">
        <f>'[1]Projection (Uganda)'!$I$14</f>
        <v>1428000000</v>
      </c>
      <c r="AU4" s="175">
        <f>'[1]Projection (Uganda)'!$N$14</f>
        <v>428400000</v>
      </c>
      <c r="AV4" s="176">
        <f>'[1]Projection (Uganda)'!$K$14</f>
        <v>2189600000</v>
      </c>
      <c r="AW4" s="177">
        <f>'[1]Projection (Uganda)'!$J$14</f>
        <v>190400000</v>
      </c>
      <c r="AX4" s="130"/>
      <c r="AY4" s="107" t="s">
        <v>385</v>
      </c>
      <c r="AZ4" s="178">
        <f>_xlfn.IFNA(HLOOKUP(AZ$3,'Total Material Emissions'!$C$8:$N$13,6, FALSE),0)</f>
        <v>4.2523415386320701E-3</v>
      </c>
      <c r="BA4" s="179">
        <f>_xlfn.IFNA(HLOOKUP(BA$3,'Total Material Emissions'!$C$8:$N$13,6, FALSE),0)</f>
        <v>0</v>
      </c>
      <c r="BB4" s="180">
        <f>_xlfn.IFNA(HLOOKUP(BB$3,'Total Material Emissions'!$C$8:$N$13,6, FALSE),0)</f>
        <v>5.9255698412753761E-3</v>
      </c>
      <c r="BC4" s="180">
        <f>_xlfn.IFNA(HLOOKUP(BC$3,'Total Material Emissions'!$C$8:$N$13,6, FALSE),0)</f>
        <v>0.18424482366257475</v>
      </c>
      <c r="BD4" s="179">
        <f>_xlfn.IFNA(HLOOKUP(BD$3,'Total Material Emissions'!$C$8:$N$13,6, FALSE),0)</f>
        <v>0</v>
      </c>
      <c r="BE4" s="179">
        <f>_xlfn.IFNA(HLOOKUP(BE$3,'Total Material Emissions'!$C$8:$N$13,6, FALSE),0)</f>
        <v>0</v>
      </c>
      <c r="BF4" s="180">
        <f>_xlfn.IFNA(HLOOKUP(BF$3,'Total Material Emissions'!$C$8:$N$13,6, FALSE),0)</f>
        <v>3.5284041134005428</v>
      </c>
      <c r="BG4" s="180">
        <f>_xlfn.IFNA(HLOOKUP(BG$3,'Total Material Emissions'!$C$8:$N$13,6, FALSE),0)</f>
        <v>1.9324599789348376E-2</v>
      </c>
      <c r="BH4" s="180">
        <f>_xlfn.IFNA(HLOOKUP(BH$3,'Total Material Emissions'!$C$8:$N$13,6, FALSE),0)</f>
        <v>2.4203769535218838E-2</v>
      </c>
      <c r="BI4" s="179">
        <f>_xlfn.IFNA(HLOOKUP(BI$3,'Total Material Emissions'!$C$8:$N$13,6, FALSE),0)</f>
        <v>0</v>
      </c>
      <c r="BJ4" s="179">
        <f>_xlfn.IFNA(HLOOKUP(BJ$3,'Total Material Emissions'!$C$8:$N$13,6, FALSE),0)</f>
        <v>5.8957615490669489E-2</v>
      </c>
      <c r="BK4" s="179">
        <f>_xlfn.IFNA(HLOOKUP(BK$3,'Total Material Emissions'!$C$8:$N$13,6, FALSE),0)</f>
        <v>0</v>
      </c>
      <c r="BL4" s="180">
        <f>_xlfn.IFNA(HLOOKUP(BL$3,'Total Material Emissions'!$C$8:$N$13,6, FALSE),0)</f>
        <v>1.0664274508165914</v>
      </c>
      <c r="BM4" s="179">
        <f>_xlfn.IFNA(HLOOKUP(BM$3,'Total Material Emissions'!$C$8:$N$13,6, FALSE),0)</f>
        <v>0</v>
      </c>
      <c r="BN4" s="180">
        <f>_xlfn.IFNA(HLOOKUP(BN$3,'Total Material Emissions'!$C$8:$N$13,6, FALSE),0)</f>
        <v>1.9912484019461965E-3</v>
      </c>
      <c r="BO4" s="180">
        <f>_xlfn.IFNA(HLOOKUP(BO$3,'Total Material Emissions'!$C$8:$N$13,6, FALSE),0)</f>
        <v>7.368085271476651E-3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1.9087079439945559E-2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0.94741057839806253</v>
      </c>
      <c r="BU4" s="181">
        <f>_xlfn.IFNA(HLOOKUP(BU$3,'Total Material Emissions'!$C$8:$N$13,6, FALSE),0)</f>
        <v>0</v>
      </c>
      <c r="BV4" s="146"/>
      <c r="BW4" s="106" t="s">
        <v>11</v>
      </c>
      <c r="BX4" s="198">
        <f>VLOOKUP($BW4,'Material Breakdowns'!$B$42:$Y$63,6,FALSE)</f>
        <v>1.119999999999999</v>
      </c>
      <c r="BY4" s="199">
        <f>VLOOKUP($BW4,'Material Breakdowns'!$B$42:$Y$63,12,FALSE)</f>
        <v>50</v>
      </c>
      <c r="BZ4" s="200">
        <f>VLOOKUP($BW4,'Material Breakdowns'!$B$42:$Y$63,18,FALSE)</f>
        <v>2.0000000000000018E-2</v>
      </c>
      <c r="CA4" s="201">
        <f>VLOOKUP($BW4,'Material Breakdowns'!$B$42:$Y$63,24,FALSE)</f>
        <v>8.0000000000000071E-2</v>
      </c>
    </row>
    <row r="5" spans="1:79" ht="22.15">
      <c r="B5" s="206" t="s">
        <v>475</v>
      </c>
      <c r="C5" s="127"/>
      <c r="D5" s="206" t="s">
        <v>476</v>
      </c>
      <c r="E5" s="127"/>
      <c r="F5" s="127"/>
      <c r="G5" s="127"/>
      <c r="H5" s="127"/>
      <c r="I5" s="127"/>
      <c r="J5" s="127"/>
      <c r="K5" s="103" t="s">
        <v>384</v>
      </c>
      <c r="L5" s="158">
        <f>_xlfn.IFNA(HLOOKUP(L$3,'Total Material Emissions'!$C$33:$I$38,5, FALSE),0)</f>
        <v>0</v>
      </c>
      <c r="M5" s="159">
        <f>_xlfn.IFNA(HLOOKUP(M$3,'Total Material Emissions'!$C$33:$I$38,5, FALSE),0)</f>
        <v>0</v>
      </c>
      <c r="N5" s="159">
        <f>_xlfn.IFNA(HLOOKUP(N$3,'Total Material Emissions'!$C$33:$I$38,5, FALSE),0)</f>
        <v>0</v>
      </c>
      <c r="O5" s="159">
        <f>_xlfn.IFNA(HLOOKUP(O$3,'Total Material Emissions'!$C$33:$I$38,5, FALSE),0)</f>
        <v>0</v>
      </c>
      <c r="P5" s="159">
        <f>_xlfn.IFNA(HLOOKUP(P$3,'Total Material Emissions'!$C$33:$I$38,5, FALSE),0)</f>
        <v>0</v>
      </c>
      <c r="Q5" s="160">
        <f>_xlfn.IFNA(HLOOKUP(Q$3,'Total Material Emissions'!$C$33:$I$38,5, FALSE),0)</f>
        <v>0.33244545915778789</v>
      </c>
      <c r="R5" s="160">
        <f>_xlfn.IFNA(HLOOKUP(R$3,'Total Material Emissions'!$C$33:$I$38,5, FALSE),0)</f>
        <v>0.22323693556570268</v>
      </c>
      <c r="S5" s="159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60">
        <f>_xlfn.IFNA(HLOOKUP(W$3,'Total Material Emissions'!$C$33:$I$38,5, FALSE),0)</f>
        <v>0.3919330289193303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8.8470319634703198E-2</v>
      </c>
      <c r="Z5" s="159">
        <f>_xlfn.IFNA(HLOOKUP(Z$3,'Total Material Emissions'!$C$33:$I$38,5, FALSE),0)</f>
        <v>0</v>
      </c>
      <c r="AA5" s="160">
        <f>_xlfn.IFNA(HLOOKUP(AA$3,'Total Material Emissions'!$C$33:$I$38,5, FALSE),0)</f>
        <v>5.041856925418569E-2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2.0991882293252155</v>
      </c>
      <c r="AG5" s="161">
        <f>_xlfn.IFNA(HLOOKUP(AG$3,'Total Material Emissions'!$C$33:$I$38,5, FALSE),0)</f>
        <v>5.1623541349568676</v>
      </c>
      <c r="AI5" s="97" t="s">
        <v>243</v>
      </c>
      <c r="AJ5" s="158">
        <f>VLOOKUP($AI5,'Material Breakdowns'!$B$42:$Y$63,5,FALSE)</f>
        <v>3.3000000000000002E-2</v>
      </c>
      <c r="AK5" s="159">
        <f>VLOOKUP($AI5,'Material Breakdowns'!$B$42:$Y$63,11,FALSE)</f>
        <v>7.5549999999999997</v>
      </c>
      <c r="AL5" s="172">
        <f>VLOOKUP($AI5,'Material Breakdowns'!$B$42:$Y$63,17,FALSE)</f>
        <v>6.0000000000000005E-2</v>
      </c>
      <c r="AM5" s="163">
        <f>VLOOKUP($AI5,'Material Breakdowns'!$B$42:$Y$63,23,FALSE)</f>
        <v>0.4405</v>
      </c>
      <c r="AN5" s="136"/>
      <c r="AO5" s="129"/>
      <c r="AP5" s="130"/>
      <c r="AQ5" s="130"/>
      <c r="AR5" s="130"/>
      <c r="AS5" s="130"/>
      <c r="AT5" s="130"/>
      <c r="AU5" s="130"/>
      <c r="AV5" s="130"/>
      <c r="AW5" s="130"/>
      <c r="AX5" s="130"/>
      <c r="AY5" s="107" t="s">
        <v>384</v>
      </c>
      <c r="AZ5" s="182">
        <f>_xlfn.IFNA(HLOOKUP(AZ$3,'Total Material Emissions'!$C$33:$I$38,6, FALSE),0)</f>
        <v>0</v>
      </c>
      <c r="BA5" s="183">
        <f>_xlfn.IFNA(HLOOKUP(BA$3,'Total Material Emissions'!$C$33:$I$38,6, FALSE),0)</f>
        <v>0</v>
      </c>
      <c r="BB5" s="183">
        <f>_xlfn.IFNA(HLOOKUP(BB$3,'Total Material Emissions'!$C$33:$I$38,6, FALSE),0)</f>
        <v>0</v>
      </c>
      <c r="BC5" s="183">
        <f>_xlfn.IFNA(HLOOKUP(BC$3,'Total Material Emissions'!$C$33:$I$38,6, FALSE),0)</f>
        <v>0</v>
      </c>
      <c r="BD5" s="183">
        <f>_xlfn.IFNA(HLOOKUP(BD$3,'Total Material Emissions'!$C$33:$I$38,6, FALSE),0)</f>
        <v>0</v>
      </c>
      <c r="BE5" s="183">
        <f>_xlfn.IFNA(HLOOKUP(BE$3,'Total Material Emissions'!$C$33:$I$38,6, FALSE),0)</f>
        <v>0.12451304212576977</v>
      </c>
      <c r="BF5" s="183">
        <f>_xlfn.IFNA(HLOOKUP(BF$3,'Total Material Emissions'!$C$33:$I$38,6, FALSE),0)</f>
        <v>8.3610436528559637E-2</v>
      </c>
      <c r="BG5" s="183">
        <f>_xlfn.IFNA(HLOOKUP(BG$3,'Total Material Emissions'!$C$33:$I$38,6, FALSE),0)</f>
        <v>0</v>
      </c>
      <c r="BH5" s="183">
        <f>_xlfn.IFNA(HLOOKUP(BH$3,'Total Material Emissions'!$C$33:$I$38,6, FALSE),0)</f>
        <v>0</v>
      </c>
      <c r="BI5" s="183">
        <f>_xlfn.IFNA(HLOOKUP(BI$3,'Total Material Emissions'!$C$33:$I$38,6, FALSE),0)</f>
        <v>0</v>
      </c>
      <c r="BJ5" s="183">
        <f>_xlfn.IFNA(HLOOKUP(BJ$3,'Total Material Emissions'!$C$33:$I$38,6, FALSE),0)</f>
        <v>0</v>
      </c>
      <c r="BK5" s="183">
        <f>_xlfn.IFNA(HLOOKUP(BK$3,'Total Material Emissions'!$C$33:$I$38,6, FALSE),0)</f>
        <v>0.14679332322343711</v>
      </c>
      <c r="BL5" s="183">
        <f>_xlfn.IFNA(HLOOKUP(BL$3,'Total Material Emissions'!$C$33:$I$38,6, FALSE),0)</f>
        <v>0</v>
      </c>
      <c r="BM5" s="183">
        <f>_xlfn.IFNA(HLOOKUP(BM$3,'Total Material Emissions'!$C$33:$I$38,6, FALSE),0)</f>
        <v>3.3135386067426338E-2</v>
      </c>
      <c r="BN5" s="183">
        <f>_xlfn.IFNA(HLOOKUP(BN$3,'Total Material Emissions'!$C$33:$I$38,6, FALSE),0)</f>
        <v>0</v>
      </c>
      <c r="BO5" s="183">
        <f>_xlfn.IFNA(HLOOKUP(BO$3,'Total Material Emissions'!$C$33:$I$38,6, FALSE),0)</f>
        <v>1.8883607113694578E-2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0.78622313894753526</v>
      </c>
      <c r="BU5" s="184">
        <f>_xlfn.IFNA(HLOOKUP(BU$3,'Total Material Emissions'!$C$33:$I$38,6, FALSE),0)</f>
        <v>1.9334913447229389</v>
      </c>
      <c r="BV5" s="130"/>
      <c r="BW5" s="106" t="s">
        <v>243</v>
      </c>
      <c r="BX5" s="182">
        <f>VLOOKUP($BW5,'Material Breakdowns'!$B$42:$Y$63,6,FALSE)</f>
        <v>1.7000000000000005E-2</v>
      </c>
      <c r="BY5" s="188">
        <f>VLOOKUP($BW5,'Material Breakdowns'!$B$42:$Y$63,12,FALSE)</f>
        <v>1.5110000000000001</v>
      </c>
      <c r="BZ5" s="202">
        <f>VLOOKUP($BW5,'Material Breakdowns'!$B$42:$Y$63,18,FALSE)</f>
        <v>0.04</v>
      </c>
      <c r="CA5" s="189">
        <f>VLOOKUP($BW5,'Material Breakdowns'!$B$42:$Y$63,24,FALSE)</f>
        <v>8.9500000000000135E-2</v>
      </c>
    </row>
    <row r="6" spans="1:79" ht="22.15">
      <c r="B6" s="127"/>
      <c r="C6" s="127"/>
      <c r="D6" s="127"/>
      <c r="E6" s="127"/>
      <c r="F6" s="127"/>
      <c r="H6" s="127"/>
      <c r="I6" s="127"/>
      <c r="J6" s="127"/>
      <c r="K6" s="103" t="s">
        <v>331</v>
      </c>
      <c r="L6" s="162">
        <f>_xlfn.IFNA(HLOOKUP(L$3,'Total Material Emissions'!$C$58:$I$63,5, FALSE),0)</f>
        <v>0.95</v>
      </c>
      <c r="M6" s="159">
        <f>_xlfn.IFNA(HLOOKUP(M$3,'Total Material Emissions'!$C$58:$I$63,5, FALSE),0)</f>
        <v>0</v>
      </c>
      <c r="N6" s="159">
        <f>_xlfn.IFNA(HLOOKUP(N$3,'Total Material Emissions'!$C$58:$I$63,5, FALSE),0)</f>
        <v>0</v>
      </c>
      <c r="O6" s="159">
        <f>_xlfn.IFNA(HLOOKUP(O$3,'Total Material Emissions'!$C$58:$I$63,5, FALSE),0)</f>
        <v>0</v>
      </c>
      <c r="P6" s="159">
        <f>_xlfn.IFNA(HLOOKUP(P$3,'Total Material Emissions'!$C$58:$I$63,5, FALSE),0)</f>
        <v>0</v>
      </c>
      <c r="Q6" s="159">
        <f>_xlfn.IFNA(HLOOKUP(Q$3,'Total Material Emissions'!$C$58:$I$63,5, FALSE),0)</f>
        <v>0</v>
      </c>
      <c r="R6" s="159">
        <f>_xlfn.IFNA(HLOOKUP(R$3,'Total Material Emissions'!$C$58:$I$63,5, FALSE),0)</f>
        <v>0</v>
      </c>
      <c r="S6" s="160">
        <f>_xlfn.IFNA(HLOOKUP(S$3,'Total Material Emissions'!$C$58:$I$63,5, FALSE),0)</f>
        <v>0.02</v>
      </c>
      <c r="T6" s="159">
        <f>_xlfn.IFNA(HLOOKUP(T$3,'Total Material Emissions'!$C$58:$I$63,5, FALSE),0)</f>
        <v>0</v>
      </c>
      <c r="U6" s="160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60">
        <f>_xlfn.IFNA(HLOOKUP(W$3,'Total Material Emissions'!$C$58:$I$63,5, FALSE),0)</f>
        <v>1.248E-2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59">
        <f>_xlfn.IFNA(HLOOKUP(Z$3,'Total Material Emissions'!$C$58:$I$63,5, FALSE),0)</f>
        <v>0</v>
      </c>
      <c r="AA6" s="160">
        <f>_xlfn.IFNA(HLOOKUP(AA$3,'Total Material Emissions'!$C$58:$I$63,5, FALSE),0)</f>
        <v>0.02</v>
      </c>
      <c r="AB6" s="159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59">
        <f>_xlfn.IFNA(HLOOKUP(AD$3,'Total Material Emissions'!$C$58:$I$63,5, FALSE),0)</f>
        <v>0</v>
      </c>
      <c r="AE6" s="160">
        <f>_xlfn.IFNA(HLOOKUP(AE$3,'Total Material Emissions'!$C$58:$I$63,5, FALSE),0)</f>
        <v>0.115</v>
      </c>
      <c r="AF6" s="160">
        <f>_xlfn.IFNA(HLOOKUP(AF$3,'Total Material Emissions'!$C$58:$I$63,5, FALSE),0)</f>
        <v>12.5</v>
      </c>
      <c r="AG6" s="163">
        <f>_xlfn.IFNA(HLOOKUP(AG$3,'Total Material Emissions'!$C$58:$I$63,5, FALSE),0)</f>
        <v>0</v>
      </c>
      <c r="AI6" s="97" t="s">
        <v>256</v>
      </c>
      <c r="AJ6" s="158">
        <f>VLOOKUP($AI6,'Material Breakdowns'!$B$42:$Y$63,5,FALSE)</f>
        <v>20.3</v>
      </c>
      <c r="AK6" s="159">
        <f>VLOOKUP($AI6,'Material Breakdowns'!$B$42:$Y$63,11,FALSE)</f>
        <v>14.165000000000001</v>
      </c>
      <c r="AL6" s="172">
        <f>VLOOKUP($AI6,'Material Breakdowns'!$B$42:$Y$63,17,FALSE)</f>
        <v>0</v>
      </c>
      <c r="AM6" s="163">
        <f>VLOOKUP($AI6,'Material Breakdowns'!$B$42:$Y$63,23,FALSE)</f>
        <v>67.45</v>
      </c>
      <c r="AN6" s="136"/>
      <c r="AO6" s="129"/>
      <c r="AP6" s="130"/>
      <c r="AQ6" s="130"/>
      <c r="AR6" s="130"/>
      <c r="AS6" s="130"/>
      <c r="AT6" s="130"/>
      <c r="AU6" s="130"/>
      <c r="AV6" s="130"/>
      <c r="AW6" s="130"/>
      <c r="AX6" s="130" t="s">
        <v>528</v>
      </c>
      <c r="AY6" s="107" t="s">
        <v>331</v>
      </c>
      <c r="AZ6" s="182">
        <f>_xlfn.IFNA(HLOOKUP(AZ$3,'Total Material Emissions'!$C$58:$I$63,6, FALSE),0)</f>
        <v>0.51598207333201018</v>
      </c>
      <c r="BA6" s="183">
        <f>_xlfn.IFNA(HLOOKUP(BA$3,'Total Material Emissions'!$C$58:$I$63,6, FALSE),0)</f>
        <v>0</v>
      </c>
      <c r="BB6" s="183">
        <f>_xlfn.IFNA(HLOOKUP(BB$3,'Total Material Emissions'!$C$58:$I$63,6, FALSE),0)</f>
        <v>0</v>
      </c>
      <c r="BC6" s="183">
        <f>_xlfn.IFNA(HLOOKUP(BC$3,'Total Material Emissions'!$C$58:$I$63,6, FALSE),0)</f>
        <v>0</v>
      </c>
      <c r="BD6" s="183">
        <f>_xlfn.IFNA(HLOOKUP(BD$3,'Total Material Emissions'!$C$58:$I$63,6, FALSE),0)</f>
        <v>0</v>
      </c>
      <c r="BE6" s="183">
        <f>_xlfn.IFNA(HLOOKUP(BE$3,'Total Material Emissions'!$C$58:$I$63,6, FALSE),0)</f>
        <v>0</v>
      </c>
      <c r="BF6" s="183">
        <f>_xlfn.IFNA(HLOOKUP(BF$3,'Total Material Emissions'!$C$58:$I$63,6, FALSE),0)</f>
        <v>0</v>
      </c>
      <c r="BG6" s="183">
        <f>_xlfn.IFNA(HLOOKUP(BG$3,'Total Material Emissions'!$C$58:$I$63,6, FALSE),0)</f>
        <v>1.0862780491200215E-2</v>
      </c>
      <c r="BH6" s="183">
        <f>_xlfn.IFNA(HLOOKUP(BH$3,'Total Material Emissions'!$C$58:$I$63,6, FALSE),0)</f>
        <v>0</v>
      </c>
      <c r="BI6" s="183">
        <f>_xlfn.IFNA(HLOOKUP(BI$3,'Total Material Emissions'!$C$58:$I$63,6, FALSE),0)</f>
        <v>0</v>
      </c>
      <c r="BJ6" s="183">
        <f>_xlfn.IFNA(HLOOKUP(BJ$3,'Total Material Emissions'!$C$58:$I$63,6, FALSE),0)</f>
        <v>0</v>
      </c>
      <c r="BK6" s="183">
        <f>_xlfn.IFNA(HLOOKUP(BK$3,'Total Material Emissions'!$C$58:$I$63,6, FALSE),0)</f>
        <v>6.7783750265089336E-3</v>
      </c>
      <c r="BL6" s="183">
        <f>_xlfn.IFNA(HLOOKUP(BL$3,'Total Material Emissions'!$C$58:$I$63,6, FALSE),0)</f>
        <v>0</v>
      </c>
      <c r="BM6" s="183">
        <f>_xlfn.IFNA(HLOOKUP(BM$3,'Total Material Emissions'!$C$58:$I$63,6, FALSE),0)</f>
        <v>0</v>
      </c>
      <c r="BN6" s="183">
        <f>_xlfn.IFNA(HLOOKUP(BN$3,'Total Material Emissions'!$C$58:$I$63,6, FALSE),0)</f>
        <v>0</v>
      </c>
      <c r="BO6" s="183">
        <f>_xlfn.IFNA(HLOOKUP(BO$3,'Total Material Emissions'!$C$58:$I$63,6, FALSE),0)</f>
        <v>1.0862780491200215E-2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6.2460987824401237E-2</v>
      </c>
      <c r="BT6" s="183">
        <f>_xlfn.IFNA(HLOOKUP(BT$3,'Total Material Emissions'!$C$58:$I$63,6, FALSE),0)</f>
        <v>6.7892378070001342</v>
      </c>
      <c r="BU6" s="184">
        <f>_xlfn.IFNA(HLOOKUP(BU$3,'Total Material Emissions'!$C$58:$I$63,6, FALSE),0)</f>
        <v>0</v>
      </c>
      <c r="BV6" s="130"/>
      <c r="BW6" s="106" t="s">
        <v>256</v>
      </c>
      <c r="BX6" s="182">
        <f>VLOOKUP($BW6,'Material Breakdowns'!$B$42:$Y$63,6,FALSE)</f>
        <v>1</v>
      </c>
      <c r="BY6" s="188">
        <f>VLOOKUP($BW6,'Material Breakdowns'!$B$42:$Y$63,12,FALSE)</f>
        <v>7.1350000000000007</v>
      </c>
      <c r="BZ6" s="202">
        <f>VLOOKUP($BW6,'Material Breakdowns'!$B$42:$Y$63,18,FALSE)</f>
        <v>0</v>
      </c>
      <c r="CA6" s="189">
        <f>VLOOKUP($BW6,'Material Breakdowns'!$B$42:$Y$63,24,FALSE)</f>
        <v>22.45000000000001</v>
      </c>
    </row>
    <row r="7" spans="1:79" ht="22.15">
      <c r="B7" s="127"/>
      <c r="C7" s="127"/>
      <c r="D7" s="127"/>
      <c r="E7" s="127"/>
      <c r="F7" s="127"/>
      <c r="G7" s="127"/>
      <c r="H7" s="127"/>
      <c r="I7" s="127"/>
      <c r="J7" s="127"/>
      <c r="K7" s="103" t="s">
        <v>332</v>
      </c>
      <c r="L7" s="158">
        <f>_xlfn.IFNA(HLOOKUP(L$3,'Total Material Emissions'!$C$83:$I$85,2, FALSE),0)</f>
        <v>0</v>
      </c>
      <c r="M7" s="159">
        <f>_xlfn.IFNA(HLOOKUP(M$3,'Total Material Emissions'!$C$83:$I$85,2, FALSE),0)</f>
        <v>0</v>
      </c>
      <c r="N7" s="159">
        <f>_xlfn.IFNA(HLOOKUP(N$3,'Total Material Emissions'!$C$83:$I$85,2, FALSE),0)</f>
        <v>0</v>
      </c>
      <c r="O7" s="160">
        <f>_xlfn.IFNA(HLOOKUP(O$3,'Total Material Emissions'!$C$83:$I$85,2, FALSE),0)</f>
        <v>0.35525000000000001</v>
      </c>
      <c r="P7" s="160">
        <f>_xlfn.IFNA(HLOOKUP(P$3,'Total Material Emissions'!$C$83:$I$85,2, FALSE),0)</f>
        <v>0.921333333333333</v>
      </c>
      <c r="Q7" s="159">
        <f>_xlfn.IFNA(HLOOKUP(Q$3,'Total Material Emissions'!$C$83:$I$85,2, FALSE),0)</f>
        <v>0</v>
      </c>
      <c r="R7" s="160">
        <f>_xlfn.IFNA(HLOOKUP(R$3,'Total Material Emissions'!$C$83:$I$85,2, FALSE),0)</f>
        <v>9.68</v>
      </c>
      <c r="S7" s="160">
        <f>_xlfn.IFNA(HLOOKUP(S$3,'Total Material Emissions'!$C$83:$I$85,2, FALSE),0)</f>
        <v>0.11132499999999999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59">
        <f>_xlfn.IFNA(HLOOKUP(W$3,'Total Material Emissions'!$C$83:$I$85,2, FALSE),0)</f>
        <v>0</v>
      </c>
      <c r="X7" s="159">
        <f>_xlfn.IFNA(HLOOKUP(X$3,'Total Material Emissions'!$C$83:$I$85,2, FALSE),0)</f>
        <v>0</v>
      </c>
      <c r="Y7" s="159">
        <f>_xlfn.IFNA(HLOOKUP(Y$3,'Total Material Emissions'!$C$83:$I$85,2, FALSE),0)</f>
        <v>0</v>
      </c>
      <c r="Z7" s="159">
        <f>_xlfn.IFNA(HLOOKUP(Z$3,'Total Material Emissions'!$C$83:$I$85,2, FALSE),0)</f>
        <v>0</v>
      </c>
      <c r="AA7" s="159">
        <f>_xlfn.IFNA(HLOOKUP(AA$3,'Total Material Emissions'!$C$83:$I$85,2, FALSE),0)</f>
        <v>0</v>
      </c>
      <c r="AB7" s="160">
        <f>_xlfn.IFNA(HLOOKUP(AB$3,'Total Material Emissions'!$C$83:$I$85,2, FALSE),0)</f>
        <v>2.1688900000000002</v>
      </c>
      <c r="AC7" s="159">
        <f>_xlfn.IFNA(HLOOKUP(AC$3,'Total Material Emissions'!$C$83:$I$85,2, FALSE),0)</f>
        <v>0</v>
      </c>
      <c r="AD7" s="160">
        <f>_xlfn.IFNA(HLOOKUP(AD$3,'Total Material Emissions'!$C$83:$I$85,2, FALSE),0)</f>
        <v>3.9594499999999999</v>
      </c>
      <c r="AE7" s="159">
        <f>_xlfn.IFNA(HLOOKUP(AE$3,'Total Material Emissions'!$C$83:$I$85,2, FALSE),0)</f>
        <v>0</v>
      </c>
      <c r="AF7" s="160">
        <f>_xlfn.IFNA(HLOOKUP(AF$3,'Total Material Emissions'!$C$83:$I$85,2, FALSE),0)</f>
        <v>0.89386666666666703</v>
      </c>
      <c r="AG7" s="163">
        <f>_xlfn.IFNA(HLOOKUP(AG$3,'Total Material Emissions'!$C$83:$I$85,2, FALSE),0)</f>
        <v>0</v>
      </c>
      <c r="AI7" s="97" t="s">
        <v>171</v>
      </c>
      <c r="AJ7" s="158">
        <f>VLOOKUP($AI7,'Material Breakdowns'!$B$42:$Y$63,5,FALSE)</f>
        <v>2.2000000000000002</v>
      </c>
      <c r="AK7" s="159">
        <f>VLOOKUP($AI7,'Material Breakdowns'!$B$42:$Y$63,11,FALSE)</f>
        <v>45.5</v>
      </c>
      <c r="AL7" s="172">
        <f>VLOOKUP($AI7,'Material Breakdowns'!$B$42:$Y$63,17,FALSE)</f>
        <v>0.69500000000000006</v>
      </c>
      <c r="AM7" s="163">
        <f>VLOOKUP($AI7,'Material Breakdowns'!$B$42:$Y$63,23,FALSE)</f>
        <v>0.34050000000000002</v>
      </c>
      <c r="AN7" s="136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07" t="s">
        <v>332</v>
      </c>
      <c r="AZ7" s="182">
        <f>_xlfn.IFNA(HLOOKUP(AZ$3,'Total Material Emissions'!$C$83:$I$85,3, FALSE),0)</f>
        <v>0</v>
      </c>
      <c r="BA7" s="183">
        <f>_xlfn.IFNA(HLOOKUP(BA$3,'Total Material Emissions'!$C$83:$I$85,3, FALSE),0)</f>
        <v>0</v>
      </c>
      <c r="BB7" s="183">
        <f>_xlfn.IFNA(HLOOKUP(BB$3,'Total Material Emissions'!$C$83:$I$85,3, FALSE),0)</f>
        <v>0</v>
      </c>
      <c r="BC7" s="183">
        <f>_xlfn.IFNA(HLOOKUP(BC$3,'Total Material Emissions'!$C$83:$I$85,3, FALSE),0)</f>
        <v>3.5525000000000001E-2</v>
      </c>
      <c r="BD7" s="183">
        <f>_xlfn.IFNA(HLOOKUP(BD$3,'Total Material Emissions'!$C$83:$I$85,3, FALSE),0)</f>
        <v>9.2133333333333303E-2</v>
      </c>
      <c r="BE7" s="183">
        <f>_xlfn.IFNA(HLOOKUP(BE$3,'Total Material Emissions'!$C$83:$I$85,3, FALSE),0)</f>
        <v>0</v>
      </c>
      <c r="BF7" s="183">
        <f>_xlfn.IFNA(HLOOKUP(BF$3,'Total Material Emissions'!$C$83:$I$85,3, FALSE),0)</f>
        <v>0.96799999999999997</v>
      </c>
      <c r="BG7" s="183">
        <f>_xlfn.IFNA(HLOOKUP(BG$3,'Total Material Emissions'!$C$83:$I$85,3, FALSE),0)</f>
        <v>1.11325E-2</v>
      </c>
      <c r="BH7" s="183">
        <f>_xlfn.IFNA(HLOOKUP(BH$3,'Total Material Emissions'!$C$83:$I$85,3, FALSE),0)</f>
        <v>0</v>
      </c>
      <c r="BI7" s="183">
        <f>_xlfn.IFNA(HLOOKUP(BI$3,'Total Material Emissions'!$C$83:$I$85,3, FALSE),0)</f>
        <v>0</v>
      </c>
      <c r="BJ7" s="183">
        <f>_xlfn.IFNA(HLOOKUP(BJ$3,'Total Material Emissions'!$C$83:$I$85,3, FALSE),0)</f>
        <v>0</v>
      </c>
      <c r="BK7" s="183">
        <f>_xlfn.IFNA(HLOOKUP(BK$3,'Total Material Emissions'!$C$83:$I$85,3, FALSE),0)</f>
        <v>0</v>
      </c>
      <c r="BL7" s="183">
        <f>_xlfn.IFNA(HLOOKUP(BL$3,'Total Material Emissions'!$C$83:$I$85,3, FALSE),0)</f>
        <v>0</v>
      </c>
      <c r="BM7" s="183">
        <f>_xlfn.IFNA(HLOOKUP(BM$3,'Total Material Emissions'!$C$83:$I$85,3, FALSE),0)</f>
        <v>0</v>
      </c>
      <c r="BN7" s="183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0.21688900000000003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0.39594499999999999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8.9386666666666711E-2</v>
      </c>
      <c r="BU7" s="184">
        <f>_xlfn.IFNA(HLOOKUP(BU$3,'Total Material Emissions'!$C$83:$I$85,3, FALSE),0)</f>
        <v>0</v>
      </c>
      <c r="BV7" s="130"/>
      <c r="BW7" s="106" t="s">
        <v>171</v>
      </c>
      <c r="BX7" s="182">
        <f>VLOOKUP($BW7,'Material Breakdowns'!$B$42:$Y$63,6,FALSE)</f>
        <v>0.28999999999999893</v>
      </c>
      <c r="BY7" s="188">
        <f>VLOOKUP($BW7,'Material Breakdowns'!$B$42:$Y$63,12,FALSE)</f>
        <v>2.5</v>
      </c>
      <c r="BZ7" s="202">
        <f>VLOOKUP($BW7,'Material Breakdowns'!$B$42:$Y$63,18,FALSE)</f>
        <v>3.4999999999999969E-2</v>
      </c>
      <c r="CA7" s="189">
        <f>VLOOKUP($BW7,'Material Breakdowns'!$B$42:$Y$63,24,FALSE)</f>
        <v>3.6499999999999713E-2</v>
      </c>
    </row>
    <row r="8" spans="1:79" ht="22.15">
      <c r="B8" s="127"/>
      <c r="C8" s="127"/>
      <c r="D8" s="127"/>
      <c r="E8" s="127"/>
      <c r="F8" s="127"/>
      <c r="G8" s="127"/>
      <c r="H8" s="127"/>
      <c r="I8" s="127"/>
      <c r="J8" s="127"/>
      <c r="K8" s="103" t="s">
        <v>290</v>
      </c>
      <c r="L8" s="162">
        <f>_xlfn.IFNA(HLOOKUP(L$3,'Total Material Emissions'!$C$105:$H$107,2, FALSE),0)</f>
        <v>0.84499999999999997</v>
      </c>
      <c r="M8" s="160">
        <f>_xlfn.IFNA(HLOOKUP(M$3,'Total Material Emissions'!$C$105:$H$107,2, FALSE),0)</f>
        <v>0.49540000000000001</v>
      </c>
      <c r="N8" s="159">
        <f>_xlfn.IFNA(HLOOKUP(N$3,'Total Material Emissions'!$C$105:$H$107,2, FALSE),0)</f>
        <v>0</v>
      </c>
      <c r="O8" s="160">
        <f>_xlfn.IFNA(HLOOKUP(O$3,'Total Material Emissions'!$C$105:$H$107,2, FALSE),0)</f>
        <v>1.9E-2</v>
      </c>
      <c r="P8" s="160">
        <f>_xlfn.IFNA(HLOOKUP(P$3,'Total Material Emissions'!$C$105:$H$107,2, FALSE),0)</f>
        <v>0.89373999999999998</v>
      </c>
      <c r="Q8" s="159">
        <f>_xlfn.IFNA(HLOOKUP(Q$3,'Total Material Emissions'!$C$105:$H$107,2, FALSE),0)</f>
        <v>0</v>
      </c>
      <c r="R8" s="160">
        <f>_xlfn.IFNA(HLOOKUP(R$3,'Total Material Emissions'!$C$105:$H$107,2, FALSE),0)</f>
        <v>1.6786000000000001</v>
      </c>
      <c r="S8" s="159">
        <f>_xlfn.IFNA(HLOOKUP(S$3,'Total Material Emissions'!$C$105:$H$107,2, FALSE),0)</f>
        <v>0</v>
      </c>
      <c r="T8" s="159">
        <f>_xlfn.IFNA(HLOOKUP(T$3,'Total Material Emissions'!$C$105:$H$107,2, FALSE),0)</f>
        <v>0</v>
      </c>
      <c r="U8" s="159">
        <f>_xlfn.IFNA(HLOOKUP(U$3,'Total Material Emissions'!$C$105:$H$107,2, FALSE),0)</f>
        <v>0</v>
      </c>
      <c r="V8" s="159">
        <f>_xlfn.IFNA(HLOOKUP(V$3,'Total Material Emissions'!$C$105:$H$107,2, FALSE),0)</f>
        <v>0</v>
      </c>
      <c r="W8" s="159">
        <f>_xlfn.IFNA(HLOOKUP(W$3,'Total Material Emissions'!$C$105:$H$107,2, FALSE),0)</f>
        <v>0</v>
      </c>
      <c r="X8" s="159">
        <f>_xlfn.IFNA(HLOOKUP(X$3,'Total Material Emissions'!$C$105:$H$107,2, FALSE),0)</f>
        <v>0</v>
      </c>
      <c r="Y8" s="159">
        <f>_xlfn.IFNA(HLOOKUP(Y$3,'Total Material Emissions'!$C$105:$H$107,2, FALSE),0)</f>
        <v>0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60">
        <f>_xlfn.IFNA(HLOOKUP(AF$3,'Total Material Emissions'!$C$105:$H$107,2, FALSE),0)</f>
        <v>2.3849999999999998</v>
      </c>
      <c r="AG8" s="163">
        <f>_xlfn.IFNA(HLOOKUP(AG$3,'Total Material Emissions'!$C$105:$H$107,2, FALSE),0)</f>
        <v>0</v>
      </c>
      <c r="AI8" s="97" t="s">
        <v>217</v>
      </c>
      <c r="AJ8" s="158">
        <f>VLOOKUP($AI8,'Material Breakdowns'!$B$42:$Y$63,5,FALSE)</f>
        <v>0.86499999999999999</v>
      </c>
      <c r="AK8" s="159">
        <f>VLOOKUP($AI8,'Material Breakdowns'!$B$42:$Y$63,11,FALSE)</f>
        <v>36.950000000000003</v>
      </c>
      <c r="AL8" s="172">
        <f>VLOOKUP($AI8,'Material Breakdowns'!$B$42:$Y$63,17,FALSE)</f>
        <v>1.2500000000000001E-2</v>
      </c>
      <c r="AM8" s="163">
        <f>VLOOKUP($AI8,'Material Breakdowns'!$B$42:$Y$63,23,FALSE)</f>
        <v>9.4149999999999998E-2</v>
      </c>
      <c r="AN8" s="136"/>
      <c r="AO8" s="129"/>
      <c r="AP8" s="130"/>
      <c r="AQ8" s="130"/>
      <c r="AR8" s="130"/>
      <c r="AS8" s="130"/>
      <c r="AT8" s="130"/>
      <c r="AU8" s="130"/>
      <c r="AV8" s="130"/>
      <c r="AW8" s="130"/>
      <c r="AX8" s="130"/>
      <c r="AY8" s="107" t="s">
        <v>290</v>
      </c>
      <c r="AZ8" s="182">
        <f>_xlfn.IFNA(HLOOKUP(AZ$3,'Total Material Emissions'!$C$105:$H$107,3, FALSE),0)</f>
        <v>8.4500000000000006E-2</v>
      </c>
      <c r="BA8" s="183">
        <f>_xlfn.IFNA(HLOOKUP(BA$3,'Total Material Emissions'!$C$105:$H$107,3, FALSE),0)</f>
        <v>4.9540000000000001E-2</v>
      </c>
      <c r="BB8" s="183">
        <f>_xlfn.IFNA(HLOOKUP(BB$3,'Total Material Emissions'!$C$105:$H$107,3, FALSE),0)</f>
        <v>0</v>
      </c>
      <c r="BC8" s="185">
        <f>_xlfn.IFNA(HLOOKUP(BC$3,'Total Material Emissions'!$C$105:$H$107,3, FALSE),0)</f>
        <v>1.9E-3</v>
      </c>
      <c r="BD8" s="183">
        <f>_xlfn.IFNA(HLOOKUP(BD$3,'Total Material Emissions'!$C$105:$H$107,3, FALSE),0)</f>
        <v>8.9374000000000009E-2</v>
      </c>
      <c r="BE8" s="183">
        <f>_xlfn.IFNA(HLOOKUP(BE$3,'Total Material Emissions'!$C$105:$H$107,3, FALSE),0)</f>
        <v>0</v>
      </c>
      <c r="BF8" s="183">
        <f>_xlfn.IFNA(HLOOKUP(BF$3,'Total Material Emissions'!$C$105:$H$107,3, FALSE),0)</f>
        <v>0.16786000000000001</v>
      </c>
      <c r="BG8" s="183">
        <f>_xlfn.IFNA(HLOOKUP(BG$3,'Total Material Emissions'!$C$105:$H$107,3, FALSE),0)</f>
        <v>0</v>
      </c>
      <c r="BH8" s="183">
        <f>_xlfn.IFNA(HLOOKUP(BH$3,'Total Material Emissions'!$C$105:$H$107,3, FALSE),0)</f>
        <v>0</v>
      </c>
      <c r="BI8" s="183">
        <f>_xlfn.IFNA(HLOOKUP(BI$3,'Total Material Emissions'!$C$105:$H$107,3, FALSE),0)</f>
        <v>0</v>
      </c>
      <c r="BJ8" s="183">
        <f>_xlfn.IFNA(HLOOKUP(BJ$3,'Total Material Emissions'!$C$105:$H$107,3, FALSE),0)</f>
        <v>0</v>
      </c>
      <c r="BK8" s="183">
        <f>_xlfn.IFNA(HLOOKUP(BK$3,'Total Material Emissions'!$C$105:$H$107,3, FALSE),0)</f>
        <v>0</v>
      </c>
      <c r="BL8" s="183">
        <f>_xlfn.IFNA(HLOOKUP(BL$3,'Total Material Emissions'!$C$105:$H$107,3, FALSE),0)</f>
        <v>0</v>
      </c>
      <c r="BM8" s="183">
        <f>_xlfn.IFNA(HLOOKUP(BM$3,'Total Material Emissions'!$C$105:$H$107,3, FALSE),0)</f>
        <v>0</v>
      </c>
      <c r="BN8" s="183">
        <f>_xlfn.IFNA(HLOOKUP(BN$3,'Total Material Emissions'!$C$105:$H$107,3, FALSE),0)</f>
        <v>0</v>
      </c>
      <c r="BO8" s="183">
        <f>_xlfn.IFNA(HLOOKUP(BO$3,'Total Material Emissions'!$C$105:$H$107,3, FALSE),0)</f>
        <v>0</v>
      </c>
      <c r="BP8" s="183">
        <f>_xlfn.IFNA(HLOOKUP(BP$3,'Total Material Emissions'!$C$105:$H$107,3, FALSE),0)</f>
        <v>0</v>
      </c>
      <c r="BQ8" s="183">
        <f>_xlfn.IFNA(HLOOKUP(BQ$3,'Total Material Emissions'!$C$105:$H$107,3, FALSE),0)</f>
        <v>0</v>
      </c>
      <c r="BR8" s="183">
        <f>_xlfn.IFNA(HLOOKUP(BR$3,'Total Material Emissions'!$C$105:$H$107,3, FALSE),0)</f>
        <v>0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0.23849999999999999</v>
      </c>
      <c r="BU8" s="184">
        <f>_xlfn.IFNA(HLOOKUP(BU$3,'Total Material Emissions'!$C$105:$H$107,3, FALSE),0)</f>
        <v>0</v>
      </c>
      <c r="BV8" s="130"/>
      <c r="BW8" s="106" t="s">
        <v>217</v>
      </c>
      <c r="BX8" s="182">
        <f>VLOOKUP($BW8,'Material Breakdowns'!$B$42:$Y$63,6,FALSE)</f>
        <v>0.13499999999999976</v>
      </c>
      <c r="BY8" s="188">
        <f>VLOOKUP($BW8,'Material Breakdowns'!$B$42:$Y$63,12,FALSE)</f>
        <v>1.8499999999999979</v>
      </c>
      <c r="BZ8" s="202">
        <f>VLOOKUP($BW8,'Material Breakdowns'!$B$42:$Y$63,18,FALSE)</f>
        <v>2.4999999999999992E-3</v>
      </c>
      <c r="CA8" s="189">
        <f>VLOOKUP($BW8,'Material Breakdowns'!$B$42:$Y$63,24,FALSE)</f>
        <v>8.849999999999995E-3</v>
      </c>
    </row>
    <row r="9" spans="1:79" ht="22.15">
      <c r="B9" s="127"/>
      <c r="C9" s="127"/>
      <c r="D9" s="127"/>
      <c r="E9" s="127"/>
      <c r="F9" s="127"/>
      <c r="H9" s="127"/>
      <c r="I9" s="127"/>
      <c r="J9" s="127"/>
      <c r="K9" s="103" t="s">
        <v>375</v>
      </c>
      <c r="L9" s="162">
        <f>_xlfn.IFNA(HLOOKUP(L$3,'Total Material Emissions'!$C$227:$K$232,5, FALSE),0)</f>
        <v>1.0285714285714285E-2</v>
      </c>
      <c r="M9" s="160">
        <f>_xlfn.IFNA(HLOOKUP(M$3,'Total Material Emissions'!$C$227:$K$232,5, FALSE),0)</f>
        <v>2.6122448979591835E-4</v>
      </c>
      <c r="N9" s="159">
        <f>_xlfn.IFNA(HLOOKUP(N$3,'Total Material Emissions'!$C$227:$K$232,5, FALSE),0)</f>
        <v>0</v>
      </c>
      <c r="O9" s="160">
        <f>_xlfn.IFNA(HLOOKUP(O$3,'Total Material Emissions'!$C$227:$K$232,5, FALSE),0)</f>
        <v>2.4489795918367346E-3</v>
      </c>
      <c r="P9" s="160">
        <f>_xlfn.IFNA(HLOOKUP(P$3,'Total Material Emissions'!$C$227:$K$232,5, FALSE),0)</f>
        <v>0.32914285714285713</v>
      </c>
      <c r="Q9" s="159">
        <f>_xlfn.IFNA(HLOOKUP(Q$3,'Total Material Emissions'!$C$227:$K$232,5, FALSE),0)</f>
        <v>0</v>
      </c>
      <c r="R9" s="160">
        <f>_xlfn.IFNA(HLOOKUP(R$3,'Total Material Emissions'!$C$227:$K$232,5, FALSE),0)</f>
        <v>0.58649795918367342</v>
      </c>
      <c r="S9" s="159">
        <f>_xlfn.IFNA(HLOOKUP(S$3,'Total Material Emissions'!$C$227:$K$232,5, FALSE),0)</f>
        <v>5.7142857142857139E-7</v>
      </c>
      <c r="T9" s="159">
        <f>_xlfn.IFNA(HLOOKUP(T$3,'Total Material Emissions'!$C$227:$K$232,5, FALSE),0)</f>
        <v>0</v>
      </c>
      <c r="U9" s="159">
        <f>_xlfn.IFNA(HLOOKUP(U$3,'Total Material Emissions'!$C$227:$K$232,5, FALSE),0)</f>
        <v>0</v>
      </c>
      <c r="V9" s="159">
        <f>_xlfn.IFNA(HLOOKUP(V$3,'Total Material Emissions'!$C$227:$K$232,5, FALSE),0)</f>
        <v>0</v>
      </c>
      <c r="W9" s="159">
        <f>_xlfn.IFNA(HLOOKUP(W$3,'Total Material Emissions'!$C$227:$K$232,5, FALSE),0)</f>
        <v>0</v>
      </c>
      <c r="X9" s="159">
        <f>_xlfn.IFNA(HLOOKUP(X$3,'Total Material Emissions'!$C$227:$K$232,5, FALSE),0)</f>
        <v>7.8367346938775515E-4</v>
      </c>
      <c r="Y9" s="159">
        <f>_xlfn.IFNA(HLOOKUP(Y$3,'Total Material Emissions'!$C$227:$K$232,5, FALSE),0)</f>
        <v>0</v>
      </c>
      <c r="Z9" s="159">
        <f>_xlfn.IFNA(HLOOKUP(Z$3,'Total Material Emissions'!$C$227:$K$232,5, FALSE),0)</f>
        <v>0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1.8448979591836734</v>
      </c>
      <c r="AE9" s="159">
        <f>_xlfn.IFNA(HLOOKUP(AE$3,'Total Material Emissions'!$C$227:$K$232,5, FALSE),0)</f>
        <v>0</v>
      </c>
      <c r="AF9" s="160">
        <f>_xlfn.IFNA(HLOOKUP(AF$3,'Total Material Emissions'!$C$227:$K$232,5, FALSE),0)</f>
        <v>1.8379102040816326</v>
      </c>
      <c r="AG9" s="163">
        <f>_xlfn.IFNA(HLOOKUP(AG$3,'Total Material Emissions'!$C$227:$K$232,5, FALSE),0)</f>
        <v>0</v>
      </c>
      <c r="AI9" s="97" t="s">
        <v>230</v>
      </c>
      <c r="AJ9" s="158">
        <f>VLOOKUP($AI9,'Material Breakdowns'!$B$42:$Y$63,5,FALSE)</f>
        <v>1.5450000000000002</v>
      </c>
      <c r="AK9" s="159">
        <f>VLOOKUP($AI9,'Material Breakdowns'!$B$42:$Y$63,11,FALSE)</f>
        <v>6.6749999999999998</v>
      </c>
      <c r="AL9" s="172">
        <f>VLOOKUP($AI9,'Material Breakdowns'!$B$42:$Y$63,17,FALSE)</f>
        <v>5.0000000000000001E-4</v>
      </c>
      <c r="AM9" s="163">
        <f>VLOOKUP($AI9,'Material Breakdowns'!$B$42:$Y$63,23,FALSE)</f>
        <v>6.1849999999999996</v>
      </c>
      <c r="AN9" s="136"/>
      <c r="AO9" s="129"/>
      <c r="AP9" s="130"/>
      <c r="AQ9" s="130"/>
      <c r="AR9" s="130"/>
      <c r="AS9" s="130"/>
      <c r="AT9" s="130"/>
      <c r="AU9" s="130"/>
      <c r="AV9" s="130"/>
      <c r="AW9" s="130"/>
      <c r="AX9" s="130"/>
      <c r="AY9" s="103" t="s">
        <v>375</v>
      </c>
      <c r="AZ9" s="186">
        <f>_xlfn.IFNA(HLOOKUP(AZ$3,'Total Material Emissions'!$C$227:$K$232,6, FALSE),0)</f>
        <v>1.904614953557859E-3</v>
      </c>
      <c r="BA9" s="187">
        <f>_xlfn.IFNA(HLOOKUP(BA$3,'Total Material Emissions'!$C$227:$K$232,6, FALSE),0)</f>
        <v>4.8371173423691655E-5</v>
      </c>
      <c r="BB9" s="188">
        <f>_xlfn.IFNA(HLOOKUP(BB$3,'Total Material Emissions'!$C$227:$K$232,6, FALSE),0)</f>
        <v>0</v>
      </c>
      <c r="BC9" s="187">
        <f>_xlfn.IFNA(HLOOKUP(BC$3,'Total Material Emissions'!$C$227:$K$232,6, FALSE),0)</f>
        <v>4.5347975084710927E-4</v>
      </c>
      <c r="BD9" s="187">
        <f>_xlfn.IFNA(HLOOKUP(BD$3,'Total Material Emissions'!$C$227:$K$232,6, FALSE),0)</f>
        <v>6.0947678513851487E-2</v>
      </c>
      <c r="BE9" s="188">
        <f>_xlfn.IFNA(HLOOKUP(BE$3,'Total Material Emissions'!$C$227:$K$232,6, FALSE),0)</f>
        <v>0</v>
      </c>
      <c r="BF9" s="187">
        <f>_xlfn.IFNA(HLOOKUP(BF$3,'Total Material Emissions'!$C$227:$K$232,6, FALSE),0)</f>
        <v>0.10860235393120471</v>
      </c>
      <c r="BG9" s="188">
        <f>_xlfn.IFNA(HLOOKUP(BG$3,'Total Material Emissions'!$C$227:$K$232,6, FALSE),0)</f>
        <v>1.058119418643255E-7</v>
      </c>
      <c r="BH9" s="188">
        <f>_xlfn.IFNA(HLOOKUP(BH$3,'Total Material Emissions'!$C$227:$K$232,6, FALSE),0)</f>
        <v>0</v>
      </c>
      <c r="BI9" s="188">
        <f>_xlfn.IFNA(HLOOKUP(BI$3,'Total Material Emissions'!$C$227:$K$232,6, FALSE),0)</f>
        <v>0</v>
      </c>
      <c r="BJ9" s="188">
        <f>_xlfn.IFNA(HLOOKUP(BJ$3,'Total Material Emissions'!$C$227:$K$232,6, FALSE),0)</f>
        <v>0</v>
      </c>
      <c r="BK9" s="188">
        <f>_xlfn.IFNA(HLOOKUP(BK$3,'Total Material Emissions'!$C$227:$K$232,6, FALSE),0)</f>
        <v>0</v>
      </c>
      <c r="BL9" s="188">
        <f>_xlfn.IFNA(HLOOKUP(BL$3,'Total Material Emissions'!$C$227:$K$232,6, FALSE),0)</f>
        <v>1.4511352027107499E-4</v>
      </c>
      <c r="BM9" s="188">
        <f>_xlfn.IFNA(HLOOKUP(BM$3,'Total Material Emissions'!$C$227:$K$232,6, FALSE),0)</f>
        <v>0</v>
      </c>
      <c r="BN9" s="188">
        <f>_xlfn.IFNA(HLOOKUP(BN$3,'Total Material Emissions'!$C$227:$K$232,6, FALSE),0)</f>
        <v>0</v>
      </c>
      <c r="BO9" s="188">
        <f>_xlfn.IFNA(HLOOKUP(BO$3,'Total Material Emissions'!$C$227:$K$232,6, FALSE),0)</f>
        <v>0</v>
      </c>
      <c r="BP9" s="188">
        <f>_xlfn.IFNA(HLOOKUP(BP$3,'Total Material Emissions'!$C$227:$K$232,6, FALSE),0)</f>
        <v>0</v>
      </c>
      <c r="BQ9" s="188">
        <f>_xlfn.IFNA(HLOOKUP(BQ$3,'Total Material Emissions'!$C$227:$K$232,6, FALSE),0)</f>
        <v>0</v>
      </c>
      <c r="BR9" s="188">
        <f>_xlfn.IFNA(HLOOKUP(BR$3,'Total Material Emissions'!$C$227:$K$232,6, FALSE),0)</f>
        <v>0.34162141230482235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0.3403274834157386</v>
      </c>
      <c r="BU9" s="189">
        <f>_xlfn.IFNA(HLOOKUP(BU$3,'Total Material Emissions'!$C$227:$K$232,6, FALSE),0)</f>
        <v>0</v>
      </c>
      <c r="BV9" s="130"/>
      <c r="BW9" s="106" t="s">
        <v>230</v>
      </c>
      <c r="BX9" s="182">
        <f>VLOOKUP($BW9,'Material Breakdowns'!$B$42:$Y$63,6,FALSE)</f>
        <v>0.88499999999999979</v>
      </c>
      <c r="BY9" s="188">
        <f>VLOOKUP($BW9,'Material Breakdowns'!$B$42:$Y$63,12,FALSE)</f>
        <v>0.33499999999999991</v>
      </c>
      <c r="BZ9" s="202">
        <f>VLOOKUP($BW9,'Material Breakdowns'!$B$42:$Y$63,18,FALSE)</f>
        <v>5.0000000000000001E-4</v>
      </c>
      <c r="CA9" s="189">
        <f>VLOOKUP($BW9,'Material Breakdowns'!$B$42:$Y$63,24,FALSE)</f>
        <v>4.415</v>
      </c>
    </row>
    <row r="10" spans="1:79" ht="22.15">
      <c r="B10" s="127"/>
      <c r="C10" s="127"/>
      <c r="D10" s="127"/>
      <c r="E10" s="127"/>
      <c r="F10" s="127"/>
      <c r="G10" s="127"/>
      <c r="H10" s="127"/>
      <c r="I10" s="127"/>
      <c r="J10" s="9" t="s">
        <v>383</v>
      </c>
      <c r="K10" s="119" t="s">
        <v>370</v>
      </c>
      <c r="L10" s="164">
        <f>_xlfn.IFNA(HLOOKUP(L$3,'Total Material Emissions'!$C$177:$F$185,5, FALSE),0)</f>
        <v>5.3272450532724505E-4</v>
      </c>
      <c r="M10" s="165">
        <f>_xlfn.IFNA(HLOOKUP(M$3,'Total Material Emissions'!$C$177:$F$185,5, FALSE),0)</f>
        <v>0</v>
      </c>
      <c r="N10" s="165">
        <f>_xlfn.IFNA(HLOOKUP(N$3,'Total Material Emissions'!$C$177:$F$185,5, FALSE),0)</f>
        <v>0</v>
      </c>
      <c r="O10" s="165">
        <f>_xlfn.IFNA(HLOOKUP(O$3,'Total Material Emissions'!$C$177:$F$185,5, FALSE),0)</f>
        <v>7.8640284119736172E-4</v>
      </c>
      <c r="P10" s="165">
        <f>_xlfn.IFNA(HLOOKUP(P$3,'Total Material Emissions'!$C$177:$F$185,5, FALSE),0)</f>
        <v>0</v>
      </c>
      <c r="Q10" s="165">
        <f>_xlfn.IFNA(HLOOKUP(Q$3,'Total Material Emissions'!$C$177:$F$185,5, FALSE),0)</f>
        <v>0</v>
      </c>
      <c r="R10" s="165">
        <f>_xlfn.IFNA(HLOOKUP(R$3,'Total Material Emissions'!$C$177:$F$185,5, FALSE),0)</f>
        <v>0.19025875190258751</v>
      </c>
      <c r="S10" s="165">
        <f>_xlfn.IFNA(HLOOKUP(S$3,'Total Material Emissions'!$C$177:$F$185,5, FALSE),0)</f>
        <v>0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6.3419583967529169E-2</v>
      </c>
      <c r="AG10" s="166">
        <f>_xlfn.IFNA(HLOOKUP(AG$3,'Total Material Emissions'!$C$177:$F$185,5, FALSE),0)</f>
        <v>0</v>
      </c>
      <c r="AI10" s="97" t="s">
        <v>7</v>
      </c>
      <c r="AJ10" s="158">
        <f>VLOOKUP($AI10,'Material Breakdowns'!$B$42:$Y$63,5,FALSE)</f>
        <v>9.5150000000000012E-2</v>
      </c>
      <c r="AK10" s="159">
        <f>VLOOKUP($AI10,'Material Breakdowns'!$B$42:$Y$63,11,FALSE)</f>
        <v>3.4</v>
      </c>
      <c r="AL10" s="172">
        <f>VLOOKUP($AI10,'Material Breakdowns'!$B$42:$Y$63,17,FALSE)</f>
        <v>0.13750000000000001</v>
      </c>
      <c r="AM10" s="163">
        <f>VLOOKUP($AI10,'Material Breakdowns'!$B$42:$Y$63,23,FALSE)</f>
        <v>4.2800000000000005E-2</v>
      </c>
      <c r="AN10" s="136"/>
      <c r="AO10" s="129"/>
      <c r="AP10" s="130"/>
      <c r="AQ10" s="130"/>
      <c r="AR10" s="130"/>
      <c r="AS10" s="130"/>
      <c r="AT10" s="130"/>
      <c r="AU10" s="130"/>
      <c r="AV10" s="130"/>
      <c r="AW10" s="130"/>
      <c r="AX10" s="130"/>
      <c r="AY10" s="119" t="s">
        <v>370</v>
      </c>
      <c r="AZ10" s="190">
        <f>_xlfn.IFNA(HLOOKUP(AZ$3,'Total Material Emissions'!$C$177:$F$185,6, FALSE),0)</f>
        <v>7.4939946688008295E-5</v>
      </c>
      <c r="BA10" s="191">
        <f>_xlfn.IFNA(HLOOKUP(BA$3,'Total Material Emissions'!$C$177:$F$185,6, FALSE),0)</f>
        <v>0</v>
      </c>
      <c r="BB10" s="191">
        <f>_xlfn.IFNA(HLOOKUP(BB$3,'Total Material Emissions'!$C$177:$F$185,6, FALSE),0)</f>
        <v>0</v>
      </c>
      <c r="BC10" s="191">
        <f>_xlfn.IFNA(HLOOKUP(BC$3,'Total Material Emissions'!$C$177:$F$185,6, FALSE),0)</f>
        <v>1.1062563558705986E-4</v>
      </c>
      <c r="BD10" s="191">
        <f>_xlfn.IFNA(HLOOKUP(BD$3,'Total Material Emissions'!$C$177:$F$185,6, FALSE),0)</f>
        <v>0</v>
      </c>
      <c r="BE10" s="191">
        <f>_xlfn.IFNA(HLOOKUP(BE$3,'Total Material Emissions'!$C$177:$F$185,6, FALSE),0)</f>
        <v>0</v>
      </c>
      <c r="BF10" s="191">
        <f>_xlfn.IFNA(HLOOKUP(BF$3,'Total Material Emissions'!$C$177:$F$185,6, FALSE),0)</f>
        <v>2.6764266674288675E-2</v>
      </c>
      <c r="BG10" s="191">
        <f>_xlfn.IFNA(HLOOKUP(BG$3,'Total Material Emissions'!$C$177:$F$185,6, FALSE),0)</f>
        <v>0</v>
      </c>
      <c r="BH10" s="191">
        <f>_xlfn.IFNA(HLOOKUP(BH$3,'Total Material Emissions'!$C$177:$F$185,6, FALSE),0)</f>
        <v>0</v>
      </c>
      <c r="BI10" s="191">
        <f>_xlfn.IFNA(HLOOKUP(BI$3,'Total Material Emissions'!$C$177:$F$185,6, FALSE),0)</f>
        <v>0</v>
      </c>
      <c r="BJ10" s="191">
        <f>_xlfn.IFNA(HLOOKUP(BJ$3,'Total Material Emissions'!$C$177:$F$185,6, FALSE),0)</f>
        <v>0</v>
      </c>
      <c r="BK10" s="191">
        <f>_xlfn.IFNA(HLOOKUP(BK$3,'Total Material Emissions'!$C$177:$F$185,6, FALSE),0)</f>
        <v>0</v>
      </c>
      <c r="BL10" s="191">
        <f>_xlfn.IFNA(HLOOKUP(BL$3,'Total Material Emissions'!$C$177:$F$185,6, FALSE),0)</f>
        <v>0</v>
      </c>
      <c r="BM10" s="191">
        <f>_xlfn.IFNA(HLOOKUP(BM$3,'Total Material Emissions'!$C$177:$F$185,6, FALSE),0)</f>
        <v>0</v>
      </c>
      <c r="BN10" s="191">
        <f>_xlfn.IFNA(HLOOKUP(BN$3,'Total Material Emissions'!$C$177:$F$185,6, FALSE),0)</f>
        <v>0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8.9214222247628924E-3</v>
      </c>
      <c r="BU10" s="192">
        <f>_xlfn.IFNA(HLOOKUP(BU$3,'Total Material Emissions'!$C$177:$F$185,6, FALSE),0)</f>
        <v>0</v>
      </c>
      <c r="BV10" s="130"/>
      <c r="BW10" s="106" t="s">
        <v>7</v>
      </c>
      <c r="BX10" s="182">
        <f>VLOOKUP($BW10,'Material Breakdowns'!$B$42:$Y$63,6,FALSE)</f>
        <v>4.8499999999999993E-3</v>
      </c>
      <c r="BY10" s="188">
        <f>VLOOKUP($BW10,'Material Breakdowns'!$B$42:$Y$63,12,FALSE)</f>
        <v>0.16999999999999993</v>
      </c>
      <c r="BZ10" s="202">
        <f>VLOOKUP($BW10,'Material Breakdowns'!$B$42:$Y$63,18,FALSE)</f>
        <v>1.2499999999999997E-2</v>
      </c>
      <c r="CA10" s="189">
        <f>VLOOKUP($BW10,'Material Breakdowns'!$B$42:$Y$63,24,FALSE)</f>
        <v>8.3999999999999804E-3</v>
      </c>
    </row>
    <row r="11" spans="1:79" ht="22.15">
      <c r="B11" s="127"/>
      <c r="C11" s="127"/>
      <c r="D11" s="127"/>
      <c r="E11" s="127"/>
      <c r="F11" s="127"/>
      <c r="G11" s="127"/>
      <c r="H11" s="127"/>
      <c r="I11" s="127"/>
      <c r="J11" s="127"/>
      <c r="K11" s="120" t="s">
        <v>377</v>
      </c>
      <c r="L11" s="158">
        <f>_xlfn.IFNA(HLOOKUP(L$3,'Total Material Emissions'!$C$202:$F$210,5, FALSE),0)</f>
        <v>1.2244897959183673E-3</v>
      </c>
      <c r="M11" s="159">
        <f>_xlfn.IFNA(HLOOKUP(M$3,'Total Material Emissions'!$C$202:$F$210,8, FALSE),0)</f>
        <v>0</v>
      </c>
      <c r="N11" s="159">
        <f>_xlfn.IFNA(HLOOKUP(N$3,'Total Material Emissions'!$C$202:$F$210,8, FALSE),0)</f>
        <v>0</v>
      </c>
      <c r="O11" s="159">
        <f>_xlfn.IFNA(HLOOKUP(O$3,'Total Material Emissions'!$C$202:$F$210,8, FALSE),0)</f>
        <v>2.2000000000000002</v>
      </c>
      <c r="P11" s="159">
        <f>_xlfn.IFNA(HLOOKUP(P$3,'Total Material Emissions'!$C$202:$F$210,8, FALSE),0)</f>
        <v>0</v>
      </c>
      <c r="Q11" s="159">
        <f>_xlfn.IFNA(HLOOKUP(Q$3,'Total Material Emissions'!$C$202:$F$210,8, FALSE),0)</f>
        <v>0</v>
      </c>
      <c r="R11" s="159">
        <f>_xlfn.IFNA(HLOOKUP(R$3,'Total Material Emissions'!$C$202:$F$210,8, FALSE),0)</f>
        <v>9.5150000000000012E-2</v>
      </c>
      <c r="S11" s="159">
        <f>_xlfn.IFNA(HLOOKUP(S$3,'Total Material Emissions'!$C$202:$F$210,8, FALSE),0)</f>
        <v>0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0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0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2.46</v>
      </c>
      <c r="AG11" s="163">
        <f>_xlfn.IFNA(HLOOKUP(AG$3,'Total Material Emissions'!$C$202:$F$210,8, FALSE),0)</f>
        <v>0</v>
      </c>
      <c r="AI11" s="97" t="s">
        <v>10</v>
      </c>
      <c r="AJ11" s="158">
        <f>VLOOKUP($AI11,'Material Breakdowns'!$B$42:$Y$63,5,FALSE)</f>
        <v>3.625</v>
      </c>
      <c r="AK11" s="159">
        <f>VLOOKUP($AI11,'Material Breakdowns'!$B$42:$Y$63,11,FALSE)</f>
        <v>315</v>
      </c>
      <c r="AL11" s="172">
        <f>VLOOKUP($AI11,'Material Breakdowns'!$B$42:$Y$63,17,FALSE)</f>
        <v>0.43</v>
      </c>
      <c r="AM11" s="163">
        <f>VLOOKUP($AI11,'Material Breakdowns'!$B$42:$Y$63,23,FALSE)</f>
        <v>5.3150000000000004</v>
      </c>
      <c r="AO11" s="129"/>
      <c r="AP11" s="130"/>
      <c r="AQ11" s="130"/>
      <c r="AR11" s="130"/>
      <c r="AS11" s="130"/>
      <c r="AT11" s="130"/>
      <c r="AU11" s="130"/>
      <c r="AV11" s="130"/>
      <c r="AW11" s="130"/>
      <c r="AX11" s="130"/>
      <c r="AY11" s="120" t="s">
        <v>377</v>
      </c>
      <c r="AZ11" s="193">
        <f>_xlfn.IFNA(HLOOKUP(AZ$3,'Total Material Emissions'!$C$202:$F$210,6, FALSE),0)</f>
        <v>4.3396028930618822E-4</v>
      </c>
      <c r="BA11" s="188">
        <f>_xlfn.IFNA(HLOOKUP(BA$3,'Total Material Emissions'!$C$202:$F$210,6, FALSE),0)</f>
        <v>0</v>
      </c>
      <c r="BB11" s="188">
        <f>_xlfn.IFNA(HLOOKUP(BB$3,'Total Material Emissions'!$C$202:$F$210,6, FALSE),0)</f>
        <v>0</v>
      </c>
      <c r="BC11" s="188">
        <f>_xlfn.IFNA(HLOOKUP(BC$3,'Total Material Emissions'!$C$202:$F$210,6, FALSE),0)</f>
        <v>8.6792057861237643E-4</v>
      </c>
      <c r="BD11" s="188">
        <f>_xlfn.IFNA(HLOOKUP(BD$3,'Total Material Emissions'!$C$202:$F$210,6, FALSE),0)</f>
        <v>0</v>
      </c>
      <c r="BE11" s="188">
        <f>_xlfn.IFNA(HLOOKUP(BE$3,'Total Material Emissions'!$C$202:$F$210,6, FALSE),0)</f>
        <v>0</v>
      </c>
      <c r="BF11" s="188">
        <f>_xlfn.IFNA(HLOOKUP(BF$3,'Total Material Emissions'!$C$202:$F$210,6, FALSE),0)</f>
        <v>0.20785540630328264</v>
      </c>
      <c r="BG11" s="188">
        <f>_xlfn.IFNA(HLOOKUP(BG$3,'Total Material Emissions'!$C$202:$F$210,6, FALSE),0)</f>
        <v>0</v>
      </c>
      <c r="BH11" s="188">
        <f>_xlfn.IFNA(HLOOKUP(BH$3,'Total Material Emissions'!$C$202:$F$210,6, FALSE),0)</f>
        <v>0</v>
      </c>
      <c r="BI11" s="188">
        <f>_xlfn.IFNA(HLOOKUP(BI$3,'Total Material Emissions'!$C$202:$F$210,6, FALSE),0)</f>
        <v>0</v>
      </c>
      <c r="BJ11" s="188">
        <f>_xlfn.IFNA(HLOOKUP(BJ$3,'Total Material Emissions'!$C$202:$F$210,6, FALSE),0)</f>
        <v>0</v>
      </c>
      <c r="BK11" s="188">
        <f>_xlfn.IFNA(HLOOKUP(BK$3,'Total Material Emissions'!$C$202:$F$210,6, FALSE),0)</f>
        <v>0</v>
      </c>
      <c r="BL11" s="188">
        <f>_xlfn.IFNA(HLOOKUP(BL$3,'Total Material Emissions'!$C$202:$F$210,6, FALSE),0)</f>
        <v>0</v>
      </c>
      <c r="BM11" s="188">
        <f>_xlfn.IFNA(HLOOKUP(BM$3,'Total Material Emissions'!$C$202:$F$210,6, FALSE),0)</f>
        <v>0</v>
      </c>
      <c r="BN11" s="188">
        <f>_xlfn.IFNA(HLOOKUP(BN$3,'Total Material Emissions'!$C$202:$F$210,6, FALSE),0)</f>
        <v>0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6.5985108523303596E-2</v>
      </c>
      <c r="BU11" s="189">
        <f>_xlfn.IFNA(HLOOKUP(BU$3,'Total Material Emissions'!$C$202:$F$210,6, FALSE),0)</f>
        <v>0</v>
      </c>
      <c r="BV11" s="130"/>
      <c r="BW11" s="106" t="s">
        <v>10</v>
      </c>
      <c r="BX11" s="182">
        <f>VLOOKUP($BW11,'Material Breakdowns'!$B$42:$Y$63,6,FALSE)</f>
        <v>0.17499999999999979</v>
      </c>
      <c r="BY11" s="188">
        <f>VLOOKUP($BW11,'Material Breakdowns'!$B$42:$Y$63,12,FALSE)</f>
        <v>15</v>
      </c>
      <c r="BZ11" s="202">
        <f>VLOOKUP($BW11,'Material Breakdowns'!$B$42:$Y$63,18,FALSE)</f>
        <v>2.0000000000000018E-2</v>
      </c>
      <c r="CA11" s="189">
        <f>VLOOKUP($BW11,'Material Breakdowns'!$B$42:$Y$63,24,FALSE)</f>
        <v>0.16500000000000004</v>
      </c>
    </row>
    <row r="12" spans="1:79" ht="22.15">
      <c r="B12" s="127"/>
      <c r="C12" s="127"/>
      <c r="D12" s="127"/>
      <c r="E12" s="127"/>
      <c r="F12" s="127"/>
      <c r="G12" s="127"/>
      <c r="H12" s="127"/>
      <c r="I12" s="127"/>
      <c r="J12" s="127"/>
      <c r="K12" s="120" t="s">
        <v>360</v>
      </c>
      <c r="L12" s="158">
        <f>_xlfn.IFNA(HLOOKUP(L$3,'Total Material Emissions'!$C$127:$E$132,5, FALSE),0)</f>
        <v>4.7488584474885843E-3</v>
      </c>
      <c r="M12" s="159">
        <f>_xlfn.IFNA(HLOOKUP(M$3,'Total Material Emissions'!$C$127:$E$132,5, FALSE),0)</f>
        <v>0</v>
      </c>
      <c r="N12" s="159">
        <f>_xlfn.IFNA(HLOOKUP(N$3,'Total Material Emissions'!$C$127:$E$132,5, FALSE),0)</f>
        <v>0</v>
      </c>
      <c r="O12" s="159">
        <f>_xlfn.IFNA(HLOOKUP(O$3,'Total Material Emissions'!$C$127:$E$132,5, FALSE),0)</f>
        <v>0</v>
      </c>
      <c r="P12" s="159">
        <f>_xlfn.IFNA(HLOOKUP(P$3,'Total Material Emissions'!$C$127:$E$132,5, FALSE),0)</f>
        <v>0</v>
      </c>
      <c r="Q12" s="159">
        <f>_xlfn.IFNA(HLOOKUP(Q$3,'Total Material Emissions'!$C$127:$E$132,5, FALSE),0)</f>
        <v>0</v>
      </c>
      <c r="R12" s="159">
        <f>_xlfn.IFNA(HLOOKUP(R$3,'Total Material Emissions'!$C$127:$E$132,5, FALSE),0)</f>
        <v>1.3570776255707762</v>
      </c>
      <c r="S12" s="159">
        <f>_xlfn.IFNA(HLOOKUP(S$3,'Total Material Emissions'!$C$127:$E$132,5, FALSE),0)</f>
        <v>0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0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0.47336377473363772</v>
      </c>
      <c r="AG12" s="163">
        <f>_xlfn.IFNA(HLOOKUP(AG$3,'Total Material Emissions'!$C$127:$E$132,5, FALSE),0)</f>
        <v>0</v>
      </c>
      <c r="AI12" s="97" t="s">
        <v>14</v>
      </c>
      <c r="AJ12" s="158">
        <f>VLOOKUP($AI12,'Material Breakdowns'!$B$42:$Y$63,5,FALSE)</f>
        <v>7.1899999999999995</v>
      </c>
      <c r="AK12" s="159">
        <f>VLOOKUP($AI12,'Material Breakdowns'!$B$42:$Y$63,11,FALSE)</f>
        <v>28</v>
      </c>
      <c r="AL12" s="172">
        <f>VLOOKUP($AI12,'Material Breakdowns'!$B$42:$Y$63,17,FALSE)</f>
        <v>7.4999999999999997E-3</v>
      </c>
      <c r="AM12" s="163">
        <f>VLOOKUP($AI12,'Material Breakdowns'!$B$42:$Y$63,23,FALSE)</f>
        <v>2.21</v>
      </c>
      <c r="AN12" s="136"/>
      <c r="AO12" s="129"/>
      <c r="AP12" s="130"/>
      <c r="AQ12" s="130"/>
      <c r="AR12" s="130"/>
      <c r="AS12" s="130"/>
      <c r="AT12" s="130"/>
      <c r="AU12" s="130"/>
      <c r="AV12" s="130"/>
      <c r="AW12" s="130"/>
      <c r="AX12" s="130"/>
      <c r="AY12" s="120" t="s">
        <v>360</v>
      </c>
      <c r="AZ12" s="193">
        <f>_xlfn.IFNA(HLOOKUP(AZ$3,'Total Material Emissions'!$C$127:$E$132,6, FALSE),0)</f>
        <v>1.0648226034213591E-3</v>
      </c>
      <c r="BA12" s="188">
        <f>_xlfn.IFNA(HLOOKUP(BA$3,'Total Material Emissions'!$C$127:$E$132,6, FALSE),0)</f>
        <v>0</v>
      </c>
      <c r="BB12" s="188">
        <f>_xlfn.IFNA(HLOOKUP(BB$3,'Total Material Emissions'!$C$127:$E$132,6, FALSE),0)</f>
        <v>0</v>
      </c>
      <c r="BC12" s="188">
        <f>_xlfn.IFNA(HLOOKUP(BC$3,'Total Material Emissions'!$C$127:$E$132,6, FALSE),0)</f>
        <v>0</v>
      </c>
      <c r="BD12" s="188">
        <f>_xlfn.IFNA(HLOOKUP(BD$3,'Total Material Emissions'!$C$127:$E$132,6, FALSE),0)</f>
        <v>0</v>
      </c>
      <c r="BE12" s="188">
        <f>_xlfn.IFNA(HLOOKUP(BE$3,'Total Material Emissions'!$C$127:$E$132,6, FALSE),0)</f>
        <v>0</v>
      </c>
      <c r="BF12" s="188">
        <f>_xlfn.IFNA(HLOOKUP(BF$3,'Total Material Emissions'!$C$127:$E$132,6, FALSE),0)</f>
        <v>0.3042935362854115</v>
      </c>
      <c r="BG12" s="188">
        <f>_xlfn.IFNA(HLOOKUP(BG$3,'Total Material Emissions'!$C$127:$E$132,6, FALSE),0)</f>
        <v>0</v>
      </c>
      <c r="BH12" s="188">
        <f>_xlfn.IFNA(HLOOKUP(BH$3,'Total Material Emissions'!$C$127:$E$132,6, FALSE),0)</f>
        <v>0</v>
      </c>
      <c r="BI12" s="188">
        <f>_xlfn.IFNA(HLOOKUP(BI$3,'Total Material Emissions'!$C$127:$E$132,6, FALSE),0)</f>
        <v>0</v>
      </c>
      <c r="BJ12" s="188">
        <f>_xlfn.IFNA(HLOOKUP(BJ$3,'Total Material Emissions'!$C$127:$E$132,6, FALSE),0)</f>
        <v>0</v>
      </c>
      <c r="BK12" s="188">
        <f>_xlfn.IFNA(HLOOKUP(BK$3,'Total Material Emissions'!$C$127:$E$132,6, FALSE),0)</f>
        <v>0</v>
      </c>
      <c r="BL12" s="188">
        <f>_xlfn.IFNA(HLOOKUP(BL$3,'Total Material Emissions'!$C$127:$E$132,6, FALSE),0)</f>
        <v>0</v>
      </c>
      <c r="BM12" s="188">
        <f>_xlfn.IFNA(HLOOKUP(BM$3,'Total Material Emissions'!$C$127:$E$132,6, FALSE),0)</f>
        <v>0</v>
      </c>
      <c r="BN12" s="188">
        <f>_xlfn.IFNA(HLOOKUP(BN$3,'Total Material Emissions'!$C$127:$E$132,6, FALSE),0)</f>
        <v>0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0.10614097104616753</v>
      </c>
      <c r="BU12" s="189">
        <f>_xlfn.IFNA(HLOOKUP(BU$3,'Total Material Emissions'!$C$127:$E$132,6, FALSE),0)</f>
        <v>0</v>
      </c>
      <c r="BV12" s="130"/>
      <c r="BW12" s="106" t="s">
        <v>14</v>
      </c>
      <c r="BX12" s="182">
        <f>VLOOKUP($BW12,'Material Breakdowns'!$B$42:$Y$63,6,FALSE)</f>
        <v>0.35999999999999988</v>
      </c>
      <c r="BY12" s="188">
        <f>VLOOKUP($BW12,'Material Breakdowns'!$B$42:$Y$63,12,FALSE)</f>
        <v>1.3999999999999984</v>
      </c>
      <c r="BZ12" s="202">
        <f>VLOOKUP($BW12,'Material Breakdowns'!$B$42:$Y$63,18,FALSE)</f>
        <v>2.5000000000000005E-3</v>
      </c>
      <c r="CA12" s="189">
        <f>VLOOKUP($BW12,'Material Breakdowns'!$B$42:$Y$63,24,FALSE)</f>
        <v>0.26999999999999952</v>
      </c>
    </row>
    <row r="13" spans="1:79" ht="25.05" customHeight="1" thickBot="1">
      <c r="B13" s="127"/>
      <c r="C13" s="127"/>
      <c r="D13" s="132"/>
      <c r="E13" s="127"/>
      <c r="F13" s="127"/>
      <c r="G13" s="127"/>
      <c r="H13" s="127"/>
      <c r="I13" s="127"/>
      <c r="J13" s="127"/>
      <c r="K13" s="120" t="s">
        <v>387</v>
      </c>
      <c r="L13" s="167">
        <f>_xlfn.IFNA(HLOOKUP(L$3,'Total Material Emissions'!$AE$8:$AN$13,5, FALSE),0)</f>
        <v>1.8264840182648401E-3</v>
      </c>
      <c r="M13" s="168">
        <f>_xlfn.IFNA(HLOOKUP(M$3,'Total Material Emissions'!$AE$8:$AN$13,5, FALSE),0)</f>
        <v>0</v>
      </c>
      <c r="N13" s="168">
        <f>_xlfn.IFNA(HLOOKUP(N$3,'Total Material Emissions'!$AE$8:$AN$13,5, FALSE),0)</f>
        <v>0</v>
      </c>
      <c r="O13" s="168">
        <f>_xlfn.IFNA(HLOOKUP(O$3,'Total Material Emissions'!$AE$8:$AN$13,5, FALSE),0)</f>
        <v>0.36027397260273974</v>
      </c>
      <c r="P13" s="168">
        <f>_xlfn.IFNA(HLOOKUP(P$3,'Total Material Emissions'!$AE$8:$AN$13,5, FALSE),0)</f>
        <v>0</v>
      </c>
      <c r="Q13" s="168">
        <f>_xlfn.IFNA(HLOOKUP(Q$3,'Total Material Emissions'!$AE$8:$AN$13,5, FALSE),0)</f>
        <v>0</v>
      </c>
      <c r="R13" s="168">
        <f>_xlfn.IFNA(HLOOKUP(R$3,'Total Material Emissions'!$AE$8:$AN$13,5, FALSE),0)</f>
        <v>3.2328767123287672</v>
      </c>
      <c r="S13" s="168">
        <f>_xlfn.IFNA(HLOOKUP(S$3,'Total Material Emissions'!$AE$8:$AN$13,5, FALSE),0)</f>
        <v>3.8812785388127852E-2</v>
      </c>
      <c r="T13" s="168">
        <f>_xlfn.IFNA(HLOOKUP(T$3,'Total Material Emissions'!$AE$8:$AN$13,5, FALSE),0)</f>
        <v>8.9041095890410954E-2</v>
      </c>
      <c r="U13" s="168">
        <f>_xlfn.IFNA(HLOOKUP(U$3,'Total Material Emissions'!$AE$8:$AN$13,5, FALSE),0)</f>
        <v>0</v>
      </c>
      <c r="V13" s="168">
        <f>_xlfn.IFNA(HLOOKUP(V$3,'Total Material Emissions'!$AE$8:$AN$13,5, FALSE),0)</f>
        <v>0.17625570776255708</v>
      </c>
      <c r="W13" s="168">
        <f>_xlfn.IFNA(HLOOKUP(W$3,'Total Material Emissions'!$AE$8:$AN$13,5, FALSE),0)</f>
        <v>0</v>
      </c>
      <c r="X13" s="168">
        <f>_xlfn.IFNA(HLOOKUP(X$3,'Total Material Emissions'!$AE$8:$AN$13,5, FALSE),0)</f>
        <v>8.6757990867579911E-3</v>
      </c>
      <c r="Y13" s="168">
        <f>_xlfn.IFNA(HLOOKUP(Y$3,'Total Material Emissions'!$AE$8:$AN$13,5, FALSE),0)</f>
        <v>0</v>
      </c>
      <c r="Z13" s="168">
        <f>_xlfn.IFNA(HLOOKUP(Z$3,'Total Material Emissions'!$AE$8:$AN$13,5, FALSE),0)</f>
        <v>0</v>
      </c>
      <c r="AA13" s="168">
        <f>_xlfn.IFNA(HLOOKUP(AA$3,'Total Material Emissions'!$AE$8:$AN$13,5, FALSE),0)</f>
        <v>0</v>
      </c>
      <c r="AB13" s="168">
        <f>_xlfn.IFNA(HLOOKUP(AB$3,'Total Material Emissions'!$AE$8:$AN$13,5, FALSE),0)</f>
        <v>0</v>
      </c>
      <c r="AC13" s="168">
        <f>_xlfn.IFNA(HLOOKUP(AC$3,'Total Material Emissions'!$AE$8:$AN$13,5, FALSE),0)</f>
        <v>0</v>
      </c>
      <c r="AD13" s="168">
        <f>_xlfn.IFNA(HLOOKUP(AD$3,'Total Material Emissions'!$AE$8:$AN$13,5, FALSE),0)</f>
        <v>4.2831050228310499</v>
      </c>
      <c r="AE13" s="168">
        <f>_xlfn.IFNA(HLOOKUP(AE$3,'Total Material Emissions'!$AE$8:$AN$13,5, FALSE),0)</f>
        <v>0</v>
      </c>
      <c r="AF13" s="168">
        <f>_xlfn.IFNA(HLOOKUP(AF$3,'Total Material Emissions'!$AE$8:$AN$13,5, FALSE),0)</f>
        <v>1.6273972602739726</v>
      </c>
      <c r="AG13" s="169">
        <f>_xlfn.IFNA(HLOOKUP(AG$3,'Total Material Emissions'!$AE$8:$AN$13,5, FALSE),0)</f>
        <v>0</v>
      </c>
      <c r="AI13" s="97" t="s">
        <v>111</v>
      </c>
      <c r="AJ13" s="158">
        <f>VLOOKUP($AI13,'Material Breakdowns'!$B$42:$Y$63,5,FALSE)</f>
        <v>2.105</v>
      </c>
      <c r="AK13" s="159">
        <f>VLOOKUP($AI13,'Material Breakdowns'!$B$42:$Y$63,11,FALSE)</f>
        <v>2.8</v>
      </c>
      <c r="AL13" s="172">
        <f>VLOOKUP($AI13,'Material Breakdowns'!$B$42:$Y$63,17,FALSE)</f>
        <v>5.0000000000000001E-4</v>
      </c>
      <c r="AM13" s="163">
        <f>VLOOKUP($AI13,'Material Breakdowns'!$B$42:$Y$63,23,FALSE)</f>
        <v>2.0699999999999998</v>
      </c>
      <c r="AO13" s="129"/>
      <c r="AP13" s="130"/>
      <c r="AQ13" s="130"/>
      <c r="AR13" s="132"/>
      <c r="AS13" s="130"/>
      <c r="AT13" s="130"/>
      <c r="AU13" s="130"/>
      <c r="AV13" s="130"/>
      <c r="AW13" s="130"/>
      <c r="AX13" s="130"/>
      <c r="AY13" s="120" t="s">
        <v>387</v>
      </c>
      <c r="AZ13" s="194">
        <f>_xlfn.IFNA(HLOOKUP(AZ$3,'Total Material Emissions'!$AE$8:$AN$13,6, FALSE),0)</f>
        <v>1.8264840182648402E-4</v>
      </c>
      <c r="BA13" s="195">
        <f>_xlfn.IFNA(HLOOKUP(BA$3,'Total Material Emissions'!$AE$8:$AN$13,6, FALSE),0)</f>
        <v>0</v>
      </c>
      <c r="BB13" s="195">
        <f>_xlfn.IFNA(HLOOKUP(BB$3,'Total Material Emissions'!$AE$8:$AN$13,6, FALSE),0)</f>
        <v>0</v>
      </c>
      <c r="BC13" s="195">
        <f>_xlfn.IFNA(HLOOKUP(BC$3,'Total Material Emissions'!$AE$8:$AN$13,6, FALSE),0)</f>
        <v>3.6027397260273979E-2</v>
      </c>
      <c r="BD13" s="195">
        <f>_xlfn.IFNA(HLOOKUP(BD$3,'Total Material Emissions'!$AE$8:$AN$13,6, FALSE),0)</f>
        <v>0</v>
      </c>
      <c r="BE13" s="196">
        <f>_xlfn.IFNA(HLOOKUP(BE$3,'Total Material Emissions'!$AE$8:$AN$13,6, FALSE),0)</f>
        <v>0</v>
      </c>
      <c r="BF13" s="196">
        <f>_xlfn.IFNA(HLOOKUP(BF$3,'Total Material Emissions'!$AE$8:$AN$13,6, FALSE),0)</f>
        <v>0.32328767123287672</v>
      </c>
      <c r="BG13" s="196">
        <f>_xlfn.IFNA(HLOOKUP(BG$3,'Total Material Emissions'!$AE$8:$AN$13,6, FALSE),0)</f>
        <v>3.8812785388127853E-3</v>
      </c>
      <c r="BH13" s="196">
        <f>_xlfn.IFNA(HLOOKUP(BH$3,'Total Material Emissions'!$AE$8:$AN$13,6, FALSE),0)</f>
        <v>8.9041095890410957E-3</v>
      </c>
      <c r="BI13" s="196">
        <f>_xlfn.IFNA(HLOOKUP(BI$3,'Total Material Emissions'!$AE$8:$AN$13,6, FALSE),0)</f>
        <v>0</v>
      </c>
      <c r="BJ13" s="196">
        <f>_xlfn.IFNA(HLOOKUP(BJ$3,'Total Material Emissions'!$AE$8:$AN$13,6, FALSE),0)</f>
        <v>1.7625570776255709E-2</v>
      </c>
      <c r="BK13" s="196">
        <f>_xlfn.IFNA(HLOOKUP(BK$3,'Total Material Emissions'!$AE$8:$AN$13,6, FALSE),0)</f>
        <v>0</v>
      </c>
      <c r="BL13" s="195">
        <f>_xlfn.IFNA(HLOOKUP(BL$3,'Total Material Emissions'!$AE$8:$AN$13,6, FALSE),0)</f>
        <v>8.6757990867579915E-4</v>
      </c>
      <c r="BM13" s="195">
        <f>_xlfn.IFNA(HLOOKUP(BM$3,'Total Material Emissions'!$AE$8:$AN$13,6, FALSE),0)</f>
        <v>0</v>
      </c>
      <c r="BN13" s="195">
        <f>_xlfn.IFNA(HLOOKUP(BN$3,'Total Material Emissions'!$AE$8:$AN$13,6, FALSE),0)</f>
        <v>0</v>
      </c>
      <c r="BO13" s="195">
        <f>_xlfn.IFNA(HLOOKUP(BO$3,'Total Material Emissions'!$AE$8:$AN$13,6, FALSE),0)</f>
        <v>0</v>
      </c>
      <c r="BP13" s="195">
        <f>_xlfn.IFNA(HLOOKUP(BP$3,'Total Material Emissions'!$AE$8:$AN$13,6, FALSE),0)</f>
        <v>0</v>
      </c>
      <c r="BQ13" s="195">
        <f>_xlfn.IFNA(HLOOKUP(BQ$3,'Total Material Emissions'!$AE$8:$AN$13,6, FALSE),0)</f>
        <v>0</v>
      </c>
      <c r="BR13" s="195">
        <f>_xlfn.IFNA(HLOOKUP(BR$3,'Total Material Emissions'!$AE$8:$AN$13,6, FALSE),0)</f>
        <v>0.42831050228310502</v>
      </c>
      <c r="BS13" s="195">
        <f>_xlfn.IFNA(HLOOKUP(BS$3,'Total Material Emissions'!$AE$8:$AN$13,6, FALSE),0)</f>
        <v>0</v>
      </c>
      <c r="BT13" s="195">
        <f>_xlfn.IFNA(HLOOKUP(BT$3,'Total Material Emissions'!$AE$8:$AN$13,6, FALSE),0)</f>
        <v>0.16273972602739728</v>
      </c>
      <c r="BU13" s="197">
        <f>_xlfn.IFNA(HLOOKUP(BU$3,'Total Material Emissions'!$AE$8:$AN$13,6, FALSE),0)</f>
        <v>0</v>
      </c>
      <c r="BV13" s="130"/>
      <c r="BW13" s="106" t="s">
        <v>111</v>
      </c>
      <c r="BX13" s="182">
        <f>VLOOKUP($BW13,'Material Breakdowns'!$B$42:$Y$63,6,FALSE)</f>
        <v>0.10499999999999997</v>
      </c>
      <c r="BY13" s="188">
        <f>VLOOKUP($BW13,'Material Breakdowns'!$B$42:$Y$63,12,FALSE)</f>
        <v>0.13999999999999987</v>
      </c>
      <c r="BZ13" s="202">
        <f>VLOOKUP($BW13,'Material Breakdowns'!$B$42:$Y$63,18,FALSE)</f>
        <v>5.0000000000000001E-4</v>
      </c>
      <c r="CA13" s="189">
        <f>VLOOKUP($BW13,'Material Breakdowns'!$B$42:$Y$63,24,FALSE)</f>
        <v>9.9999999999999978E-2</v>
      </c>
    </row>
    <row r="14" spans="1:79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I14" s="97" t="s">
        <v>255</v>
      </c>
      <c r="AJ14" s="158">
        <f>VLOOKUP($AI14,'Material Breakdowns'!$B$42:$Y$63,5,FALSE)</f>
        <v>2.9950000000000001</v>
      </c>
      <c r="AK14" s="159">
        <f>VLOOKUP($AI14,'Material Breakdowns'!$B$42:$Y$63,11,FALSE)</f>
        <v>296</v>
      </c>
      <c r="AL14" s="172">
        <f>VLOOKUP($AI14,'Material Breakdowns'!$B$42:$Y$63,17,FALSE)</f>
        <v>1.5E-3</v>
      </c>
      <c r="AM14" s="163">
        <f>VLOOKUP($AI14,'Material Breakdowns'!$B$42:$Y$63,23,FALSE)</f>
        <v>17.094999999999999</v>
      </c>
      <c r="AN14" s="136"/>
      <c r="AO14" s="129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0"/>
      <c r="BQ14" s="130"/>
      <c r="BR14" s="130"/>
      <c r="BS14" s="130"/>
      <c r="BT14" s="130"/>
      <c r="BU14" s="130"/>
      <c r="BV14" s="130"/>
      <c r="BW14" s="106" t="s">
        <v>255</v>
      </c>
      <c r="BX14" s="182">
        <f>VLOOKUP($BW14,'Material Breakdowns'!$B$42:$Y$63,6,FALSE)</f>
        <v>0.14500000000000002</v>
      </c>
      <c r="BY14" s="188">
        <f>VLOOKUP($BW14,'Material Breakdowns'!$B$42:$Y$63,12,FALSE)</f>
        <v>15</v>
      </c>
      <c r="BZ14" s="202">
        <f>VLOOKUP($BW14,'Material Breakdowns'!$B$42:$Y$63,18,FALSE)</f>
        <v>5.0000000000000001E-4</v>
      </c>
      <c r="CA14" s="189">
        <f>VLOOKUP($BW14,'Material Breakdowns'!$B$42:$Y$63,24,FALSE)</f>
        <v>9.9050000000000011</v>
      </c>
    </row>
    <row r="15" spans="1:79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I15" s="97" t="s">
        <v>32</v>
      </c>
      <c r="AJ15" s="158">
        <f>VLOOKUP($AI15,'Material Breakdowns'!$B$42:$Y$63,5,FALSE)</f>
        <v>0.79</v>
      </c>
      <c r="AK15" s="159">
        <f>VLOOKUP($AI15,'Material Breakdowns'!$B$42:$Y$63,11,FALSE)</f>
        <v>14.35</v>
      </c>
      <c r="AL15" s="172">
        <f>VLOOKUP($AI15,'Material Breakdowns'!$B$42:$Y$63,17,FALSE)</f>
        <v>0.24</v>
      </c>
      <c r="AM15" s="163">
        <f>VLOOKUP($AI15,'Material Breakdowns'!$B$42:$Y$63,23,FALSE)</f>
        <v>1.27</v>
      </c>
      <c r="AO15" s="129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4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06" t="s">
        <v>32</v>
      </c>
      <c r="BX15" s="182">
        <f>VLOOKUP($BW15,'Material Breakdowns'!$B$42:$Y$63,6,FALSE)</f>
        <v>7.0000000000000007E-2</v>
      </c>
      <c r="BY15" s="188">
        <f>VLOOKUP($BW15,'Material Breakdowns'!$B$42:$Y$63,12,FALSE)</f>
        <v>0.74999999999999989</v>
      </c>
      <c r="BZ15" s="202">
        <f>VLOOKUP($BW15,'Material Breakdowns'!$B$42:$Y$63,18,FALSE)</f>
        <v>2.0000000000000004E-2</v>
      </c>
      <c r="CA15" s="189">
        <f>VLOOKUP($BW15,'Material Breakdowns'!$B$42:$Y$63,24,FALSE)</f>
        <v>7.0000000000000048E-2</v>
      </c>
    </row>
    <row r="16" spans="1:79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I16" s="97" t="s">
        <v>160</v>
      </c>
      <c r="AJ16" s="158">
        <f>VLOOKUP($AI16,'Material Breakdowns'!$B$42:$Y$63,5,FALSE)</f>
        <v>1.07</v>
      </c>
      <c r="AK16" s="159">
        <f>VLOOKUP($AI16,'Material Breakdowns'!$B$42:$Y$63,11,FALSE)</f>
        <v>9.3000000000000007</v>
      </c>
      <c r="AL16" s="172">
        <f>VLOOKUP($AI16,'Material Breakdowns'!$B$42:$Y$63,17,FALSE)</f>
        <v>0.01</v>
      </c>
      <c r="AM16" s="163">
        <f>VLOOKUP($AI16,'Material Breakdowns'!$B$42:$Y$63,23,FALSE)</f>
        <v>0.71</v>
      </c>
      <c r="AN16" s="136"/>
      <c r="AO16" s="129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7"/>
      <c r="BC16" s="137"/>
      <c r="BD16" s="137"/>
      <c r="BE16" s="137"/>
      <c r="BF16" s="137"/>
      <c r="BG16" s="137"/>
      <c r="BH16" s="137"/>
      <c r="BI16" s="137"/>
      <c r="BJ16" s="137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06" t="s">
        <v>160</v>
      </c>
      <c r="BX16" s="182">
        <f>VLOOKUP($BW16,'Material Breakdowns'!$B$42:$Y$63,6,FALSE)</f>
        <v>0.21400000000000002</v>
      </c>
      <c r="BY16" s="188">
        <f>VLOOKUP($BW16,'Material Breakdowns'!$B$42:$Y$63,12,FALSE)</f>
        <v>1.8600000000000003</v>
      </c>
      <c r="BZ16" s="202">
        <f>VLOOKUP($BW16,'Material Breakdowns'!$B$42:$Y$63,18,FALSE)</f>
        <v>0.01</v>
      </c>
      <c r="CA16" s="189">
        <f>VLOOKUP($BW16,'Material Breakdowns'!$B$42:$Y$63,24,FALSE)</f>
        <v>0.17999999999999994</v>
      </c>
    </row>
    <row r="17" spans="1:79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I17" s="97" t="s">
        <v>229</v>
      </c>
      <c r="AJ17" s="158">
        <f>VLOOKUP($AI17,'Material Breakdowns'!$B$42:$Y$63,5,FALSE)</f>
        <v>8.625</v>
      </c>
      <c r="AK17" s="159">
        <f>VLOOKUP($AI17,'Material Breakdowns'!$B$42:$Y$63,11,FALSE)</f>
        <v>5861</v>
      </c>
      <c r="AL17" s="172">
        <f>VLOOKUP($AI17,'Material Breakdowns'!$B$42:$Y$63,17,FALSE)</f>
        <v>0.33750000000000002</v>
      </c>
      <c r="AM17" s="163">
        <f>VLOOKUP($AI17,'Material Breakdowns'!$B$42:$Y$63,23,FALSE)</f>
        <v>9.9849999999999994</v>
      </c>
      <c r="AN17" s="136"/>
      <c r="AO17" s="129"/>
      <c r="AP17" s="148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06" t="s">
        <v>229</v>
      </c>
      <c r="BX17" s="182">
        <f>VLOOKUP($BW17,'Material Breakdowns'!$B$42:$Y$63,6,FALSE)</f>
        <v>5.1750000000000016</v>
      </c>
      <c r="BY17" s="188">
        <f>VLOOKUP($BW17,'Material Breakdowns'!$B$42:$Y$63,12,FALSE)</f>
        <v>5638.9999999999991</v>
      </c>
      <c r="BZ17" s="202">
        <f>VLOOKUP($BW17,'Material Breakdowns'!$B$42:$Y$63,18,FALSE)</f>
        <v>0.27749999999999991</v>
      </c>
      <c r="CA17" s="189">
        <f>VLOOKUP($BW17,'Material Breakdowns'!$B$42:$Y$63,24,FALSE)</f>
        <v>5.4150000000000027</v>
      </c>
    </row>
    <row r="18" spans="1:79">
      <c r="A18" s="128"/>
      <c r="B18" s="128"/>
      <c r="C18" s="128"/>
      <c r="D18" s="128"/>
      <c r="E18" s="128"/>
      <c r="F18" s="134"/>
      <c r="G18" s="128"/>
      <c r="H18" s="128"/>
      <c r="I18" s="128"/>
      <c r="J18" s="128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I18" s="97" t="s">
        <v>9</v>
      </c>
      <c r="AJ18" s="158">
        <f>VLOOKUP($AI18,'Material Breakdowns'!$B$42:$Y$63,5,FALSE)</f>
        <v>2.42</v>
      </c>
      <c r="AK18" s="159">
        <f>VLOOKUP($AI18,'Material Breakdowns'!$B$42:$Y$63,11,FALSE)</f>
        <v>178.5</v>
      </c>
      <c r="AL18" s="172">
        <f>VLOOKUP($AI18,'Material Breakdowns'!$B$42:$Y$63,17,FALSE)</f>
        <v>5.0000000000000001E-4</v>
      </c>
      <c r="AM18" s="163">
        <f>VLOOKUP($AI18,'Material Breakdowns'!$B$42:$Y$63,23,FALSE)</f>
        <v>2.0750000000000002</v>
      </c>
      <c r="AN18" s="136"/>
      <c r="AO18" s="129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06" t="s">
        <v>9</v>
      </c>
      <c r="BX18" s="182">
        <f>VLOOKUP($BW18,'Material Breakdowns'!$B$42:$Y$63,6,FALSE)</f>
        <v>0.48399999999999999</v>
      </c>
      <c r="BY18" s="188">
        <f>VLOOKUP($BW18,'Material Breakdowns'!$B$42:$Y$63,12,FALSE)</f>
        <v>35.700000000000003</v>
      </c>
      <c r="BZ18" s="202">
        <f>VLOOKUP($BW18,'Material Breakdowns'!$B$42:$Y$63,18,FALSE)</f>
        <v>5.0000000000000001E-4</v>
      </c>
      <c r="CA18" s="189">
        <f>VLOOKUP($BW18,'Material Breakdowns'!$B$42:$Y$63,24,FALSE)</f>
        <v>0.5949999999999992</v>
      </c>
    </row>
    <row r="19" spans="1:7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I19" s="97" t="s">
        <v>12</v>
      </c>
      <c r="AJ19" s="158">
        <f>VLOOKUP($AI19,'Material Breakdowns'!$B$42:$Y$63,5,FALSE)</f>
        <v>2.7149999999999999</v>
      </c>
      <c r="AK19" s="159">
        <f>VLOOKUP($AI19,'Material Breakdowns'!$B$42:$Y$63,11,FALSE)</f>
        <v>20.8</v>
      </c>
      <c r="AL19" s="172">
        <f>VLOOKUP($AI19,'Material Breakdowns'!$B$42:$Y$63,17,FALSE)</f>
        <v>7.4999999999999997E-3</v>
      </c>
      <c r="AM19" s="163">
        <f>VLOOKUP($AI19,'Material Breakdowns'!$B$42:$Y$63,23,FALSE)</f>
        <v>2.8</v>
      </c>
      <c r="AO19" s="129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06" t="s">
        <v>12</v>
      </c>
      <c r="BX19" s="182">
        <f>VLOOKUP($BW19,'Material Breakdowns'!$B$42:$Y$63,6,FALSE)</f>
        <v>1.4999999999999902E-2</v>
      </c>
      <c r="BY19" s="188">
        <f>VLOOKUP($BW19,'Material Breakdowns'!$B$42:$Y$63,12,FALSE)</f>
        <v>1</v>
      </c>
      <c r="BZ19" s="202">
        <f>VLOOKUP($BW19,'Material Breakdowns'!$B$42:$Y$63,18,FALSE)</f>
        <v>2.5000000000000005E-3</v>
      </c>
      <c r="CA19" s="189">
        <f>VLOOKUP($BW19,'Material Breakdowns'!$B$42:$Y$63,24,FALSE)</f>
        <v>0.38000000000000239</v>
      </c>
    </row>
    <row r="20" spans="1:79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I20" s="97" t="s">
        <v>221</v>
      </c>
      <c r="AJ20" s="158">
        <f>VLOOKUP($AI20,'Material Breakdowns'!$B$42:$Y$63,5,FALSE)</f>
        <v>2.4950000000000001</v>
      </c>
      <c r="AK20" s="159">
        <f>VLOOKUP($AI20,'Material Breakdowns'!$B$42:$Y$63,11,FALSE)</f>
        <v>207.5</v>
      </c>
      <c r="AL20" s="172">
        <f>VLOOKUP($AI20,'Material Breakdowns'!$B$42:$Y$63,17,FALSE)</f>
        <v>7.4999999999999997E-3</v>
      </c>
      <c r="AM20" s="163">
        <f>VLOOKUP($AI20,'Material Breakdowns'!$B$42:$Y$63,23,FALSE)</f>
        <v>2.2000000000000002</v>
      </c>
      <c r="AN20" s="136"/>
      <c r="AO20" s="129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06" t="s">
        <v>221</v>
      </c>
      <c r="BX20" s="182">
        <f>VLOOKUP($BW20,'Material Breakdowns'!$B$42:$Y$63,6,FALSE)</f>
        <v>0.125</v>
      </c>
      <c r="BY20" s="188">
        <f>VLOOKUP($BW20,'Material Breakdowns'!$B$42:$Y$63,12,FALSE)</f>
        <v>10.499999999999998</v>
      </c>
      <c r="BZ20" s="202">
        <f>VLOOKUP($BW20,'Material Breakdowns'!$B$42:$Y$63,18,FALSE)</f>
        <v>2.5000000000000005E-3</v>
      </c>
      <c r="CA20" s="189">
        <f>VLOOKUP($BW20,'Material Breakdowns'!$B$42:$Y$63,24,FALSE)</f>
        <v>2.0000000000000018E-2</v>
      </c>
    </row>
    <row r="21" spans="1:79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I21" s="97" t="s">
        <v>158</v>
      </c>
      <c r="AJ21" s="158">
        <f>VLOOKUP($AI21,'Material Breakdowns'!$B$42:$Y$63,5,FALSE)</f>
        <v>3.625</v>
      </c>
      <c r="AK21" s="159">
        <f>VLOOKUP($AI21,'Material Breakdowns'!$B$42:$Y$63,11,FALSE)</f>
        <v>51.8</v>
      </c>
      <c r="AL21" s="172">
        <f>VLOOKUP($AI21,'Material Breakdowns'!$B$42:$Y$63,17,FALSE)</f>
        <v>7.4999999999999997E-3</v>
      </c>
      <c r="AM21" s="163">
        <f>VLOOKUP($AI21,'Material Breakdowns'!$B$42:$Y$63,23,FALSE)</f>
        <v>1.51</v>
      </c>
      <c r="AN21" s="136"/>
      <c r="AO21" s="129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06" t="s">
        <v>158</v>
      </c>
      <c r="BX21" s="182">
        <f>VLOOKUP($BW21,'Material Breakdowns'!$B$42:$Y$63,6,FALSE)</f>
        <v>0.18500000000000003</v>
      </c>
      <c r="BY21" s="188">
        <f>VLOOKUP($BW21,'Material Breakdowns'!$B$42:$Y$63,12,FALSE)</f>
        <v>2.5999999999999979</v>
      </c>
      <c r="BZ21" s="202">
        <f>VLOOKUP($BW21,'Material Breakdowns'!$B$42:$Y$63,18,FALSE)</f>
        <v>2.5000000000000005E-3</v>
      </c>
      <c r="CA21" s="189">
        <f>VLOOKUP($BW21,'Material Breakdowns'!$B$42:$Y$63,24,FALSE)</f>
        <v>9.0000000000000094E-2</v>
      </c>
    </row>
    <row r="22" spans="1:79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I22" s="97" t="s">
        <v>326</v>
      </c>
      <c r="AJ22" s="158">
        <f>VLOOKUP($AI22,'Material Breakdowns'!$B$42:$Y$63,5,FALSE)</f>
        <v>1.585E-2</v>
      </c>
      <c r="AK22" s="159">
        <f>VLOOKUP($AI22,'Material Breakdowns'!$B$42:$Y$63,11,FALSE)</f>
        <v>3.4</v>
      </c>
      <c r="AL22" s="172">
        <f>VLOOKUP($AI22,'Material Breakdowns'!$B$42:$Y$63,17,FALSE)</f>
        <v>1.4999999999999999E-2</v>
      </c>
      <c r="AM22" s="163">
        <f>VLOOKUP($AI22,'Material Breakdowns'!$B$42:$Y$63,23,FALSE)</f>
        <v>0.28305000000000002</v>
      </c>
      <c r="AN22" s="136"/>
      <c r="AO22" s="129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06" t="s">
        <v>326</v>
      </c>
      <c r="BX22" s="182">
        <f>VLOOKUP($BW22,'Material Breakdowns'!$B$42:$Y$63,6,FALSE)</f>
        <v>1.1049999999999999E-2</v>
      </c>
      <c r="BY22" s="188">
        <f>VLOOKUP($BW22,'Material Breakdowns'!$B$42:$Y$63,12,FALSE)</f>
        <v>0.16999999999999993</v>
      </c>
      <c r="BZ22" s="202">
        <f>VLOOKUP($BW22,'Material Breakdowns'!$B$42:$Y$63,18,FALSE)</f>
        <v>5.000000000000001E-3</v>
      </c>
      <c r="CA22" s="189">
        <f>VLOOKUP($BW22,'Material Breakdowns'!$B$42:$Y$63,24,FALSE)</f>
        <v>0.24794999999999998</v>
      </c>
    </row>
    <row r="23" spans="1:79">
      <c r="A23" s="128"/>
      <c r="B23" s="128"/>
      <c r="C23" s="128"/>
      <c r="D23" s="134"/>
      <c r="E23" s="128"/>
      <c r="F23" s="128"/>
      <c r="G23" s="128"/>
      <c r="H23" s="128"/>
      <c r="I23" s="128"/>
      <c r="J23" s="128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I23" s="97" t="s">
        <v>269</v>
      </c>
      <c r="AJ23" s="158">
        <f>VLOOKUP($AI23,'Material Breakdowns'!$B$42:$Y$63,5,FALSE)</f>
        <v>5.34</v>
      </c>
      <c r="AK23" s="159">
        <f>VLOOKUP($AI23,'Material Breakdowns'!$B$42:$Y$63,11,FALSE)</f>
        <v>24.45</v>
      </c>
      <c r="AL23" s="172">
        <f>VLOOKUP($AI23,'Material Breakdowns'!$B$42:$Y$63,17,FALSE)</f>
        <v>5.0000000000000001E-4</v>
      </c>
      <c r="AM23" s="163">
        <f>VLOOKUP($AI23,'Material Breakdowns'!$B$42:$Y$63,23,FALSE)</f>
        <v>102.65</v>
      </c>
      <c r="AO23" s="129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06" t="s">
        <v>269</v>
      </c>
      <c r="BX23" s="182">
        <f>VLOOKUP($BW23,'Material Breakdowns'!$B$42:$Y$63,6,FALSE)</f>
        <v>1.5600000000000016</v>
      </c>
      <c r="BY23" s="188">
        <f>VLOOKUP($BW23,'Material Breakdowns'!$B$42:$Y$63,12,FALSE)</f>
        <v>1.25</v>
      </c>
      <c r="BZ23" s="202">
        <f>VLOOKUP($BW23,'Material Breakdowns'!$B$42:$Y$63,18,FALSE)</f>
        <v>5.0000000000000001E-4</v>
      </c>
      <c r="CA23" s="189">
        <f>VLOOKUP($BW23,'Material Breakdowns'!$B$42:$Y$63,24,FALSE)</f>
        <v>68.34999999999998</v>
      </c>
    </row>
    <row r="24" spans="1:79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I24" s="97" t="s">
        <v>8</v>
      </c>
      <c r="AJ24" s="158">
        <f>VLOOKUP($AI24,'Material Breakdowns'!$B$42:$Y$63,5,FALSE)</f>
        <v>2.46</v>
      </c>
      <c r="AK24" s="159">
        <f>VLOOKUP($AI24,'Material Breakdowns'!$B$42:$Y$63,11,FALSE)</f>
        <v>48</v>
      </c>
      <c r="AL24" s="172">
        <f>VLOOKUP($AI24,'Material Breakdowns'!$B$42:$Y$63,17,FALSE)</f>
        <v>0.42000000000000004</v>
      </c>
      <c r="AM24" s="163">
        <f>VLOOKUP($AI24,'Material Breakdowns'!$B$42:$Y$63,23,FALSE)</f>
        <v>0.626</v>
      </c>
      <c r="AO24" s="129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06" t="s">
        <v>8</v>
      </c>
      <c r="BX24" s="182">
        <f>VLOOKUP($BW24,'Material Breakdowns'!$B$42:$Y$63,6,FALSE)</f>
        <v>0.25000000000000178</v>
      </c>
      <c r="BY24" s="188">
        <f>VLOOKUP($BW24,'Material Breakdowns'!$B$42:$Y$63,12,FALSE)</f>
        <v>4</v>
      </c>
      <c r="BZ24" s="202">
        <f>VLOOKUP($BW24,'Material Breakdowns'!$B$42:$Y$63,18,FALSE)</f>
        <v>1.999999999999999E-2</v>
      </c>
      <c r="CA24" s="189">
        <f>VLOOKUP($BW24,'Material Breakdowns'!$B$42:$Y$63,24,FALSE)</f>
        <v>4.2000000000000037E-2</v>
      </c>
    </row>
    <row r="25" spans="1:79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I25" s="97" t="s">
        <v>228</v>
      </c>
      <c r="AJ25" s="167">
        <f>VLOOKUP($AI25,'Material Breakdowns'!$B$42:$Y$63,5,FALSE)</f>
        <v>5.665</v>
      </c>
      <c r="AK25" s="168">
        <f>VLOOKUP($AI25,'Material Breakdowns'!$B$42:$Y$63,11,FALSE)</f>
        <v>135</v>
      </c>
      <c r="AL25" s="173">
        <f>VLOOKUP($AI25,'Material Breakdowns'!$B$42:$Y$63,17,FALSE)</f>
        <v>0.375</v>
      </c>
      <c r="AM25" s="169">
        <f>VLOOKUP($AI25,'Material Breakdowns'!$B$42:$Y$63,23,FALSE)</f>
        <v>2.6849999999999996</v>
      </c>
      <c r="AN25" s="136"/>
      <c r="AO25" s="129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06" t="s">
        <v>228</v>
      </c>
      <c r="BX25" s="194">
        <f>VLOOKUP($BW25,'Material Breakdowns'!$B$42:$Y$63,6,FALSE)</f>
        <v>0.48500000000000032</v>
      </c>
      <c r="BY25" s="203">
        <f>VLOOKUP($BW25,'Material Breakdowns'!$B$42:$Y$63,12,FALSE)</f>
        <v>5</v>
      </c>
      <c r="BZ25" s="204">
        <f>VLOOKUP($BW25,'Material Breakdowns'!$B$42:$Y$63,18,FALSE)</f>
        <v>1.5000000000000012E-2</v>
      </c>
      <c r="CA25" s="205">
        <f>VLOOKUP($BW25,'Material Breakdowns'!$B$42:$Y$63,24,FALSE)</f>
        <v>9.4999999999999973E-2</v>
      </c>
    </row>
    <row r="26" spans="1:79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35"/>
      <c r="L26" s="136"/>
      <c r="M26" s="128"/>
      <c r="N26" s="149"/>
      <c r="O26" s="150"/>
      <c r="P26" s="128"/>
      <c r="Q26" s="128"/>
      <c r="R26" s="128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I26" s="127"/>
      <c r="AJ26" s="127"/>
      <c r="AK26" s="127"/>
      <c r="AL26" s="127"/>
      <c r="AM26" s="127"/>
      <c r="AO26" s="129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27"/>
      <c r="CA26" s="127"/>
    </row>
    <row r="27" spans="1:79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36"/>
      <c r="M27" s="136"/>
      <c r="N27" s="136"/>
      <c r="O27" s="134"/>
      <c r="P27" s="128"/>
      <c r="Q27" s="128"/>
      <c r="R27" s="128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I27" s="127"/>
      <c r="AJ27" s="127"/>
      <c r="AK27" s="127"/>
      <c r="AL27" s="127"/>
      <c r="AM27" s="127"/>
      <c r="AP27" s="127"/>
      <c r="AQ27" s="127"/>
      <c r="AR27" s="127"/>
      <c r="AS27" s="127"/>
      <c r="AT27" s="127"/>
      <c r="AU27" s="127"/>
      <c r="AV27" s="127"/>
      <c r="AW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W27" s="127"/>
      <c r="BX27" s="127"/>
      <c r="BY27" s="127"/>
      <c r="BZ27" s="127"/>
      <c r="CA27" s="127"/>
    </row>
    <row r="28" spans="1:79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36"/>
      <c r="M28" s="128"/>
      <c r="N28" s="128"/>
      <c r="O28" s="128"/>
      <c r="P28" s="128"/>
      <c r="Q28" s="128"/>
      <c r="R28" s="128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I28" s="127"/>
      <c r="AJ28" s="127"/>
      <c r="AK28" s="127"/>
      <c r="AL28" s="127"/>
      <c r="AM28" s="127"/>
      <c r="AP28" s="127"/>
      <c r="AQ28" s="127"/>
      <c r="AR28" s="127"/>
      <c r="AS28" s="127"/>
      <c r="AT28" s="127"/>
      <c r="AU28" s="127"/>
      <c r="AV28" s="127"/>
      <c r="AW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W28" s="127"/>
      <c r="BX28" s="127"/>
      <c r="BY28" s="127"/>
      <c r="BZ28" s="127"/>
      <c r="CA28" s="127"/>
    </row>
    <row r="29" spans="1:79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36"/>
      <c r="M29" s="128"/>
      <c r="N29" s="128"/>
      <c r="O29" s="128"/>
      <c r="P29" s="128"/>
      <c r="Q29" s="128"/>
      <c r="R29" s="128"/>
      <c r="S29" s="127"/>
      <c r="T29" s="127"/>
      <c r="U29" s="127"/>
      <c r="V29" s="127"/>
      <c r="W29" s="127"/>
      <c r="X29" s="127"/>
      <c r="Y29" s="127"/>
      <c r="Z29" s="127"/>
      <c r="AA29" s="137"/>
      <c r="AB29" s="137"/>
      <c r="AC29" s="137"/>
      <c r="AD29" s="137"/>
      <c r="AE29" s="127"/>
      <c r="AF29" s="127"/>
      <c r="AG29" s="127"/>
      <c r="AI29" s="127"/>
      <c r="AK29" s="127"/>
      <c r="AL29" s="127"/>
      <c r="AM29" s="127"/>
      <c r="AP29" s="127"/>
      <c r="AQ29" s="127"/>
      <c r="AR29" s="127"/>
      <c r="AS29" s="127"/>
      <c r="AT29" s="127"/>
      <c r="AU29" s="127"/>
      <c r="AV29" s="127"/>
      <c r="AW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W29" s="127"/>
      <c r="BX29" s="127"/>
      <c r="BY29" s="127"/>
      <c r="BZ29" s="127"/>
      <c r="CA29" s="127"/>
    </row>
    <row r="30" spans="1:79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36"/>
      <c r="M30" s="128"/>
      <c r="N30" s="128"/>
      <c r="O30" s="128"/>
      <c r="P30" s="128"/>
      <c r="Q30" s="128"/>
      <c r="R30" s="128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I30" s="127"/>
      <c r="AJ30" s="127"/>
      <c r="AK30" s="127"/>
      <c r="AL30" s="127"/>
      <c r="AM30" s="127"/>
      <c r="AP30" s="127"/>
      <c r="AQ30" s="127"/>
      <c r="AR30" s="127"/>
      <c r="AS30" s="127"/>
      <c r="AT30" s="127"/>
      <c r="AU30" s="127"/>
      <c r="AV30" s="127"/>
      <c r="AW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W30" s="127"/>
      <c r="BX30" s="127"/>
      <c r="BY30" s="127"/>
      <c r="BZ30" s="127"/>
      <c r="CA30" s="127"/>
    </row>
    <row r="31" spans="1:79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36"/>
      <c r="M31" s="128"/>
      <c r="N31" s="128"/>
      <c r="O31" s="128"/>
      <c r="P31" s="128"/>
      <c r="Q31" s="128"/>
      <c r="R31" s="128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I31" s="127"/>
      <c r="AJ31" s="127"/>
      <c r="AK31" s="127"/>
      <c r="AL31" s="127"/>
      <c r="AM31" s="127"/>
      <c r="AP31" s="127"/>
      <c r="AQ31" s="127"/>
      <c r="AR31" s="127"/>
      <c r="AS31" s="127"/>
      <c r="AT31" s="127"/>
      <c r="AU31" s="127"/>
      <c r="AV31" s="127"/>
      <c r="AW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W31" s="127"/>
      <c r="BX31" s="127"/>
      <c r="BY31" s="127"/>
      <c r="BZ31" s="127"/>
      <c r="CA31" s="127"/>
    </row>
    <row r="32" spans="1:79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36"/>
      <c r="M32" s="128"/>
      <c r="N32" s="128"/>
      <c r="O32" s="128"/>
      <c r="P32" s="128"/>
      <c r="Q32" s="128"/>
      <c r="R32" s="128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I32" s="127"/>
      <c r="AJ32" s="127"/>
      <c r="AK32" s="127"/>
      <c r="AL32" s="127"/>
      <c r="AM32" s="127"/>
      <c r="AP32" s="127"/>
      <c r="AQ32" s="127"/>
      <c r="AR32" s="127"/>
      <c r="AS32" s="127"/>
      <c r="AT32" s="127"/>
      <c r="AU32" s="127"/>
      <c r="AV32" s="127"/>
      <c r="AW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W32" s="127"/>
      <c r="BX32" s="127"/>
      <c r="BY32" s="127"/>
      <c r="BZ32" s="127"/>
      <c r="CA32" s="127"/>
    </row>
    <row r="33" spans="1:79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36"/>
      <c r="M33" s="128"/>
      <c r="N33" s="128"/>
      <c r="O33" s="128"/>
      <c r="P33" s="128"/>
      <c r="Q33" s="128"/>
      <c r="R33" s="128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I33" s="127"/>
      <c r="AJ33" s="127"/>
      <c r="AK33" s="127"/>
      <c r="AL33" s="127"/>
      <c r="AM33" s="127"/>
      <c r="AP33" s="127"/>
      <c r="AQ33" s="127"/>
      <c r="AR33" s="127"/>
      <c r="AS33" s="127"/>
      <c r="AT33" s="127"/>
      <c r="AU33" s="127"/>
      <c r="AV33" s="127"/>
      <c r="AW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W33" s="127"/>
      <c r="BX33" s="127"/>
      <c r="BY33" s="127"/>
      <c r="BZ33" s="127"/>
      <c r="CA33" s="127"/>
    </row>
    <row r="34" spans="1:79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38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I34" s="127"/>
      <c r="AJ34" s="127"/>
      <c r="AK34" s="127"/>
      <c r="AL34" s="127"/>
      <c r="AM34" s="127"/>
      <c r="AP34" s="127"/>
      <c r="AQ34" s="127"/>
      <c r="AR34" s="127"/>
      <c r="AS34" s="127"/>
      <c r="AT34" s="127"/>
      <c r="AU34" s="127"/>
      <c r="AV34" s="127"/>
      <c r="AW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W34" s="127"/>
      <c r="BX34" s="127"/>
      <c r="BY34" s="127"/>
      <c r="BZ34" s="127"/>
      <c r="CA34" s="127"/>
    </row>
    <row r="35" spans="1:79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38"/>
      <c r="M35" s="127"/>
      <c r="N35" s="127"/>
      <c r="O35" s="127"/>
      <c r="P35" s="127"/>
      <c r="Q35" s="127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7"/>
      <c r="AI35" s="127"/>
      <c r="AJ35" s="127"/>
      <c r="AK35" s="127"/>
      <c r="AL35" s="127"/>
      <c r="AM35" s="127"/>
      <c r="AP35" s="127"/>
      <c r="AQ35" s="127"/>
      <c r="AR35" s="127"/>
      <c r="AS35" s="127"/>
      <c r="AT35" s="127"/>
      <c r="AU35" s="127"/>
      <c r="AV35" s="127"/>
      <c r="AW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W35" s="127"/>
      <c r="BX35" s="127"/>
      <c r="BY35" s="127"/>
      <c r="BZ35" s="127"/>
      <c r="CA35" s="127"/>
    </row>
    <row r="36" spans="1:79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38"/>
      <c r="M36" s="127"/>
      <c r="N36" s="127"/>
      <c r="O36" s="127"/>
      <c r="P36" s="127"/>
      <c r="Q36" s="127"/>
      <c r="R36" s="128"/>
      <c r="S36" s="139"/>
      <c r="T36" s="139"/>
      <c r="U36" s="139"/>
      <c r="V36" s="139"/>
      <c r="W36" s="139"/>
      <c r="X36" s="140"/>
      <c r="Y36" s="139"/>
      <c r="Z36" s="139"/>
      <c r="AA36" s="139"/>
      <c r="AB36" s="139"/>
      <c r="AC36" s="139"/>
      <c r="AD36" s="140"/>
      <c r="AE36" s="139"/>
      <c r="AF36" s="128"/>
      <c r="AG36" s="127"/>
      <c r="AI36" s="127"/>
      <c r="AJ36" s="127"/>
      <c r="AK36" s="127"/>
      <c r="AL36" s="127"/>
      <c r="AM36" s="127"/>
      <c r="AP36" s="127"/>
      <c r="AQ36" s="127"/>
      <c r="AR36" s="127"/>
      <c r="AS36" s="127"/>
      <c r="AT36" s="127"/>
      <c r="AU36" s="127"/>
      <c r="AV36" s="127"/>
      <c r="AW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W36" s="127"/>
      <c r="BX36" s="127"/>
      <c r="BY36" s="127"/>
      <c r="BZ36" s="127"/>
      <c r="CA36" s="127"/>
    </row>
    <row r="37" spans="1:79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8"/>
      <c r="S37" s="128"/>
      <c r="T37" s="128"/>
      <c r="U37" s="128"/>
      <c r="V37" s="128"/>
      <c r="W37" s="128"/>
      <c r="X37" s="128"/>
      <c r="Y37" s="141"/>
      <c r="Z37" s="128"/>
      <c r="AA37" s="128"/>
      <c r="AB37" s="128"/>
      <c r="AC37" s="142"/>
      <c r="AD37" s="128"/>
      <c r="AE37" s="141"/>
      <c r="AF37" s="128"/>
      <c r="AG37" s="127"/>
      <c r="AI37" s="127"/>
      <c r="AJ37" s="127"/>
      <c r="AK37" s="127"/>
      <c r="AL37" s="127"/>
      <c r="AM37" s="127"/>
      <c r="AP37" s="127"/>
      <c r="AQ37" s="127"/>
      <c r="AR37" s="127"/>
      <c r="AS37" s="127"/>
      <c r="AT37" s="127"/>
      <c r="AU37" s="127"/>
      <c r="AV37" s="127"/>
      <c r="AW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W37" s="127"/>
      <c r="BX37" s="127"/>
      <c r="BY37" s="127"/>
      <c r="BZ37" s="127"/>
      <c r="CA37" s="127"/>
    </row>
    <row r="38" spans="1:79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8"/>
      <c r="S38" s="128"/>
      <c r="T38" s="128"/>
      <c r="U38" s="128"/>
      <c r="V38" s="128"/>
      <c r="W38" s="128"/>
      <c r="X38" s="128"/>
      <c r="Y38" s="136"/>
      <c r="Z38" s="128"/>
      <c r="AA38" s="128"/>
      <c r="AB38" s="128"/>
      <c r="AC38" s="128"/>
      <c r="AD38" s="128"/>
      <c r="AE38" s="136"/>
      <c r="AF38" s="128"/>
      <c r="AG38" s="127"/>
      <c r="AI38" s="127"/>
      <c r="AJ38" s="127"/>
      <c r="AK38" s="127"/>
      <c r="AL38" s="127"/>
      <c r="AM38" s="127"/>
      <c r="AP38" s="127"/>
      <c r="AQ38" s="127"/>
      <c r="AR38" s="127"/>
      <c r="AS38" s="127"/>
      <c r="AT38" s="127"/>
      <c r="AU38" s="127"/>
      <c r="AV38" s="127"/>
      <c r="AW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W38" s="127"/>
      <c r="BX38" s="127"/>
      <c r="BY38" s="127"/>
      <c r="BZ38" s="127"/>
      <c r="CA38" s="127"/>
    </row>
    <row r="39" spans="1:79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I39" s="127"/>
      <c r="AJ39" s="127"/>
      <c r="AK39" s="127"/>
      <c r="AL39" s="127"/>
      <c r="AM39" s="127"/>
      <c r="AP39" s="127"/>
      <c r="AQ39" s="127"/>
      <c r="AR39" s="127"/>
      <c r="AS39" s="127"/>
      <c r="AT39" s="127"/>
      <c r="AU39" s="127"/>
      <c r="AV39" s="127"/>
      <c r="AW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W39" s="127"/>
      <c r="BX39" s="127"/>
      <c r="BY39" s="127"/>
      <c r="BZ39" s="127"/>
      <c r="CA39" s="127"/>
    </row>
    <row r="40" spans="1:79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I40" s="127"/>
      <c r="AJ40" s="127"/>
      <c r="AK40" s="127"/>
      <c r="AL40" s="127"/>
      <c r="AM40" s="127"/>
      <c r="AP40" s="127"/>
      <c r="AQ40" s="127"/>
      <c r="AR40" s="127"/>
      <c r="AS40" s="127"/>
      <c r="AT40" s="127"/>
      <c r="AU40" s="127"/>
      <c r="AV40" s="127"/>
      <c r="AW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W40" s="127"/>
      <c r="BX40" s="127"/>
      <c r="BY40" s="127"/>
      <c r="BZ40" s="127"/>
      <c r="CA40" s="127"/>
    </row>
    <row r="41" spans="1:79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I41" s="127"/>
      <c r="AJ41" s="127"/>
      <c r="AK41" s="127"/>
      <c r="AL41" s="127"/>
      <c r="AM41" s="127"/>
      <c r="AP41" s="127"/>
      <c r="AQ41" s="127"/>
      <c r="AR41" s="127"/>
      <c r="AS41" s="127"/>
      <c r="AT41" s="127"/>
      <c r="AU41" s="127"/>
      <c r="AV41" s="127"/>
      <c r="AW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W41" s="127"/>
      <c r="BX41" s="127"/>
      <c r="BY41" s="127"/>
      <c r="BZ41" s="127"/>
      <c r="CA41" s="127"/>
    </row>
    <row r="42" spans="1:79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I42" s="127"/>
      <c r="AJ42" s="127"/>
      <c r="AK42" s="127"/>
      <c r="AL42" s="127"/>
      <c r="AM42" s="127"/>
      <c r="AP42" s="127"/>
      <c r="AQ42" s="127"/>
      <c r="AR42" s="127"/>
      <c r="AS42" s="127"/>
      <c r="AT42" s="127"/>
      <c r="AU42" s="127"/>
      <c r="AV42" s="127"/>
      <c r="AW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W42" s="127"/>
      <c r="BX42" s="127"/>
      <c r="BY42" s="127"/>
      <c r="BZ42" s="127"/>
      <c r="CA42" s="127"/>
    </row>
    <row r="43" spans="1:79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I43" s="127"/>
      <c r="AJ43" s="127"/>
      <c r="AK43" s="127"/>
      <c r="AL43" s="127"/>
      <c r="AM43" s="127"/>
      <c r="AP43" s="127"/>
      <c r="AQ43" s="127"/>
      <c r="AR43" s="127"/>
      <c r="AS43" s="127"/>
      <c r="AT43" s="127"/>
      <c r="AU43" s="127"/>
      <c r="AV43" s="127"/>
      <c r="AW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W43" s="127"/>
      <c r="BX43" s="127"/>
      <c r="BY43" s="127"/>
      <c r="BZ43" s="127"/>
      <c r="CA43" s="127"/>
    </row>
    <row r="44" spans="1:79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I44" s="127"/>
      <c r="AJ44" s="127"/>
      <c r="AK44" s="127"/>
      <c r="AL44" s="127"/>
      <c r="AM44" s="127"/>
      <c r="AP44" s="127"/>
      <c r="AQ44" s="127"/>
      <c r="AR44" s="127"/>
      <c r="AS44" s="127"/>
      <c r="AT44" s="127"/>
      <c r="AU44" s="127"/>
      <c r="AV44" s="127"/>
      <c r="AW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W44" s="127"/>
      <c r="BX44" s="127"/>
      <c r="BY44" s="127"/>
      <c r="BZ44" s="127"/>
      <c r="CA44" s="127"/>
    </row>
    <row r="45" spans="1:79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I45" s="127"/>
      <c r="AJ45" s="127"/>
      <c r="AK45" s="127"/>
      <c r="AL45" s="127"/>
      <c r="AM45" s="127"/>
      <c r="AP45" s="127"/>
      <c r="AQ45" s="127"/>
      <c r="AR45" s="127"/>
      <c r="AS45" s="127"/>
      <c r="AT45" s="127"/>
      <c r="AU45" s="127"/>
      <c r="AV45" s="127"/>
      <c r="AW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W45" s="127"/>
      <c r="BX45" s="127"/>
      <c r="BY45" s="127"/>
      <c r="BZ45" s="127"/>
      <c r="CA45" s="127"/>
    </row>
    <row r="46" spans="1:79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I46" s="127"/>
      <c r="AJ46" s="127"/>
      <c r="AK46" s="127"/>
      <c r="AL46" s="127"/>
      <c r="AM46" s="127"/>
      <c r="AP46" s="127"/>
      <c r="AQ46" s="127"/>
      <c r="AR46" s="127"/>
      <c r="AS46" s="127"/>
      <c r="AT46" s="127"/>
      <c r="AU46" s="127"/>
      <c r="AV46" s="127"/>
      <c r="AW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W46" s="127"/>
      <c r="BX46" s="127"/>
      <c r="BY46" s="127"/>
      <c r="BZ46" s="127"/>
      <c r="CA46" s="127"/>
    </row>
    <row r="47" spans="1:79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I47" s="127"/>
      <c r="AJ47" s="127"/>
      <c r="AK47" s="127"/>
      <c r="AL47" s="127"/>
      <c r="AM47" s="127"/>
      <c r="AP47" s="127"/>
      <c r="AQ47" s="127"/>
      <c r="AR47" s="127"/>
      <c r="AS47" s="127"/>
      <c r="AT47" s="127"/>
      <c r="AU47" s="127"/>
      <c r="AV47" s="127"/>
      <c r="AW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W47" s="127"/>
      <c r="BX47" s="127"/>
      <c r="BY47" s="127"/>
      <c r="BZ47" s="127"/>
      <c r="CA47" s="127"/>
    </row>
    <row r="48" spans="1:79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I48" s="127"/>
      <c r="AJ48" s="127"/>
      <c r="AK48" s="127"/>
      <c r="AL48" s="127"/>
      <c r="AM48" s="127"/>
      <c r="AP48" s="127"/>
      <c r="AQ48" s="127"/>
      <c r="AR48" s="127"/>
      <c r="AS48" s="127"/>
      <c r="AT48" s="127"/>
      <c r="AU48" s="127"/>
      <c r="AV48" s="127"/>
      <c r="AW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W48" s="127"/>
      <c r="BX48" s="127"/>
      <c r="BY48" s="127"/>
      <c r="BZ48" s="127"/>
      <c r="CA48" s="127"/>
    </row>
    <row r="49" spans="2:79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I49" s="127"/>
      <c r="AJ49" s="127"/>
      <c r="AK49" s="127"/>
      <c r="AL49" s="127"/>
      <c r="AM49" s="127"/>
      <c r="AP49" s="127"/>
      <c r="AQ49" s="127"/>
      <c r="AR49" s="127"/>
      <c r="AS49" s="127"/>
      <c r="AT49" s="127"/>
      <c r="AU49" s="127"/>
      <c r="AV49" s="127"/>
      <c r="AW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W49" s="127"/>
      <c r="BX49" s="127"/>
      <c r="BY49" s="127"/>
      <c r="BZ49" s="127"/>
      <c r="CA49" s="127"/>
    </row>
    <row r="50" spans="2:79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8"/>
      <c r="S50" s="128"/>
      <c r="T50" s="128"/>
      <c r="U50" s="128"/>
      <c r="V50" s="128"/>
      <c r="W50" s="128"/>
      <c r="X50" s="128"/>
      <c r="Y50" s="136"/>
      <c r="Z50" s="128"/>
      <c r="AA50" s="128"/>
      <c r="AB50" s="128"/>
      <c r="AC50" s="128"/>
      <c r="AD50" s="128"/>
      <c r="AE50" s="136"/>
      <c r="AF50" s="128"/>
      <c r="AG50" s="127"/>
      <c r="AI50" s="127"/>
      <c r="AJ50" s="127"/>
      <c r="AK50" s="127"/>
      <c r="AL50" s="127"/>
      <c r="AM50" s="127"/>
      <c r="AP50" s="127"/>
      <c r="AQ50" s="127"/>
      <c r="AR50" s="127"/>
      <c r="AS50" s="127"/>
      <c r="AT50" s="127"/>
      <c r="AU50" s="127"/>
      <c r="AV50" s="127"/>
      <c r="AW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W50" s="127"/>
      <c r="BX50" s="127"/>
      <c r="BY50" s="127"/>
      <c r="BZ50" s="127"/>
      <c r="CA50" s="127"/>
    </row>
    <row r="51" spans="2:79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8"/>
      <c r="S51" s="128"/>
      <c r="T51" s="128"/>
      <c r="U51" s="128"/>
      <c r="V51" s="128"/>
      <c r="W51" s="128"/>
      <c r="X51" s="128"/>
      <c r="Y51" s="136"/>
      <c r="Z51" s="128"/>
      <c r="AA51" s="128"/>
      <c r="AB51" s="128"/>
      <c r="AC51" s="128"/>
      <c r="AD51" s="128"/>
      <c r="AE51" s="136"/>
      <c r="AF51" s="128"/>
      <c r="AG51" s="127"/>
      <c r="AI51" s="127"/>
      <c r="AJ51" s="127"/>
      <c r="AK51" s="127"/>
      <c r="AL51" s="127"/>
      <c r="AM51" s="127"/>
      <c r="AP51" s="127"/>
      <c r="AQ51" s="127"/>
      <c r="AR51" s="127"/>
      <c r="AS51" s="127"/>
      <c r="AT51" s="127"/>
      <c r="AU51" s="127"/>
      <c r="AV51" s="127"/>
      <c r="AW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W51" s="127"/>
      <c r="BX51" s="127"/>
      <c r="BY51" s="127"/>
      <c r="BZ51" s="127"/>
      <c r="CA51" s="127"/>
    </row>
    <row r="52" spans="2:79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8"/>
      <c r="S52" s="128"/>
      <c r="T52" s="128"/>
      <c r="U52" s="128"/>
      <c r="V52" s="128"/>
      <c r="W52" s="128"/>
      <c r="X52" s="128"/>
      <c r="Y52" s="136"/>
      <c r="Z52" s="128"/>
      <c r="AA52" s="128"/>
      <c r="AB52" s="128"/>
      <c r="AC52" s="128"/>
      <c r="AD52" s="128"/>
      <c r="AE52" s="136"/>
      <c r="AF52" s="128"/>
      <c r="AG52" s="127"/>
      <c r="AI52" s="127"/>
      <c r="AJ52" s="127"/>
      <c r="AK52" s="127"/>
      <c r="AL52" s="127"/>
      <c r="AM52" s="127"/>
      <c r="AP52" s="127"/>
      <c r="AQ52" s="127"/>
      <c r="AR52" s="127"/>
      <c r="AS52" s="127"/>
      <c r="AT52" s="127"/>
      <c r="AU52" s="127"/>
      <c r="AV52" s="127"/>
      <c r="AW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W52" s="127"/>
      <c r="BX52" s="127"/>
      <c r="BY52" s="127"/>
      <c r="BZ52" s="127"/>
      <c r="CA52" s="127"/>
    </row>
    <row r="53" spans="2:79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8"/>
      <c r="S53" s="128"/>
      <c r="T53" s="128"/>
      <c r="U53" s="128"/>
      <c r="V53" s="128"/>
      <c r="W53" s="128"/>
      <c r="X53" s="128"/>
      <c r="Y53" s="136"/>
      <c r="Z53" s="128"/>
      <c r="AA53" s="128"/>
      <c r="AB53" s="128"/>
      <c r="AC53" s="128"/>
      <c r="AD53" s="128"/>
      <c r="AE53" s="136"/>
      <c r="AF53" s="128"/>
      <c r="AG53" s="127"/>
      <c r="AI53" s="127"/>
      <c r="AJ53" s="127"/>
      <c r="AK53" s="127"/>
      <c r="AL53" s="127"/>
      <c r="AM53" s="127"/>
      <c r="AP53" s="127"/>
      <c r="AQ53" s="127"/>
      <c r="AR53" s="127"/>
      <c r="AS53" s="127"/>
      <c r="AT53" s="127"/>
      <c r="AU53" s="127"/>
      <c r="AV53" s="127"/>
      <c r="AW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W53" s="127"/>
      <c r="BX53" s="127"/>
      <c r="BY53" s="127"/>
      <c r="BZ53" s="127"/>
      <c r="CA53" s="127"/>
    </row>
    <row r="54" spans="2:79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8"/>
      <c r="S54" s="128"/>
      <c r="T54" s="128"/>
      <c r="U54" s="128"/>
      <c r="V54" s="128"/>
      <c r="W54" s="128"/>
      <c r="X54" s="128"/>
      <c r="Y54" s="136"/>
      <c r="Z54" s="128"/>
      <c r="AA54" s="128"/>
      <c r="AB54" s="128"/>
      <c r="AC54" s="128"/>
      <c r="AD54" s="128"/>
      <c r="AE54" s="136"/>
      <c r="AF54" s="128"/>
      <c r="AG54" s="127"/>
      <c r="AI54" s="127"/>
      <c r="AJ54" s="127"/>
      <c r="AK54" s="127"/>
      <c r="AL54" s="127"/>
      <c r="AM54" s="127"/>
      <c r="AP54" s="127"/>
      <c r="AQ54" s="127"/>
      <c r="AR54" s="127"/>
      <c r="AS54" s="127"/>
      <c r="AT54" s="127"/>
      <c r="AU54" s="127"/>
      <c r="AV54" s="127"/>
      <c r="AW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W54" s="127"/>
      <c r="BX54" s="127"/>
      <c r="BY54" s="127"/>
      <c r="BZ54" s="127"/>
      <c r="CA54" s="127"/>
    </row>
    <row r="55" spans="2:79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8"/>
      <c r="S55" s="128"/>
      <c r="T55" s="128"/>
      <c r="U55" s="128"/>
      <c r="V55" s="128"/>
      <c r="W55" s="128"/>
      <c r="X55" s="128"/>
      <c r="Y55" s="136"/>
      <c r="Z55" s="128"/>
      <c r="AA55" s="128"/>
      <c r="AB55" s="128"/>
      <c r="AC55" s="128"/>
      <c r="AD55" s="128"/>
      <c r="AE55" s="136"/>
      <c r="AF55" s="128"/>
      <c r="AG55" s="127"/>
      <c r="AI55" s="127"/>
      <c r="AJ55" s="127"/>
      <c r="AK55" s="127"/>
      <c r="AL55" s="127"/>
      <c r="AM55" s="127"/>
      <c r="AP55" s="127"/>
      <c r="AQ55" s="127"/>
      <c r="AR55" s="127"/>
      <c r="AS55" s="127"/>
      <c r="AT55" s="127"/>
      <c r="AU55" s="127"/>
      <c r="AV55" s="127"/>
      <c r="AW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W55" s="127"/>
      <c r="BX55" s="127"/>
      <c r="BY55" s="127"/>
      <c r="BZ55" s="127"/>
      <c r="CA55" s="127"/>
    </row>
    <row r="56" spans="2:79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8"/>
      <c r="S56" s="128"/>
      <c r="T56" s="128"/>
      <c r="U56" s="128"/>
      <c r="V56" s="128"/>
      <c r="W56" s="128"/>
      <c r="X56" s="128"/>
      <c r="Y56" s="136"/>
      <c r="Z56" s="128"/>
      <c r="AA56" s="128"/>
      <c r="AB56" s="128"/>
      <c r="AC56" s="128"/>
      <c r="AD56" s="128"/>
      <c r="AE56" s="136"/>
      <c r="AF56" s="128"/>
      <c r="AG56" s="127"/>
      <c r="AI56" s="127"/>
      <c r="AJ56" s="127"/>
      <c r="AK56" s="127"/>
      <c r="AL56" s="127"/>
      <c r="AM56" s="127"/>
      <c r="AP56" s="127"/>
      <c r="AQ56" s="127"/>
      <c r="AR56" s="127"/>
      <c r="AS56" s="127"/>
      <c r="AT56" s="127"/>
      <c r="AU56" s="127"/>
      <c r="AV56" s="127"/>
      <c r="AW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W56" s="127"/>
      <c r="BX56" s="127"/>
      <c r="BY56" s="127"/>
      <c r="BZ56" s="127"/>
      <c r="CA56" s="127"/>
    </row>
    <row r="57" spans="2:79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8"/>
      <c r="S57" s="128"/>
      <c r="T57" s="128"/>
      <c r="U57" s="128"/>
      <c r="V57" s="128"/>
      <c r="W57" s="128"/>
      <c r="X57" s="128"/>
      <c r="Y57" s="136"/>
      <c r="Z57" s="128"/>
      <c r="AA57" s="128"/>
      <c r="AB57" s="128"/>
      <c r="AC57" s="128"/>
      <c r="AD57" s="128"/>
      <c r="AE57" s="136"/>
      <c r="AF57" s="128"/>
      <c r="AG57" s="127"/>
      <c r="AI57" s="127"/>
      <c r="AJ57" s="127"/>
      <c r="AK57" s="127"/>
      <c r="AL57" s="127"/>
      <c r="AM57" s="127"/>
      <c r="AP57" s="127"/>
      <c r="AQ57" s="127"/>
      <c r="AR57" s="127"/>
      <c r="AS57" s="127"/>
      <c r="AT57" s="127"/>
      <c r="AU57" s="127"/>
      <c r="AV57" s="127"/>
      <c r="AW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W57" s="127"/>
      <c r="BX57" s="127"/>
      <c r="BY57" s="127"/>
      <c r="BZ57" s="127"/>
      <c r="CA57" s="127"/>
    </row>
    <row r="58" spans="2:79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8"/>
      <c r="S58" s="128"/>
      <c r="T58" s="128"/>
      <c r="U58" s="128"/>
      <c r="V58" s="128"/>
      <c r="W58" s="128"/>
      <c r="X58" s="128"/>
      <c r="Y58" s="136"/>
      <c r="Z58" s="128"/>
      <c r="AA58" s="128"/>
      <c r="AB58" s="128"/>
      <c r="AC58" s="128"/>
      <c r="AD58" s="128"/>
      <c r="AE58" s="136"/>
      <c r="AF58" s="128"/>
      <c r="AG58" s="127"/>
      <c r="AI58" s="127"/>
      <c r="AJ58" s="127"/>
      <c r="AK58" s="127"/>
      <c r="AL58" s="127"/>
      <c r="AM58" s="127"/>
      <c r="AP58" s="127"/>
      <c r="AQ58" s="127"/>
      <c r="AR58" s="127"/>
      <c r="AS58" s="127"/>
      <c r="AT58" s="127"/>
      <c r="AU58" s="127"/>
      <c r="AV58" s="127"/>
      <c r="AW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W58" s="127"/>
      <c r="BX58" s="127"/>
      <c r="BY58" s="127"/>
      <c r="BZ58" s="127"/>
      <c r="CA58" s="127"/>
    </row>
    <row r="59" spans="2:79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I59" s="127"/>
      <c r="AJ59" s="127"/>
      <c r="AK59" s="127"/>
      <c r="AL59" s="127"/>
      <c r="AM59" s="127"/>
      <c r="AP59" s="127"/>
      <c r="AQ59" s="127"/>
      <c r="AR59" s="127"/>
      <c r="AS59" s="127"/>
      <c r="AT59" s="127"/>
      <c r="AU59" s="127"/>
      <c r="AV59" s="127"/>
      <c r="AW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W59" s="127"/>
      <c r="BX59" s="127"/>
      <c r="BY59" s="127"/>
      <c r="BZ59" s="127"/>
      <c r="CA59" s="127"/>
    </row>
    <row r="60" spans="2:79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I60" s="127"/>
      <c r="AJ60" s="127"/>
      <c r="AK60" s="127"/>
      <c r="AL60" s="127"/>
      <c r="AM60" s="127"/>
      <c r="AP60" s="127"/>
      <c r="AQ60" s="127"/>
      <c r="AR60" s="127"/>
      <c r="AS60" s="127"/>
      <c r="AT60" s="127"/>
      <c r="AU60" s="127"/>
      <c r="AV60" s="127"/>
      <c r="AW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W60" s="127"/>
      <c r="BX60" s="127"/>
      <c r="BY60" s="127"/>
      <c r="BZ60" s="127"/>
      <c r="CA60" s="127"/>
    </row>
    <row r="61" spans="2:79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I61" s="127"/>
      <c r="AJ61" s="127"/>
      <c r="AK61" s="127"/>
      <c r="AL61" s="127"/>
      <c r="AM61" s="127"/>
      <c r="AP61" s="127"/>
      <c r="AQ61" s="127"/>
      <c r="AR61" s="127"/>
      <c r="AS61" s="127"/>
      <c r="AT61" s="127"/>
      <c r="AU61" s="127"/>
      <c r="AV61" s="127"/>
      <c r="AW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W61" s="127"/>
      <c r="BX61" s="127"/>
      <c r="BY61" s="127"/>
      <c r="BZ61" s="127"/>
      <c r="CA61" s="127"/>
    </row>
    <row r="62" spans="2:79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I62" s="127"/>
      <c r="AJ62" s="127"/>
      <c r="AK62" s="127"/>
      <c r="AL62" s="127"/>
      <c r="AM62" s="127"/>
      <c r="AP62" s="127"/>
      <c r="AQ62" s="127"/>
      <c r="AR62" s="127"/>
      <c r="AS62" s="127"/>
      <c r="AT62" s="127"/>
      <c r="AU62" s="127"/>
      <c r="AV62" s="127"/>
      <c r="AW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W62" s="127"/>
      <c r="BX62" s="127"/>
      <c r="BY62" s="127"/>
      <c r="BZ62" s="127"/>
      <c r="CA62" s="127"/>
    </row>
    <row r="63" spans="2:79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I63" s="127"/>
      <c r="AJ63" s="127"/>
      <c r="AK63" s="127"/>
      <c r="AL63" s="127"/>
      <c r="AM63" s="127"/>
      <c r="AP63" s="127"/>
      <c r="AQ63" s="127"/>
      <c r="AR63" s="127"/>
      <c r="AS63" s="127"/>
      <c r="AT63" s="127"/>
      <c r="AU63" s="127"/>
      <c r="AV63" s="127"/>
      <c r="AW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W63" s="127"/>
      <c r="BX63" s="127"/>
      <c r="BY63" s="127"/>
      <c r="BZ63" s="127"/>
      <c r="CA63" s="127"/>
    </row>
    <row r="64" spans="2:79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I64" s="127"/>
      <c r="AJ64" s="127"/>
      <c r="AK64" s="127"/>
      <c r="AL64" s="127"/>
      <c r="AM64" s="127"/>
      <c r="AP64" s="127"/>
      <c r="AQ64" s="127"/>
      <c r="AR64" s="127"/>
      <c r="AS64" s="127"/>
      <c r="AT64" s="127"/>
      <c r="AU64" s="127"/>
      <c r="AV64" s="127"/>
      <c r="AW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W64" s="127"/>
      <c r="BX64" s="127"/>
      <c r="BY64" s="127"/>
      <c r="BZ64" s="127"/>
      <c r="CA64" s="127"/>
    </row>
    <row r="65" spans="2:79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I65" s="127"/>
      <c r="AJ65" s="127"/>
      <c r="AK65" s="127"/>
      <c r="AL65" s="127"/>
      <c r="AM65" s="127"/>
      <c r="AP65" s="127"/>
      <c r="AQ65" s="127"/>
      <c r="AR65" s="127"/>
      <c r="AS65" s="127"/>
      <c r="AT65" s="127"/>
      <c r="AU65" s="127"/>
      <c r="AV65" s="127"/>
      <c r="AW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W65" s="127"/>
      <c r="BX65" s="127"/>
      <c r="BY65" s="127"/>
      <c r="BZ65" s="127"/>
      <c r="CA65" s="127"/>
    </row>
    <row r="66" spans="2:79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I66" s="127"/>
      <c r="AJ66" s="127"/>
      <c r="AK66" s="127"/>
      <c r="AL66" s="127"/>
      <c r="AM66" s="127"/>
      <c r="AP66" s="127"/>
      <c r="AQ66" s="127"/>
      <c r="AR66" s="127"/>
      <c r="AS66" s="127"/>
      <c r="AT66" s="127"/>
      <c r="AU66" s="127"/>
      <c r="AV66" s="127"/>
      <c r="AW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W66" s="127"/>
      <c r="BX66" s="127"/>
      <c r="BY66" s="127"/>
      <c r="BZ66" s="127"/>
      <c r="CA66" s="127"/>
    </row>
    <row r="67" spans="2:79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I67" s="127"/>
      <c r="AJ67" s="127"/>
      <c r="AK67" s="127"/>
      <c r="AL67" s="127"/>
      <c r="AM67" s="127"/>
      <c r="AP67" s="127"/>
      <c r="AQ67" s="127"/>
      <c r="AR67" s="127"/>
      <c r="AS67" s="127"/>
      <c r="AT67" s="127"/>
      <c r="AU67" s="127"/>
      <c r="AV67" s="127"/>
      <c r="AW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W67" s="127"/>
      <c r="BX67" s="127"/>
      <c r="BY67" s="127"/>
      <c r="BZ67" s="127"/>
      <c r="CA67" s="127"/>
    </row>
    <row r="68" spans="2:79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I68" s="127"/>
      <c r="AJ68" s="127"/>
      <c r="AK68" s="127"/>
      <c r="AL68" s="127"/>
      <c r="AM68" s="127"/>
      <c r="AP68" s="127"/>
      <c r="AQ68" s="127"/>
      <c r="AR68" s="127"/>
      <c r="AS68" s="127"/>
      <c r="AT68" s="127"/>
      <c r="AU68" s="127"/>
      <c r="AV68" s="127"/>
      <c r="AW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W68" s="127"/>
      <c r="BX68" s="127"/>
      <c r="BY68" s="127"/>
      <c r="BZ68" s="127"/>
      <c r="CA68" s="127"/>
    </row>
    <row r="69" spans="2:79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I69" s="127"/>
      <c r="AJ69" s="127"/>
      <c r="AK69" s="127"/>
      <c r="AL69" s="127"/>
      <c r="AM69" s="127"/>
      <c r="AP69" s="127"/>
      <c r="AQ69" s="127"/>
      <c r="AR69" s="127"/>
      <c r="AS69" s="127"/>
      <c r="AT69" s="127"/>
      <c r="AU69" s="127"/>
      <c r="AV69" s="127"/>
      <c r="AW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W69" s="127"/>
      <c r="BX69" s="127"/>
      <c r="BY69" s="127"/>
      <c r="BZ69" s="127"/>
      <c r="CA69" s="127"/>
    </row>
    <row r="70" spans="2:79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I70" s="127"/>
      <c r="AJ70" s="127"/>
      <c r="AK70" s="127"/>
      <c r="AL70" s="127"/>
      <c r="AM70" s="127"/>
      <c r="AP70" s="127"/>
      <c r="AQ70" s="127"/>
      <c r="AR70" s="127"/>
      <c r="AS70" s="127"/>
      <c r="AT70" s="127"/>
      <c r="AU70" s="127"/>
      <c r="AV70" s="127"/>
      <c r="AW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W70" s="127"/>
      <c r="BX70" s="127"/>
      <c r="BY70" s="127"/>
      <c r="BZ70" s="127"/>
      <c r="CA70" s="127"/>
    </row>
    <row r="71" spans="2:79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I71" s="127"/>
      <c r="AJ71" s="127"/>
      <c r="AK71" s="127"/>
      <c r="AL71" s="127"/>
      <c r="AM71" s="127"/>
      <c r="AP71" s="127"/>
      <c r="AQ71" s="127"/>
      <c r="AR71" s="127"/>
      <c r="AS71" s="127"/>
      <c r="AT71" s="127"/>
      <c r="AU71" s="127"/>
      <c r="AV71" s="127"/>
      <c r="AW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W71" s="127"/>
      <c r="BX71" s="127"/>
      <c r="BY71" s="127"/>
      <c r="BZ71" s="127"/>
      <c r="CA71" s="127"/>
    </row>
    <row r="72" spans="2:79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I72" s="127"/>
      <c r="AJ72" s="127"/>
      <c r="AK72" s="127"/>
      <c r="AL72" s="127"/>
      <c r="AM72" s="127"/>
      <c r="AP72" s="127"/>
      <c r="AQ72" s="127"/>
      <c r="AR72" s="127"/>
      <c r="AS72" s="127"/>
      <c r="AT72" s="127"/>
      <c r="AU72" s="127"/>
      <c r="AV72" s="127"/>
      <c r="AW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W72" s="127"/>
      <c r="BX72" s="127"/>
      <c r="BY72" s="127"/>
      <c r="BZ72" s="127"/>
      <c r="CA72" s="127"/>
    </row>
    <row r="73" spans="2:79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I73" s="127"/>
      <c r="AJ73" s="127"/>
      <c r="AK73" s="127"/>
      <c r="AL73" s="127"/>
      <c r="AM73" s="127"/>
      <c r="AP73" s="127"/>
      <c r="AQ73" s="127"/>
      <c r="AR73" s="127"/>
      <c r="AS73" s="127"/>
      <c r="AT73" s="127"/>
      <c r="AU73" s="127"/>
      <c r="AV73" s="127"/>
      <c r="AW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W73" s="127"/>
      <c r="BX73" s="127"/>
      <c r="BY73" s="127"/>
      <c r="BZ73" s="127"/>
      <c r="CA73" s="127"/>
    </row>
    <row r="74" spans="2:79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I74" s="127"/>
      <c r="AJ74" s="127"/>
      <c r="AK74" s="127"/>
      <c r="AL74" s="127"/>
      <c r="AM74" s="127"/>
      <c r="AP74" s="127"/>
      <c r="AQ74" s="127"/>
      <c r="AR74" s="127"/>
      <c r="AS74" s="127"/>
      <c r="AT74" s="127"/>
      <c r="AU74" s="127"/>
      <c r="AV74" s="127"/>
      <c r="AW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W74" s="127"/>
      <c r="BX74" s="127"/>
      <c r="BY74" s="127"/>
      <c r="BZ74" s="127"/>
      <c r="CA74" s="127"/>
    </row>
    <row r="75" spans="2:79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I75" s="127"/>
      <c r="AJ75" s="127"/>
      <c r="AK75" s="127"/>
      <c r="AL75" s="127"/>
      <c r="AM75" s="127"/>
      <c r="AP75" s="127"/>
      <c r="AQ75" s="127"/>
      <c r="AR75" s="127"/>
      <c r="AS75" s="127"/>
      <c r="AT75" s="127"/>
      <c r="AU75" s="127"/>
      <c r="AV75" s="127"/>
      <c r="AW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W75" s="127"/>
      <c r="BX75" s="127"/>
      <c r="BY75" s="127"/>
      <c r="BZ75" s="127"/>
      <c r="CA75" s="127"/>
    </row>
    <row r="76" spans="2:79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I76" s="127"/>
      <c r="AJ76" s="127"/>
      <c r="AK76" s="127"/>
      <c r="AL76" s="127"/>
      <c r="AM76" s="127"/>
      <c r="AP76" s="127"/>
      <c r="AQ76" s="127"/>
      <c r="AR76" s="127"/>
      <c r="AS76" s="127"/>
      <c r="AT76" s="127"/>
      <c r="AU76" s="127"/>
      <c r="AV76" s="127"/>
      <c r="AW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W76" s="127"/>
      <c r="BX76" s="127"/>
      <c r="BY76" s="127"/>
      <c r="BZ76" s="127"/>
      <c r="CA76" s="127"/>
    </row>
    <row r="77" spans="2:79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I77" s="127"/>
      <c r="AJ77" s="127"/>
      <c r="AK77" s="127"/>
      <c r="AL77" s="127"/>
      <c r="AM77" s="127"/>
      <c r="AP77" s="127"/>
      <c r="AQ77" s="127"/>
      <c r="AR77" s="127"/>
      <c r="AS77" s="127"/>
      <c r="AT77" s="127"/>
      <c r="AU77" s="127"/>
      <c r="AV77" s="127"/>
      <c r="AW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W77" s="127"/>
      <c r="BX77" s="127"/>
      <c r="BY77" s="127"/>
      <c r="BZ77" s="127"/>
      <c r="CA77" s="127"/>
    </row>
    <row r="78" spans="2:79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I78" s="127"/>
      <c r="AJ78" s="127"/>
      <c r="AK78" s="127"/>
      <c r="AL78" s="127"/>
      <c r="AM78" s="127"/>
      <c r="AP78" s="127"/>
      <c r="AQ78" s="127"/>
      <c r="AR78" s="127"/>
      <c r="AS78" s="127"/>
      <c r="AT78" s="127"/>
      <c r="AU78" s="127"/>
      <c r="AV78" s="127"/>
      <c r="AW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W78" s="127"/>
      <c r="BX78" s="127"/>
      <c r="BY78" s="127"/>
      <c r="BZ78" s="127"/>
      <c r="CA78" s="127"/>
    </row>
    <row r="79" spans="2:79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I79" s="127"/>
      <c r="AJ79" s="127"/>
      <c r="AK79" s="127"/>
      <c r="AL79" s="127"/>
      <c r="AM79" s="127"/>
      <c r="AP79" s="127"/>
      <c r="AQ79" s="127"/>
      <c r="AR79" s="127"/>
      <c r="AS79" s="127"/>
      <c r="AT79" s="127"/>
      <c r="AU79" s="127"/>
      <c r="AV79" s="127"/>
      <c r="AW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W79" s="127"/>
      <c r="BX79" s="127"/>
      <c r="BY79" s="127"/>
      <c r="BZ79" s="127"/>
      <c r="CA79" s="127"/>
    </row>
    <row r="80" spans="2:79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I80" s="127"/>
      <c r="AJ80" s="127"/>
      <c r="AK80" s="127"/>
      <c r="AL80" s="127"/>
      <c r="AM80" s="127"/>
      <c r="AP80" s="127"/>
      <c r="AQ80" s="127"/>
      <c r="AR80" s="127"/>
      <c r="AS80" s="127"/>
      <c r="AT80" s="127"/>
      <c r="AU80" s="127"/>
      <c r="AV80" s="127"/>
      <c r="AW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W80" s="127"/>
      <c r="BX80" s="127"/>
      <c r="BY80" s="127"/>
      <c r="BZ80" s="127"/>
      <c r="CA80" s="127"/>
    </row>
    <row r="81" spans="2:79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I81" s="127"/>
      <c r="AJ81" s="127"/>
      <c r="AK81" s="127"/>
      <c r="AL81" s="127"/>
      <c r="AM81" s="127"/>
      <c r="AP81" s="127"/>
      <c r="AQ81" s="127"/>
      <c r="AR81" s="127"/>
      <c r="AS81" s="127"/>
      <c r="AT81" s="127"/>
      <c r="AU81" s="127"/>
      <c r="AV81" s="127"/>
      <c r="AW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W81" s="127"/>
      <c r="BX81" s="127"/>
      <c r="BY81" s="127"/>
      <c r="BZ81" s="127"/>
      <c r="CA81" s="127"/>
    </row>
    <row r="82" spans="2:79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I82" s="127"/>
      <c r="AJ82" s="127"/>
      <c r="AK82" s="127"/>
      <c r="AL82" s="127"/>
      <c r="AM82" s="127"/>
      <c r="AP82" s="127"/>
      <c r="AQ82" s="127"/>
      <c r="AR82" s="127"/>
      <c r="AS82" s="127"/>
      <c r="AT82" s="127"/>
      <c r="AU82" s="127"/>
      <c r="AV82" s="127"/>
      <c r="AW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W82" s="127"/>
      <c r="BX82" s="127"/>
      <c r="BY82" s="127"/>
      <c r="BZ82" s="127"/>
      <c r="CA82" s="127"/>
    </row>
    <row r="83" spans="2:79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I83" s="127"/>
      <c r="AJ83" s="127"/>
      <c r="AK83" s="127"/>
      <c r="AL83" s="127"/>
      <c r="AM83" s="127"/>
      <c r="AP83" s="127"/>
      <c r="AQ83" s="127"/>
      <c r="AR83" s="127"/>
      <c r="AS83" s="127"/>
      <c r="AT83" s="127"/>
      <c r="AU83" s="127"/>
      <c r="AV83" s="127"/>
      <c r="AW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W83" s="127"/>
      <c r="BX83" s="127"/>
      <c r="BY83" s="127"/>
      <c r="BZ83" s="127"/>
      <c r="CA83" s="127"/>
    </row>
    <row r="84" spans="2:79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I84" s="127"/>
      <c r="AJ84" s="127"/>
      <c r="AK84" s="127"/>
      <c r="AL84" s="127"/>
      <c r="AM84" s="127"/>
      <c r="AP84" s="127"/>
      <c r="AQ84" s="127"/>
      <c r="AR84" s="127"/>
      <c r="AS84" s="127"/>
      <c r="AT84" s="127"/>
      <c r="AU84" s="127"/>
      <c r="AV84" s="127"/>
      <c r="AW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W84" s="127"/>
      <c r="BX84" s="127"/>
      <c r="BY84" s="127"/>
      <c r="BZ84" s="127"/>
      <c r="CA84" s="127"/>
    </row>
    <row r="85" spans="2:79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I85" s="127"/>
      <c r="AJ85" s="127"/>
      <c r="AK85" s="127"/>
      <c r="AL85" s="127"/>
      <c r="AM85" s="127"/>
      <c r="AP85" s="127"/>
      <c r="AQ85" s="127"/>
      <c r="AR85" s="127"/>
      <c r="AS85" s="127"/>
      <c r="AT85" s="127"/>
      <c r="AU85" s="127"/>
      <c r="AV85" s="127"/>
      <c r="AW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W85" s="127"/>
      <c r="BX85" s="127"/>
      <c r="BY85" s="127"/>
      <c r="BZ85" s="127"/>
      <c r="CA85" s="127"/>
    </row>
    <row r="86" spans="2:79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I86" s="127"/>
      <c r="AJ86" s="127"/>
      <c r="AK86" s="127"/>
      <c r="AL86" s="127"/>
      <c r="AM86" s="127"/>
      <c r="AP86" s="127"/>
      <c r="AQ86" s="127"/>
      <c r="AR86" s="127"/>
      <c r="AS86" s="127"/>
      <c r="AT86" s="127"/>
      <c r="AU86" s="127"/>
      <c r="AV86" s="127"/>
      <c r="AW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W86" s="127"/>
      <c r="BX86" s="127"/>
      <c r="BY86" s="127"/>
      <c r="BZ86" s="127"/>
      <c r="CA86" s="127"/>
    </row>
    <row r="87" spans="2:79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I87" s="127"/>
      <c r="AJ87" s="127"/>
      <c r="AK87" s="127"/>
      <c r="AL87" s="127"/>
      <c r="AM87" s="127"/>
      <c r="AP87" s="127"/>
      <c r="AQ87" s="127"/>
      <c r="AR87" s="127"/>
      <c r="AS87" s="127"/>
      <c r="AT87" s="127"/>
      <c r="AU87" s="127"/>
      <c r="AV87" s="127"/>
      <c r="AW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W87" s="127"/>
      <c r="BX87" s="127"/>
      <c r="BY87" s="127"/>
      <c r="BZ87" s="127"/>
      <c r="CA87" s="127"/>
    </row>
    <row r="88" spans="2:79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I88" s="127"/>
      <c r="AJ88" s="127"/>
      <c r="AK88" s="127"/>
      <c r="AL88" s="127"/>
      <c r="AM88" s="127"/>
      <c r="AP88" s="127"/>
      <c r="AQ88" s="127"/>
      <c r="AR88" s="127"/>
      <c r="AS88" s="127"/>
      <c r="AT88" s="127"/>
      <c r="AU88" s="127"/>
      <c r="AV88" s="127"/>
      <c r="AW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W88" s="127"/>
      <c r="BX88" s="127"/>
      <c r="BY88" s="127"/>
      <c r="BZ88" s="127"/>
      <c r="CA88" s="127"/>
    </row>
    <row r="89" spans="2:79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I89" s="127"/>
      <c r="AJ89" s="127"/>
      <c r="AK89" s="127"/>
      <c r="AL89" s="127"/>
      <c r="AM89" s="127"/>
      <c r="AP89" s="127"/>
      <c r="AQ89" s="127"/>
      <c r="AR89" s="127"/>
      <c r="AS89" s="127"/>
      <c r="AT89" s="127"/>
      <c r="AU89" s="127"/>
      <c r="AV89" s="127"/>
      <c r="AW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W89" s="127"/>
      <c r="BX89" s="127"/>
      <c r="BY89" s="127"/>
      <c r="BZ89" s="127"/>
      <c r="CA89" s="127"/>
    </row>
    <row r="90" spans="2:79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I90" s="127"/>
      <c r="AJ90" s="127"/>
      <c r="AK90" s="127"/>
      <c r="AL90" s="127"/>
      <c r="AM90" s="127"/>
      <c r="AP90" s="127"/>
      <c r="AQ90" s="127"/>
      <c r="AR90" s="127"/>
      <c r="AS90" s="127"/>
      <c r="AT90" s="127"/>
      <c r="AU90" s="127"/>
      <c r="AV90" s="127"/>
      <c r="AW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W90" s="127"/>
      <c r="BX90" s="127"/>
      <c r="BY90" s="127"/>
      <c r="BZ90" s="127"/>
      <c r="CA90" s="127"/>
    </row>
    <row r="91" spans="2:79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I91" s="127"/>
      <c r="AJ91" s="127"/>
      <c r="AK91" s="127"/>
      <c r="AL91" s="127"/>
      <c r="AM91" s="127"/>
      <c r="AP91" s="127"/>
      <c r="AQ91" s="127"/>
      <c r="AR91" s="127"/>
      <c r="AS91" s="127"/>
      <c r="AT91" s="127"/>
      <c r="AU91" s="127"/>
      <c r="AV91" s="127"/>
      <c r="AW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W91" s="127"/>
      <c r="BX91" s="127"/>
      <c r="BY91" s="127"/>
      <c r="BZ91" s="127"/>
      <c r="CA91" s="127"/>
    </row>
    <row r="92" spans="2:79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I92" s="127"/>
      <c r="AJ92" s="127"/>
      <c r="AK92" s="127"/>
      <c r="AL92" s="127"/>
      <c r="AM92" s="127"/>
      <c r="AP92" s="127"/>
      <c r="AQ92" s="127"/>
      <c r="AR92" s="127"/>
      <c r="AS92" s="127"/>
      <c r="AT92" s="127"/>
      <c r="AU92" s="127"/>
      <c r="AV92" s="127"/>
      <c r="AW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W92" s="127"/>
      <c r="BX92" s="127"/>
      <c r="BY92" s="127"/>
      <c r="BZ92" s="127"/>
      <c r="CA92" s="127"/>
    </row>
    <row r="93" spans="2:79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I93" s="127"/>
      <c r="AJ93" s="127"/>
      <c r="AK93" s="127"/>
      <c r="AL93" s="127"/>
      <c r="AM93" s="127"/>
      <c r="AP93" s="127"/>
      <c r="AQ93" s="127"/>
      <c r="AR93" s="127"/>
      <c r="AS93" s="127"/>
      <c r="AT93" s="127"/>
      <c r="AU93" s="127"/>
      <c r="AV93" s="127"/>
      <c r="AW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W93" s="127"/>
      <c r="BX93" s="127"/>
      <c r="BY93" s="127"/>
      <c r="BZ93" s="127"/>
      <c r="CA93" s="127"/>
    </row>
    <row r="94" spans="2:79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I94" s="127"/>
      <c r="AJ94" s="127"/>
      <c r="AK94" s="127"/>
      <c r="AL94" s="127"/>
      <c r="AM94" s="127"/>
      <c r="AP94" s="127"/>
      <c r="AQ94" s="127"/>
      <c r="AR94" s="127"/>
      <c r="AS94" s="127"/>
      <c r="AT94" s="127"/>
      <c r="AU94" s="127"/>
      <c r="AV94" s="127"/>
      <c r="AW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W94" s="127"/>
      <c r="BX94" s="127"/>
      <c r="BY94" s="127"/>
      <c r="BZ94" s="127"/>
      <c r="CA94" s="127"/>
    </row>
    <row r="95" spans="2:79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I95" s="127"/>
      <c r="AJ95" s="127"/>
      <c r="AK95" s="127"/>
      <c r="AL95" s="127"/>
      <c r="AM95" s="127"/>
      <c r="AP95" s="127"/>
      <c r="AQ95" s="127"/>
      <c r="AR95" s="127"/>
      <c r="AS95" s="127"/>
      <c r="AT95" s="127"/>
      <c r="AU95" s="127"/>
      <c r="AV95" s="127"/>
      <c r="AW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W95" s="127"/>
      <c r="BX95" s="127"/>
      <c r="BY95" s="127"/>
      <c r="BZ95" s="127"/>
      <c r="CA95" s="127"/>
    </row>
    <row r="96" spans="2:79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I96" s="127"/>
      <c r="AJ96" s="127"/>
      <c r="AK96" s="127"/>
      <c r="AL96" s="127"/>
      <c r="AM96" s="127"/>
      <c r="AP96" s="127"/>
      <c r="AQ96" s="127"/>
      <c r="AR96" s="127"/>
      <c r="AS96" s="127"/>
      <c r="AT96" s="127"/>
      <c r="AU96" s="127"/>
      <c r="AV96" s="127"/>
      <c r="AW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W96" s="127"/>
      <c r="BX96" s="127"/>
      <c r="BY96" s="127"/>
      <c r="BZ96" s="127"/>
      <c r="CA96" s="127"/>
    </row>
    <row r="97" spans="2:79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I97" s="127"/>
      <c r="AJ97" s="127"/>
      <c r="AK97" s="127"/>
      <c r="AL97" s="127"/>
      <c r="AM97" s="127"/>
      <c r="AP97" s="127"/>
      <c r="AQ97" s="127"/>
      <c r="AR97" s="127"/>
      <c r="AS97" s="127"/>
      <c r="AT97" s="127"/>
      <c r="AU97" s="127"/>
      <c r="AV97" s="127"/>
      <c r="AW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W97" s="127"/>
      <c r="BX97" s="127"/>
      <c r="BY97" s="127"/>
      <c r="BZ97" s="127"/>
      <c r="CA97" s="127"/>
    </row>
    <row r="98" spans="2:79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I98" s="127"/>
      <c r="AJ98" s="127"/>
      <c r="AK98" s="127"/>
      <c r="AL98" s="127"/>
      <c r="AM98" s="127"/>
      <c r="AP98" s="127"/>
      <c r="AQ98" s="127"/>
      <c r="AR98" s="127"/>
      <c r="AS98" s="127"/>
      <c r="AT98" s="127"/>
      <c r="AU98" s="127"/>
      <c r="AV98" s="127"/>
      <c r="AW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W98" s="127"/>
      <c r="BX98" s="127"/>
      <c r="BY98" s="127"/>
      <c r="BZ98" s="127"/>
      <c r="CA98" s="127"/>
    </row>
    <row r="99" spans="2:79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I99" s="127"/>
      <c r="AJ99" s="127"/>
      <c r="AK99" s="127"/>
      <c r="AL99" s="127"/>
      <c r="AM99" s="127"/>
      <c r="AP99" s="127"/>
      <c r="AQ99" s="127"/>
      <c r="AR99" s="127"/>
      <c r="AS99" s="127"/>
      <c r="AT99" s="127"/>
      <c r="AU99" s="127"/>
      <c r="AV99" s="127"/>
      <c r="AW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W99" s="127"/>
      <c r="BX99" s="127"/>
      <c r="BY99" s="127"/>
      <c r="BZ99" s="127"/>
      <c r="CA99" s="127"/>
    </row>
    <row r="100" spans="2:79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I100" s="127"/>
      <c r="AJ100" s="127"/>
      <c r="AK100" s="127"/>
      <c r="AL100" s="127"/>
      <c r="AM100" s="127"/>
      <c r="AP100" s="127"/>
      <c r="AQ100" s="127"/>
      <c r="AR100" s="127"/>
      <c r="AS100" s="127"/>
      <c r="AT100" s="127"/>
      <c r="AU100" s="127"/>
      <c r="AV100" s="127"/>
      <c r="AW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W100" s="127"/>
      <c r="BX100" s="127"/>
      <c r="BY100" s="127"/>
      <c r="BZ100" s="127"/>
      <c r="CA100" s="127"/>
    </row>
    <row r="101" spans="2:79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I101" s="127"/>
      <c r="AJ101" s="127"/>
      <c r="AK101" s="127"/>
      <c r="AL101" s="127"/>
      <c r="AM101" s="127"/>
      <c r="AP101" s="127"/>
      <c r="AQ101" s="127"/>
      <c r="AR101" s="127"/>
      <c r="AS101" s="127"/>
      <c r="AT101" s="127"/>
      <c r="AU101" s="127"/>
      <c r="AV101" s="127"/>
      <c r="AW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W101" s="127"/>
      <c r="BX101" s="127"/>
      <c r="BY101" s="127"/>
      <c r="BZ101" s="127"/>
      <c r="CA101" s="127"/>
    </row>
    <row r="102" spans="2:79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I102" s="127"/>
      <c r="AJ102" s="127"/>
      <c r="AK102" s="127"/>
      <c r="AL102" s="127"/>
      <c r="AM102" s="127"/>
      <c r="AP102" s="127"/>
      <c r="AQ102" s="127"/>
      <c r="AR102" s="127"/>
      <c r="AS102" s="127"/>
      <c r="AT102" s="127"/>
      <c r="AU102" s="127"/>
      <c r="AV102" s="127"/>
      <c r="AW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W102" s="127"/>
      <c r="BX102" s="127"/>
      <c r="BY102" s="127"/>
      <c r="BZ102" s="127"/>
      <c r="CA102" s="127"/>
    </row>
    <row r="103" spans="2:79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I103" s="127"/>
      <c r="AJ103" s="127"/>
      <c r="AK103" s="127"/>
      <c r="AL103" s="127"/>
      <c r="AM103" s="127"/>
      <c r="AP103" s="127"/>
      <c r="AQ103" s="127"/>
      <c r="AR103" s="127"/>
      <c r="AS103" s="127"/>
      <c r="AT103" s="127"/>
      <c r="AU103" s="127"/>
      <c r="AV103" s="127"/>
      <c r="AW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W103" s="127"/>
      <c r="BX103" s="127"/>
      <c r="BY103" s="127"/>
      <c r="BZ103" s="127"/>
      <c r="CA103" s="127"/>
    </row>
    <row r="104" spans="2:79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I104" s="127"/>
      <c r="AJ104" s="127"/>
      <c r="AK104" s="127"/>
      <c r="AL104" s="127"/>
      <c r="AM104" s="127"/>
      <c r="AP104" s="127"/>
      <c r="AQ104" s="127"/>
      <c r="AR104" s="127"/>
      <c r="AS104" s="127"/>
      <c r="AT104" s="127"/>
      <c r="AU104" s="127"/>
      <c r="AV104" s="127"/>
      <c r="AW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W104" s="127"/>
      <c r="BX104" s="127"/>
      <c r="BY104" s="127"/>
      <c r="BZ104" s="127"/>
      <c r="CA104" s="127"/>
    </row>
    <row r="105" spans="2:79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I105" s="127"/>
      <c r="AJ105" s="127"/>
      <c r="AK105" s="127"/>
      <c r="AL105" s="127"/>
      <c r="AM105" s="127"/>
      <c r="AP105" s="127"/>
      <c r="AQ105" s="127"/>
      <c r="AR105" s="127"/>
      <c r="AS105" s="127"/>
      <c r="AT105" s="127"/>
      <c r="AU105" s="127"/>
      <c r="AV105" s="127"/>
      <c r="AW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W105" s="127"/>
      <c r="BX105" s="127"/>
      <c r="BY105" s="127"/>
      <c r="BZ105" s="127"/>
      <c r="CA105" s="127"/>
    </row>
    <row r="106" spans="2:79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I106" s="127"/>
      <c r="AJ106" s="127"/>
      <c r="AK106" s="127"/>
      <c r="AL106" s="127"/>
      <c r="AM106" s="127"/>
      <c r="AP106" s="127"/>
      <c r="AQ106" s="127"/>
      <c r="AR106" s="127"/>
      <c r="AS106" s="127"/>
      <c r="AT106" s="127"/>
      <c r="AU106" s="127"/>
      <c r="AV106" s="127"/>
      <c r="AW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W106" s="127"/>
      <c r="BX106" s="127"/>
      <c r="BY106" s="127"/>
      <c r="BZ106" s="127"/>
      <c r="CA106" s="127"/>
    </row>
    <row r="107" spans="2:79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I107" s="127"/>
      <c r="AJ107" s="127"/>
      <c r="AK107" s="127"/>
      <c r="AL107" s="127"/>
      <c r="AM107" s="127"/>
      <c r="AP107" s="127"/>
      <c r="AQ107" s="127"/>
      <c r="AR107" s="127"/>
      <c r="AS107" s="127"/>
      <c r="AT107" s="127"/>
      <c r="AU107" s="127"/>
      <c r="AV107" s="127"/>
      <c r="AW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W107" s="127"/>
      <c r="BX107" s="127"/>
      <c r="BY107" s="127"/>
      <c r="BZ107" s="127"/>
      <c r="CA107" s="127"/>
    </row>
    <row r="108" spans="2:79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I108" s="127"/>
      <c r="AJ108" s="127"/>
      <c r="AK108" s="127"/>
      <c r="AL108" s="127"/>
      <c r="AM108" s="127"/>
      <c r="AP108" s="127"/>
      <c r="AQ108" s="127"/>
      <c r="AR108" s="127"/>
      <c r="AS108" s="127"/>
      <c r="AT108" s="127"/>
      <c r="AU108" s="127"/>
      <c r="AV108" s="127"/>
      <c r="AW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W108" s="127"/>
      <c r="BX108" s="127"/>
      <c r="BY108" s="127"/>
      <c r="BZ108" s="127"/>
      <c r="CA108" s="127"/>
    </row>
    <row r="109" spans="2:79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I109" s="127"/>
      <c r="AJ109" s="127"/>
      <c r="AK109" s="127"/>
      <c r="AL109" s="127"/>
      <c r="AM109" s="127"/>
      <c r="AP109" s="127"/>
      <c r="AQ109" s="127"/>
      <c r="AR109" s="127"/>
      <c r="AS109" s="127"/>
      <c r="AT109" s="127"/>
      <c r="AU109" s="127"/>
      <c r="AV109" s="127"/>
      <c r="AW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W109" s="127"/>
      <c r="BX109" s="127"/>
      <c r="BY109" s="127"/>
      <c r="BZ109" s="127"/>
      <c r="CA109" s="127"/>
    </row>
    <row r="110" spans="2:79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I110" s="127"/>
      <c r="AJ110" s="127"/>
      <c r="AK110" s="127"/>
      <c r="AL110" s="127"/>
      <c r="AM110" s="127"/>
      <c r="AP110" s="127"/>
      <c r="AQ110" s="127"/>
      <c r="AR110" s="127"/>
      <c r="AS110" s="127"/>
      <c r="AT110" s="127"/>
      <c r="AU110" s="127"/>
      <c r="AV110" s="127"/>
      <c r="AW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W110" s="127"/>
      <c r="BX110" s="127"/>
      <c r="BY110" s="127"/>
      <c r="BZ110" s="127"/>
      <c r="CA110" s="127"/>
    </row>
    <row r="111" spans="2:79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I111" s="127"/>
      <c r="AJ111" s="127"/>
      <c r="AK111" s="127"/>
      <c r="AL111" s="127"/>
      <c r="AM111" s="127"/>
      <c r="AP111" s="127"/>
      <c r="AQ111" s="127"/>
      <c r="AR111" s="127"/>
      <c r="AS111" s="127"/>
      <c r="AT111" s="127"/>
      <c r="AU111" s="127"/>
      <c r="AV111" s="127"/>
      <c r="AW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W111" s="127"/>
      <c r="BX111" s="127"/>
      <c r="BY111" s="127"/>
      <c r="BZ111" s="127"/>
      <c r="CA111" s="127"/>
    </row>
    <row r="112" spans="2:79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I112" s="127"/>
      <c r="AJ112" s="127"/>
      <c r="AK112" s="127"/>
      <c r="AL112" s="127"/>
      <c r="AM112" s="127"/>
      <c r="AP112" s="127"/>
      <c r="AQ112" s="127"/>
      <c r="AR112" s="127"/>
      <c r="AS112" s="127"/>
      <c r="AT112" s="127"/>
      <c r="AU112" s="127"/>
      <c r="AV112" s="127"/>
      <c r="AW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W112" s="127"/>
      <c r="BX112" s="127"/>
      <c r="BY112" s="127"/>
      <c r="BZ112" s="127"/>
      <c r="CA112" s="127"/>
    </row>
    <row r="113" spans="2:79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I113" s="127"/>
      <c r="AJ113" s="127"/>
      <c r="AK113" s="127"/>
      <c r="AL113" s="127"/>
      <c r="AM113" s="127"/>
      <c r="AP113" s="127"/>
      <c r="AQ113" s="127"/>
      <c r="AR113" s="127"/>
      <c r="AS113" s="127"/>
      <c r="AT113" s="127"/>
      <c r="AU113" s="127"/>
      <c r="AV113" s="127"/>
      <c r="AW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W113" s="127"/>
      <c r="BX113" s="127"/>
      <c r="BY113" s="127"/>
      <c r="BZ113" s="127"/>
      <c r="CA113" s="127"/>
    </row>
    <row r="114" spans="2:79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I114" s="127"/>
      <c r="AJ114" s="127"/>
      <c r="AK114" s="127"/>
      <c r="AL114" s="127"/>
      <c r="AM114" s="127"/>
      <c r="AP114" s="127"/>
      <c r="AQ114" s="127"/>
      <c r="AR114" s="127"/>
      <c r="AS114" s="127"/>
      <c r="AT114" s="127"/>
      <c r="AU114" s="127"/>
      <c r="AV114" s="127"/>
      <c r="AW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W114" s="127"/>
      <c r="BX114" s="127"/>
      <c r="BY114" s="127"/>
      <c r="BZ114" s="127"/>
      <c r="CA114" s="127"/>
    </row>
    <row r="115" spans="2:79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I115" s="127"/>
      <c r="AJ115" s="127"/>
      <c r="AK115" s="127"/>
      <c r="AL115" s="127"/>
      <c r="AM115" s="127"/>
      <c r="AP115" s="127"/>
      <c r="AQ115" s="127"/>
      <c r="AR115" s="127"/>
      <c r="AS115" s="127"/>
      <c r="AT115" s="127"/>
      <c r="AU115" s="127"/>
      <c r="AV115" s="127"/>
      <c r="AW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W115" s="127"/>
      <c r="BX115" s="127"/>
      <c r="BY115" s="127"/>
      <c r="BZ115" s="127"/>
      <c r="CA115" s="127"/>
    </row>
    <row r="116" spans="2:79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I116" s="127"/>
      <c r="AJ116" s="127"/>
      <c r="AK116" s="127"/>
      <c r="AL116" s="127"/>
      <c r="AM116" s="127"/>
      <c r="AP116" s="127"/>
      <c r="AQ116" s="127"/>
      <c r="AR116" s="127"/>
      <c r="AS116" s="127"/>
      <c r="AT116" s="127"/>
      <c r="AU116" s="127"/>
      <c r="AV116" s="127"/>
      <c r="AW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W116" s="127"/>
      <c r="BX116" s="127"/>
      <c r="BY116" s="127"/>
      <c r="BZ116" s="127"/>
      <c r="CA116" s="127"/>
    </row>
    <row r="117" spans="2:79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I117" s="127"/>
      <c r="AJ117" s="127"/>
      <c r="AK117" s="127"/>
      <c r="AL117" s="127"/>
      <c r="AM117" s="127"/>
      <c r="AP117" s="127"/>
      <c r="AQ117" s="127"/>
      <c r="AR117" s="127"/>
      <c r="AS117" s="127"/>
      <c r="AT117" s="127"/>
      <c r="AU117" s="127"/>
      <c r="AV117" s="127"/>
      <c r="AW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W117" s="127"/>
      <c r="BX117" s="127"/>
      <c r="BY117" s="127"/>
      <c r="BZ117" s="127"/>
      <c r="CA117" s="127"/>
    </row>
    <row r="118" spans="2:79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I118" s="127"/>
      <c r="AJ118" s="127"/>
      <c r="AK118" s="127"/>
      <c r="AL118" s="127"/>
      <c r="AM118" s="127"/>
      <c r="AP118" s="127"/>
      <c r="AQ118" s="127"/>
      <c r="AR118" s="127"/>
      <c r="AS118" s="127"/>
      <c r="AT118" s="127"/>
      <c r="AU118" s="127"/>
      <c r="AV118" s="127"/>
      <c r="AW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W118" s="127"/>
      <c r="BX118" s="127"/>
      <c r="BY118" s="127"/>
      <c r="BZ118" s="127"/>
      <c r="CA118" s="127"/>
    </row>
    <row r="119" spans="2:79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I119" s="127"/>
      <c r="AJ119" s="127"/>
      <c r="AK119" s="127"/>
      <c r="AL119" s="127"/>
      <c r="AM119" s="127"/>
      <c r="AP119" s="127"/>
      <c r="AQ119" s="127"/>
      <c r="AR119" s="127"/>
      <c r="AS119" s="127"/>
      <c r="AT119" s="127"/>
      <c r="AU119" s="127"/>
      <c r="AV119" s="127"/>
      <c r="AW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W119" s="127"/>
      <c r="BX119" s="127"/>
      <c r="BY119" s="127"/>
      <c r="BZ119" s="127"/>
      <c r="CA119" s="127"/>
    </row>
    <row r="120" spans="2:79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I120" s="127"/>
      <c r="AJ120" s="127"/>
      <c r="AK120" s="127"/>
      <c r="AL120" s="127"/>
      <c r="AM120" s="127"/>
      <c r="AP120" s="127"/>
      <c r="AQ120" s="127"/>
      <c r="AR120" s="127"/>
      <c r="AS120" s="127"/>
      <c r="AT120" s="127"/>
      <c r="AU120" s="127"/>
      <c r="AV120" s="127"/>
      <c r="AW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W120" s="127"/>
      <c r="BX120" s="127"/>
      <c r="BY120" s="127"/>
      <c r="BZ120" s="127"/>
      <c r="CA120" s="127"/>
    </row>
    <row r="121" spans="2:79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I121" s="127"/>
      <c r="AJ121" s="127"/>
      <c r="AK121" s="127"/>
      <c r="AL121" s="127"/>
      <c r="AM121" s="127"/>
      <c r="AP121" s="127"/>
      <c r="AQ121" s="127"/>
      <c r="AR121" s="127"/>
      <c r="AS121" s="127"/>
      <c r="AT121" s="127"/>
      <c r="AU121" s="127"/>
      <c r="AV121" s="127"/>
      <c r="AW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W121" s="127"/>
      <c r="BX121" s="127"/>
      <c r="BY121" s="127"/>
      <c r="BZ121" s="127"/>
      <c r="CA121" s="127"/>
    </row>
    <row r="122" spans="2:79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I122" s="127"/>
      <c r="AJ122" s="127"/>
      <c r="AK122" s="127"/>
      <c r="AL122" s="127"/>
      <c r="AM122" s="127"/>
      <c r="AP122" s="127"/>
      <c r="AQ122" s="127"/>
      <c r="AR122" s="127"/>
      <c r="AS122" s="127"/>
      <c r="AT122" s="127"/>
      <c r="AU122" s="127"/>
      <c r="AV122" s="127"/>
      <c r="AW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W122" s="127"/>
      <c r="BX122" s="127"/>
      <c r="BY122" s="127"/>
      <c r="BZ122" s="127"/>
      <c r="CA122" s="127"/>
    </row>
    <row r="123" spans="2:79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I123" s="127"/>
      <c r="AJ123" s="127"/>
      <c r="AK123" s="127"/>
      <c r="AL123" s="127"/>
      <c r="AM123" s="127"/>
      <c r="AP123" s="127"/>
      <c r="AQ123" s="127"/>
      <c r="AR123" s="127"/>
      <c r="AS123" s="127"/>
      <c r="AT123" s="127"/>
      <c r="AU123" s="127"/>
      <c r="AV123" s="127"/>
      <c r="AW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W123" s="127"/>
      <c r="BX123" s="127"/>
      <c r="BY123" s="127"/>
      <c r="BZ123" s="127"/>
      <c r="CA123" s="127"/>
    </row>
    <row r="124" spans="2:79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I124" s="127"/>
      <c r="AJ124" s="127"/>
      <c r="AK124" s="127"/>
      <c r="AL124" s="127"/>
      <c r="AM124" s="127"/>
      <c r="AP124" s="127"/>
      <c r="AQ124" s="127"/>
      <c r="AR124" s="127"/>
      <c r="AS124" s="127"/>
      <c r="AT124" s="127"/>
      <c r="AU124" s="127"/>
      <c r="AV124" s="127"/>
      <c r="AW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W124" s="127"/>
      <c r="BX124" s="127"/>
      <c r="BY124" s="127"/>
      <c r="BZ124" s="127"/>
      <c r="CA124" s="127"/>
    </row>
    <row r="125" spans="2:79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I125" s="127"/>
      <c r="AJ125" s="127"/>
      <c r="AK125" s="127"/>
      <c r="AL125" s="127"/>
      <c r="AM125" s="127"/>
      <c r="AP125" s="127"/>
      <c r="AQ125" s="127"/>
      <c r="AR125" s="127"/>
      <c r="AS125" s="127"/>
      <c r="AT125" s="127"/>
      <c r="AU125" s="127"/>
      <c r="AV125" s="127"/>
      <c r="AW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W125" s="127"/>
      <c r="BX125" s="127"/>
      <c r="BY125" s="127"/>
      <c r="BZ125" s="127"/>
      <c r="CA125" s="127"/>
    </row>
    <row r="126" spans="2:79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I126" s="127"/>
      <c r="AJ126" s="127"/>
      <c r="AK126" s="127"/>
      <c r="AL126" s="127"/>
      <c r="AM126" s="127"/>
      <c r="AP126" s="127"/>
      <c r="AQ126" s="127"/>
      <c r="AR126" s="127"/>
      <c r="AS126" s="127"/>
      <c r="AT126" s="127"/>
      <c r="AU126" s="127"/>
      <c r="AV126" s="127"/>
      <c r="AW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W126" s="127"/>
      <c r="BX126" s="127"/>
      <c r="BY126" s="127"/>
      <c r="BZ126" s="127"/>
      <c r="CA126" s="127"/>
    </row>
    <row r="127" spans="2:79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I127" s="127"/>
      <c r="AJ127" s="127"/>
      <c r="AK127" s="127"/>
      <c r="AL127" s="127"/>
      <c r="AM127" s="127"/>
      <c r="AP127" s="127"/>
      <c r="AQ127" s="127"/>
      <c r="AR127" s="127"/>
      <c r="AS127" s="127"/>
      <c r="AT127" s="127"/>
      <c r="AU127" s="127"/>
      <c r="AV127" s="127"/>
      <c r="AW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W127" s="127"/>
      <c r="BX127" s="127"/>
      <c r="BY127" s="127"/>
      <c r="BZ127" s="127"/>
      <c r="CA127" s="127"/>
    </row>
    <row r="128" spans="2:79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I128" s="127"/>
      <c r="AJ128" s="127"/>
      <c r="AK128" s="127"/>
      <c r="AL128" s="127"/>
      <c r="AM128" s="127"/>
      <c r="AP128" s="127"/>
      <c r="AQ128" s="127"/>
      <c r="AR128" s="127"/>
      <c r="AS128" s="127"/>
      <c r="AT128" s="127"/>
      <c r="AU128" s="127"/>
      <c r="AV128" s="127"/>
      <c r="AW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W128" s="127"/>
      <c r="BX128" s="127"/>
      <c r="BY128" s="127"/>
      <c r="BZ128" s="127"/>
      <c r="CA128" s="127"/>
    </row>
    <row r="129" spans="2:79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I129" s="127"/>
      <c r="AJ129" s="127"/>
      <c r="AK129" s="127"/>
      <c r="AL129" s="127"/>
      <c r="AM129" s="127"/>
      <c r="AP129" s="127"/>
      <c r="AQ129" s="127"/>
      <c r="AR129" s="127"/>
      <c r="AS129" s="127"/>
      <c r="AT129" s="127"/>
      <c r="AU129" s="127"/>
      <c r="AV129" s="127"/>
      <c r="AW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W129" s="127"/>
      <c r="BX129" s="127"/>
      <c r="BY129" s="127"/>
      <c r="BZ129" s="127"/>
      <c r="CA129" s="127"/>
    </row>
    <row r="130" spans="2:79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I130" s="127"/>
      <c r="AJ130" s="127"/>
      <c r="AK130" s="127"/>
      <c r="AL130" s="127"/>
      <c r="AM130" s="127"/>
      <c r="AP130" s="127"/>
      <c r="AQ130" s="127"/>
      <c r="AR130" s="127"/>
      <c r="AS130" s="127"/>
      <c r="AT130" s="127"/>
      <c r="AU130" s="127"/>
      <c r="AV130" s="127"/>
      <c r="AW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W130" s="127"/>
      <c r="BX130" s="127"/>
      <c r="BY130" s="127"/>
      <c r="BZ130" s="127"/>
      <c r="CA130" s="127"/>
    </row>
    <row r="131" spans="2:79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I131" s="127"/>
      <c r="AJ131" s="127"/>
      <c r="AK131" s="127"/>
      <c r="AL131" s="127"/>
      <c r="AM131" s="127"/>
      <c r="AP131" s="127"/>
      <c r="AQ131" s="127"/>
      <c r="AR131" s="127"/>
      <c r="AS131" s="127"/>
      <c r="AT131" s="127"/>
      <c r="AU131" s="127"/>
      <c r="AV131" s="127"/>
      <c r="AW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W131" s="127"/>
      <c r="BX131" s="127"/>
      <c r="BY131" s="127"/>
      <c r="BZ131" s="127"/>
      <c r="CA131" s="127"/>
    </row>
    <row r="132" spans="2:79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I132" s="127"/>
      <c r="AJ132" s="127"/>
      <c r="AK132" s="127"/>
      <c r="AL132" s="127"/>
      <c r="AM132" s="127"/>
      <c r="AP132" s="127"/>
      <c r="AQ132" s="127"/>
      <c r="AR132" s="127"/>
      <c r="AS132" s="127"/>
      <c r="AT132" s="127"/>
      <c r="AU132" s="127"/>
      <c r="AV132" s="127"/>
      <c r="AW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W132" s="127"/>
      <c r="BX132" s="127"/>
      <c r="BY132" s="127"/>
      <c r="BZ132" s="127"/>
      <c r="CA132" s="127"/>
    </row>
    <row r="133" spans="2:79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I133" s="127"/>
      <c r="AJ133" s="127"/>
      <c r="AK133" s="127"/>
      <c r="AL133" s="127"/>
      <c r="AM133" s="127"/>
      <c r="AP133" s="127"/>
      <c r="AQ133" s="127"/>
      <c r="AR133" s="127"/>
      <c r="AS133" s="127"/>
      <c r="AT133" s="127"/>
      <c r="AU133" s="127"/>
      <c r="AV133" s="127"/>
      <c r="AW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W133" s="127"/>
      <c r="BX133" s="127"/>
      <c r="BY133" s="127"/>
      <c r="BZ133" s="127"/>
      <c r="CA133" s="127"/>
    </row>
    <row r="134" spans="2:79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I134" s="127"/>
      <c r="AJ134" s="127"/>
      <c r="AK134" s="127"/>
      <c r="AL134" s="127"/>
      <c r="AM134" s="127"/>
      <c r="AP134" s="127"/>
      <c r="AQ134" s="127"/>
      <c r="AR134" s="127"/>
      <c r="AS134" s="127"/>
      <c r="AT134" s="127"/>
      <c r="AU134" s="127"/>
      <c r="AV134" s="127"/>
      <c r="AW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W134" s="127"/>
      <c r="BX134" s="127"/>
      <c r="BY134" s="127"/>
      <c r="BZ134" s="127"/>
      <c r="CA134" s="127"/>
    </row>
    <row r="135" spans="2:79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I135" s="127"/>
      <c r="AJ135" s="127"/>
      <c r="AK135" s="127"/>
      <c r="AL135" s="127"/>
      <c r="AM135" s="127"/>
      <c r="AP135" s="127"/>
      <c r="AQ135" s="127"/>
      <c r="AR135" s="127"/>
      <c r="AS135" s="127"/>
      <c r="AT135" s="127"/>
      <c r="AU135" s="127"/>
      <c r="AV135" s="127"/>
      <c r="AW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W135" s="127"/>
      <c r="BX135" s="127"/>
      <c r="BY135" s="127"/>
      <c r="BZ135" s="127"/>
      <c r="CA135" s="127"/>
    </row>
    <row r="136" spans="2:79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I136" s="127"/>
      <c r="AJ136" s="127"/>
      <c r="AK136" s="127"/>
      <c r="AL136" s="127"/>
      <c r="AM136" s="127"/>
      <c r="AP136" s="127"/>
      <c r="AQ136" s="127"/>
      <c r="AR136" s="127"/>
      <c r="AS136" s="127"/>
      <c r="AT136" s="127"/>
      <c r="AU136" s="127"/>
      <c r="AV136" s="127"/>
      <c r="AW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W136" s="127"/>
      <c r="BX136" s="127"/>
      <c r="BY136" s="127"/>
      <c r="BZ136" s="127"/>
      <c r="CA136" s="127"/>
    </row>
    <row r="137" spans="2:79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I137" s="127"/>
      <c r="AJ137" s="127"/>
      <c r="AK137" s="127"/>
      <c r="AL137" s="127"/>
      <c r="AM137" s="127"/>
      <c r="AP137" s="127"/>
      <c r="AQ137" s="127"/>
      <c r="AR137" s="127"/>
      <c r="AS137" s="127"/>
      <c r="AT137" s="127"/>
      <c r="AU137" s="127"/>
      <c r="AV137" s="127"/>
      <c r="AW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W137" s="127"/>
      <c r="BX137" s="127"/>
      <c r="BY137" s="127"/>
      <c r="BZ137" s="127"/>
      <c r="CA137" s="127"/>
    </row>
    <row r="138" spans="2:79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I138" s="127"/>
      <c r="AJ138" s="127"/>
      <c r="AK138" s="127"/>
      <c r="AL138" s="127"/>
      <c r="AM138" s="127"/>
      <c r="AP138" s="127"/>
      <c r="AQ138" s="127"/>
      <c r="AR138" s="127"/>
      <c r="AS138" s="127"/>
      <c r="AT138" s="127"/>
      <c r="AU138" s="127"/>
      <c r="AV138" s="127"/>
      <c r="AW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W138" s="127"/>
      <c r="BX138" s="127"/>
      <c r="BY138" s="127"/>
      <c r="BZ138" s="127"/>
      <c r="CA138" s="127"/>
    </row>
    <row r="139" spans="2:79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I139" s="127"/>
      <c r="AJ139" s="127"/>
      <c r="AK139" s="127"/>
      <c r="AL139" s="127"/>
      <c r="AM139" s="127"/>
      <c r="AP139" s="127"/>
      <c r="AQ139" s="127"/>
      <c r="AR139" s="127"/>
      <c r="AS139" s="127"/>
      <c r="AT139" s="127"/>
      <c r="AU139" s="127"/>
      <c r="AV139" s="127"/>
      <c r="AW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W139" s="127"/>
      <c r="BX139" s="127"/>
      <c r="BY139" s="127"/>
      <c r="BZ139" s="127"/>
      <c r="CA139" s="127"/>
    </row>
    <row r="140" spans="2:79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I140" s="127"/>
      <c r="AJ140" s="127"/>
      <c r="AK140" s="127"/>
      <c r="AL140" s="127"/>
      <c r="AM140" s="127"/>
      <c r="AP140" s="127"/>
      <c r="AQ140" s="127"/>
      <c r="AR140" s="127"/>
      <c r="AS140" s="127"/>
      <c r="AT140" s="127"/>
      <c r="AU140" s="127"/>
      <c r="AV140" s="127"/>
      <c r="AW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W140" s="127"/>
      <c r="BX140" s="127"/>
      <c r="BY140" s="127"/>
      <c r="BZ140" s="127"/>
      <c r="CA140" s="127"/>
    </row>
    <row r="141" spans="2:79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I141" s="127"/>
      <c r="AJ141" s="127"/>
      <c r="AK141" s="127"/>
      <c r="AL141" s="127"/>
      <c r="AM141" s="127"/>
      <c r="AP141" s="127"/>
      <c r="AQ141" s="127"/>
      <c r="AR141" s="127"/>
      <c r="AS141" s="127"/>
      <c r="AT141" s="127"/>
      <c r="AU141" s="127"/>
      <c r="AV141" s="127"/>
      <c r="AW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W141" s="127"/>
      <c r="BX141" s="127"/>
      <c r="BY141" s="127"/>
      <c r="BZ141" s="127"/>
      <c r="CA141" s="127"/>
    </row>
    <row r="142" spans="2:79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I142" s="127"/>
      <c r="AJ142" s="127"/>
      <c r="AK142" s="127"/>
      <c r="AL142" s="127"/>
      <c r="AM142" s="127"/>
      <c r="AP142" s="127"/>
      <c r="AQ142" s="127"/>
      <c r="AR142" s="127"/>
      <c r="AS142" s="127"/>
      <c r="AT142" s="127"/>
      <c r="AU142" s="127"/>
      <c r="AV142" s="127"/>
      <c r="AW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W142" s="127"/>
      <c r="BX142" s="127"/>
      <c r="BY142" s="127"/>
      <c r="BZ142" s="127"/>
      <c r="CA142" s="127"/>
    </row>
    <row r="143" spans="2:79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I143" s="127"/>
      <c r="AJ143" s="127"/>
      <c r="AK143" s="127"/>
      <c r="AL143" s="127"/>
      <c r="AM143" s="127"/>
      <c r="AP143" s="127"/>
      <c r="AQ143" s="127"/>
      <c r="AR143" s="127"/>
      <c r="AS143" s="127"/>
      <c r="AT143" s="127"/>
      <c r="AU143" s="127"/>
      <c r="AV143" s="127"/>
      <c r="AW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W143" s="127"/>
      <c r="BX143" s="127"/>
      <c r="BY143" s="127"/>
      <c r="BZ143" s="127"/>
      <c r="CA143" s="127"/>
    </row>
    <row r="144" spans="2:79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I144" s="127"/>
      <c r="AJ144" s="127"/>
      <c r="AK144" s="127"/>
      <c r="AL144" s="127"/>
      <c r="AM144" s="127"/>
      <c r="AP144" s="127"/>
      <c r="AQ144" s="127"/>
      <c r="AR144" s="127"/>
      <c r="AS144" s="127"/>
      <c r="AT144" s="127"/>
      <c r="AU144" s="127"/>
      <c r="AV144" s="127"/>
      <c r="AW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W144" s="127"/>
      <c r="BX144" s="127"/>
      <c r="BY144" s="127"/>
      <c r="BZ144" s="127"/>
      <c r="CA144" s="127"/>
    </row>
    <row r="145" spans="2:79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I145" s="127"/>
      <c r="AJ145" s="127"/>
      <c r="AK145" s="127"/>
      <c r="AL145" s="127"/>
      <c r="AM145" s="127"/>
      <c r="AP145" s="127"/>
      <c r="AQ145" s="127"/>
      <c r="AR145" s="127"/>
      <c r="AS145" s="127"/>
      <c r="AT145" s="127"/>
      <c r="AU145" s="127"/>
      <c r="AV145" s="127"/>
      <c r="AW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W145" s="127"/>
      <c r="BX145" s="127"/>
      <c r="BY145" s="127"/>
      <c r="BZ145" s="127"/>
      <c r="CA145" s="127"/>
    </row>
    <row r="146" spans="2:79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I146" s="127"/>
      <c r="AJ146" s="127"/>
      <c r="AK146" s="127"/>
      <c r="AL146" s="127"/>
      <c r="AM146" s="127"/>
      <c r="AP146" s="127"/>
      <c r="AQ146" s="127"/>
      <c r="AR146" s="127"/>
      <c r="AS146" s="127"/>
      <c r="AT146" s="127"/>
      <c r="AU146" s="127"/>
      <c r="AV146" s="127"/>
      <c r="AW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W146" s="127"/>
      <c r="BX146" s="127"/>
      <c r="BY146" s="127"/>
      <c r="BZ146" s="127"/>
      <c r="CA146" s="127"/>
    </row>
    <row r="147" spans="2:79" ht="144.4">
      <c r="B147" s="127"/>
      <c r="C147" s="127"/>
      <c r="D147" s="127"/>
      <c r="E147" s="127"/>
      <c r="F147" s="127"/>
      <c r="G147" s="127"/>
      <c r="H147" s="127"/>
      <c r="I147" s="127"/>
      <c r="J147" s="127"/>
      <c r="K147" s="1" t="s">
        <v>291</v>
      </c>
      <c r="L147" s="102" t="s">
        <v>11</v>
      </c>
      <c r="M147" s="102" t="s">
        <v>243</v>
      </c>
      <c r="N147" s="102" t="s">
        <v>256</v>
      </c>
      <c r="O147" s="102" t="s">
        <v>171</v>
      </c>
      <c r="P147" s="102" t="s">
        <v>217</v>
      </c>
      <c r="Q147" s="102" t="s">
        <v>230</v>
      </c>
      <c r="R147" s="102" t="s">
        <v>7</v>
      </c>
      <c r="S147" s="102" t="s">
        <v>10</v>
      </c>
      <c r="T147" s="102" t="s">
        <v>14</v>
      </c>
      <c r="U147" s="102" t="s">
        <v>333</v>
      </c>
      <c r="V147" s="102" t="s">
        <v>255</v>
      </c>
      <c r="W147" s="102" t="s">
        <v>32</v>
      </c>
      <c r="X147" s="102" t="s">
        <v>160</v>
      </c>
      <c r="Y147" s="102" t="s">
        <v>229</v>
      </c>
      <c r="Z147" s="102" t="s">
        <v>9</v>
      </c>
      <c r="AA147" s="102" t="s">
        <v>12</v>
      </c>
      <c r="AB147" s="102" t="s">
        <v>221</v>
      </c>
      <c r="AC147" s="102" t="s">
        <v>158</v>
      </c>
      <c r="AD147" s="102" t="s">
        <v>326</v>
      </c>
      <c r="AE147" s="102" t="s">
        <v>269</v>
      </c>
      <c r="AF147" s="102" t="s">
        <v>8</v>
      </c>
      <c r="AG147" s="102" t="s">
        <v>228</v>
      </c>
      <c r="AI147" s="127"/>
      <c r="AJ147" s="127"/>
      <c r="AK147" s="127"/>
      <c r="AL147" s="127"/>
      <c r="AM147" s="127"/>
      <c r="AP147" s="127"/>
      <c r="AQ147" s="127"/>
      <c r="AR147" s="127"/>
      <c r="AS147" s="127"/>
      <c r="AT147" s="127"/>
      <c r="AU147" s="127"/>
      <c r="AV147" s="127"/>
      <c r="AW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W147" s="127"/>
      <c r="BX147" s="127"/>
      <c r="BY147" s="127"/>
      <c r="BZ147" s="127"/>
      <c r="CA147" s="127"/>
    </row>
    <row r="148" spans="2:79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03" t="s">
        <v>385</v>
      </c>
      <c r="L148" s="284" cm="1">
        <f t="array" ref="L148:AG157">L4:AG13*TRANSPOSE(AJ4:AJ25)</f>
        <v>8.5159132420091335E-2</v>
      </c>
      <c r="M148" s="284">
        <v>0</v>
      </c>
      <c r="N148" s="284">
        <v>0.12215753424657536</v>
      </c>
      <c r="O148" s="284">
        <v>1.0294651011089369</v>
      </c>
      <c r="P148" s="284">
        <v>0</v>
      </c>
      <c r="Q148" s="284">
        <v>0</v>
      </c>
      <c r="R148" s="284">
        <v>0.93935022015655589</v>
      </c>
      <c r="S148" s="284">
        <v>0.17398462981082841</v>
      </c>
      <c r="T148" s="284">
        <v>0.35797570123939981</v>
      </c>
      <c r="U148" s="284">
        <v>0</v>
      </c>
      <c r="V148" s="284">
        <v>0.48316598173515984</v>
      </c>
      <c r="W148" s="136">
        <v>0</v>
      </c>
      <c r="X148" s="136">
        <v>1.576382909328115</v>
      </c>
      <c r="Y148" s="136">
        <v>0</v>
      </c>
      <c r="Z148" s="136">
        <v>4.8936725375081534E-3</v>
      </c>
      <c r="AA148" s="136">
        <v>3.7855919765166335E-2</v>
      </c>
      <c r="AB148" s="136">
        <v>0</v>
      </c>
      <c r="AC148" s="136">
        <v>7.0265410958904109E-2</v>
      </c>
      <c r="AD148" s="138">
        <v>0</v>
      </c>
      <c r="AE148" s="138">
        <v>0</v>
      </c>
      <c r="AF148" s="138">
        <v>6.8066418786692751</v>
      </c>
      <c r="AG148" s="138">
        <v>0</v>
      </c>
      <c r="AI148" s="127"/>
      <c r="AJ148" s="127"/>
      <c r="AK148" s="127"/>
      <c r="AL148" s="127"/>
      <c r="AM148" s="127"/>
      <c r="AP148" s="127"/>
      <c r="AQ148" s="127"/>
      <c r="AR148" s="127"/>
      <c r="AS148" s="127"/>
      <c r="AT148" s="127"/>
      <c r="AU148" s="127"/>
      <c r="AV148" s="127"/>
      <c r="AW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W148" s="127"/>
      <c r="BX148" s="127"/>
      <c r="BY148" s="127"/>
      <c r="BZ148" s="127"/>
      <c r="CA148" s="127"/>
    </row>
    <row r="149" spans="2:79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03" t="s">
        <v>330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0.51362823439878236</v>
      </c>
      <c r="R149" s="136">
        <v>2.1240994419076613E-2</v>
      </c>
      <c r="S149" s="136">
        <v>0</v>
      </c>
      <c r="T149" s="136">
        <v>0</v>
      </c>
      <c r="U149" s="136">
        <v>0</v>
      </c>
      <c r="V149" s="136">
        <v>0</v>
      </c>
      <c r="W149" s="136">
        <v>0.30962709284627093</v>
      </c>
      <c r="X149" s="136">
        <v>0</v>
      </c>
      <c r="Y149" s="136">
        <v>0.76305650684931514</v>
      </c>
      <c r="Z149" s="136">
        <v>0</v>
      </c>
      <c r="AA149" s="136">
        <v>0.13688641552511413</v>
      </c>
      <c r="AB149" s="136">
        <v>0</v>
      </c>
      <c r="AC149" s="136">
        <v>0</v>
      </c>
      <c r="AD149" s="136">
        <v>0</v>
      </c>
      <c r="AE149" s="136">
        <v>0</v>
      </c>
      <c r="AF149" s="136">
        <v>5.1640030441400304</v>
      </c>
      <c r="AG149" s="136">
        <v>29.244736174530654</v>
      </c>
      <c r="AI149" s="127"/>
      <c r="AJ149" s="127"/>
      <c r="AK149" s="127"/>
      <c r="AL149" s="127"/>
      <c r="AM149" s="127"/>
      <c r="AP149" s="127"/>
      <c r="AQ149" s="127"/>
      <c r="AR149" s="127"/>
      <c r="AS149" s="127"/>
      <c r="AT149" s="127"/>
      <c r="AU149" s="127"/>
      <c r="AV149" s="127"/>
      <c r="AW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W149" s="127"/>
      <c r="BX149" s="127"/>
      <c r="BY149" s="127"/>
      <c r="BZ149" s="127"/>
      <c r="CA149" s="127"/>
    </row>
    <row r="150" spans="2:79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03" t="s">
        <v>331</v>
      </c>
      <c r="L150" s="136">
        <v>11.950999999999999</v>
      </c>
      <c r="M150" s="136">
        <v>0</v>
      </c>
      <c r="N150" s="285">
        <v>0</v>
      </c>
      <c r="O150" s="286">
        <v>0</v>
      </c>
      <c r="P150" s="136">
        <v>0</v>
      </c>
      <c r="Q150" s="136">
        <v>0</v>
      </c>
      <c r="R150" s="136">
        <v>0</v>
      </c>
      <c r="S150" s="138">
        <v>7.2499999999999995E-2</v>
      </c>
      <c r="T150" s="138">
        <v>0</v>
      </c>
      <c r="U150" s="138">
        <v>0</v>
      </c>
      <c r="V150" s="138">
        <v>0</v>
      </c>
      <c r="W150" s="138">
        <v>9.8592000000000003E-3</v>
      </c>
      <c r="X150" s="138">
        <v>0</v>
      </c>
      <c r="Y150" s="138">
        <v>0</v>
      </c>
      <c r="Z150" s="138">
        <v>0</v>
      </c>
      <c r="AA150" s="138">
        <v>5.4300000000000001E-2</v>
      </c>
      <c r="AB150" s="138">
        <v>0</v>
      </c>
      <c r="AC150" s="138">
        <v>0</v>
      </c>
      <c r="AD150" s="138">
        <v>0</v>
      </c>
      <c r="AE150" s="138">
        <v>0.61409999999999998</v>
      </c>
      <c r="AF150" s="138">
        <v>30.75</v>
      </c>
      <c r="AG150" s="138">
        <v>0</v>
      </c>
      <c r="AI150" s="127"/>
      <c r="AJ150" s="127"/>
      <c r="AK150" s="127"/>
      <c r="AL150" s="127"/>
      <c r="AM150" s="127"/>
      <c r="AP150" s="127"/>
      <c r="AQ150" s="127"/>
      <c r="AR150" s="127"/>
      <c r="AS150" s="127"/>
      <c r="AT150" s="127"/>
      <c r="AU150" s="127"/>
      <c r="AV150" s="127"/>
      <c r="AW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W150" s="127"/>
      <c r="BX150" s="127"/>
      <c r="BY150" s="127"/>
      <c r="BZ150" s="127"/>
      <c r="CA150" s="127"/>
    </row>
    <row r="151" spans="2:79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03" t="s">
        <v>332</v>
      </c>
      <c r="L151" s="136">
        <v>0</v>
      </c>
      <c r="M151" s="136">
        <v>0</v>
      </c>
      <c r="N151" s="285">
        <v>0</v>
      </c>
      <c r="O151" s="286">
        <v>0.78155000000000008</v>
      </c>
      <c r="P151" s="136">
        <v>0.79695333333333307</v>
      </c>
      <c r="Q151" s="136">
        <v>0</v>
      </c>
      <c r="R151" s="136">
        <v>0.92105200000000009</v>
      </c>
      <c r="S151" s="138">
        <v>0.40355312499999996</v>
      </c>
      <c r="T151" s="138">
        <v>0</v>
      </c>
      <c r="U151" s="138">
        <v>0</v>
      </c>
      <c r="V151" s="138">
        <v>0</v>
      </c>
      <c r="W151" s="138">
        <v>0</v>
      </c>
      <c r="X151" s="138">
        <v>0</v>
      </c>
      <c r="Y151" s="138">
        <v>0</v>
      </c>
      <c r="Z151" s="138">
        <v>0</v>
      </c>
      <c r="AA151" s="138">
        <v>0</v>
      </c>
      <c r="AB151" s="138">
        <v>5.4113805500000005</v>
      </c>
      <c r="AC151" s="138">
        <v>0</v>
      </c>
      <c r="AD151" s="138">
        <v>6.2757282499999997E-2</v>
      </c>
      <c r="AE151" s="138">
        <v>0</v>
      </c>
      <c r="AF151" s="138">
        <v>2.1989120000000009</v>
      </c>
      <c r="AG151" s="138">
        <v>0</v>
      </c>
      <c r="AI151" s="127"/>
      <c r="AJ151" s="127"/>
      <c r="AK151" s="127"/>
      <c r="AL151" s="127"/>
      <c r="AM151" s="127"/>
      <c r="AP151" s="127"/>
      <c r="AQ151" s="127"/>
      <c r="AR151" s="127"/>
      <c r="AS151" s="127"/>
      <c r="AT151" s="127"/>
      <c r="AU151" s="127"/>
      <c r="AV151" s="127"/>
      <c r="AW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W151" s="127"/>
      <c r="BX151" s="127"/>
      <c r="BY151" s="127"/>
      <c r="BZ151" s="127"/>
      <c r="CA151" s="127"/>
    </row>
    <row r="152" spans="2:79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03" t="s">
        <v>290</v>
      </c>
      <c r="L152" s="136">
        <v>10.630100000000001</v>
      </c>
      <c r="M152" s="136">
        <v>1.63482E-2</v>
      </c>
      <c r="N152" s="285">
        <v>0</v>
      </c>
      <c r="O152" s="286">
        <v>4.1800000000000004E-2</v>
      </c>
      <c r="P152" s="136">
        <v>0.77308509999999997</v>
      </c>
      <c r="Q152" s="136">
        <v>0</v>
      </c>
      <c r="R152" s="136">
        <v>0.15971879000000003</v>
      </c>
      <c r="S152" s="138">
        <v>0</v>
      </c>
      <c r="T152" s="138">
        <v>0</v>
      </c>
      <c r="U152" s="138">
        <v>0</v>
      </c>
      <c r="V152" s="138">
        <v>0</v>
      </c>
      <c r="W152" s="138">
        <v>0</v>
      </c>
      <c r="X152" s="138">
        <v>0</v>
      </c>
      <c r="Y152" s="138">
        <v>0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5.8670999999999998</v>
      </c>
      <c r="AG152" s="138">
        <v>0</v>
      </c>
      <c r="AI152" s="127"/>
      <c r="AJ152" s="127"/>
      <c r="AK152" s="127"/>
      <c r="AL152" s="127"/>
      <c r="AM152" s="127"/>
      <c r="AP152" s="127"/>
      <c r="AQ152" s="127"/>
      <c r="AR152" s="127"/>
      <c r="AS152" s="127"/>
      <c r="AT152" s="127"/>
      <c r="AU152" s="127"/>
      <c r="AV152" s="127"/>
      <c r="AW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W152" s="127"/>
      <c r="BX152" s="127"/>
      <c r="BY152" s="127"/>
      <c r="BZ152" s="127"/>
      <c r="CA152" s="127"/>
    </row>
    <row r="153" spans="2:79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03" t="s">
        <v>375</v>
      </c>
      <c r="L153" s="136">
        <v>0.12939428571428571</v>
      </c>
      <c r="M153" s="136">
        <v>8.6204081632653057E-6</v>
      </c>
      <c r="N153" s="285">
        <v>0</v>
      </c>
      <c r="O153" s="286">
        <v>5.3877551020408169E-3</v>
      </c>
      <c r="P153" s="136">
        <v>0.28470857142857142</v>
      </c>
      <c r="Q153" s="136">
        <v>0</v>
      </c>
      <c r="R153" s="136">
        <v>5.5805280816326533E-2</v>
      </c>
      <c r="S153" s="138">
        <v>2.0714285714285713E-6</v>
      </c>
      <c r="T153" s="138">
        <v>0</v>
      </c>
      <c r="U153" s="138">
        <v>0</v>
      </c>
      <c r="V153" s="138">
        <v>0</v>
      </c>
      <c r="W153" s="138">
        <v>0</v>
      </c>
      <c r="X153" s="138">
        <v>8.385306122448981E-4</v>
      </c>
      <c r="Y153" s="138">
        <v>0</v>
      </c>
      <c r="Z153" s="138">
        <v>0</v>
      </c>
      <c r="AA153" s="138">
        <v>0</v>
      </c>
      <c r="AB153" s="138">
        <v>0</v>
      </c>
      <c r="AC153" s="138">
        <v>0</v>
      </c>
      <c r="AD153" s="138">
        <v>2.9241632653061223E-2</v>
      </c>
      <c r="AE153" s="138">
        <v>0</v>
      </c>
      <c r="AF153" s="138">
        <v>4.5212591020408164</v>
      </c>
      <c r="AG153" s="138">
        <v>0</v>
      </c>
      <c r="AI153" s="127"/>
      <c r="AJ153" s="127"/>
      <c r="AK153" s="127"/>
      <c r="AL153" s="127"/>
      <c r="AM153" s="127"/>
      <c r="AP153" s="127"/>
      <c r="AQ153" s="127"/>
      <c r="AR153" s="127"/>
      <c r="AS153" s="127"/>
      <c r="AT153" s="127"/>
      <c r="AU153" s="127"/>
      <c r="AV153" s="127"/>
      <c r="AW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W153" s="127"/>
      <c r="BX153" s="127"/>
      <c r="BY153" s="127"/>
      <c r="BZ153" s="127"/>
      <c r="CA153" s="127"/>
    </row>
    <row r="154" spans="2:79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19" t="s">
        <v>370</v>
      </c>
      <c r="L154" s="136">
        <v>6.7016742770167424E-3</v>
      </c>
      <c r="M154" s="136">
        <v>0</v>
      </c>
      <c r="N154" s="285">
        <v>0</v>
      </c>
      <c r="O154" s="286">
        <v>1.7300862506341959E-3</v>
      </c>
      <c r="P154" s="136">
        <v>0</v>
      </c>
      <c r="Q154" s="136">
        <v>0</v>
      </c>
      <c r="R154" s="136">
        <v>1.8103120243531202E-2</v>
      </c>
      <c r="S154" s="138">
        <v>0</v>
      </c>
      <c r="T154" s="138">
        <v>0</v>
      </c>
      <c r="U154" s="138">
        <v>0</v>
      </c>
      <c r="V154" s="138">
        <v>0</v>
      </c>
      <c r="W154" s="138">
        <v>0</v>
      </c>
      <c r="X154" s="138">
        <v>0</v>
      </c>
      <c r="Y154" s="138">
        <v>0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0.15601217656012176</v>
      </c>
      <c r="AG154" s="138">
        <v>0</v>
      </c>
      <c r="AI154" s="127"/>
      <c r="AJ154" s="127"/>
      <c r="AK154" s="127"/>
      <c r="AL154" s="127"/>
      <c r="AM154" s="127"/>
      <c r="AP154" s="127"/>
      <c r="AQ154" s="127"/>
      <c r="AR154" s="127"/>
      <c r="AS154" s="127"/>
      <c r="AT154" s="127"/>
      <c r="AU154" s="127"/>
      <c r="AV154" s="127"/>
      <c r="AW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W154" s="127"/>
      <c r="BX154" s="127"/>
      <c r="BY154" s="127"/>
      <c r="BZ154" s="127"/>
      <c r="CA154" s="127"/>
    </row>
    <row r="155" spans="2:79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0" t="s">
        <v>377</v>
      </c>
      <c r="L155" s="136">
        <v>1.540408163265306E-2</v>
      </c>
      <c r="M155" s="136">
        <v>0</v>
      </c>
      <c r="N155" s="285">
        <v>0</v>
      </c>
      <c r="O155" s="286">
        <v>4.8400000000000007</v>
      </c>
      <c r="P155" s="136">
        <v>0</v>
      </c>
      <c r="Q155" s="136">
        <v>0</v>
      </c>
      <c r="R155" s="136">
        <v>9.0535225000000028E-3</v>
      </c>
      <c r="S155" s="138">
        <v>0</v>
      </c>
      <c r="T155" s="138">
        <v>0</v>
      </c>
      <c r="U155" s="138">
        <v>0</v>
      </c>
      <c r="V155" s="138">
        <v>0</v>
      </c>
      <c r="W155" s="138">
        <v>0</v>
      </c>
      <c r="X155" s="138">
        <v>0</v>
      </c>
      <c r="Y155" s="138">
        <v>0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6.0515999999999996</v>
      </c>
      <c r="AG155" s="138">
        <v>0</v>
      </c>
      <c r="AI155" s="127"/>
      <c r="AJ155" s="127"/>
      <c r="AK155" s="127"/>
      <c r="AL155" s="127"/>
      <c r="AM155" s="127"/>
      <c r="AP155" s="127"/>
      <c r="AQ155" s="127"/>
      <c r="AR155" s="127"/>
      <c r="AS155" s="127"/>
      <c r="AT155" s="127"/>
      <c r="AU155" s="127"/>
      <c r="AV155" s="127"/>
      <c r="AW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W155" s="127"/>
      <c r="BX155" s="127"/>
      <c r="BY155" s="127"/>
      <c r="BZ155" s="127"/>
      <c r="CA155" s="127"/>
    </row>
    <row r="156" spans="2:79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0" t="s">
        <v>360</v>
      </c>
      <c r="L156" s="136">
        <v>5.9740639269406391E-2</v>
      </c>
      <c r="M156" s="136">
        <v>0</v>
      </c>
      <c r="N156" s="285">
        <v>0</v>
      </c>
      <c r="O156" s="286">
        <v>0</v>
      </c>
      <c r="P156" s="136">
        <v>0</v>
      </c>
      <c r="Q156" s="136">
        <v>0</v>
      </c>
      <c r="R156" s="136">
        <v>0.12912593607305936</v>
      </c>
      <c r="S156" s="138">
        <v>0</v>
      </c>
      <c r="T156" s="138">
        <v>0</v>
      </c>
      <c r="U156" s="138">
        <v>0</v>
      </c>
      <c r="V156" s="138">
        <v>0</v>
      </c>
      <c r="W156" s="138">
        <v>0</v>
      </c>
      <c r="X156" s="138">
        <v>0</v>
      </c>
      <c r="Y156" s="138">
        <v>0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1.1644748858447487</v>
      </c>
      <c r="AG156" s="138">
        <v>0</v>
      </c>
      <c r="AI156" s="127"/>
      <c r="AJ156" s="127"/>
      <c r="AK156" s="127"/>
      <c r="AL156" s="127"/>
      <c r="AM156" s="127"/>
      <c r="AP156" s="127"/>
      <c r="AQ156" s="127"/>
      <c r="AR156" s="127"/>
      <c r="AS156" s="127"/>
      <c r="AT156" s="127"/>
      <c r="AU156" s="127"/>
      <c r="AV156" s="127"/>
      <c r="AW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W156" s="127"/>
      <c r="BX156" s="127"/>
      <c r="BY156" s="127"/>
      <c r="BZ156" s="127"/>
      <c r="CA156" s="127"/>
    </row>
    <row r="157" spans="2:79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0" t="s">
        <v>387</v>
      </c>
      <c r="L157" s="136">
        <v>2.2977168949771688E-2</v>
      </c>
      <c r="M157" s="136">
        <v>0</v>
      </c>
      <c r="N157" s="285">
        <v>0</v>
      </c>
      <c r="O157" s="286">
        <v>0.79260273972602746</v>
      </c>
      <c r="P157" s="136">
        <v>0</v>
      </c>
      <c r="Q157" s="136">
        <v>0</v>
      </c>
      <c r="R157" s="136">
        <v>0.30760821917808223</v>
      </c>
      <c r="S157" s="138">
        <v>0.14069634703196346</v>
      </c>
      <c r="T157" s="138">
        <v>0.64020547945205475</v>
      </c>
      <c r="U157" s="138">
        <v>0</v>
      </c>
      <c r="V157" s="138">
        <v>0.52788584474885847</v>
      </c>
      <c r="W157" s="138">
        <v>0</v>
      </c>
      <c r="X157" s="138">
        <v>9.2831050228310511E-3</v>
      </c>
      <c r="Y157" s="138">
        <v>0</v>
      </c>
      <c r="Z157" s="138">
        <v>0</v>
      </c>
      <c r="AA157" s="138">
        <v>0</v>
      </c>
      <c r="AB157" s="138">
        <v>0</v>
      </c>
      <c r="AC157" s="138">
        <v>0</v>
      </c>
      <c r="AD157" s="138">
        <v>6.7887214611872138E-2</v>
      </c>
      <c r="AE157" s="138">
        <v>0</v>
      </c>
      <c r="AF157" s="138">
        <v>4.0033972602739727</v>
      </c>
      <c r="AG157" s="138">
        <v>0</v>
      </c>
      <c r="AI157" s="127"/>
      <c r="AJ157" s="127"/>
      <c r="AK157" s="127"/>
      <c r="AL157" s="127"/>
      <c r="AM157" s="127"/>
      <c r="AP157" s="127"/>
      <c r="AQ157" s="127"/>
      <c r="AR157" s="127"/>
      <c r="AS157" s="127"/>
      <c r="AT157" s="127"/>
      <c r="AU157" s="127"/>
      <c r="AV157" s="127"/>
      <c r="AW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W157" s="127"/>
      <c r="BX157" s="127"/>
      <c r="BY157" s="127"/>
      <c r="BZ157" s="127"/>
      <c r="CA157" s="127"/>
    </row>
    <row r="158" spans="2:79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I158" s="127"/>
      <c r="AJ158" s="127"/>
      <c r="AK158" s="127"/>
      <c r="AL158" s="127"/>
      <c r="AM158" s="127"/>
      <c r="AP158" s="127"/>
      <c r="AQ158" s="127"/>
      <c r="AR158" s="127"/>
      <c r="AS158" s="127"/>
      <c r="AT158" s="127"/>
      <c r="AU158" s="127"/>
      <c r="AV158" s="127"/>
      <c r="AW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W158" s="127"/>
      <c r="BX158" s="127"/>
      <c r="BY158" s="127"/>
      <c r="BZ158" s="127"/>
      <c r="CA158" s="127"/>
    </row>
    <row r="159" spans="2:79" ht="144.4">
      <c r="B159" s="127"/>
      <c r="C159" s="127"/>
      <c r="D159" s="127"/>
      <c r="E159" s="127"/>
      <c r="F159" s="127"/>
      <c r="G159" s="127"/>
      <c r="H159" s="127"/>
      <c r="I159" s="127"/>
      <c r="J159" s="127"/>
      <c r="K159" s="1" t="s">
        <v>431</v>
      </c>
      <c r="L159" s="102" t="s">
        <v>11</v>
      </c>
      <c r="M159" s="102" t="s">
        <v>243</v>
      </c>
      <c r="N159" s="102" t="s">
        <v>256</v>
      </c>
      <c r="O159" s="102" t="s">
        <v>171</v>
      </c>
      <c r="P159" s="102" t="s">
        <v>217</v>
      </c>
      <c r="Q159" s="102" t="s">
        <v>230</v>
      </c>
      <c r="R159" s="102" t="s">
        <v>7</v>
      </c>
      <c r="S159" s="102" t="s">
        <v>10</v>
      </c>
      <c r="T159" s="102" t="s">
        <v>14</v>
      </c>
      <c r="U159" s="102" t="s">
        <v>333</v>
      </c>
      <c r="V159" s="102" t="s">
        <v>255</v>
      </c>
      <c r="W159" s="102" t="s">
        <v>32</v>
      </c>
      <c r="X159" s="102" t="s">
        <v>160</v>
      </c>
      <c r="Y159" s="102" t="s">
        <v>229</v>
      </c>
      <c r="Z159" s="102" t="s">
        <v>9</v>
      </c>
      <c r="AA159" s="102" t="s">
        <v>12</v>
      </c>
      <c r="AB159" s="102" t="s">
        <v>221</v>
      </c>
      <c r="AC159" s="102" t="s">
        <v>158</v>
      </c>
      <c r="AD159" s="102" t="s">
        <v>326</v>
      </c>
      <c r="AE159" s="102" t="s">
        <v>269</v>
      </c>
      <c r="AF159" s="102" t="s">
        <v>8</v>
      </c>
      <c r="AG159" s="102" t="s">
        <v>228</v>
      </c>
      <c r="AI159" s="127"/>
      <c r="AJ159" s="127"/>
      <c r="AK159" s="127"/>
      <c r="AL159" s="127"/>
      <c r="AM159" s="127"/>
      <c r="AP159" s="127"/>
      <c r="AQ159" s="127"/>
      <c r="AR159" s="127"/>
      <c r="AS159" s="127"/>
      <c r="AT159" s="127"/>
      <c r="AU159" s="127"/>
      <c r="AV159" s="127"/>
      <c r="AW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W159" s="127"/>
      <c r="BX159" s="127"/>
      <c r="BY159" s="127"/>
      <c r="BZ159" s="127"/>
      <c r="CA159" s="127"/>
    </row>
    <row r="160" spans="2:79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03" t="s">
        <v>385</v>
      </c>
      <c r="L160" s="284" cm="1">
        <f t="array" ref="L160:AG169">L4:AG13*TRANSPOSE(AK4:AK25)</f>
        <v>7.1078767123287676</v>
      </c>
      <c r="M160" s="284">
        <v>0</v>
      </c>
      <c r="N160" s="284">
        <v>8.5239481409001963E-2</v>
      </c>
      <c r="O160" s="284">
        <v>21.291210045662101</v>
      </c>
      <c r="P160" s="284">
        <v>0</v>
      </c>
      <c r="Q160" s="284">
        <v>0</v>
      </c>
      <c r="R160" s="284">
        <v>33.565851272015657</v>
      </c>
      <c r="S160" s="284">
        <v>15.118664383561642</v>
      </c>
      <c r="T160" s="284">
        <v>1.394063926940639</v>
      </c>
      <c r="U160" s="284">
        <v>0</v>
      </c>
      <c r="V160" s="284">
        <v>47.751963470319637</v>
      </c>
      <c r="W160" s="136">
        <v>0</v>
      </c>
      <c r="X160" s="136">
        <v>13.701272015655579</v>
      </c>
      <c r="Y160" s="136">
        <v>0</v>
      </c>
      <c r="Z160" s="136">
        <v>0.36095890410958903</v>
      </c>
      <c r="AA160" s="136">
        <v>0.29001956947162427</v>
      </c>
      <c r="AB160" s="136">
        <v>0</v>
      </c>
      <c r="AC160" s="136">
        <v>1.0040684931506849</v>
      </c>
      <c r="AD160" s="138">
        <v>0</v>
      </c>
      <c r="AE160" s="138">
        <v>0</v>
      </c>
      <c r="AF160" s="138">
        <v>132.81252446183953</v>
      </c>
      <c r="AG160" s="138">
        <v>0</v>
      </c>
      <c r="AI160" s="127"/>
      <c r="AJ160" s="127"/>
      <c r="AK160" s="127"/>
      <c r="AL160" s="127"/>
      <c r="AM160" s="127"/>
      <c r="AP160" s="127"/>
      <c r="AQ160" s="127"/>
      <c r="AR160" s="127"/>
      <c r="AS160" s="127"/>
      <c r="AT160" s="127"/>
      <c r="AU160" s="127"/>
      <c r="AV160" s="127"/>
      <c r="AW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W160" s="127"/>
      <c r="BX160" s="127"/>
      <c r="BY160" s="127"/>
      <c r="BZ160" s="127"/>
      <c r="CA160" s="127"/>
    </row>
    <row r="161" spans="2:79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03" t="s">
        <v>330</v>
      </c>
      <c r="L161" s="136">
        <v>0</v>
      </c>
      <c r="M161" s="136">
        <v>0</v>
      </c>
      <c r="N161" s="136">
        <v>0</v>
      </c>
      <c r="O161" s="136">
        <v>0</v>
      </c>
      <c r="P161" s="136">
        <v>0</v>
      </c>
      <c r="Q161" s="136">
        <v>2.2190734398782341</v>
      </c>
      <c r="R161" s="136">
        <v>0.7590055809233891</v>
      </c>
      <c r="S161" s="136">
        <v>0</v>
      </c>
      <c r="T161" s="136">
        <v>0</v>
      </c>
      <c r="U161" s="136">
        <v>0</v>
      </c>
      <c r="V161" s="136">
        <v>0</v>
      </c>
      <c r="W161" s="136">
        <v>5.6242389649923892</v>
      </c>
      <c r="X161" s="136">
        <v>0</v>
      </c>
      <c r="Y161" s="136">
        <v>518.52454337899542</v>
      </c>
      <c r="Z161" s="136">
        <v>0</v>
      </c>
      <c r="AA161" s="136">
        <v>1.0487062404870624</v>
      </c>
      <c r="AB161" s="136">
        <v>0</v>
      </c>
      <c r="AC161" s="136">
        <v>0</v>
      </c>
      <c r="AD161" s="136">
        <v>0</v>
      </c>
      <c r="AE161" s="136">
        <v>0</v>
      </c>
      <c r="AF161" s="136">
        <v>100.76103500761035</v>
      </c>
      <c r="AG161" s="136">
        <v>696.91780821917712</v>
      </c>
      <c r="AI161" s="127"/>
      <c r="AJ161" s="127"/>
      <c r="AK161" s="127"/>
      <c r="AL161" s="127"/>
      <c r="AM161" s="127"/>
      <c r="AP161" s="127"/>
      <c r="AQ161" s="127"/>
      <c r="AR161" s="127"/>
      <c r="AS161" s="127"/>
      <c r="AT161" s="127"/>
      <c r="AU161" s="127"/>
      <c r="AV161" s="127"/>
      <c r="AW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W161" s="127"/>
      <c r="BX161" s="127"/>
      <c r="BY161" s="127"/>
      <c r="BZ161" s="127"/>
      <c r="CA161" s="127"/>
    </row>
    <row r="162" spans="2:79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03" t="s">
        <v>331</v>
      </c>
      <c r="L162" s="136">
        <v>997.5</v>
      </c>
      <c r="M162" s="136">
        <v>0</v>
      </c>
      <c r="N162" s="285">
        <v>0</v>
      </c>
      <c r="O162" s="286">
        <v>0</v>
      </c>
      <c r="P162" s="136">
        <v>0</v>
      </c>
      <c r="Q162" s="136">
        <v>0</v>
      </c>
      <c r="R162" s="136">
        <v>0</v>
      </c>
      <c r="S162" s="138">
        <v>6.3</v>
      </c>
      <c r="T162" s="138">
        <v>0</v>
      </c>
      <c r="U162" s="138">
        <v>0</v>
      </c>
      <c r="V162" s="138">
        <v>0</v>
      </c>
      <c r="W162" s="138">
        <v>0.179088</v>
      </c>
      <c r="X162" s="138">
        <v>0</v>
      </c>
      <c r="Y162" s="138">
        <v>0</v>
      </c>
      <c r="Z162" s="138">
        <v>0</v>
      </c>
      <c r="AA162" s="138">
        <v>0.41600000000000004</v>
      </c>
      <c r="AB162" s="138">
        <v>0</v>
      </c>
      <c r="AC162" s="138">
        <v>0</v>
      </c>
      <c r="AD162" s="138">
        <v>0</v>
      </c>
      <c r="AE162" s="138">
        <v>2.81175</v>
      </c>
      <c r="AF162" s="138">
        <v>600</v>
      </c>
      <c r="AG162" s="138">
        <v>0</v>
      </c>
      <c r="AI162" s="127"/>
      <c r="AJ162" s="127"/>
      <c r="AK162" s="127"/>
      <c r="AL162" s="127"/>
      <c r="AM162" s="127"/>
      <c r="AP162" s="127"/>
      <c r="AQ162" s="127"/>
      <c r="AR162" s="127"/>
      <c r="AS162" s="127"/>
      <c r="AT162" s="127"/>
      <c r="AU162" s="127"/>
      <c r="AV162" s="127"/>
      <c r="AW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W162" s="127"/>
      <c r="BX162" s="127"/>
      <c r="BY162" s="127"/>
      <c r="BZ162" s="127"/>
      <c r="CA162" s="127"/>
    </row>
    <row r="163" spans="2:79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03" t="s">
        <v>332</v>
      </c>
      <c r="L163" s="136">
        <v>0</v>
      </c>
      <c r="M163" s="136">
        <v>0</v>
      </c>
      <c r="N163" s="285">
        <v>0</v>
      </c>
      <c r="O163" s="286">
        <v>16.163875000000001</v>
      </c>
      <c r="P163" s="136">
        <v>34.043266666666661</v>
      </c>
      <c r="Q163" s="136">
        <v>0</v>
      </c>
      <c r="R163" s="136">
        <v>32.911999999999999</v>
      </c>
      <c r="S163" s="138">
        <v>35.067374999999998</v>
      </c>
      <c r="T163" s="138">
        <v>0</v>
      </c>
      <c r="U163" s="138">
        <v>0</v>
      </c>
      <c r="V163" s="138">
        <v>0</v>
      </c>
      <c r="W163" s="138">
        <v>0</v>
      </c>
      <c r="X163" s="138">
        <v>0</v>
      </c>
      <c r="Y163" s="138">
        <v>0</v>
      </c>
      <c r="Z163" s="138">
        <v>0</v>
      </c>
      <c r="AA163" s="138">
        <v>0</v>
      </c>
      <c r="AB163" s="138">
        <v>450.04467500000004</v>
      </c>
      <c r="AC163" s="138">
        <v>0</v>
      </c>
      <c r="AD163" s="138">
        <v>13.46213</v>
      </c>
      <c r="AE163" s="138">
        <v>0</v>
      </c>
      <c r="AF163" s="138">
        <v>42.905600000000021</v>
      </c>
      <c r="AG163" s="138">
        <v>0</v>
      </c>
      <c r="AI163" s="127"/>
      <c r="AJ163" s="127"/>
      <c r="AK163" s="127"/>
      <c r="AL163" s="127"/>
      <c r="AM163" s="127"/>
      <c r="AP163" s="127"/>
      <c r="AQ163" s="127"/>
      <c r="AR163" s="127"/>
      <c r="AS163" s="127"/>
      <c r="AT163" s="127"/>
      <c r="AU163" s="127"/>
      <c r="AV163" s="127"/>
      <c r="AW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W163" s="127"/>
      <c r="BX163" s="127"/>
      <c r="BY163" s="127"/>
      <c r="BZ163" s="127"/>
      <c r="CA163" s="127"/>
    </row>
    <row r="164" spans="2:79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03" t="s">
        <v>290</v>
      </c>
      <c r="L164" s="136">
        <v>887.25</v>
      </c>
      <c r="M164" s="136">
        <v>3.742747</v>
      </c>
      <c r="N164" s="285">
        <v>0</v>
      </c>
      <c r="O164" s="286">
        <v>0.86449999999999994</v>
      </c>
      <c r="P164" s="136">
        <v>33.023693000000002</v>
      </c>
      <c r="Q164" s="136">
        <v>0</v>
      </c>
      <c r="R164" s="136">
        <v>5.7072400000000005</v>
      </c>
      <c r="S164" s="138">
        <v>0</v>
      </c>
      <c r="T164" s="138">
        <v>0</v>
      </c>
      <c r="U164" s="138">
        <v>0</v>
      </c>
      <c r="V164" s="138">
        <v>0</v>
      </c>
      <c r="W164" s="138">
        <v>0</v>
      </c>
      <c r="X164" s="138">
        <v>0</v>
      </c>
      <c r="Y164" s="138">
        <v>0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114.47999999999999</v>
      </c>
      <c r="AG164" s="138">
        <v>0</v>
      </c>
      <c r="AI164" s="127"/>
      <c r="AJ164" s="127"/>
      <c r="AK164" s="127"/>
      <c r="AL164" s="127"/>
      <c r="AM164" s="127"/>
      <c r="AP164" s="127"/>
      <c r="AQ164" s="127"/>
      <c r="AR164" s="127"/>
      <c r="AS164" s="127"/>
      <c r="AT164" s="127"/>
      <c r="AU164" s="127"/>
      <c r="AV164" s="127"/>
      <c r="AW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W164" s="127"/>
      <c r="BX164" s="127"/>
      <c r="BY164" s="127"/>
      <c r="BZ164" s="127"/>
      <c r="CA164" s="127"/>
    </row>
    <row r="165" spans="2:79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03" t="s">
        <v>375</v>
      </c>
      <c r="L165" s="136">
        <v>10.799999999999999</v>
      </c>
      <c r="M165" s="136">
        <v>1.973551020408163E-3</v>
      </c>
      <c r="N165" s="285">
        <v>0</v>
      </c>
      <c r="O165" s="286">
        <v>0.11142857142857142</v>
      </c>
      <c r="P165" s="136">
        <v>12.161828571428572</v>
      </c>
      <c r="Q165" s="136">
        <v>0</v>
      </c>
      <c r="R165" s="136">
        <v>1.9940930612244896</v>
      </c>
      <c r="S165" s="138">
        <v>1.7999999999999998E-4</v>
      </c>
      <c r="T165" s="138">
        <v>0</v>
      </c>
      <c r="U165" s="138">
        <v>0</v>
      </c>
      <c r="V165" s="138">
        <v>0</v>
      </c>
      <c r="W165" s="138">
        <v>0</v>
      </c>
      <c r="X165" s="138">
        <v>7.2881632653061237E-3</v>
      </c>
      <c r="Y165" s="138">
        <v>0</v>
      </c>
      <c r="Z165" s="138">
        <v>0</v>
      </c>
      <c r="AA165" s="138">
        <v>0</v>
      </c>
      <c r="AB165" s="138">
        <v>0</v>
      </c>
      <c r="AC165" s="138">
        <v>0</v>
      </c>
      <c r="AD165" s="138">
        <v>6.2726530612244895</v>
      </c>
      <c r="AE165" s="138">
        <v>0</v>
      </c>
      <c r="AF165" s="138">
        <v>88.21968979591837</v>
      </c>
      <c r="AG165" s="138">
        <v>0</v>
      </c>
      <c r="AI165" s="127"/>
      <c r="AJ165" s="127"/>
      <c r="AK165" s="127"/>
      <c r="AL165" s="127"/>
      <c r="AM165" s="127"/>
      <c r="AP165" s="127"/>
      <c r="AQ165" s="127"/>
      <c r="AR165" s="127"/>
      <c r="AS165" s="127"/>
      <c r="AT165" s="127"/>
      <c r="AU165" s="127"/>
      <c r="AV165" s="127"/>
      <c r="AW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W165" s="127"/>
      <c r="BX165" s="127"/>
      <c r="BY165" s="127"/>
      <c r="BZ165" s="127"/>
      <c r="CA165" s="127"/>
    </row>
    <row r="166" spans="2:79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19" t="s">
        <v>370</v>
      </c>
      <c r="L166" s="136">
        <v>0.55936073059360725</v>
      </c>
      <c r="M166" s="136">
        <v>0</v>
      </c>
      <c r="N166" s="285">
        <v>0</v>
      </c>
      <c r="O166" s="286">
        <v>3.578132927447996E-2</v>
      </c>
      <c r="P166" s="136">
        <v>0</v>
      </c>
      <c r="Q166" s="136">
        <v>0</v>
      </c>
      <c r="R166" s="136">
        <v>0.64687975646879747</v>
      </c>
      <c r="S166" s="138">
        <v>0</v>
      </c>
      <c r="T166" s="138">
        <v>0</v>
      </c>
      <c r="U166" s="138">
        <v>0</v>
      </c>
      <c r="V166" s="138">
        <v>0</v>
      </c>
      <c r="W166" s="138">
        <v>0</v>
      </c>
      <c r="X166" s="138">
        <v>0</v>
      </c>
      <c r="Y166" s="138">
        <v>0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3.0441400304414001</v>
      </c>
      <c r="AG166" s="138">
        <v>0</v>
      </c>
      <c r="AI166" s="127"/>
      <c r="AJ166" s="127"/>
      <c r="AK166" s="127"/>
      <c r="AL166" s="127"/>
      <c r="AM166" s="127"/>
      <c r="AP166" s="127"/>
      <c r="AQ166" s="127"/>
      <c r="AR166" s="127"/>
      <c r="AS166" s="127"/>
      <c r="AT166" s="127"/>
      <c r="AU166" s="127"/>
      <c r="AV166" s="127"/>
      <c r="AW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W166" s="127"/>
      <c r="BX166" s="127"/>
      <c r="BY166" s="127"/>
      <c r="BZ166" s="127"/>
      <c r="CA166" s="127"/>
    </row>
    <row r="167" spans="2:79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0" t="s">
        <v>377</v>
      </c>
      <c r="L167" s="136">
        <v>1.2857142857142856</v>
      </c>
      <c r="M167" s="136">
        <v>0</v>
      </c>
      <c r="N167" s="285">
        <v>0</v>
      </c>
      <c r="O167" s="286">
        <v>100.10000000000001</v>
      </c>
      <c r="P167" s="136">
        <v>0</v>
      </c>
      <c r="Q167" s="136">
        <v>0</v>
      </c>
      <c r="R167" s="136">
        <v>0.32351000000000002</v>
      </c>
      <c r="S167" s="138">
        <v>0</v>
      </c>
      <c r="T167" s="138">
        <v>0</v>
      </c>
      <c r="U167" s="138">
        <v>0</v>
      </c>
      <c r="V167" s="138">
        <v>0</v>
      </c>
      <c r="W167" s="138">
        <v>0</v>
      </c>
      <c r="X167" s="138">
        <v>0</v>
      </c>
      <c r="Y167" s="138">
        <v>0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118.08</v>
      </c>
      <c r="AG167" s="138">
        <v>0</v>
      </c>
      <c r="AI167" s="127"/>
      <c r="AJ167" s="127"/>
      <c r="AK167" s="127"/>
      <c r="AL167" s="127"/>
      <c r="AM167" s="127"/>
      <c r="AP167" s="127"/>
      <c r="AQ167" s="127"/>
      <c r="AR167" s="127"/>
      <c r="AS167" s="127"/>
      <c r="AT167" s="127"/>
      <c r="AU167" s="127"/>
      <c r="AV167" s="127"/>
      <c r="AW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W167" s="127"/>
      <c r="BX167" s="127"/>
      <c r="BY167" s="127"/>
      <c r="BZ167" s="127"/>
      <c r="CA167" s="127"/>
    </row>
    <row r="168" spans="2:79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0" t="s">
        <v>360</v>
      </c>
      <c r="L168" s="136">
        <v>4.9863013698630132</v>
      </c>
      <c r="M168" s="136">
        <v>0</v>
      </c>
      <c r="N168" s="285">
        <v>0</v>
      </c>
      <c r="O168" s="286">
        <v>0</v>
      </c>
      <c r="P168" s="136">
        <v>0</v>
      </c>
      <c r="Q168" s="136">
        <v>0</v>
      </c>
      <c r="R168" s="136">
        <v>4.6140639269406387</v>
      </c>
      <c r="S168" s="138">
        <v>0</v>
      </c>
      <c r="T168" s="138">
        <v>0</v>
      </c>
      <c r="U168" s="138">
        <v>0</v>
      </c>
      <c r="V168" s="138">
        <v>0</v>
      </c>
      <c r="W168" s="138">
        <v>0</v>
      </c>
      <c r="X168" s="138">
        <v>0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22.721461187214611</v>
      </c>
      <c r="AG168" s="138">
        <v>0</v>
      </c>
      <c r="AI168" s="127"/>
      <c r="AJ168" s="127"/>
      <c r="AK168" s="127"/>
      <c r="AL168" s="127"/>
      <c r="AM168" s="127"/>
      <c r="AP168" s="127"/>
      <c r="AQ168" s="127"/>
      <c r="AR168" s="127"/>
      <c r="AS168" s="127"/>
      <c r="AT168" s="127"/>
      <c r="AU168" s="127"/>
      <c r="AV168" s="127"/>
      <c r="AW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W168" s="127"/>
      <c r="BX168" s="127"/>
      <c r="BY168" s="127"/>
      <c r="BZ168" s="127"/>
      <c r="CA168" s="127"/>
    </row>
    <row r="169" spans="2:79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0" t="s">
        <v>387</v>
      </c>
      <c r="L169" s="136">
        <v>1.9178082191780821</v>
      </c>
      <c r="M169" s="136">
        <v>0</v>
      </c>
      <c r="N169" s="285">
        <v>0</v>
      </c>
      <c r="O169" s="286">
        <v>16.392465753424659</v>
      </c>
      <c r="P169" s="136">
        <v>0</v>
      </c>
      <c r="Q169" s="136">
        <v>0</v>
      </c>
      <c r="R169" s="136">
        <v>10.991780821917809</v>
      </c>
      <c r="S169" s="138">
        <v>12.226027397260273</v>
      </c>
      <c r="T169" s="138">
        <v>2.4931506849315066</v>
      </c>
      <c r="U169" s="138">
        <v>0</v>
      </c>
      <c r="V169" s="138">
        <v>52.171689497716898</v>
      </c>
      <c r="W169" s="138">
        <v>0</v>
      </c>
      <c r="X169" s="138">
        <v>8.0684931506849328E-2</v>
      </c>
      <c r="Y169" s="138">
        <v>0</v>
      </c>
      <c r="Z169" s="138">
        <v>0</v>
      </c>
      <c r="AA169" s="138">
        <v>0</v>
      </c>
      <c r="AB169" s="138">
        <v>0</v>
      </c>
      <c r="AC169" s="138">
        <v>0</v>
      </c>
      <c r="AD169" s="138">
        <v>14.56255707762557</v>
      </c>
      <c r="AE169" s="138">
        <v>0</v>
      </c>
      <c r="AF169" s="138">
        <v>78.115068493150687</v>
      </c>
      <c r="AG169" s="138">
        <v>0</v>
      </c>
      <c r="AI169" s="127"/>
      <c r="AJ169" s="127"/>
      <c r="AK169" s="127"/>
      <c r="AL169" s="127"/>
      <c r="AM169" s="127"/>
      <c r="AP169" s="127"/>
      <c r="AQ169" s="127"/>
      <c r="AR169" s="127"/>
      <c r="AS169" s="127"/>
      <c r="AT169" s="127"/>
      <c r="AU169" s="127"/>
      <c r="AV169" s="127"/>
      <c r="AW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W169" s="127"/>
      <c r="BX169" s="127"/>
      <c r="BY169" s="127"/>
      <c r="BZ169" s="127"/>
      <c r="CA169" s="127"/>
    </row>
    <row r="170" spans="2:79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I170" s="127"/>
      <c r="AJ170" s="127"/>
      <c r="AK170" s="127"/>
      <c r="AL170" s="127"/>
      <c r="AM170" s="127"/>
      <c r="AP170" s="127"/>
      <c r="AQ170" s="127"/>
      <c r="AR170" s="127"/>
      <c r="AS170" s="127"/>
      <c r="AT170" s="127"/>
      <c r="AU170" s="127"/>
      <c r="AV170" s="127"/>
      <c r="AW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W170" s="127"/>
      <c r="BX170" s="127"/>
      <c r="BY170" s="127"/>
      <c r="BZ170" s="127"/>
      <c r="CA170" s="127"/>
    </row>
    <row r="171" spans="2:79" ht="144.4">
      <c r="B171" s="127"/>
      <c r="C171" s="127"/>
      <c r="D171" s="127"/>
      <c r="E171" s="127"/>
      <c r="F171" s="127"/>
      <c r="G171" s="127"/>
      <c r="H171" s="127"/>
      <c r="I171" s="127"/>
      <c r="J171" s="127"/>
      <c r="K171" s="1" t="s">
        <v>245</v>
      </c>
      <c r="L171" s="102" t="s">
        <v>11</v>
      </c>
      <c r="M171" s="102" t="s">
        <v>243</v>
      </c>
      <c r="N171" s="102" t="s">
        <v>256</v>
      </c>
      <c r="O171" s="102" t="s">
        <v>171</v>
      </c>
      <c r="P171" s="102" t="s">
        <v>217</v>
      </c>
      <c r="Q171" s="102" t="s">
        <v>230</v>
      </c>
      <c r="R171" s="102" t="s">
        <v>7</v>
      </c>
      <c r="S171" s="102" t="s">
        <v>10</v>
      </c>
      <c r="T171" s="102" t="s">
        <v>14</v>
      </c>
      <c r="U171" s="102" t="s">
        <v>333</v>
      </c>
      <c r="V171" s="102" t="s">
        <v>255</v>
      </c>
      <c r="W171" s="102" t="s">
        <v>32</v>
      </c>
      <c r="X171" s="102" t="s">
        <v>160</v>
      </c>
      <c r="Y171" s="102" t="s">
        <v>229</v>
      </c>
      <c r="Z171" s="102" t="s">
        <v>9</v>
      </c>
      <c r="AA171" s="102" t="s">
        <v>12</v>
      </c>
      <c r="AB171" s="102" t="s">
        <v>221</v>
      </c>
      <c r="AC171" s="102" t="s">
        <v>158</v>
      </c>
      <c r="AD171" s="102" t="s">
        <v>326</v>
      </c>
      <c r="AE171" s="102" t="s">
        <v>269</v>
      </c>
      <c r="AF171" s="102" t="s">
        <v>8</v>
      </c>
      <c r="AG171" s="102" t="s">
        <v>228</v>
      </c>
      <c r="AI171" s="127"/>
      <c r="AJ171" s="127"/>
      <c r="AK171" s="127"/>
      <c r="AL171" s="127"/>
      <c r="AM171" s="127"/>
      <c r="AP171" s="127"/>
      <c r="AQ171" s="127"/>
      <c r="AR171" s="127"/>
      <c r="AS171" s="127"/>
      <c r="AT171" s="127"/>
      <c r="AU171" s="127"/>
      <c r="AV171" s="127"/>
      <c r="AW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W171" s="127"/>
      <c r="BX171" s="127"/>
      <c r="BY171" s="127"/>
      <c r="BZ171" s="127"/>
      <c r="CA171" s="127"/>
    </row>
    <row r="172" spans="2:79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03" t="s">
        <v>385</v>
      </c>
      <c r="L172" s="284" cm="1">
        <f t="array" ref="L172:AG181">L4:AG13*TRANSPOSE(AL4:AL25)</f>
        <v>2.9108447488584476E-3</v>
      </c>
      <c r="M172" s="284">
        <v>0</v>
      </c>
      <c r="N172" s="284">
        <v>0</v>
      </c>
      <c r="O172" s="284">
        <v>0.32521738421395963</v>
      </c>
      <c r="P172" s="284">
        <v>0</v>
      </c>
      <c r="Q172" s="284">
        <v>0</v>
      </c>
      <c r="R172" s="284">
        <v>1.3574425146771039</v>
      </c>
      <c r="S172" s="284">
        <v>2.0638176777560337E-2</v>
      </c>
      <c r="T172" s="284">
        <v>3.7340998043052832E-4</v>
      </c>
      <c r="U172" s="284">
        <v>0</v>
      </c>
      <c r="V172" s="284">
        <v>2.4198630136986301E-4</v>
      </c>
      <c r="W172" s="136">
        <v>0</v>
      </c>
      <c r="X172" s="136">
        <v>1.4732550554468364E-2</v>
      </c>
      <c r="Y172" s="136">
        <v>0</v>
      </c>
      <c r="Z172" s="136">
        <v>1.0110893672537508E-6</v>
      </c>
      <c r="AA172" s="136">
        <v>1.045743639921722E-4</v>
      </c>
      <c r="AB172" s="136">
        <v>0</v>
      </c>
      <c r="AC172" s="136">
        <v>1.4537671232876714E-4</v>
      </c>
      <c r="AD172" s="138">
        <v>0</v>
      </c>
      <c r="AE172" s="138">
        <v>0</v>
      </c>
      <c r="AF172" s="138">
        <v>1.162109589041096</v>
      </c>
      <c r="AG172" s="138">
        <v>0</v>
      </c>
      <c r="AI172" s="127"/>
      <c r="AJ172" s="127"/>
      <c r="AK172" s="127"/>
      <c r="AL172" s="127"/>
      <c r="AM172" s="127"/>
      <c r="AP172" s="127"/>
      <c r="AQ172" s="127"/>
      <c r="AR172" s="127"/>
      <c r="AS172" s="127"/>
      <c r="AT172" s="127"/>
      <c r="AU172" s="127"/>
      <c r="AV172" s="127"/>
      <c r="AW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W172" s="127"/>
      <c r="BX172" s="127"/>
      <c r="BY172" s="127"/>
      <c r="BZ172" s="127"/>
      <c r="CA172" s="127"/>
    </row>
    <row r="173" spans="2:79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03" t="s">
        <v>330</v>
      </c>
      <c r="L173" s="136">
        <v>0</v>
      </c>
      <c r="M173" s="136">
        <v>0</v>
      </c>
      <c r="N173" s="136">
        <v>0</v>
      </c>
      <c r="O173" s="136">
        <v>0</v>
      </c>
      <c r="P173" s="136">
        <v>0</v>
      </c>
      <c r="Q173" s="136">
        <v>1.6622272957889396E-4</v>
      </c>
      <c r="R173" s="136">
        <v>3.0695078640284122E-2</v>
      </c>
      <c r="S173" s="136">
        <v>0</v>
      </c>
      <c r="T173" s="136">
        <v>0</v>
      </c>
      <c r="U173" s="136">
        <v>0</v>
      </c>
      <c r="V173" s="136">
        <v>0</v>
      </c>
      <c r="W173" s="136">
        <v>9.4063926940639267E-2</v>
      </c>
      <c r="X173" s="136">
        <v>0</v>
      </c>
      <c r="Y173" s="136">
        <v>2.985873287671233E-2</v>
      </c>
      <c r="Z173" s="136">
        <v>0</v>
      </c>
      <c r="AA173" s="136">
        <v>3.7813926940639264E-4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0.88165905631659058</v>
      </c>
      <c r="AG173" s="136">
        <v>1.9358828006088253</v>
      </c>
      <c r="AI173" s="127"/>
      <c r="AJ173" s="127"/>
      <c r="AK173" s="127"/>
      <c r="AL173" s="127"/>
      <c r="AM173" s="127"/>
      <c r="AP173" s="127"/>
      <c r="AQ173" s="127"/>
      <c r="AR173" s="127"/>
      <c r="AS173" s="127"/>
      <c r="AT173" s="127"/>
      <c r="AU173" s="127"/>
      <c r="AV173" s="127"/>
      <c r="AW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W173" s="127"/>
      <c r="BX173" s="127"/>
      <c r="BY173" s="127"/>
      <c r="BZ173" s="127"/>
      <c r="CA173" s="127"/>
    </row>
    <row r="174" spans="2:79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03" t="s">
        <v>331</v>
      </c>
      <c r="L174" s="136">
        <v>0.40849999999999997</v>
      </c>
      <c r="M174" s="136">
        <v>0</v>
      </c>
      <c r="N174" s="285">
        <v>0</v>
      </c>
      <c r="O174" s="286">
        <v>0</v>
      </c>
      <c r="P174" s="136">
        <v>0</v>
      </c>
      <c r="Q174" s="136">
        <v>0</v>
      </c>
      <c r="R174" s="136">
        <v>0</v>
      </c>
      <c r="S174" s="138">
        <v>8.6E-3</v>
      </c>
      <c r="T174" s="138">
        <v>0</v>
      </c>
      <c r="U174" s="138">
        <v>0</v>
      </c>
      <c r="V174" s="138">
        <v>0</v>
      </c>
      <c r="W174" s="138">
        <v>2.9951999999999999E-3</v>
      </c>
      <c r="X174" s="138">
        <v>0</v>
      </c>
      <c r="Y174" s="138">
        <v>0</v>
      </c>
      <c r="Z174" s="138">
        <v>0</v>
      </c>
      <c r="AA174" s="138">
        <v>1.4999999999999999E-4</v>
      </c>
      <c r="AB174" s="138">
        <v>0</v>
      </c>
      <c r="AC174" s="138">
        <v>0</v>
      </c>
      <c r="AD174" s="138">
        <v>0</v>
      </c>
      <c r="AE174" s="138">
        <v>5.7500000000000002E-5</v>
      </c>
      <c r="AF174" s="138">
        <v>5.2500000000000009</v>
      </c>
      <c r="AG174" s="138">
        <v>0</v>
      </c>
      <c r="AI174" s="127"/>
      <c r="AJ174" s="127"/>
      <c r="AK174" s="127"/>
      <c r="AL174" s="127"/>
      <c r="AM174" s="127"/>
      <c r="AP174" s="127"/>
      <c r="AQ174" s="127"/>
      <c r="AR174" s="127"/>
      <c r="AS174" s="127"/>
      <c r="AT174" s="127"/>
      <c r="AU174" s="127"/>
      <c r="AV174" s="127"/>
      <c r="AW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W174" s="127"/>
      <c r="BX174" s="127"/>
      <c r="BY174" s="127"/>
      <c r="BZ174" s="127"/>
      <c r="CA174" s="127"/>
    </row>
    <row r="175" spans="2:79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03" t="s">
        <v>332</v>
      </c>
      <c r="L175" s="136">
        <v>0</v>
      </c>
      <c r="M175" s="136">
        <v>0</v>
      </c>
      <c r="N175" s="285">
        <v>0</v>
      </c>
      <c r="O175" s="286">
        <v>0.24689875000000003</v>
      </c>
      <c r="P175" s="136">
        <v>1.1516666666666663E-2</v>
      </c>
      <c r="Q175" s="136">
        <v>0</v>
      </c>
      <c r="R175" s="136">
        <v>1.331</v>
      </c>
      <c r="S175" s="138">
        <v>4.7869749999999996E-2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1.6266675000000001E-2</v>
      </c>
      <c r="AC175" s="138">
        <v>0</v>
      </c>
      <c r="AD175" s="138">
        <v>5.9391749999999993E-2</v>
      </c>
      <c r="AE175" s="138">
        <v>0</v>
      </c>
      <c r="AF175" s="138">
        <v>0.3754240000000002</v>
      </c>
      <c r="AG175" s="138">
        <v>0</v>
      </c>
      <c r="AI175" s="127"/>
      <c r="AJ175" s="127"/>
      <c r="AK175" s="127"/>
      <c r="AL175" s="127"/>
      <c r="AM175" s="127"/>
      <c r="AP175" s="127"/>
      <c r="AQ175" s="127"/>
      <c r="AR175" s="127"/>
      <c r="AS175" s="127"/>
      <c r="AT175" s="127"/>
      <c r="AU175" s="127"/>
      <c r="AV175" s="127"/>
      <c r="AW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W175" s="127"/>
      <c r="BX175" s="127"/>
      <c r="BY175" s="127"/>
      <c r="BZ175" s="127"/>
      <c r="CA175" s="127"/>
    </row>
    <row r="176" spans="2:79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03" t="s">
        <v>290</v>
      </c>
      <c r="L176" s="136">
        <v>0.36335000000000001</v>
      </c>
      <c r="M176" s="136">
        <v>2.9724000000000004E-2</v>
      </c>
      <c r="N176" s="285">
        <v>0</v>
      </c>
      <c r="O176" s="286">
        <v>1.3205000000000001E-2</v>
      </c>
      <c r="P176" s="136">
        <v>1.1171750000000001E-2</v>
      </c>
      <c r="Q176" s="136">
        <v>0</v>
      </c>
      <c r="R176" s="136">
        <v>0.23080750000000003</v>
      </c>
      <c r="S176" s="138">
        <v>0</v>
      </c>
      <c r="T176" s="138">
        <v>0</v>
      </c>
      <c r="U176" s="138">
        <v>0</v>
      </c>
      <c r="V176" s="138">
        <v>0</v>
      </c>
      <c r="W176" s="138">
        <v>0</v>
      </c>
      <c r="X176" s="138">
        <v>0</v>
      </c>
      <c r="Y176" s="138">
        <v>0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1.0017</v>
      </c>
      <c r="AG176" s="138">
        <v>0</v>
      </c>
      <c r="AI176" s="127"/>
      <c r="AJ176" s="127"/>
      <c r="AK176" s="127"/>
      <c r="AL176" s="127"/>
      <c r="AM176" s="127"/>
      <c r="AP176" s="127"/>
      <c r="AQ176" s="127"/>
      <c r="AR176" s="127"/>
      <c r="AS176" s="127"/>
      <c r="AT176" s="127"/>
      <c r="AU176" s="127"/>
      <c r="AV176" s="127"/>
      <c r="AW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W176" s="127"/>
      <c r="BX176" s="127"/>
      <c r="BY176" s="127"/>
      <c r="BZ176" s="127"/>
      <c r="CA176" s="127"/>
    </row>
    <row r="177" spans="2:79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03" t="s">
        <v>375</v>
      </c>
      <c r="L177" s="136">
        <v>4.4228571428571424E-3</v>
      </c>
      <c r="M177" s="136">
        <v>1.5673469387755102E-5</v>
      </c>
      <c r="N177" s="285">
        <v>0</v>
      </c>
      <c r="O177" s="286">
        <v>1.7020408163265306E-3</v>
      </c>
      <c r="P177" s="136">
        <v>4.1142857142857144E-3</v>
      </c>
      <c r="Q177" s="136">
        <v>0</v>
      </c>
      <c r="R177" s="136">
        <v>8.0643469387755101E-2</v>
      </c>
      <c r="S177" s="138">
        <v>2.4571428571428571E-7</v>
      </c>
      <c r="T177" s="138">
        <v>0</v>
      </c>
      <c r="U177" s="138">
        <v>0</v>
      </c>
      <c r="V177" s="138">
        <v>0</v>
      </c>
      <c r="W177" s="138">
        <v>0</v>
      </c>
      <c r="X177" s="138">
        <v>7.8367346938775509E-6</v>
      </c>
      <c r="Y177" s="138">
        <v>0</v>
      </c>
      <c r="Z177" s="138">
        <v>0</v>
      </c>
      <c r="AA177" s="138">
        <v>0</v>
      </c>
      <c r="AB177" s="138">
        <v>0</v>
      </c>
      <c r="AC177" s="138">
        <v>0</v>
      </c>
      <c r="AD177" s="138">
        <v>2.7673469387755101E-2</v>
      </c>
      <c r="AE177" s="138">
        <v>0</v>
      </c>
      <c r="AF177" s="138">
        <v>0.77192228571428578</v>
      </c>
      <c r="AG177" s="138">
        <v>0</v>
      </c>
      <c r="AI177" s="127"/>
      <c r="AJ177" s="127"/>
      <c r="AK177" s="127"/>
      <c r="AL177" s="127"/>
      <c r="AM177" s="127"/>
      <c r="AP177" s="127"/>
      <c r="AQ177" s="127"/>
      <c r="AR177" s="127"/>
      <c r="AS177" s="127"/>
      <c r="AT177" s="127"/>
      <c r="AU177" s="127"/>
      <c r="AV177" s="127"/>
      <c r="AW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W177" s="127"/>
      <c r="BX177" s="127"/>
      <c r="BY177" s="127"/>
      <c r="BZ177" s="127"/>
      <c r="CA177" s="127"/>
    </row>
    <row r="178" spans="2:79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19" t="s">
        <v>370</v>
      </c>
      <c r="L178" s="136">
        <v>2.2907153729071535E-4</v>
      </c>
      <c r="M178" s="136">
        <v>0</v>
      </c>
      <c r="N178" s="285">
        <v>0</v>
      </c>
      <c r="O178" s="286">
        <v>5.4654997463216644E-4</v>
      </c>
      <c r="P178" s="136">
        <v>0</v>
      </c>
      <c r="Q178" s="136">
        <v>0</v>
      </c>
      <c r="R178" s="136">
        <v>2.6160578386605786E-2</v>
      </c>
      <c r="S178" s="138">
        <v>0</v>
      </c>
      <c r="T178" s="138">
        <v>0</v>
      </c>
      <c r="U178" s="138">
        <v>0</v>
      </c>
      <c r="V178" s="138">
        <v>0</v>
      </c>
      <c r="W178" s="138">
        <v>0</v>
      </c>
      <c r="X178" s="138">
        <v>0</v>
      </c>
      <c r="Y178" s="138">
        <v>0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2.6636225266362255E-2</v>
      </c>
      <c r="AG178" s="138">
        <v>0</v>
      </c>
      <c r="AI178" s="127"/>
      <c r="AJ178" s="127"/>
      <c r="AK178" s="127"/>
      <c r="AL178" s="127"/>
      <c r="AM178" s="127"/>
      <c r="AP178" s="127"/>
      <c r="AQ178" s="127"/>
      <c r="AR178" s="127"/>
      <c r="AS178" s="127"/>
      <c r="AT178" s="127"/>
      <c r="AU178" s="127"/>
      <c r="AV178" s="127"/>
      <c r="AW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W178" s="127"/>
      <c r="BX178" s="127"/>
      <c r="BY178" s="127"/>
      <c r="BZ178" s="127"/>
      <c r="CA178" s="127"/>
    </row>
    <row r="179" spans="2:79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0" t="s">
        <v>377</v>
      </c>
      <c r="L179" s="136">
        <v>5.2653061224489789E-4</v>
      </c>
      <c r="M179" s="136">
        <v>0</v>
      </c>
      <c r="N179" s="285">
        <v>0</v>
      </c>
      <c r="O179" s="286">
        <v>1.5290000000000004</v>
      </c>
      <c r="P179" s="136">
        <v>0</v>
      </c>
      <c r="Q179" s="136">
        <v>0</v>
      </c>
      <c r="R179" s="136">
        <v>1.3083125000000003E-2</v>
      </c>
      <c r="S179" s="138">
        <v>0</v>
      </c>
      <c r="T179" s="138">
        <v>0</v>
      </c>
      <c r="U179" s="138">
        <v>0</v>
      </c>
      <c r="V179" s="138">
        <v>0</v>
      </c>
      <c r="W179" s="138">
        <v>0</v>
      </c>
      <c r="X179" s="138">
        <v>0</v>
      </c>
      <c r="Y179" s="138">
        <v>0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1.0332000000000001</v>
      </c>
      <c r="AG179" s="138">
        <v>0</v>
      </c>
      <c r="AI179" s="127"/>
      <c r="AJ179" s="127"/>
      <c r="AK179" s="127"/>
      <c r="AL179" s="127"/>
      <c r="AM179" s="127"/>
      <c r="AP179" s="127"/>
      <c r="AQ179" s="127"/>
      <c r="AR179" s="127"/>
      <c r="AS179" s="127"/>
      <c r="AT179" s="127"/>
      <c r="AU179" s="127"/>
      <c r="AV179" s="127"/>
      <c r="AW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W179" s="127"/>
      <c r="BX179" s="127"/>
      <c r="BY179" s="127"/>
      <c r="BZ179" s="127"/>
      <c r="CA179" s="127"/>
    </row>
    <row r="180" spans="2:79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0" t="s">
        <v>360</v>
      </c>
      <c r="L180" s="136">
        <v>2.0420091324200914E-3</v>
      </c>
      <c r="M180" s="136">
        <v>0</v>
      </c>
      <c r="N180" s="285">
        <v>0</v>
      </c>
      <c r="O180" s="286">
        <v>0</v>
      </c>
      <c r="P180" s="136">
        <v>0</v>
      </c>
      <c r="Q180" s="136">
        <v>0</v>
      </c>
      <c r="R180" s="136">
        <v>0.18659817351598174</v>
      </c>
      <c r="S180" s="138">
        <v>0</v>
      </c>
      <c r="T180" s="138">
        <v>0</v>
      </c>
      <c r="U180" s="138">
        <v>0</v>
      </c>
      <c r="V180" s="138">
        <v>0</v>
      </c>
      <c r="W180" s="138">
        <v>0</v>
      </c>
      <c r="X180" s="138">
        <v>0</v>
      </c>
      <c r="Y180" s="138">
        <v>0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0.19881278538812786</v>
      </c>
      <c r="AG180" s="138">
        <v>0</v>
      </c>
      <c r="AI180" s="127"/>
      <c r="AJ180" s="127"/>
      <c r="AK180" s="127"/>
      <c r="AL180" s="127"/>
      <c r="AM180" s="127"/>
      <c r="AP180" s="127"/>
      <c r="AQ180" s="127"/>
      <c r="AR180" s="127"/>
      <c r="AS180" s="127"/>
      <c r="AT180" s="127"/>
      <c r="AU180" s="127"/>
      <c r="AV180" s="127"/>
      <c r="AW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W180" s="127"/>
      <c r="BX180" s="127"/>
      <c r="BY180" s="127"/>
      <c r="BZ180" s="127"/>
      <c r="CA180" s="127"/>
    </row>
    <row r="181" spans="2:79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0" t="s">
        <v>387</v>
      </c>
      <c r="L181" s="136">
        <v>7.8538812785388127E-4</v>
      </c>
      <c r="M181" s="136">
        <v>0</v>
      </c>
      <c r="N181" s="285">
        <v>0</v>
      </c>
      <c r="O181" s="286">
        <v>0.25039041095890413</v>
      </c>
      <c r="P181" s="136">
        <v>0</v>
      </c>
      <c r="Q181" s="136">
        <v>0</v>
      </c>
      <c r="R181" s="136">
        <v>0.44452054794520551</v>
      </c>
      <c r="S181" s="138">
        <v>1.6689497716894975E-2</v>
      </c>
      <c r="T181" s="138">
        <v>6.6780821917808214E-4</v>
      </c>
      <c r="U181" s="138">
        <v>0</v>
      </c>
      <c r="V181" s="138">
        <v>2.6438356164383564E-4</v>
      </c>
      <c r="W181" s="138">
        <v>0</v>
      </c>
      <c r="X181" s="138">
        <v>8.6757990867579918E-5</v>
      </c>
      <c r="Y181" s="138">
        <v>0</v>
      </c>
      <c r="Z181" s="138">
        <v>0</v>
      </c>
      <c r="AA181" s="138">
        <v>0</v>
      </c>
      <c r="AB181" s="138">
        <v>0</v>
      </c>
      <c r="AC181" s="138">
        <v>0</v>
      </c>
      <c r="AD181" s="138">
        <v>6.424657534246575E-2</v>
      </c>
      <c r="AE181" s="138">
        <v>0</v>
      </c>
      <c r="AF181" s="138">
        <v>0.68350684931506855</v>
      </c>
      <c r="AG181" s="138">
        <v>0</v>
      </c>
      <c r="AI181" s="127"/>
      <c r="AJ181" s="127"/>
      <c r="AK181" s="127"/>
      <c r="AL181" s="127"/>
      <c r="AM181" s="127"/>
      <c r="AP181" s="127"/>
      <c r="AQ181" s="127"/>
      <c r="AR181" s="127"/>
      <c r="AS181" s="127"/>
      <c r="AT181" s="127"/>
      <c r="AU181" s="127"/>
      <c r="AV181" s="127"/>
      <c r="AW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W181" s="127"/>
      <c r="BX181" s="127"/>
      <c r="BY181" s="127"/>
      <c r="BZ181" s="127"/>
      <c r="CA181" s="127"/>
    </row>
    <row r="182" spans="2:79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I182" s="127"/>
      <c r="AJ182" s="127"/>
      <c r="AK182" s="127"/>
      <c r="AL182" s="127"/>
      <c r="AM182" s="127"/>
      <c r="AP182" s="127"/>
      <c r="AQ182" s="127"/>
      <c r="AR182" s="127"/>
      <c r="AS182" s="127"/>
      <c r="AT182" s="127"/>
      <c r="AU182" s="127"/>
      <c r="AV182" s="127"/>
      <c r="AW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W182" s="127"/>
      <c r="BX182" s="127"/>
      <c r="BY182" s="127"/>
      <c r="BZ182" s="127"/>
      <c r="CA182" s="127"/>
    </row>
    <row r="183" spans="2:79" ht="144.4">
      <c r="B183" s="127"/>
      <c r="C183" s="127"/>
      <c r="D183" s="127"/>
      <c r="E183" s="127"/>
      <c r="F183" s="127"/>
      <c r="G183" s="127"/>
      <c r="H183" s="127"/>
      <c r="I183" s="127"/>
      <c r="J183" s="127"/>
      <c r="K183" s="1" t="s">
        <v>441</v>
      </c>
      <c r="L183" s="102" t="s">
        <v>11</v>
      </c>
      <c r="M183" s="102" t="s">
        <v>243</v>
      </c>
      <c r="N183" s="102" t="s">
        <v>256</v>
      </c>
      <c r="O183" s="102" t="s">
        <v>171</v>
      </c>
      <c r="P183" s="102" t="s">
        <v>217</v>
      </c>
      <c r="Q183" s="102" t="s">
        <v>230</v>
      </c>
      <c r="R183" s="102" t="s">
        <v>7</v>
      </c>
      <c r="S183" s="102" t="s">
        <v>10</v>
      </c>
      <c r="T183" s="102" t="s">
        <v>14</v>
      </c>
      <c r="U183" s="102" t="s">
        <v>333</v>
      </c>
      <c r="V183" s="102" t="s">
        <v>255</v>
      </c>
      <c r="W183" s="102" t="s">
        <v>32</v>
      </c>
      <c r="X183" s="102" t="s">
        <v>160</v>
      </c>
      <c r="Y183" s="102" t="s">
        <v>229</v>
      </c>
      <c r="Z183" s="102" t="s">
        <v>9</v>
      </c>
      <c r="AA183" s="102" t="s">
        <v>12</v>
      </c>
      <c r="AB183" s="102" t="s">
        <v>221</v>
      </c>
      <c r="AC183" s="102" t="s">
        <v>158</v>
      </c>
      <c r="AD183" s="102" t="s">
        <v>326</v>
      </c>
      <c r="AE183" s="102" t="s">
        <v>269</v>
      </c>
      <c r="AF183" s="102" t="s">
        <v>8</v>
      </c>
      <c r="AG183" s="102" t="s">
        <v>228</v>
      </c>
      <c r="AI183" s="127"/>
      <c r="AJ183" s="127"/>
      <c r="AK183" s="127"/>
      <c r="AL183" s="127"/>
      <c r="AM183" s="127"/>
      <c r="AP183" s="127"/>
      <c r="AQ183" s="127"/>
      <c r="AR183" s="127"/>
      <c r="AS183" s="127"/>
      <c r="AT183" s="127"/>
      <c r="AU183" s="127"/>
      <c r="AV183" s="127"/>
      <c r="AW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W183" s="127"/>
      <c r="BX183" s="127"/>
      <c r="BY183" s="127"/>
      <c r="BZ183" s="127"/>
      <c r="CA183" s="127"/>
    </row>
    <row r="184" spans="2:79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03" t="s">
        <v>385</v>
      </c>
      <c r="L184" s="284" cm="1">
        <f t="array" ref="L184:AG193">L4:AG13*TRANSPOSE(AM4:AM25)</f>
        <v>1.4283447488584474E-2</v>
      </c>
      <c r="M184" s="284">
        <v>0</v>
      </c>
      <c r="N184" s="284">
        <v>0.40588796477495109</v>
      </c>
      <c r="O184" s="284">
        <v>0.15933312133072408</v>
      </c>
      <c r="P184" s="284">
        <v>0</v>
      </c>
      <c r="Q184" s="284">
        <v>0</v>
      </c>
      <c r="R184" s="284">
        <v>0.42253483365949124</v>
      </c>
      <c r="S184" s="284">
        <v>0.25509746412263534</v>
      </c>
      <c r="T184" s="284">
        <v>0.11003147423352901</v>
      </c>
      <c r="U184" s="284">
        <v>0</v>
      </c>
      <c r="V184" s="284">
        <v>2.7578372146118721</v>
      </c>
      <c r="W184" s="136">
        <v>0</v>
      </c>
      <c r="X184" s="136">
        <v>1.0460110893672538</v>
      </c>
      <c r="Y184" s="136">
        <v>0</v>
      </c>
      <c r="Z184" s="136">
        <v>4.1960208741030659E-3</v>
      </c>
      <c r="AA184" s="136">
        <v>3.9041095890410951E-2</v>
      </c>
      <c r="AB184" s="136">
        <v>0</v>
      </c>
      <c r="AC184" s="136">
        <v>2.9269178082191781E-2</v>
      </c>
      <c r="AD184" s="138">
        <v>0</v>
      </c>
      <c r="AE184" s="138">
        <v>0</v>
      </c>
      <c r="AF184" s="138">
        <v>1.7320966731898237</v>
      </c>
      <c r="AG184" s="138">
        <v>0</v>
      </c>
      <c r="AI184" s="127"/>
      <c r="AJ184" s="127"/>
      <c r="AK184" s="127"/>
      <c r="AL184" s="127"/>
      <c r="AM184" s="127"/>
      <c r="AP184" s="127"/>
      <c r="AQ184" s="127"/>
      <c r="AR184" s="127"/>
      <c r="AS184" s="127"/>
      <c r="AT184" s="127"/>
      <c r="AU184" s="127"/>
      <c r="AV184" s="127"/>
      <c r="AW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W184" s="127"/>
      <c r="BX184" s="127"/>
      <c r="BY184" s="127"/>
      <c r="BZ184" s="127"/>
      <c r="CA184" s="127"/>
    </row>
    <row r="185" spans="2:79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03" t="s">
        <v>330</v>
      </c>
      <c r="L185" s="136">
        <v>0</v>
      </c>
      <c r="M185" s="136">
        <v>0</v>
      </c>
      <c r="N185" s="136">
        <v>0</v>
      </c>
      <c r="O185" s="136">
        <v>0</v>
      </c>
      <c r="P185" s="136">
        <v>0</v>
      </c>
      <c r="Q185" s="136">
        <v>2.0561751648909179</v>
      </c>
      <c r="R185" s="136">
        <v>9.5545408422120764E-3</v>
      </c>
      <c r="S185" s="136">
        <v>0</v>
      </c>
      <c r="T185" s="136">
        <v>0</v>
      </c>
      <c r="U185" s="136">
        <v>0</v>
      </c>
      <c r="V185" s="136">
        <v>0</v>
      </c>
      <c r="W185" s="136">
        <v>0.4977549467275495</v>
      </c>
      <c r="X185" s="136">
        <v>0</v>
      </c>
      <c r="Y185" s="136">
        <v>0.88337614155251143</v>
      </c>
      <c r="Z185" s="136">
        <v>0</v>
      </c>
      <c r="AA185" s="136">
        <v>0.14117199391171992</v>
      </c>
      <c r="AB185" s="136">
        <v>0</v>
      </c>
      <c r="AC185" s="136">
        <v>0</v>
      </c>
      <c r="AD185" s="136">
        <v>0</v>
      </c>
      <c r="AE185" s="136">
        <v>0</v>
      </c>
      <c r="AF185" s="136">
        <v>1.3140918315575849</v>
      </c>
      <c r="AG185" s="136">
        <v>13.860920852359188</v>
      </c>
      <c r="AI185" s="127"/>
      <c r="AJ185" s="127"/>
      <c r="AK185" s="127"/>
      <c r="AL185" s="127"/>
      <c r="AM185" s="127"/>
      <c r="AP185" s="127"/>
      <c r="AQ185" s="127"/>
      <c r="AR185" s="127"/>
      <c r="AS185" s="127"/>
      <c r="AT185" s="127"/>
      <c r="AU185" s="127"/>
      <c r="AV185" s="127"/>
      <c r="AW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W185" s="127"/>
      <c r="BX185" s="127"/>
      <c r="BY185" s="127"/>
      <c r="BZ185" s="127"/>
      <c r="CA185" s="127"/>
    </row>
    <row r="186" spans="2:79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03" t="s">
        <v>331</v>
      </c>
      <c r="L186" s="136">
        <v>2.0044999999999997</v>
      </c>
      <c r="M186" s="136">
        <v>0</v>
      </c>
      <c r="N186" s="285">
        <v>0</v>
      </c>
      <c r="O186" s="286">
        <v>0</v>
      </c>
      <c r="P186" s="136">
        <v>0</v>
      </c>
      <c r="Q186" s="136">
        <v>0</v>
      </c>
      <c r="R186" s="136">
        <v>0</v>
      </c>
      <c r="S186" s="138">
        <v>0.10630000000000001</v>
      </c>
      <c r="T186" s="138">
        <v>0</v>
      </c>
      <c r="U186" s="138">
        <v>0</v>
      </c>
      <c r="V186" s="138">
        <v>0</v>
      </c>
      <c r="W186" s="138">
        <v>1.5849599999999998E-2</v>
      </c>
      <c r="X186" s="138">
        <v>0</v>
      </c>
      <c r="Y186" s="138">
        <v>0</v>
      </c>
      <c r="Z186" s="138">
        <v>0</v>
      </c>
      <c r="AA186" s="138">
        <v>5.5999999999999994E-2</v>
      </c>
      <c r="AB186" s="138">
        <v>0</v>
      </c>
      <c r="AC186" s="138">
        <v>0</v>
      </c>
      <c r="AD186" s="138">
        <v>0</v>
      </c>
      <c r="AE186" s="138">
        <v>11.80475</v>
      </c>
      <c r="AF186" s="138">
        <v>7.8250000000000002</v>
      </c>
      <c r="AG186" s="138">
        <v>0</v>
      </c>
      <c r="AI186" s="127"/>
      <c r="AJ186" s="127"/>
      <c r="AK186" s="127"/>
      <c r="AL186" s="127"/>
      <c r="AM186" s="127"/>
      <c r="AP186" s="127"/>
      <c r="AQ186" s="127"/>
      <c r="AR186" s="127"/>
      <c r="AS186" s="127"/>
      <c r="AT186" s="127"/>
      <c r="AU186" s="127"/>
      <c r="AV186" s="127"/>
      <c r="AW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W186" s="127"/>
      <c r="BX186" s="127"/>
      <c r="BY186" s="127"/>
      <c r="BZ186" s="127"/>
      <c r="CA186" s="127"/>
    </row>
    <row r="187" spans="2:79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03" t="s">
        <v>332</v>
      </c>
      <c r="L187" s="136">
        <v>0</v>
      </c>
      <c r="M187" s="136">
        <v>0</v>
      </c>
      <c r="N187" s="285">
        <v>0</v>
      </c>
      <c r="O187" s="286">
        <v>0.12096262500000002</v>
      </c>
      <c r="P187" s="136">
        <v>8.6743533333333303E-2</v>
      </c>
      <c r="Q187" s="136">
        <v>0</v>
      </c>
      <c r="R187" s="136">
        <v>0.41430400000000006</v>
      </c>
      <c r="S187" s="138">
        <v>0.59169237500000005</v>
      </c>
      <c r="T187" s="138">
        <v>0</v>
      </c>
      <c r="U187" s="138">
        <v>0</v>
      </c>
      <c r="V187" s="138">
        <v>0</v>
      </c>
      <c r="W187" s="138">
        <v>0</v>
      </c>
      <c r="X187" s="138">
        <v>0</v>
      </c>
      <c r="Y187" s="138">
        <v>0</v>
      </c>
      <c r="Z187" s="138">
        <v>0</v>
      </c>
      <c r="AA187" s="138">
        <v>0</v>
      </c>
      <c r="AB187" s="138">
        <v>4.7715580000000006</v>
      </c>
      <c r="AC187" s="138">
        <v>0</v>
      </c>
      <c r="AD187" s="138">
        <v>1.1207223225</v>
      </c>
      <c r="AE187" s="138">
        <v>0</v>
      </c>
      <c r="AF187" s="138">
        <v>0.55956053333333355</v>
      </c>
      <c r="AG187" s="138">
        <v>0</v>
      </c>
      <c r="AI187" s="127"/>
      <c r="AJ187" s="127"/>
      <c r="AK187" s="127"/>
      <c r="AL187" s="127"/>
      <c r="AM187" s="127"/>
      <c r="AP187" s="127"/>
      <c r="AQ187" s="127"/>
      <c r="AR187" s="127"/>
      <c r="AS187" s="127"/>
      <c r="AT187" s="127"/>
      <c r="AU187" s="127"/>
      <c r="AV187" s="127"/>
      <c r="AW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W187" s="127"/>
      <c r="BX187" s="127"/>
      <c r="BY187" s="127"/>
      <c r="BZ187" s="127"/>
      <c r="CA187" s="127"/>
    </row>
    <row r="188" spans="2:79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03" t="s">
        <v>290</v>
      </c>
      <c r="L188" s="136">
        <v>1.7829499999999998</v>
      </c>
      <c r="M188" s="136">
        <v>0.21822369999999999</v>
      </c>
      <c r="N188" s="285">
        <v>0</v>
      </c>
      <c r="O188" s="286">
        <v>6.4695000000000004E-3</v>
      </c>
      <c r="P188" s="136">
        <v>8.414562099999999E-2</v>
      </c>
      <c r="Q188" s="136">
        <v>0</v>
      </c>
      <c r="R188" s="136">
        <v>7.1844080000000018E-2</v>
      </c>
      <c r="S188" s="138">
        <v>0</v>
      </c>
      <c r="T188" s="138">
        <v>0</v>
      </c>
      <c r="U188" s="138">
        <v>0</v>
      </c>
      <c r="V188" s="138">
        <v>0</v>
      </c>
      <c r="W188" s="138">
        <v>0</v>
      </c>
      <c r="X188" s="138">
        <v>0</v>
      </c>
      <c r="Y188" s="138">
        <v>0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1.4930099999999999</v>
      </c>
      <c r="AG188" s="138">
        <v>0</v>
      </c>
      <c r="AI188" s="127"/>
      <c r="AJ188" s="127"/>
      <c r="AK188" s="127"/>
      <c r="AL188" s="127"/>
      <c r="AM188" s="127"/>
      <c r="AP188" s="127"/>
      <c r="AQ188" s="127"/>
      <c r="AR188" s="127"/>
      <c r="AS188" s="127"/>
      <c r="AT188" s="127"/>
      <c r="AU188" s="127"/>
      <c r="AV188" s="127"/>
      <c r="AW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W188" s="127"/>
      <c r="BX188" s="127"/>
      <c r="BY188" s="127"/>
      <c r="BZ188" s="127"/>
      <c r="CA188" s="127"/>
    </row>
    <row r="189" spans="2:79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03" t="s">
        <v>375</v>
      </c>
      <c r="L189" s="136">
        <v>2.1702857142857142E-2</v>
      </c>
      <c r="M189" s="136">
        <v>1.1506938775510203E-4</v>
      </c>
      <c r="N189" s="285">
        <v>0</v>
      </c>
      <c r="O189" s="286">
        <v>8.3387755102040813E-4</v>
      </c>
      <c r="P189" s="136">
        <v>3.0988799999999997E-2</v>
      </c>
      <c r="Q189" s="136">
        <v>0</v>
      </c>
      <c r="R189" s="136">
        <v>2.5102112653061226E-2</v>
      </c>
      <c r="S189" s="138">
        <v>3.0371428571428572E-6</v>
      </c>
      <c r="T189" s="138">
        <v>0</v>
      </c>
      <c r="U189" s="138">
        <v>0</v>
      </c>
      <c r="V189" s="138">
        <v>0</v>
      </c>
      <c r="W189" s="138">
        <v>0</v>
      </c>
      <c r="X189" s="138">
        <v>5.564081632653061E-4</v>
      </c>
      <c r="Y189" s="138">
        <v>0</v>
      </c>
      <c r="Z189" s="138">
        <v>0</v>
      </c>
      <c r="AA189" s="138">
        <v>0</v>
      </c>
      <c r="AB189" s="138">
        <v>0</v>
      </c>
      <c r="AC189" s="138">
        <v>0</v>
      </c>
      <c r="AD189" s="138">
        <v>0.52219836734693881</v>
      </c>
      <c r="AE189" s="138">
        <v>0</v>
      </c>
      <c r="AF189" s="138">
        <v>1.150531787755102</v>
      </c>
      <c r="AG189" s="138">
        <v>0</v>
      </c>
      <c r="AI189" s="127"/>
      <c r="AJ189" s="127"/>
      <c r="AK189" s="127"/>
      <c r="AL189" s="127"/>
      <c r="AM189" s="127"/>
      <c r="AP189" s="127"/>
      <c r="AQ189" s="127"/>
      <c r="AR189" s="127"/>
      <c r="AS189" s="127"/>
      <c r="AT189" s="127"/>
      <c r="AU189" s="127"/>
      <c r="AV189" s="127"/>
      <c r="AW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W189" s="127"/>
      <c r="BX189" s="127"/>
      <c r="BY189" s="127"/>
      <c r="BZ189" s="127"/>
      <c r="CA189" s="127"/>
    </row>
    <row r="190" spans="2:79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19" t="s">
        <v>370</v>
      </c>
      <c r="L190" s="136">
        <v>1.124048706240487E-3</v>
      </c>
      <c r="M190" s="136">
        <v>0</v>
      </c>
      <c r="N190" s="285">
        <v>0</v>
      </c>
      <c r="O190" s="286">
        <v>2.6777016742770166E-4</v>
      </c>
      <c r="P190" s="136">
        <v>0</v>
      </c>
      <c r="Q190" s="136">
        <v>0</v>
      </c>
      <c r="R190" s="136">
        <v>8.1430745814307457E-3</v>
      </c>
      <c r="S190" s="138">
        <v>0</v>
      </c>
      <c r="T190" s="138">
        <v>0</v>
      </c>
      <c r="U190" s="138">
        <v>0</v>
      </c>
      <c r="V190" s="138">
        <v>0</v>
      </c>
      <c r="W190" s="138">
        <v>0</v>
      </c>
      <c r="X190" s="138">
        <v>0</v>
      </c>
      <c r="Y190" s="138">
        <v>0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3.970065956367326E-2</v>
      </c>
      <c r="AG190" s="138">
        <v>0</v>
      </c>
      <c r="AI190" s="127"/>
      <c r="AJ190" s="127"/>
      <c r="AK190" s="127"/>
      <c r="AL190" s="127"/>
      <c r="AM190" s="127"/>
      <c r="AP190" s="127"/>
      <c r="AQ190" s="127"/>
      <c r="AR190" s="127"/>
      <c r="AS190" s="127"/>
      <c r="AT190" s="127"/>
      <c r="AU190" s="127"/>
      <c r="AV190" s="127"/>
      <c r="AW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W190" s="127"/>
      <c r="BX190" s="127"/>
      <c r="BY190" s="127"/>
      <c r="BZ190" s="127"/>
      <c r="CA190" s="127"/>
    </row>
    <row r="191" spans="2:79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0" t="s">
        <v>377</v>
      </c>
      <c r="L191" s="136">
        <v>2.5836734693877547E-3</v>
      </c>
      <c r="M191" s="136">
        <v>0</v>
      </c>
      <c r="N191" s="285">
        <v>0</v>
      </c>
      <c r="O191" s="286">
        <v>0.7491000000000001</v>
      </c>
      <c r="P191" s="136">
        <v>0</v>
      </c>
      <c r="Q191" s="136">
        <v>0</v>
      </c>
      <c r="R191" s="136">
        <v>4.0724200000000011E-3</v>
      </c>
      <c r="S191" s="138">
        <v>0</v>
      </c>
      <c r="T191" s="138">
        <v>0</v>
      </c>
      <c r="U191" s="138">
        <v>0</v>
      </c>
      <c r="V191" s="138">
        <v>0</v>
      </c>
      <c r="W191" s="138">
        <v>0</v>
      </c>
      <c r="X191" s="138">
        <v>0</v>
      </c>
      <c r="Y191" s="138">
        <v>0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1.53996</v>
      </c>
      <c r="AG191" s="138">
        <v>0</v>
      </c>
      <c r="AI191" s="127"/>
      <c r="AJ191" s="127"/>
      <c r="AK191" s="127"/>
      <c r="AL191" s="127"/>
      <c r="AM191" s="127"/>
      <c r="AP191" s="127"/>
      <c r="AQ191" s="127"/>
      <c r="AR191" s="127"/>
      <c r="AS191" s="127"/>
      <c r="AT191" s="127"/>
      <c r="AU191" s="127"/>
      <c r="AV191" s="127"/>
      <c r="AW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W191" s="127"/>
      <c r="BX191" s="127"/>
      <c r="BY191" s="127"/>
      <c r="BZ191" s="127"/>
      <c r="CA191" s="127"/>
    </row>
    <row r="192" spans="2:79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0" t="s">
        <v>360</v>
      </c>
      <c r="L192" s="136">
        <v>1.0020091324200913E-2</v>
      </c>
      <c r="M192" s="136">
        <v>0</v>
      </c>
      <c r="N192" s="285">
        <v>0</v>
      </c>
      <c r="O192" s="286">
        <v>0</v>
      </c>
      <c r="P192" s="136">
        <v>0</v>
      </c>
      <c r="Q192" s="136">
        <v>0</v>
      </c>
      <c r="R192" s="136">
        <v>5.8082922374429226E-2</v>
      </c>
      <c r="S192" s="138">
        <v>0</v>
      </c>
      <c r="T192" s="138">
        <v>0</v>
      </c>
      <c r="U192" s="138">
        <v>0</v>
      </c>
      <c r="V192" s="138">
        <v>0</v>
      </c>
      <c r="W192" s="138">
        <v>0</v>
      </c>
      <c r="X192" s="138">
        <v>0</v>
      </c>
      <c r="Y192" s="138">
        <v>0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0.29632572298325721</v>
      </c>
      <c r="AG192" s="138">
        <v>0</v>
      </c>
      <c r="AI192" s="127"/>
      <c r="AJ192" s="127"/>
      <c r="AK192" s="127"/>
      <c r="AL192" s="127"/>
      <c r="AM192" s="127"/>
      <c r="AP192" s="127"/>
      <c r="AQ192" s="127"/>
      <c r="AR192" s="127"/>
      <c r="AS192" s="127"/>
      <c r="AT192" s="127"/>
      <c r="AU192" s="127"/>
      <c r="AV192" s="127"/>
      <c r="AW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W192" s="127"/>
      <c r="BX192" s="127"/>
      <c r="BY192" s="127"/>
      <c r="BZ192" s="127"/>
      <c r="CA192" s="127"/>
    </row>
    <row r="193" spans="2:79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0" t="s">
        <v>387</v>
      </c>
      <c r="L193" s="136">
        <v>3.8538812785388126E-3</v>
      </c>
      <c r="M193" s="136">
        <v>0</v>
      </c>
      <c r="N193" s="285">
        <v>0</v>
      </c>
      <c r="O193" s="286">
        <v>0.12267328767123289</v>
      </c>
      <c r="P193" s="136">
        <v>0</v>
      </c>
      <c r="Q193" s="136">
        <v>0</v>
      </c>
      <c r="R193" s="136">
        <v>0.13836712328767126</v>
      </c>
      <c r="S193" s="138">
        <v>0.20628995433789954</v>
      </c>
      <c r="T193" s="138">
        <v>0.19678082191780821</v>
      </c>
      <c r="U193" s="138">
        <v>0</v>
      </c>
      <c r="V193" s="138">
        <v>3.013091324200913</v>
      </c>
      <c r="W193" s="138">
        <v>0</v>
      </c>
      <c r="X193" s="138">
        <v>6.159817351598173E-3</v>
      </c>
      <c r="Y193" s="138">
        <v>0</v>
      </c>
      <c r="Z193" s="138">
        <v>0</v>
      </c>
      <c r="AA193" s="138">
        <v>0</v>
      </c>
      <c r="AB193" s="138">
        <v>0</v>
      </c>
      <c r="AC193" s="138">
        <v>0</v>
      </c>
      <c r="AD193" s="138">
        <v>1.2123328767123287</v>
      </c>
      <c r="AE193" s="138">
        <v>0</v>
      </c>
      <c r="AF193" s="138">
        <v>1.0187506849315069</v>
      </c>
      <c r="AG193" s="138">
        <v>0</v>
      </c>
      <c r="AI193" s="127"/>
      <c r="AJ193" s="127"/>
      <c r="AK193" s="127"/>
      <c r="AL193" s="127"/>
      <c r="AM193" s="127"/>
      <c r="AP193" s="127"/>
      <c r="AQ193" s="127"/>
      <c r="AR193" s="127"/>
      <c r="AS193" s="127"/>
      <c r="AT193" s="127"/>
      <c r="AU193" s="127"/>
      <c r="AV193" s="127"/>
      <c r="AW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W193" s="127"/>
      <c r="BX193" s="127"/>
      <c r="BY193" s="127"/>
      <c r="BZ193" s="127"/>
      <c r="CA193" s="127"/>
    </row>
    <row r="194" spans="2:79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I194" s="127"/>
      <c r="AJ194" s="127"/>
      <c r="AK194" s="127"/>
      <c r="AL194" s="127"/>
      <c r="AM194" s="127"/>
      <c r="AP194" s="127"/>
      <c r="AQ194" s="127"/>
      <c r="AR194" s="127"/>
      <c r="AS194" s="127"/>
      <c r="AT194" s="127"/>
      <c r="AU194" s="127"/>
      <c r="AV194" s="127"/>
      <c r="AW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W194" s="127"/>
      <c r="BX194" s="127"/>
      <c r="BY194" s="127"/>
      <c r="BZ194" s="127"/>
      <c r="CA194" s="127"/>
    </row>
    <row r="195" spans="2:79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I195" s="127"/>
      <c r="AJ195" s="127"/>
      <c r="AK195" s="127"/>
      <c r="AL195" s="127"/>
      <c r="AM195" s="127"/>
      <c r="AP195" s="127"/>
      <c r="AQ195" s="127"/>
      <c r="AR195" s="127"/>
      <c r="AS195" s="127"/>
      <c r="AT195" s="127"/>
      <c r="AU195" s="127"/>
      <c r="AV195" s="127"/>
      <c r="AW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W195" s="127"/>
      <c r="BX195" s="127"/>
      <c r="BY195" s="127"/>
      <c r="BZ195" s="127"/>
      <c r="CA195" s="127"/>
    </row>
    <row r="196" spans="2:79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 t="s">
        <v>436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I196" s="127"/>
      <c r="AJ196" s="127"/>
      <c r="AK196" s="127"/>
      <c r="AL196" s="127"/>
      <c r="AM196" s="127"/>
      <c r="AP196" s="127"/>
      <c r="AQ196" s="127"/>
      <c r="AR196" s="127"/>
      <c r="AS196" s="127"/>
      <c r="AT196" s="127"/>
      <c r="AU196" s="127"/>
      <c r="AV196" s="127"/>
      <c r="AW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W196" s="127"/>
      <c r="BX196" s="127"/>
      <c r="BY196" s="127"/>
      <c r="BZ196" s="127"/>
      <c r="CA196" s="127"/>
    </row>
    <row r="197" spans="2:79" ht="144.4">
      <c r="B197" s="127"/>
      <c r="C197" s="127"/>
      <c r="D197" s="127"/>
      <c r="E197" s="127"/>
      <c r="F197" s="127"/>
      <c r="G197" s="127"/>
      <c r="H197" s="127"/>
      <c r="I197" s="127"/>
      <c r="J197" s="127"/>
      <c r="K197" s="1" t="s">
        <v>437</v>
      </c>
      <c r="L197" s="102" t="s">
        <v>11</v>
      </c>
      <c r="M197" s="102" t="s">
        <v>243</v>
      </c>
      <c r="N197" s="102" t="s">
        <v>256</v>
      </c>
      <c r="O197" s="102" t="s">
        <v>171</v>
      </c>
      <c r="P197" s="102" t="s">
        <v>217</v>
      </c>
      <c r="Q197" s="102" t="s">
        <v>230</v>
      </c>
      <c r="R197" s="102" t="s">
        <v>7</v>
      </c>
      <c r="S197" s="102" t="s">
        <v>10</v>
      </c>
      <c r="T197" s="102" t="s">
        <v>14</v>
      </c>
      <c r="U197" s="102" t="s">
        <v>333</v>
      </c>
      <c r="V197" s="102" t="s">
        <v>255</v>
      </c>
      <c r="W197" s="102" t="s">
        <v>32</v>
      </c>
      <c r="X197" s="102" t="s">
        <v>160</v>
      </c>
      <c r="Y197" s="102" t="s">
        <v>229</v>
      </c>
      <c r="Z197" s="102" t="s">
        <v>9</v>
      </c>
      <c r="AA197" s="102" t="s">
        <v>12</v>
      </c>
      <c r="AB197" s="102" t="s">
        <v>221</v>
      </c>
      <c r="AC197" s="102" t="s">
        <v>158</v>
      </c>
      <c r="AD197" s="102" t="s">
        <v>326</v>
      </c>
      <c r="AE197" s="102" t="s">
        <v>269</v>
      </c>
      <c r="AF197" s="102" t="s">
        <v>8</v>
      </c>
      <c r="AG197" s="102" t="s">
        <v>228</v>
      </c>
      <c r="AI197" s="127"/>
      <c r="AJ197" s="127"/>
      <c r="AK197" s="127"/>
      <c r="AL197" s="127"/>
      <c r="AM197" s="127"/>
      <c r="AP197" s="127"/>
      <c r="AQ197" s="127"/>
      <c r="AR197" s="127"/>
      <c r="AS197" s="127"/>
      <c r="AT197" s="127"/>
      <c r="AU197" s="127"/>
      <c r="AV197" s="127"/>
      <c r="AW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W197" s="127"/>
      <c r="BX197" s="127"/>
      <c r="BY197" s="127"/>
      <c r="BZ197" s="127"/>
      <c r="CA197" s="127"/>
    </row>
    <row r="198" spans="2:79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03" t="s">
        <v>385</v>
      </c>
      <c r="L198" s="284" cm="1">
        <f t="array" ref="L198:AG204">TRANSPOSE(C4:I4)*L4:AG10</f>
        <v>805559.36073059367</v>
      </c>
      <c r="M198" s="284">
        <v>0</v>
      </c>
      <c r="N198" s="284">
        <v>716095.89041095891</v>
      </c>
      <c r="O198" s="284">
        <v>55684703.196347035</v>
      </c>
      <c r="P198" s="284">
        <v>0</v>
      </c>
      <c r="Q198" s="284">
        <v>0</v>
      </c>
      <c r="R198" s="284">
        <v>1174804794.5205479</v>
      </c>
      <c r="S198" s="284">
        <v>5711495.4337899536</v>
      </c>
      <c r="T198" s="284">
        <v>5924771.6894977158</v>
      </c>
      <c r="U198" s="284">
        <v>0</v>
      </c>
      <c r="V198" s="284">
        <v>19197579.908675801</v>
      </c>
      <c r="W198" s="136">
        <v>0</v>
      </c>
      <c r="X198" s="136">
        <v>175317351.59817353</v>
      </c>
      <c r="Y198" s="136">
        <v>0</v>
      </c>
      <c r="Z198" s="136">
        <v>240639.2694063927</v>
      </c>
      <c r="AA198" s="136">
        <v>1659246.5753424657</v>
      </c>
      <c r="AB198" s="136">
        <v>0</v>
      </c>
      <c r="AC198" s="136">
        <v>2306643.8356164386</v>
      </c>
      <c r="AD198" s="138">
        <v>0</v>
      </c>
      <c r="AE198" s="138">
        <v>0</v>
      </c>
      <c r="AF198" s="138">
        <v>329264383.56164378</v>
      </c>
      <c r="AG198" s="138">
        <v>0</v>
      </c>
      <c r="AI198" s="127"/>
      <c r="AJ198" s="127"/>
      <c r="AK198" s="127"/>
      <c r="AL198" s="127"/>
      <c r="AM198" s="127"/>
      <c r="AP198" s="127"/>
      <c r="AQ198" s="127"/>
      <c r="AR198" s="127"/>
      <c r="AS198" s="127"/>
      <c r="AT198" s="127"/>
      <c r="AU198" s="127"/>
      <c r="AV198" s="127"/>
      <c r="AW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W198" s="127"/>
      <c r="BX198" s="127"/>
      <c r="BY198" s="127"/>
      <c r="BZ198" s="127"/>
      <c r="CA198" s="127"/>
    </row>
    <row r="199" spans="2:79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03" t="s">
        <v>330</v>
      </c>
      <c r="L199" s="136">
        <v>0</v>
      </c>
      <c r="M199" s="136">
        <v>0</v>
      </c>
      <c r="N199" s="136">
        <v>0</v>
      </c>
      <c r="O199" s="136">
        <v>0</v>
      </c>
      <c r="P199" s="136">
        <v>0</v>
      </c>
      <c r="Q199" s="136">
        <v>8703422.1207508873</v>
      </c>
      <c r="R199" s="136">
        <v>5844342.9731100965</v>
      </c>
      <c r="S199" s="136">
        <v>0</v>
      </c>
      <c r="T199" s="136">
        <v>0</v>
      </c>
      <c r="U199" s="136">
        <v>0</v>
      </c>
      <c r="V199" s="136">
        <v>0</v>
      </c>
      <c r="W199" s="136">
        <v>10260806.697108068</v>
      </c>
      <c r="X199" s="136">
        <v>0</v>
      </c>
      <c r="Y199" s="136">
        <v>2316152.9680365296</v>
      </c>
      <c r="Z199" s="136">
        <v>0</v>
      </c>
      <c r="AA199" s="136">
        <v>1319958.1430745814</v>
      </c>
      <c r="AB199" s="136">
        <v>0</v>
      </c>
      <c r="AC199" s="136">
        <v>0</v>
      </c>
      <c r="AD199" s="136">
        <v>0</v>
      </c>
      <c r="AE199" s="136">
        <v>0</v>
      </c>
      <c r="AF199" s="136">
        <v>54956747.843734145</v>
      </c>
      <c r="AG199" s="136">
        <v>135150431.25317079</v>
      </c>
      <c r="AI199" s="127"/>
      <c r="AJ199" s="127"/>
      <c r="AK199" s="127"/>
      <c r="AL199" s="127"/>
      <c r="AM199" s="127"/>
      <c r="AP199" s="127"/>
      <c r="AQ199" s="127"/>
      <c r="AR199" s="127"/>
      <c r="AS199" s="127"/>
      <c r="AT199" s="127"/>
      <c r="AU199" s="127"/>
      <c r="AV199" s="127"/>
      <c r="AW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W199" s="127"/>
      <c r="BX199" s="127"/>
      <c r="BY199" s="127"/>
      <c r="BZ199" s="127"/>
      <c r="CA199" s="127"/>
    </row>
    <row r="200" spans="2:79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03" t="s">
        <v>331</v>
      </c>
      <c r="L200" s="136">
        <v>2487100000</v>
      </c>
      <c r="M200" s="136">
        <v>0</v>
      </c>
      <c r="N200" s="285">
        <v>0</v>
      </c>
      <c r="O200" s="286">
        <v>0</v>
      </c>
      <c r="P200" s="136">
        <v>0</v>
      </c>
      <c r="Q200" s="136">
        <v>0</v>
      </c>
      <c r="R200" s="136">
        <v>0</v>
      </c>
      <c r="S200" s="138">
        <v>52360000</v>
      </c>
      <c r="T200" s="138">
        <v>0</v>
      </c>
      <c r="U200" s="138">
        <v>0</v>
      </c>
      <c r="V200" s="138">
        <v>0</v>
      </c>
      <c r="W200" s="138">
        <v>32672640</v>
      </c>
      <c r="X200" s="138">
        <v>0</v>
      </c>
      <c r="Y200" s="138">
        <v>0</v>
      </c>
      <c r="Z200" s="138">
        <v>0</v>
      </c>
      <c r="AA200" s="138">
        <v>52360000</v>
      </c>
      <c r="AB200" s="138">
        <v>0</v>
      </c>
      <c r="AC200" s="138">
        <v>0</v>
      </c>
      <c r="AD200" s="138">
        <v>0</v>
      </c>
      <c r="AE200" s="138">
        <v>301070000</v>
      </c>
      <c r="AF200" s="138">
        <v>32725000000</v>
      </c>
      <c r="AG200" s="138">
        <v>0</v>
      </c>
      <c r="AI200" s="127"/>
      <c r="AJ200" s="127"/>
      <c r="AK200" s="127"/>
      <c r="AL200" s="127"/>
      <c r="AM200" s="127"/>
      <c r="AP200" s="127"/>
      <c r="AQ200" s="127"/>
      <c r="AR200" s="127"/>
      <c r="AS200" s="127"/>
      <c r="AT200" s="127"/>
      <c r="AU200" s="127"/>
      <c r="AV200" s="127"/>
      <c r="AW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W200" s="127"/>
      <c r="BX200" s="127"/>
      <c r="BY200" s="127"/>
      <c r="BZ200" s="127"/>
      <c r="CA200" s="127"/>
    </row>
    <row r="201" spans="2:79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03" t="s">
        <v>332</v>
      </c>
      <c r="L201" s="136">
        <v>0</v>
      </c>
      <c r="M201" s="136">
        <v>0</v>
      </c>
      <c r="N201" s="285">
        <v>0</v>
      </c>
      <c r="O201" s="286">
        <v>2536485000</v>
      </c>
      <c r="P201" s="136">
        <v>6578319999.9999981</v>
      </c>
      <c r="Q201" s="136">
        <v>0</v>
      </c>
      <c r="R201" s="136">
        <v>69115200000</v>
      </c>
      <c r="S201" s="138">
        <v>794860500</v>
      </c>
      <c r="T201" s="138">
        <v>0</v>
      </c>
      <c r="U201" s="138">
        <v>0</v>
      </c>
      <c r="V201" s="138">
        <v>0</v>
      </c>
      <c r="W201" s="138">
        <v>0</v>
      </c>
      <c r="X201" s="138">
        <v>0</v>
      </c>
      <c r="Y201" s="138">
        <v>0</v>
      </c>
      <c r="Z201" s="138">
        <v>0</v>
      </c>
      <c r="AA201" s="138">
        <v>0</v>
      </c>
      <c r="AB201" s="138">
        <v>15485874600.000002</v>
      </c>
      <c r="AC201" s="138">
        <v>0</v>
      </c>
      <c r="AD201" s="138">
        <v>28270473000</v>
      </c>
      <c r="AE201" s="138">
        <v>0</v>
      </c>
      <c r="AF201" s="138">
        <v>6382208000.0000029</v>
      </c>
      <c r="AG201" s="138">
        <v>0</v>
      </c>
      <c r="AI201" s="127"/>
      <c r="AJ201" s="127"/>
      <c r="AK201" s="127"/>
      <c r="AL201" s="127"/>
      <c r="AM201" s="127"/>
      <c r="AP201" s="127"/>
      <c r="AQ201" s="127"/>
      <c r="AR201" s="127"/>
      <c r="AS201" s="127"/>
      <c r="AT201" s="127"/>
      <c r="AU201" s="127"/>
      <c r="AV201" s="127"/>
      <c r="AW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W201" s="127"/>
      <c r="BX201" s="127"/>
      <c r="BY201" s="127"/>
      <c r="BZ201" s="127"/>
      <c r="CA201" s="127"/>
    </row>
    <row r="202" spans="2:79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03" t="s">
        <v>290</v>
      </c>
      <c r="L202" s="136">
        <v>1809990000</v>
      </c>
      <c r="M202" s="136">
        <v>1061146800</v>
      </c>
      <c r="N202" s="285">
        <v>0</v>
      </c>
      <c r="O202" s="286">
        <v>40698000</v>
      </c>
      <c r="P202" s="136">
        <v>1914391080</v>
      </c>
      <c r="Q202" s="136">
        <v>0</v>
      </c>
      <c r="R202" s="136">
        <v>3595561200</v>
      </c>
      <c r="S202" s="138">
        <v>0</v>
      </c>
      <c r="T202" s="138">
        <v>0</v>
      </c>
      <c r="U202" s="138">
        <v>0</v>
      </c>
      <c r="V202" s="138">
        <v>0</v>
      </c>
      <c r="W202" s="138">
        <v>0</v>
      </c>
      <c r="X202" s="138">
        <v>0</v>
      </c>
      <c r="Y202" s="138">
        <v>0</v>
      </c>
      <c r="Z202" s="138">
        <v>0</v>
      </c>
      <c r="AA202" s="138">
        <v>0</v>
      </c>
      <c r="AB202" s="138">
        <v>0</v>
      </c>
      <c r="AC202" s="138">
        <v>0</v>
      </c>
      <c r="AD202" s="138">
        <v>0</v>
      </c>
      <c r="AE202" s="138">
        <v>0</v>
      </c>
      <c r="AF202" s="138">
        <v>5108670000</v>
      </c>
      <c r="AG202" s="138">
        <v>0</v>
      </c>
      <c r="AI202" s="127"/>
      <c r="AJ202" s="127"/>
      <c r="AK202" s="127"/>
      <c r="AL202" s="127"/>
      <c r="AM202" s="127"/>
      <c r="AP202" s="127"/>
      <c r="AQ202" s="127"/>
      <c r="AR202" s="127"/>
      <c r="AS202" s="127"/>
      <c r="AT202" s="127"/>
      <c r="AU202" s="127"/>
      <c r="AV202" s="127"/>
      <c r="AW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W202" s="127"/>
      <c r="BX202" s="127"/>
      <c r="BY202" s="127"/>
      <c r="BZ202" s="127"/>
      <c r="CA202" s="127"/>
    </row>
    <row r="203" spans="2:79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03" t="s">
        <v>375</v>
      </c>
      <c r="L203" s="136">
        <v>112608000</v>
      </c>
      <c r="M203" s="136">
        <v>2859885.7142857141</v>
      </c>
      <c r="N203" s="285">
        <v>0</v>
      </c>
      <c r="O203" s="286">
        <v>26811428.571428571</v>
      </c>
      <c r="P203" s="136">
        <v>3603456000</v>
      </c>
      <c r="Q203" s="136">
        <v>0</v>
      </c>
      <c r="R203" s="136">
        <v>6420979657.1428566</v>
      </c>
      <c r="S203" s="138">
        <v>6256</v>
      </c>
      <c r="T203" s="138">
        <v>0</v>
      </c>
      <c r="U203" s="138">
        <v>0</v>
      </c>
      <c r="V203" s="138">
        <v>0</v>
      </c>
      <c r="W203" s="138">
        <v>0</v>
      </c>
      <c r="X203" s="138">
        <v>8579657.1428571437</v>
      </c>
      <c r="Y203" s="138">
        <v>0</v>
      </c>
      <c r="Z203" s="138">
        <v>0</v>
      </c>
      <c r="AA203" s="138">
        <v>0</v>
      </c>
      <c r="AB203" s="138">
        <v>0</v>
      </c>
      <c r="AC203" s="138">
        <v>0</v>
      </c>
      <c r="AD203" s="138">
        <v>20197942857.142857</v>
      </c>
      <c r="AE203" s="138">
        <v>0</v>
      </c>
      <c r="AF203" s="138">
        <v>20121440914.285713</v>
      </c>
      <c r="AG203" s="138">
        <v>0</v>
      </c>
      <c r="AI203" s="127"/>
      <c r="AJ203" s="127"/>
      <c r="AK203" s="127"/>
      <c r="AL203" s="127"/>
      <c r="AM203" s="127"/>
      <c r="AP203" s="127"/>
      <c r="AQ203" s="127"/>
      <c r="AR203" s="127"/>
      <c r="AS203" s="127"/>
      <c r="AT203" s="127"/>
      <c r="AU203" s="127"/>
      <c r="AV203" s="127"/>
      <c r="AW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W203" s="127"/>
      <c r="BX203" s="127"/>
      <c r="BY203" s="127"/>
      <c r="BZ203" s="127"/>
      <c r="CA203" s="127"/>
    </row>
    <row r="204" spans="2:79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19" t="s">
        <v>370</v>
      </c>
      <c r="L204" s="136">
        <v>507153.72907153727</v>
      </c>
      <c r="M204" s="136">
        <v>0</v>
      </c>
      <c r="N204" s="285">
        <v>0</v>
      </c>
      <c r="O204" s="286">
        <v>748655.50481988839</v>
      </c>
      <c r="P204" s="136">
        <v>0</v>
      </c>
      <c r="Q204" s="136">
        <v>0</v>
      </c>
      <c r="R204" s="136">
        <v>181126331.81126332</v>
      </c>
      <c r="S204" s="138">
        <v>0</v>
      </c>
      <c r="T204" s="138">
        <v>0</v>
      </c>
      <c r="U204" s="138">
        <v>0</v>
      </c>
      <c r="V204" s="138">
        <v>0</v>
      </c>
      <c r="W204" s="138">
        <v>0</v>
      </c>
      <c r="X204" s="138">
        <v>0</v>
      </c>
      <c r="Y204" s="138">
        <v>0</v>
      </c>
      <c r="Z204" s="138">
        <v>0</v>
      </c>
      <c r="AA204" s="138">
        <v>0</v>
      </c>
      <c r="AB204" s="138">
        <v>0</v>
      </c>
      <c r="AC204" s="138">
        <v>0</v>
      </c>
      <c r="AD204" s="138">
        <v>0</v>
      </c>
      <c r="AE204" s="138">
        <v>0</v>
      </c>
      <c r="AF204" s="138">
        <v>60375443.937087767</v>
      </c>
      <c r="AG204" s="138">
        <v>0</v>
      </c>
      <c r="AI204" s="127"/>
      <c r="AJ204" s="127"/>
      <c r="AK204" s="127"/>
      <c r="AL204" s="127"/>
      <c r="AM204" s="127"/>
      <c r="AP204" s="127"/>
      <c r="AQ204" s="127"/>
      <c r="AR204" s="127"/>
      <c r="AS204" s="127"/>
      <c r="AT204" s="127"/>
      <c r="AU204" s="127"/>
      <c r="AV204" s="127"/>
      <c r="AW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W204" s="127"/>
      <c r="BX204" s="127"/>
      <c r="BY204" s="127"/>
      <c r="BZ204" s="127"/>
      <c r="CA204" s="127"/>
    </row>
    <row r="205" spans="2:79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35"/>
      <c r="L205" s="136"/>
      <c r="M205" s="136"/>
      <c r="N205" s="285"/>
      <c r="O205" s="286"/>
      <c r="P205" s="136"/>
      <c r="Q205" s="136"/>
      <c r="R205" s="136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I205" s="127"/>
      <c r="AJ205" s="127"/>
      <c r="AK205" s="127"/>
      <c r="AL205" s="127"/>
      <c r="AM205" s="127"/>
      <c r="AP205" s="127"/>
      <c r="AQ205" s="127"/>
      <c r="AR205" s="127"/>
      <c r="AS205" s="127"/>
      <c r="AT205" s="127"/>
      <c r="AU205" s="127"/>
      <c r="AV205" s="127"/>
      <c r="AW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W205" s="127"/>
      <c r="BX205" s="127"/>
      <c r="BY205" s="127"/>
      <c r="BZ205" s="127"/>
      <c r="CA205" s="127"/>
    </row>
    <row r="206" spans="2:79" ht="144.4">
      <c r="B206" s="127"/>
      <c r="C206" s="127"/>
      <c r="D206" s="127"/>
      <c r="E206" s="127"/>
      <c r="F206" s="127"/>
      <c r="G206" s="127"/>
      <c r="H206" s="127"/>
      <c r="I206" s="127"/>
      <c r="J206" s="127"/>
      <c r="K206" s="1" t="s">
        <v>438</v>
      </c>
      <c r="L206" s="102" t="s">
        <v>11</v>
      </c>
      <c r="M206" s="102" t="s">
        <v>243</v>
      </c>
      <c r="N206" s="102" t="s">
        <v>256</v>
      </c>
      <c r="O206" s="102" t="s">
        <v>171</v>
      </c>
      <c r="P206" s="102" t="s">
        <v>217</v>
      </c>
      <c r="Q206" s="102" t="s">
        <v>230</v>
      </c>
      <c r="R206" s="102" t="s">
        <v>7</v>
      </c>
      <c r="S206" s="102" t="s">
        <v>10</v>
      </c>
      <c r="T206" s="102" t="s">
        <v>14</v>
      </c>
      <c r="U206" s="102" t="s">
        <v>333</v>
      </c>
      <c r="V206" s="102" t="s">
        <v>255</v>
      </c>
      <c r="W206" s="102" t="s">
        <v>32</v>
      </c>
      <c r="X206" s="102" t="s">
        <v>160</v>
      </c>
      <c r="Y206" s="102" t="s">
        <v>229</v>
      </c>
      <c r="Z206" s="102" t="s">
        <v>9</v>
      </c>
      <c r="AA206" s="102" t="s">
        <v>12</v>
      </c>
      <c r="AB206" s="102" t="s">
        <v>221</v>
      </c>
      <c r="AC206" s="102" t="s">
        <v>158</v>
      </c>
      <c r="AD206" s="102" t="s">
        <v>326</v>
      </c>
      <c r="AE206" s="102" t="s">
        <v>269</v>
      </c>
      <c r="AF206" s="102" t="s">
        <v>8</v>
      </c>
      <c r="AG206" s="102" t="s">
        <v>228</v>
      </c>
      <c r="AI206" s="127"/>
      <c r="AJ206" s="127"/>
      <c r="AK206" s="127"/>
      <c r="AL206" s="127"/>
      <c r="AM206" s="127"/>
      <c r="AP206" s="127"/>
      <c r="AQ206" s="127"/>
      <c r="AR206" s="127"/>
      <c r="AS206" s="127"/>
      <c r="AT206" s="127"/>
      <c r="AU206" s="127"/>
      <c r="AV206" s="127"/>
      <c r="AW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W206" s="127"/>
      <c r="BX206" s="127"/>
      <c r="BY206" s="127"/>
      <c r="BZ206" s="127"/>
      <c r="CA206" s="127"/>
    </row>
    <row r="207" spans="2:79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03" t="s">
        <v>385</v>
      </c>
      <c r="L207" s="284" cm="1">
        <f t="array" ref="L207:AG213">TRANSPOSE(C4:I4)*L148:AG154</f>
        <v>10133936.757990869</v>
      </c>
      <c r="M207" s="284">
        <v>0</v>
      </c>
      <c r="N207" s="284">
        <v>14536746.575342467</v>
      </c>
      <c r="O207" s="284">
        <v>122506347.03196348</v>
      </c>
      <c r="P207" s="284">
        <v>0</v>
      </c>
      <c r="Q207" s="284">
        <v>0</v>
      </c>
      <c r="R207" s="284">
        <v>111782676.19863015</v>
      </c>
      <c r="S207" s="284">
        <v>20704170.94748858</v>
      </c>
      <c r="T207" s="284">
        <v>42599108.447488576</v>
      </c>
      <c r="U207" s="284">
        <v>0</v>
      </c>
      <c r="V207" s="284">
        <v>57496751.826484025</v>
      </c>
      <c r="W207" s="136">
        <v>0</v>
      </c>
      <c r="X207" s="136">
        <v>187589566.2100457</v>
      </c>
      <c r="Y207" s="136">
        <v>0</v>
      </c>
      <c r="Z207" s="136">
        <v>582347.03196347028</v>
      </c>
      <c r="AA207" s="136">
        <v>4504854.4520547939</v>
      </c>
      <c r="AB207" s="136">
        <v>0</v>
      </c>
      <c r="AC207" s="136">
        <v>8361583.9041095888</v>
      </c>
      <c r="AD207" s="138">
        <v>0</v>
      </c>
      <c r="AE207" s="138">
        <v>0</v>
      </c>
      <c r="AF207" s="138">
        <v>809990383.56164372</v>
      </c>
      <c r="AG207" s="138">
        <v>0</v>
      </c>
      <c r="AI207" s="127"/>
      <c r="AJ207" s="127"/>
      <c r="AK207" s="127"/>
      <c r="AL207" s="127"/>
      <c r="AM207" s="127"/>
      <c r="AP207" s="127"/>
      <c r="AQ207" s="127"/>
      <c r="AR207" s="127"/>
      <c r="AS207" s="127"/>
      <c r="AT207" s="127"/>
      <c r="AU207" s="127"/>
      <c r="AV207" s="127"/>
      <c r="AW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W207" s="127"/>
      <c r="BX207" s="127"/>
      <c r="BY207" s="127"/>
      <c r="BZ207" s="127"/>
      <c r="CA207" s="127"/>
    </row>
    <row r="208" spans="2:79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03" t="s">
        <v>330</v>
      </c>
      <c r="L208" s="136">
        <v>0</v>
      </c>
      <c r="M208" s="136">
        <v>0</v>
      </c>
      <c r="N208" s="136">
        <v>0</v>
      </c>
      <c r="O208" s="136">
        <v>0</v>
      </c>
      <c r="P208" s="136">
        <v>0</v>
      </c>
      <c r="Q208" s="136">
        <v>13446787.176560123</v>
      </c>
      <c r="R208" s="136">
        <v>556089.23389142577</v>
      </c>
      <c r="S208" s="136">
        <v>0</v>
      </c>
      <c r="T208" s="136">
        <v>0</v>
      </c>
      <c r="U208" s="136">
        <v>0</v>
      </c>
      <c r="V208" s="136">
        <v>0</v>
      </c>
      <c r="W208" s="136">
        <v>8106037.2907153731</v>
      </c>
      <c r="X208" s="136">
        <v>0</v>
      </c>
      <c r="Y208" s="136">
        <v>19976819.34931507</v>
      </c>
      <c r="Z208" s="136">
        <v>0</v>
      </c>
      <c r="AA208" s="136">
        <v>3583686.3584474879</v>
      </c>
      <c r="AB208" s="136">
        <v>0</v>
      </c>
      <c r="AC208" s="136">
        <v>0</v>
      </c>
      <c r="AD208" s="136">
        <v>0</v>
      </c>
      <c r="AE208" s="136">
        <v>0</v>
      </c>
      <c r="AF208" s="136">
        <v>135193599.695586</v>
      </c>
      <c r="AG208" s="136">
        <v>765627193.04921257</v>
      </c>
      <c r="AI208" s="127"/>
      <c r="AJ208" s="127"/>
      <c r="AK208" s="127"/>
      <c r="AL208" s="127"/>
      <c r="AM208" s="127"/>
      <c r="AP208" s="127"/>
      <c r="AQ208" s="127"/>
      <c r="AR208" s="127"/>
      <c r="AS208" s="127"/>
      <c r="AT208" s="127"/>
      <c r="AU208" s="127"/>
      <c r="AV208" s="127"/>
      <c r="AW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W208" s="127"/>
      <c r="BX208" s="127"/>
      <c r="BY208" s="127"/>
      <c r="BZ208" s="127"/>
      <c r="CA208" s="127"/>
    </row>
    <row r="209" spans="2:79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03" t="s">
        <v>331</v>
      </c>
      <c r="L209" s="136">
        <v>31287717999.999996</v>
      </c>
      <c r="M209" s="136">
        <v>0</v>
      </c>
      <c r="N209" s="285">
        <v>0</v>
      </c>
      <c r="O209" s="286">
        <v>0</v>
      </c>
      <c r="P209" s="136">
        <v>0</v>
      </c>
      <c r="Q209" s="136">
        <v>0</v>
      </c>
      <c r="R209" s="136">
        <v>0</v>
      </c>
      <c r="S209" s="138">
        <v>189805000</v>
      </c>
      <c r="T209" s="138">
        <v>0</v>
      </c>
      <c r="U209" s="138">
        <v>0</v>
      </c>
      <c r="V209" s="138">
        <v>0</v>
      </c>
      <c r="W209" s="138">
        <v>25811385.600000001</v>
      </c>
      <c r="X209" s="138">
        <v>0</v>
      </c>
      <c r="Y209" s="138">
        <v>0</v>
      </c>
      <c r="Z209" s="138">
        <v>0</v>
      </c>
      <c r="AA209" s="138">
        <v>142157400</v>
      </c>
      <c r="AB209" s="138">
        <v>0</v>
      </c>
      <c r="AC209" s="138">
        <v>0</v>
      </c>
      <c r="AD209" s="138">
        <v>0</v>
      </c>
      <c r="AE209" s="138">
        <v>1607713800</v>
      </c>
      <c r="AF209" s="138">
        <v>80503500000</v>
      </c>
      <c r="AG209" s="138">
        <v>0</v>
      </c>
      <c r="AI209" s="127"/>
      <c r="AJ209" s="127"/>
      <c r="AK209" s="127"/>
      <c r="AL209" s="127"/>
      <c r="AM209" s="127"/>
      <c r="AP209" s="127"/>
      <c r="AQ209" s="127"/>
      <c r="AR209" s="127"/>
      <c r="AS209" s="127"/>
      <c r="AT209" s="127"/>
      <c r="AU209" s="127"/>
      <c r="AV209" s="127"/>
      <c r="AW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W209" s="127"/>
      <c r="BX209" s="127"/>
      <c r="BY209" s="127"/>
      <c r="BZ209" s="127"/>
      <c r="CA209" s="127"/>
    </row>
    <row r="210" spans="2:79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03" t="s">
        <v>332</v>
      </c>
      <c r="L210" s="136">
        <v>0</v>
      </c>
      <c r="M210" s="136">
        <v>0</v>
      </c>
      <c r="N210" s="285">
        <v>0</v>
      </c>
      <c r="O210" s="286">
        <v>5580267000.000001</v>
      </c>
      <c r="P210" s="136">
        <v>5690246799.9999981</v>
      </c>
      <c r="Q210" s="136">
        <v>0</v>
      </c>
      <c r="R210" s="136">
        <v>6576311280.000001</v>
      </c>
      <c r="S210" s="138">
        <v>2881369312.4999995</v>
      </c>
      <c r="T210" s="138">
        <v>0</v>
      </c>
      <c r="U210" s="138">
        <v>0</v>
      </c>
      <c r="V210" s="138">
        <v>0</v>
      </c>
      <c r="W210" s="138">
        <v>0</v>
      </c>
      <c r="X210" s="138">
        <v>0</v>
      </c>
      <c r="Y210" s="138">
        <v>0</v>
      </c>
      <c r="Z210" s="138">
        <v>0</v>
      </c>
      <c r="AA210" s="138">
        <v>0</v>
      </c>
      <c r="AB210" s="138">
        <v>38637257127</v>
      </c>
      <c r="AC210" s="138">
        <v>0</v>
      </c>
      <c r="AD210" s="138">
        <v>448086997.04999995</v>
      </c>
      <c r="AE210" s="138">
        <v>0</v>
      </c>
      <c r="AF210" s="138">
        <v>15700231680.000006</v>
      </c>
      <c r="AG210" s="138">
        <v>0</v>
      </c>
      <c r="AI210" s="127"/>
      <c r="AJ210" s="127"/>
      <c r="AK210" s="127"/>
      <c r="AL210" s="127"/>
      <c r="AM210" s="127"/>
      <c r="AP210" s="127"/>
      <c r="AQ210" s="127"/>
      <c r="AR210" s="127"/>
      <c r="AS210" s="127"/>
      <c r="AT210" s="127"/>
      <c r="AU210" s="127"/>
      <c r="AV210" s="127"/>
      <c r="AW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W210" s="127"/>
      <c r="BX210" s="127"/>
      <c r="BY210" s="127"/>
      <c r="BZ210" s="127"/>
      <c r="CA210" s="127"/>
    </row>
    <row r="211" spans="2:79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03" t="s">
        <v>290</v>
      </c>
      <c r="L211" s="136">
        <v>22769674200</v>
      </c>
      <c r="M211" s="136">
        <v>35017844.399999999</v>
      </c>
      <c r="N211" s="285">
        <v>0</v>
      </c>
      <c r="O211" s="286">
        <v>89535600.000000015</v>
      </c>
      <c r="P211" s="136">
        <v>1655948284.2</v>
      </c>
      <c r="Q211" s="136">
        <v>0</v>
      </c>
      <c r="R211" s="136">
        <v>342117648.18000007</v>
      </c>
      <c r="S211" s="138">
        <v>0</v>
      </c>
      <c r="T211" s="138">
        <v>0</v>
      </c>
      <c r="U211" s="138">
        <v>0</v>
      </c>
      <c r="V211" s="138">
        <v>0</v>
      </c>
      <c r="W211" s="138">
        <v>0</v>
      </c>
      <c r="X211" s="138">
        <v>0</v>
      </c>
      <c r="Y211" s="138">
        <v>0</v>
      </c>
      <c r="Z211" s="138">
        <v>0</v>
      </c>
      <c r="AA211" s="138">
        <v>0</v>
      </c>
      <c r="AB211" s="138">
        <v>0</v>
      </c>
      <c r="AC211" s="138">
        <v>0</v>
      </c>
      <c r="AD211" s="138">
        <v>0</v>
      </c>
      <c r="AE211" s="138">
        <v>0</v>
      </c>
      <c r="AF211" s="138">
        <v>12567328200</v>
      </c>
      <c r="AG211" s="138">
        <v>0</v>
      </c>
      <c r="AI211" s="127"/>
      <c r="AJ211" s="127"/>
      <c r="AK211" s="127"/>
      <c r="AL211" s="127"/>
      <c r="AM211" s="127"/>
      <c r="AP211" s="127"/>
      <c r="AQ211" s="127"/>
      <c r="AR211" s="127"/>
      <c r="AS211" s="127"/>
      <c r="AT211" s="127"/>
      <c r="AU211" s="127"/>
      <c r="AV211" s="127"/>
      <c r="AW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W211" s="127"/>
      <c r="BX211" s="127"/>
      <c r="BY211" s="127"/>
      <c r="BZ211" s="127"/>
      <c r="CA211" s="127"/>
    </row>
    <row r="212" spans="2:79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03" t="s">
        <v>375</v>
      </c>
      <c r="L212" s="136">
        <v>1416608640</v>
      </c>
      <c r="M212" s="136">
        <v>94376.228571428568</v>
      </c>
      <c r="N212" s="285">
        <v>0</v>
      </c>
      <c r="O212" s="286">
        <v>58985142.857142866</v>
      </c>
      <c r="P212" s="136">
        <v>3116989440</v>
      </c>
      <c r="Q212" s="136">
        <v>0</v>
      </c>
      <c r="R212" s="136">
        <v>610956214.37714291</v>
      </c>
      <c r="S212" s="138">
        <v>22678</v>
      </c>
      <c r="T212" s="138">
        <v>0</v>
      </c>
      <c r="U212" s="138">
        <v>0</v>
      </c>
      <c r="V212" s="138">
        <v>0</v>
      </c>
      <c r="W212" s="138">
        <v>0</v>
      </c>
      <c r="X212" s="138">
        <v>9180233.1428571437</v>
      </c>
      <c r="Y212" s="138">
        <v>0</v>
      </c>
      <c r="Z212" s="138">
        <v>0</v>
      </c>
      <c r="AA212" s="138">
        <v>0</v>
      </c>
      <c r="AB212" s="138">
        <v>0</v>
      </c>
      <c r="AC212" s="138">
        <v>0</v>
      </c>
      <c r="AD212" s="138">
        <v>320137394.28571427</v>
      </c>
      <c r="AE212" s="138">
        <v>0</v>
      </c>
      <c r="AF212" s="138">
        <v>49498744649.14286</v>
      </c>
      <c r="AG212" s="138">
        <v>0</v>
      </c>
      <c r="AI212" s="127"/>
      <c r="AJ212" s="127"/>
      <c r="AK212" s="127"/>
      <c r="AL212" s="127"/>
      <c r="AM212" s="127"/>
      <c r="AP212" s="127"/>
      <c r="AQ212" s="127"/>
      <c r="AR212" s="127"/>
      <c r="AS212" s="127"/>
      <c r="AT212" s="127"/>
      <c r="AU212" s="127"/>
      <c r="AV212" s="127"/>
      <c r="AW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W212" s="127"/>
      <c r="BX212" s="127"/>
      <c r="BY212" s="127"/>
      <c r="BZ212" s="127"/>
      <c r="CA212" s="127"/>
    </row>
    <row r="213" spans="2:79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19" t="s">
        <v>370</v>
      </c>
      <c r="L213" s="136">
        <v>6379993.9117199387</v>
      </c>
      <c r="M213" s="136">
        <v>0</v>
      </c>
      <c r="N213" s="285">
        <v>0</v>
      </c>
      <c r="O213" s="286">
        <v>1647042.1106037546</v>
      </c>
      <c r="P213" s="136">
        <v>0</v>
      </c>
      <c r="Q213" s="136">
        <v>0</v>
      </c>
      <c r="R213" s="136">
        <v>17234170.471841704</v>
      </c>
      <c r="S213" s="138">
        <v>0</v>
      </c>
      <c r="T213" s="138">
        <v>0</v>
      </c>
      <c r="U213" s="138">
        <v>0</v>
      </c>
      <c r="V213" s="138">
        <v>0</v>
      </c>
      <c r="W213" s="138">
        <v>0</v>
      </c>
      <c r="X213" s="138">
        <v>0</v>
      </c>
      <c r="Y213" s="138">
        <v>0</v>
      </c>
      <c r="Z213" s="138">
        <v>0</v>
      </c>
      <c r="AA213" s="138">
        <v>0</v>
      </c>
      <c r="AB213" s="138">
        <v>0</v>
      </c>
      <c r="AC213" s="138">
        <v>0</v>
      </c>
      <c r="AD213" s="138">
        <v>0</v>
      </c>
      <c r="AE213" s="138">
        <v>0</v>
      </c>
      <c r="AF213" s="138">
        <v>148523592.08523592</v>
      </c>
      <c r="AG213" s="138">
        <v>0</v>
      </c>
      <c r="AH213" s="127">
        <f>SUM(_xlfn.ANCHORARRAY(L207))</f>
        <v>284272879810.64264</v>
      </c>
      <c r="AI213" s="127"/>
      <c r="AJ213" s="127"/>
      <c r="AK213" s="127"/>
      <c r="AL213" s="127"/>
      <c r="AM213" s="127"/>
      <c r="AP213" s="127"/>
      <c r="AQ213" s="127"/>
      <c r="AR213" s="127"/>
      <c r="AS213" s="127"/>
      <c r="AT213" s="127"/>
      <c r="AU213" s="127"/>
      <c r="AV213" s="127"/>
      <c r="AW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W213" s="127"/>
      <c r="BX213" s="127"/>
      <c r="BY213" s="127"/>
      <c r="BZ213" s="127"/>
      <c r="CA213" s="127"/>
    </row>
    <row r="214" spans="2:79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I214" s="127"/>
      <c r="AJ214" s="127"/>
      <c r="AK214" s="127"/>
      <c r="AL214" s="127"/>
      <c r="AM214" s="127"/>
      <c r="AP214" s="127"/>
      <c r="AQ214" s="127"/>
      <c r="AR214" s="127"/>
      <c r="AS214" s="127"/>
      <c r="AT214" s="127"/>
      <c r="AU214" s="127"/>
      <c r="AV214" s="127"/>
      <c r="AW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W214" s="127"/>
      <c r="BX214" s="127"/>
      <c r="BY214" s="127"/>
      <c r="BZ214" s="127"/>
      <c r="CA214" s="127"/>
    </row>
    <row r="215" spans="2:79" ht="144.4">
      <c r="B215" s="127"/>
      <c r="C215" s="127"/>
      <c r="D215" s="127"/>
      <c r="E215" s="127"/>
      <c r="F215" s="127"/>
      <c r="G215" s="127"/>
      <c r="H215" s="127"/>
      <c r="I215" s="127"/>
      <c r="J215" s="127"/>
      <c r="K215" s="1" t="s">
        <v>439</v>
      </c>
      <c r="L215" s="102" t="s">
        <v>11</v>
      </c>
      <c r="M215" s="102" t="s">
        <v>243</v>
      </c>
      <c r="N215" s="102" t="s">
        <v>256</v>
      </c>
      <c r="O215" s="102" t="s">
        <v>171</v>
      </c>
      <c r="P215" s="102" t="s">
        <v>217</v>
      </c>
      <c r="Q215" s="102" t="s">
        <v>230</v>
      </c>
      <c r="R215" s="102" t="s">
        <v>7</v>
      </c>
      <c r="S215" s="102" t="s">
        <v>10</v>
      </c>
      <c r="T215" s="102" t="s">
        <v>14</v>
      </c>
      <c r="U215" s="102" t="s">
        <v>333</v>
      </c>
      <c r="V215" s="102" t="s">
        <v>255</v>
      </c>
      <c r="W215" s="102" t="s">
        <v>32</v>
      </c>
      <c r="X215" s="102" t="s">
        <v>160</v>
      </c>
      <c r="Y215" s="102" t="s">
        <v>229</v>
      </c>
      <c r="Z215" s="102" t="s">
        <v>9</v>
      </c>
      <c r="AA215" s="102" t="s">
        <v>12</v>
      </c>
      <c r="AB215" s="102" t="s">
        <v>221</v>
      </c>
      <c r="AC215" s="102" t="s">
        <v>158</v>
      </c>
      <c r="AD215" s="102" t="s">
        <v>326</v>
      </c>
      <c r="AE215" s="102" t="s">
        <v>269</v>
      </c>
      <c r="AF215" s="102" t="s">
        <v>8</v>
      </c>
      <c r="AG215" s="102" t="s">
        <v>228</v>
      </c>
      <c r="AI215" s="127"/>
      <c r="AJ215" s="127"/>
      <c r="AK215" s="127"/>
      <c r="AL215" s="127"/>
      <c r="AM215" s="127"/>
      <c r="AP215" s="127"/>
      <c r="AQ215" s="127"/>
      <c r="AR215" s="127"/>
      <c r="AS215" s="127"/>
      <c r="AT215" s="127"/>
      <c r="AU215" s="127"/>
      <c r="AV215" s="127"/>
      <c r="AW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W215" s="127"/>
      <c r="BX215" s="127"/>
      <c r="BY215" s="127"/>
      <c r="BZ215" s="127"/>
      <c r="CA215" s="127"/>
    </row>
    <row r="216" spans="2:79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03" t="s">
        <v>385</v>
      </c>
      <c r="L216" s="284" cm="1">
        <f t="array" ref="L216:AG222">TRANSPOSE(C4:I4)*L160:AG166</f>
        <v>845837328.76712334</v>
      </c>
      <c r="M216" s="284">
        <v>0</v>
      </c>
      <c r="N216" s="284">
        <v>10143498.287671234</v>
      </c>
      <c r="O216" s="284">
        <v>2533653995.4337902</v>
      </c>
      <c r="P216" s="284">
        <v>0</v>
      </c>
      <c r="Q216" s="284">
        <v>0</v>
      </c>
      <c r="R216" s="284">
        <v>3994336301.369863</v>
      </c>
      <c r="S216" s="284">
        <v>1799121061.6438353</v>
      </c>
      <c r="T216" s="284">
        <v>165893607.30593604</v>
      </c>
      <c r="U216" s="284">
        <v>0</v>
      </c>
      <c r="V216" s="284">
        <v>5682483652.9680367</v>
      </c>
      <c r="W216" s="136">
        <v>0</v>
      </c>
      <c r="X216" s="136">
        <v>1630451369.863014</v>
      </c>
      <c r="Y216" s="136">
        <v>0</v>
      </c>
      <c r="Z216" s="136">
        <v>42954109.589041092</v>
      </c>
      <c r="AA216" s="136">
        <v>34512328.767123289</v>
      </c>
      <c r="AB216" s="136">
        <v>0</v>
      </c>
      <c r="AC216" s="136">
        <v>119484150.6849315</v>
      </c>
      <c r="AD216" s="138">
        <v>0</v>
      </c>
      <c r="AE216" s="138">
        <v>0</v>
      </c>
      <c r="AF216" s="138">
        <v>15804690410.958904</v>
      </c>
      <c r="AG216" s="138">
        <v>0</v>
      </c>
      <c r="AI216" s="127"/>
      <c r="AJ216" s="127"/>
      <c r="AK216" s="127"/>
      <c r="AL216" s="127"/>
      <c r="AM216" s="127"/>
      <c r="AP216" s="127"/>
      <c r="AQ216" s="127"/>
      <c r="AR216" s="127"/>
      <c r="AS216" s="127"/>
      <c r="AT216" s="127"/>
      <c r="AU216" s="127"/>
      <c r="AV216" s="127"/>
      <c r="AW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W216" s="127"/>
      <c r="BX216" s="127"/>
      <c r="BY216" s="127"/>
      <c r="BZ216" s="127"/>
      <c r="CA216" s="127"/>
    </row>
    <row r="217" spans="2:79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03" t="s">
        <v>330</v>
      </c>
      <c r="L217" s="136">
        <v>0</v>
      </c>
      <c r="M217" s="136">
        <v>0</v>
      </c>
      <c r="N217" s="136">
        <v>0</v>
      </c>
      <c r="O217" s="136">
        <v>0</v>
      </c>
      <c r="P217" s="136">
        <v>0</v>
      </c>
      <c r="Q217" s="136">
        <v>58095342.65601217</v>
      </c>
      <c r="R217" s="136">
        <v>19870766.108574327</v>
      </c>
      <c r="S217" s="136">
        <v>0</v>
      </c>
      <c r="T217" s="136">
        <v>0</v>
      </c>
      <c r="U217" s="136">
        <v>0</v>
      </c>
      <c r="V217" s="136">
        <v>0</v>
      </c>
      <c r="W217" s="136">
        <v>147242576.10350075</v>
      </c>
      <c r="X217" s="136">
        <v>0</v>
      </c>
      <c r="Y217" s="136">
        <v>13574972545.6621</v>
      </c>
      <c r="Z217" s="136">
        <v>0</v>
      </c>
      <c r="AA217" s="136">
        <v>27455129.375951294</v>
      </c>
      <c r="AB217" s="136">
        <v>0</v>
      </c>
      <c r="AC217" s="136">
        <v>0</v>
      </c>
      <c r="AD217" s="136">
        <v>0</v>
      </c>
      <c r="AE217" s="136">
        <v>0</v>
      </c>
      <c r="AF217" s="136">
        <v>2637923896.499239</v>
      </c>
      <c r="AG217" s="136">
        <v>18245308219.178059</v>
      </c>
      <c r="AI217" s="127"/>
      <c r="AJ217" s="127"/>
      <c r="AK217" s="127"/>
      <c r="AL217" s="127"/>
      <c r="AM217" s="127"/>
      <c r="AP217" s="127"/>
      <c r="AQ217" s="127"/>
      <c r="AR217" s="127"/>
      <c r="AS217" s="127"/>
      <c r="AT217" s="127"/>
      <c r="AU217" s="127"/>
      <c r="AV217" s="127"/>
      <c r="AW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W217" s="127"/>
      <c r="BX217" s="127"/>
      <c r="BY217" s="127"/>
      <c r="BZ217" s="127"/>
      <c r="CA217" s="127"/>
    </row>
    <row r="218" spans="2:79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03" t="s">
        <v>331</v>
      </c>
      <c r="L218" s="136">
        <v>2611455000000</v>
      </c>
      <c r="M218" s="136">
        <v>0</v>
      </c>
      <c r="N218" s="285">
        <v>0</v>
      </c>
      <c r="O218" s="286">
        <v>0</v>
      </c>
      <c r="P218" s="136">
        <v>0</v>
      </c>
      <c r="Q218" s="136">
        <v>0</v>
      </c>
      <c r="R218" s="136">
        <v>0</v>
      </c>
      <c r="S218" s="138">
        <v>16493400000</v>
      </c>
      <c r="T218" s="138">
        <v>0</v>
      </c>
      <c r="U218" s="138">
        <v>0</v>
      </c>
      <c r="V218" s="138">
        <v>0</v>
      </c>
      <c r="W218" s="138">
        <v>468852384</v>
      </c>
      <c r="X218" s="138">
        <v>0</v>
      </c>
      <c r="Y218" s="138">
        <v>0</v>
      </c>
      <c r="Z218" s="138">
        <v>0</v>
      </c>
      <c r="AA218" s="138">
        <v>1089088000</v>
      </c>
      <c r="AB218" s="138">
        <v>0</v>
      </c>
      <c r="AC218" s="138">
        <v>0</v>
      </c>
      <c r="AD218" s="138">
        <v>0</v>
      </c>
      <c r="AE218" s="138">
        <v>7361161500</v>
      </c>
      <c r="AF218" s="138">
        <v>1570800000000</v>
      </c>
      <c r="AG218" s="138">
        <v>0</v>
      </c>
      <c r="AI218" s="127"/>
      <c r="AJ218" s="127"/>
      <c r="AK218" s="127"/>
      <c r="AL218" s="127"/>
      <c r="AM218" s="127"/>
      <c r="AP218" s="127"/>
      <c r="AQ218" s="127"/>
      <c r="AR218" s="127"/>
      <c r="AS218" s="127"/>
      <c r="AT218" s="127"/>
      <c r="AU218" s="127"/>
      <c r="AV218" s="127"/>
      <c r="AW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W218" s="127"/>
      <c r="BX218" s="127"/>
      <c r="BY218" s="127"/>
      <c r="BZ218" s="127"/>
      <c r="CA218" s="127"/>
    </row>
    <row r="219" spans="2:79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03" t="s">
        <v>332</v>
      </c>
      <c r="L219" s="136">
        <v>0</v>
      </c>
      <c r="M219" s="136">
        <v>0</v>
      </c>
      <c r="N219" s="285">
        <v>0</v>
      </c>
      <c r="O219" s="286">
        <v>115410067500</v>
      </c>
      <c r="P219" s="136">
        <v>243068923999.99997</v>
      </c>
      <c r="Q219" s="136">
        <v>0</v>
      </c>
      <c r="R219" s="136">
        <v>234991680000</v>
      </c>
      <c r="S219" s="138">
        <v>250381057500</v>
      </c>
      <c r="T219" s="138">
        <v>0</v>
      </c>
      <c r="U219" s="138">
        <v>0</v>
      </c>
      <c r="V219" s="138">
        <v>0</v>
      </c>
      <c r="W219" s="138">
        <v>0</v>
      </c>
      <c r="X219" s="138">
        <v>0</v>
      </c>
      <c r="Y219" s="138">
        <v>0</v>
      </c>
      <c r="Z219" s="138">
        <v>0</v>
      </c>
      <c r="AA219" s="138">
        <v>0</v>
      </c>
      <c r="AB219" s="138">
        <v>3213318979500.0005</v>
      </c>
      <c r="AC219" s="138">
        <v>0</v>
      </c>
      <c r="AD219" s="138">
        <v>96119608200</v>
      </c>
      <c r="AE219" s="138">
        <v>0</v>
      </c>
      <c r="AF219" s="138">
        <v>306345984000.00012</v>
      </c>
      <c r="AG219" s="138">
        <v>0</v>
      </c>
      <c r="AI219" s="127"/>
      <c r="AJ219" s="127"/>
      <c r="AK219" s="127"/>
      <c r="AL219" s="127"/>
      <c r="AM219" s="127"/>
      <c r="AP219" s="127"/>
      <c r="AQ219" s="127"/>
      <c r="AR219" s="127"/>
      <c r="AS219" s="127"/>
      <c r="AT219" s="127"/>
      <c r="AU219" s="127"/>
      <c r="AV219" s="127"/>
      <c r="AW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W219" s="127"/>
      <c r="BX219" s="127"/>
      <c r="BY219" s="127"/>
      <c r="BZ219" s="127"/>
      <c r="CA219" s="127"/>
    </row>
    <row r="220" spans="2:79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03" t="s">
        <v>290</v>
      </c>
      <c r="L220" s="136">
        <v>1900489500000</v>
      </c>
      <c r="M220" s="136">
        <v>8016964074</v>
      </c>
      <c r="N220" s="285">
        <v>0</v>
      </c>
      <c r="O220" s="286">
        <v>1851758999.9999998</v>
      </c>
      <c r="P220" s="136">
        <v>70736750406</v>
      </c>
      <c r="Q220" s="136">
        <v>0</v>
      </c>
      <c r="R220" s="136">
        <v>12224908080.000002</v>
      </c>
      <c r="S220" s="138">
        <v>0</v>
      </c>
      <c r="T220" s="138">
        <v>0</v>
      </c>
      <c r="U220" s="138">
        <v>0</v>
      </c>
      <c r="V220" s="138">
        <v>0</v>
      </c>
      <c r="W220" s="138">
        <v>0</v>
      </c>
      <c r="X220" s="138">
        <v>0</v>
      </c>
      <c r="Y220" s="138">
        <v>0</v>
      </c>
      <c r="Z220" s="138">
        <v>0</v>
      </c>
      <c r="AA220" s="138">
        <v>0</v>
      </c>
      <c r="AB220" s="138">
        <v>0</v>
      </c>
      <c r="AC220" s="138">
        <v>0</v>
      </c>
      <c r="AD220" s="138">
        <v>0</v>
      </c>
      <c r="AE220" s="138">
        <v>0</v>
      </c>
      <c r="AF220" s="138">
        <v>245216159999.99997</v>
      </c>
      <c r="AG220" s="138">
        <v>0</v>
      </c>
      <c r="AI220" s="127"/>
      <c r="AJ220" s="127"/>
      <c r="AK220" s="127"/>
      <c r="AL220" s="127"/>
      <c r="AM220" s="127"/>
      <c r="AP220" s="127"/>
      <c r="AQ220" s="127"/>
      <c r="AR220" s="127"/>
      <c r="AS220" s="127"/>
      <c r="AT220" s="127"/>
      <c r="AU220" s="127"/>
      <c r="AV220" s="127"/>
      <c r="AW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W220" s="127"/>
      <c r="BX220" s="127"/>
      <c r="BY220" s="127"/>
      <c r="BZ220" s="127"/>
      <c r="CA220" s="127"/>
    </row>
    <row r="221" spans="2:79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03" t="s">
        <v>375</v>
      </c>
      <c r="L221" s="136">
        <v>118238399999.99998</v>
      </c>
      <c r="M221" s="136">
        <v>21606436.571428567</v>
      </c>
      <c r="N221" s="285">
        <v>0</v>
      </c>
      <c r="O221" s="286">
        <v>1219920000</v>
      </c>
      <c r="P221" s="136">
        <v>133147699200</v>
      </c>
      <c r="Q221" s="136">
        <v>0</v>
      </c>
      <c r="R221" s="136">
        <v>21831330834.285713</v>
      </c>
      <c r="S221" s="138">
        <v>1970639.9999999998</v>
      </c>
      <c r="T221" s="138">
        <v>0</v>
      </c>
      <c r="U221" s="138">
        <v>0</v>
      </c>
      <c r="V221" s="138">
        <v>0</v>
      </c>
      <c r="W221" s="138">
        <v>0</v>
      </c>
      <c r="X221" s="138">
        <v>79790811.428571448</v>
      </c>
      <c r="Y221" s="138">
        <v>0</v>
      </c>
      <c r="Z221" s="138">
        <v>0</v>
      </c>
      <c r="AA221" s="138">
        <v>0</v>
      </c>
      <c r="AB221" s="138">
        <v>0</v>
      </c>
      <c r="AC221" s="138">
        <v>0</v>
      </c>
      <c r="AD221" s="138">
        <v>68673005714.285713</v>
      </c>
      <c r="AE221" s="138">
        <v>0</v>
      </c>
      <c r="AF221" s="138">
        <v>965829163885.71436</v>
      </c>
      <c r="AG221" s="138">
        <v>0</v>
      </c>
      <c r="AI221" s="127"/>
      <c r="AJ221" s="127"/>
      <c r="AK221" s="127"/>
      <c r="AL221" s="127"/>
      <c r="AM221" s="127"/>
      <c r="AP221" s="127"/>
      <c r="AQ221" s="127"/>
      <c r="AR221" s="127"/>
      <c r="AS221" s="127"/>
      <c r="AT221" s="127"/>
      <c r="AU221" s="127"/>
      <c r="AV221" s="127"/>
      <c r="AW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W221" s="127"/>
      <c r="BX221" s="127"/>
      <c r="BY221" s="127"/>
      <c r="BZ221" s="127"/>
      <c r="CA221" s="127"/>
    </row>
    <row r="222" spans="2:79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19" t="s">
        <v>370</v>
      </c>
      <c r="L222" s="136">
        <v>532511415.52511412</v>
      </c>
      <c r="M222" s="136">
        <v>0</v>
      </c>
      <c r="N222" s="285">
        <v>0</v>
      </c>
      <c r="O222" s="286">
        <v>34063825.469304919</v>
      </c>
      <c r="P222" s="136">
        <v>0</v>
      </c>
      <c r="Q222" s="136">
        <v>0</v>
      </c>
      <c r="R222" s="136">
        <v>615829528.15829515</v>
      </c>
      <c r="S222" s="138">
        <v>0</v>
      </c>
      <c r="T222" s="138">
        <v>0</v>
      </c>
      <c r="U222" s="138">
        <v>0</v>
      </c>
      <c r="V222" s="138">
        <v>0</v>
      </c>
      <c r="W222" s="138">
        <v>0</v>
      </c>
      <c r="X222" s="138">
        <v>0</v>
      </c>
      <c r="Y222" s="138">
        <v>0</v>
      </c>
      <c r="Z222" s="138">
        <v>0</v>
      </c>
      <c r="AA222" s="138">
        <v>0</v>
      </c>
      <c r="AB222" s="138">
        <v>0</v>
      </c>
      <c r="AC222" s="138">
        <v>0</v>
      </c>
      <c r="AD222" s="138">
        <v>0</v>
      </c>
      <c r="AE222" s="138">
        <v>0</v>
      </c>
      <c r="AF222" s="138">
        <v>2898021308.9802132</v>
      </c>
      <c r="AG222" s="138">
        <v>0</v>
      </c>
      <c r="AI222" s="127"/>
      <c r="AJ222" s="127"/>
      <c r="AK222" s="127"/>
      <c r="AL222" s="127"/>
      <c r="AM222" s="127"/>
      <c r="AP222" s="127"/>
      <c r="AQ222" s="127"/>
      <c r="AR222" s="127"/>
      <c r="AS222" s="127"/>
      <c r="AT222" s="127"/>
      <c r="AU222" s="127"/>
      <c r="AV222" s="127"/>
      <c r="AW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W222" s="127"/>
      <c r="BX222" s="127"/>
      <c r="BY222" s="127"/>
      <c r="BZ222" s="127"/>
      <c r="CA222" s="127"/>
    </row>
    <row r="223" spans="2:79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I223" s="127"/>
      <c r="AJ223" s="127"/>
      <c r="AK223" s="127"/>
      <c r="AL223" s="127"/>
      <c r="AM223" s="127"/>
      <c r="AP223" s="127"/>
      <c r="AQ223" s="127"/>
      <c r="AR223" s="127"/>
      <c r="AS223" s="127"/>
      <c r="AT223" s="127"/>
      <c r="AU223" s="127"/>
      <c r="AV223" s="127"/>
      <c r="AW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W223" s="127"/>
      <c r="BX223" s="127"/>
      <c r="BY223" s="127"/>
      <c r="BZ223" s="127"/>
      <c r="CA223" s="127"/>
    </row>
    <row r="224" spans="2:79" ht="144.4">
      <c r="B224" s="127"/>
      <c r="C224" s="127"/>
      <c r="D224" s="127"/>
      <c r="E224" s="127"/>
      <c r="F224" s="127"/>
      <c r="G224" s="127"/>
      <c r="H224" s="127"/>
      <c r="I224" s="127"/>
      <c r="J224" s="127"/>
      <c r="K224" s="1" t="s">
        <v>437</v>
      </c>
      <c r="L224" s="102" t="s">
        <v>11</v>
      </c>
      <c r="M224" s="102" t="s">
        <v>243</v>
      </c>
      <c r="N224" s="102" t="s">
        <v>256</v>
      </c>
      <c r="O224" s="102" t="s">
        <v>171</v>
      </c>
      <c r="P224" s="102" t="s">
        <v>217</v>
      </c>
      <c r="Q224" s="102" t="s">
        <v>230</v>
      </c>
      <c r="R224" s="102" t="s">
        <v>7</v>
      </c>
      <c r="S224" s="102" t="s">
        <v>10</v>
      </c>
      <c r="T224" s="102" t="s">
        <v>14</v>
      </c>
      <c r="U224" s="102" t="s">
        <v>333</v>
      </c>
      <c r="V224" s="102" t="s">
        <v>255</v>
      </c>
      <c r="W224" s="102" t="s">
        <v>32</v>
      </c>
      <c r="X224" s="102" t="s">
        <v>160</v>
      </c>
      <c r="Y224" s="102" t="s">
        <v>229</v>
      </c>
      <c r="Z224" s="102" t="s">
        <v>9</v>
      </c>
      <c r="AA224" s="102" t="s">
        <v>12</v>
      </c>
      <c r="AB224" s="102" t="s">
        <v>221</v>
      </c>
      <c r="AC224" s="102" t="s">
        <v>158</v>
      </c>
      <c r="AD224" s="102" t="s">
        <v>326</v>
      </c>
      <c r="AE224" s="102" t="s">
        <v>269</v>
      </c>
      <c r="AF224" s="102" t="s">
        <v>8</v>
      </c>
      <c r="AG224" s="102" t="s">
        <v>228</v>
      </c>
      <c r="AI224" s="127"/>
      <c r="AJ224" s="127"/>
      <c r="AK224" s="127"/>
      <c r="AL224" s="127"/>
      <c r="AM224" s="127"/>
      <c r="AP224" s="127"/>
      <c r="AQ224" s="127"/>
      <c r="AR224" s="127"/>
      <c r="AS224" s="127"/>
      <c r="AT224" s="127"/>
      <c r="AU224" s="127"/>
      <c r="AV224" s="127"/>
      <c r="AW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W224" s="127"/>
      <c r="BX224" s="127"/>
      <c r="BY224" s="127"/>
      <c r="BZ224" s="127"/>
      <c r="CA224" s="127"/>
    </row>
    <row r="225" spans="2:79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03" t="s">
        <v>385</v>
      </c>
      <c r="L225" s="284" cm="1">
        <f t="array" ref="L225:AG231">TRANSPOSE(C4:I4)*L172:AG178</f>
        <v>346390.52511415526</v>
      </c>
      <c r="M225" s="284">
        <v>0</v>
      </c>
      <c r="N225" s="284">
        <v>0</v>
      </c>
      <c r="O225" s="284">
        <v>38700868.721461192</v>
      </c>
      <c r="P225" s="284">
        <v>0</v>
      </c>
      <c r="Q225" s="284">
        <v>0</v>
      </c>
      <c r="R225" s="284">
        <v>161535659.24657536</v>
      </c>
      <c r="S225" s="284">
        <v>2455943.0365296802</v>
      </c>
      <c r="T225" s="284">
        <v>44435.787671232873</v>
      </c>
      <c r="U225" s="284">
        <v>0</v>
      </c>
      <c r="V225" s="284">
        <v>28796.369863013697</v>
      </c>
      <c r="W225" s="136">
        <v>0</v>
      </c>
      <c r="X225" s="136">
        <v>1753173.5159817354</v>
      </c>
      <c r="Y225" s="136">
        <v>0</v>
      </c>
      <c r="Z225" s="136">
        <v>120.31963470319634</v>
      </c>
      <c r="AA225" s="136">
        <v>12444.349315068492</v>
      </c>
      <c r="AB225" s="136">
        <v>0</v>
      </c>
      <c r="AC225" s="136">
        <v>17299.82876712329</v>
      </c>
      <c r="AD225" s="138">
        <v>0</v>
      </c>
      <c r="AE225" s="138">
        <v>0</v>
      </c>
      <c r="AF225" s="138">
        <v>138291041.09589043</v>
      </c>
      <c r="AG225" s="138">
        <v>0</v>
      </c>
      <c r="AI225" s="127"/>
      <c r="AJ225" s="127"/>
      <c r="AK225" s="127"/>
      <c r="AL225" s="127"/>
      <c r="AM225" s="127"/>
      <c r="AP225" s="127"/>
      <c r="AQ225" s="127"/>
      <c r="AR225" s="127"/>
      <c r="AS225" s="127"/>
      <c r="AT225" s="127"/>
      <c r="AU225" s="127"/>
      <c r="AV225" s="127"/>
      <c r="AW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W225" s="127"/>
      <c r="BX225" s="127"/>
      <c r="BY225" s="127"/>
      <c r="BZ225" s="127"/>
      <c r="CA225" s="127"/>
    </row>
    <row r="226" spans="2:79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03" t="s">
        <v>330</v>
      </c>
      <c r="L226" s="136">
        <v>0</v>
      </c>
      <c r="M226" s="136">
        <v>0</v>
      </c>
      <c r="N226" s="136">
        <v>0</v>
      </c>
      <c r="O226" s="136">
        <v>0</v>
      </c>
      <c r="P226" s="136">
        <v>0</v>
      </c>
      <c r="Q226" s="136">
        <v>4351.7110603754436</v>
      </c>
      <c r="R226" s="136">
        <v>803597.1588026383</v>
      </c>
      <c r="S226" s="136">
        <v>0</v>
      </c>
      <c r="T226" s="136">
        <v>0</v>
      </c>
      <c r="U226" s="136">
        <v>0</v>
      </c>
      <c r="V226" s="136">
        <v>0</v>
      </c>
      <c r="W226" s="136">
        <v>2462593.607305936</v>
      </c>
      <c r="X226" s="136">
        <v>0</v>
      </c>
      <c r="Y226" s="136">
        <v>781701.62671232875</v>
      </c>
      <c r="Z226" s="136">
        <v>0</v>
      </c>
      <c r="AA226" s="136">
        <v>9899.6860730593598</v>
      </c>
      <c r="AB226" s="136">
        <v>0</v>
      </c>
      <c r="AC226" s="136">
        <v>0</v>
      </c>
      <c r="AD226" s="136">
        <v>0</v>
      </c>
      <c r="AE226" s="136">
        <v>0</v>
      </c>
      <c r="AF226" s="136">
        <v>23081834.094368342</v>
      </c>
      <c r="AG226" s="136">
        <v>50681411.719939046</v>
      </c>
      <c r="AI226" s="127"/>
      <c r="AJ226" s="127"/>
      <c r="AK226" s="127"/>
      <c r="AL226" s="127"/>
      <c r="AM226" s="127"/>
      <c r="AP226" s="127"/>
      <c r="AQ226" s="127"/>
      <c r="AR226" s="127"/>
      <c r="AS226" s="127"/>
      <c r="AT226" s="127"/>
      <c r="AU226" s="127"/>
      <c r="AV226" s="127"/>
      <c r="AW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W226" s="127"/>
      <c r="BX226" s="127"/>
      <c r="BY226" s="127"/>
      <c r="BZ226" s="127"/>
      <c r="CA226" s="127"/>
    </row>
    <row r="227" spans="2:79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03" t="s">
        <v>331</v>
      </c>
      <c r="L227" s="136">
        <v>1069452999.9999999</v>
      </c>
      <c r="M227" s="136">
        <v>0</v>
      </c>
      <c r="N227" s="285">
        <v>0</v>
      </c>
      <c r="O227" s="286">
        <v>0</v>
      </c>
      <c r="P227" s="136">
        <v>0</v>
      </c>
      <c r="Q227" s="136">
        <v>0</v>
      </c>
      <c r="R227" s="136">
        <v>0</v>
      </c>
      <c r="S227" s="138">
        <v>22514800</v>
      </c>
      <c r="T227" s="138">
        <v>0</v>
      </c>
      <c r="U227" s="138">
        <v>0</v>
      </c>
      <c r="V227" s="138">
        <v>0</v>
      </c>
      <c r="W227" s="138">
        <v>7841433.5999999996</v>
      </c>
      <c r="X227" s="138">
        <v>0</v>
      </c>
      <c r="Y227" s="138">
        <v>0</v>
      </c>
      <c r="Z227" s="138">
        <v>0</v>
      </c>
      <c r="AA227" s="138">
        <v>392699.99999999994</v>
      </c>
      <c r="AB227" s="138">
        <v>0</v>
      </c>
      <c r="AC227" s="138">
        <v>0</v>
      </c>
      <c r="AD227" s="138">
        <v>0</v>
      </c>
      <c r="AE227" s="138">
        <v>150535</v>
      </c>
      <c r="AF227" s="138">
        <v>13744500000.000002</v>
      </c>
      <c r="AG227" s="138">
        <v>0</v>
      </c>
      <c r="AI227" s="127"/>
      <c r="AJ227" s="127"/>
      <c r="AK227" s="127"/>
      <c r="AL227" s="127"/>
      <c r="AM227" s="127"/>
      <c r="AP227" s="127"/>
      <c r="AQ227" s="127"/>
      <c r="AR227" s="127"/>
      <c r="AS227" s="127"/>
      <c r="AT227" s="127"/>
      <c r="AU227" s="127"/>
      <c r="AV227" s="127"/>
      <c r="AW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W227" s="127"/>
      <c r="BX227" s="127"/>
      <c r="BY227" s="127"/>
      <c r="BZ227" s="127"/>
      <c r="CA227" s="127"/>
    </row>
    <row r="228" spans="2:79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03" t="s">
        <v>332</v>
      </c>
      <c r="L228" s="136">
        <v>0</v>
      </c>
      <c r="M228" s="136">
        <v>0</v>
      </c>
      <c r="N228" s="285">
        <v>0</v>
      </c>
      <c r="O228" s="286">
        <v>1762857075.0000002</v>
      </c>
      <c r="P228" s="136">
        <v>82228999.99999997</v>
      </c>
      <c r="Q228" s="136">
        <v>0</v>
      </c>
      <c r="R228" s="136">
        <v>9503340000</v>
      </c>
      <c r="S228" s="138">
        <v>341790014.99999994</v>
      </c>
      <c r="T228" s="138">
        <v>0</v>
      </c>
      <c r="U228" s="138">
        <v>0</v>
      </c>
      <c r="V228" s="138">
        <v>0</v>
      </c>
      <c r="W228" s="138">
        <v>0</v>
      </c>
      <c r="X228" s="138">
        <v>0</v>
      </c>
      <c r="Y228" s="138">
        <v>0</v>
      </c>
      <c r="Z228" s="138">
        <v>0</v>
      </c>
      <c r="AA228" s="138">
        <v>0</v>
      </c>
      <c r="AB228" s="138">
        <v>116144059.50000001</v>
      </c>
      <c r="AC228" s="138">
        <v>0</v>
      </c>
      <c r="AD228" s="138">
        <v>424057094.99999994</v>
      </c>
      <c r="AE228" s="138">
        <v>0</v>
      </c>
      <c r="AF228" s="138">
        <v>2680527360.0000014</v>
      </c>
      <c r="AG228" s="138">
        <v>0</v>
      </c>
      <c r="AI228" s="127"/>
      <c r="AJ228" s="127"/>
      <c r="AK228" s="127"/>
      <c r="AL228" s="127"/>
      <c r="AM228" s="127"/>
      <c r="AP228" s="127"/>
      <c r="AQ228" s="127"/>
      <c r="AR228" s="127"/>
      <c r="AS228" s="127"/>
      <c r="AT228" s="127"/>
      <c r="AU228" s="127"/>
      <c r="AV228" s="127"/>
      <c r="AW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W228" s="127"/>
      <c r="BX228" s="127"/>
      <c r="BY228" s="127"/>
      <c r="BZ228" s="127"/>
      <c r="CA228" s="127"/>
    </row>
    <row r="229" spans="2:79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03" t="s">
        <v>290</v>
      </c>
      <c r="L229" s="136">
        <v>778295700</v>
      </c>
      <c r="M229" s="136">
        <v>63668808.000000007</v>
      </c>
      <c r="N229" s="285">
        <v>0</v>
      </c>
      <c r="O229" s="286">
        <v>28285110.000000004</v>
      </c>
      <c r="P229" s="136">
        <v>23929888.500000004</v>
      </c>
      <c r="Q229" s="136">
        <v>0</v>
      </c>
      <c r="R229" s="136">
        <v>494389665.00000006</v>
      </c>
      <c r="S229" s="138">
        <v>0</v>
      </c>
      <c r="T229" s="138">
        <v>0</v>
      </c>
      <c r="U229" s="138">
        <v>0</v>
      </c>
      <c r="V229" s="138">
        <v>0</v>
      </c>
      <c r="W229" s="138">
        <v>0</v>
      </c>
      <c r="X229" s="138">
        <v>0</v>
      </c>
      <c r="Y229" s="138">
        <v>0</v>
      </c>
      <c r="Z229" s="138">
        <v>0</v>
      </c>
      <c r="AA229" s="138">
        <v>0</v>
      </c>
      <c r="AB229" s="138">
        <v>0</v>
      </c>
      <c r="AC229" s="138">
        <v>0</v>
      </c>
      <c r="AD229" s="138">
        <v>0</v>
      </c>
      <c r="AE229" s="138">
        <v>0</v>
      </c>
      <c r="AF229" s="138">
        <v>2145641400</v>
      </c>
      <c r="AG229" s="138">
        <v>0</v>
      </c>
      <c r="AI229" s="127"/>
      <c r="AJ229" s="127"/>
      <c r="AK229" s="127"/>
      <c r="AL229" s="127"/>
      <c r="AM229" s="127"/>
      <c r="AP229" s="127"/>
      <c r="AQ229" s="127"/>
      <c r="AR229" s="127"/>
      <c r="AS229" s="127"/>
      <c r="AT229" s="127"/>
      <c r="AU229" s="127"/>
      <c r="AV229" s="127"/>
      <c r="AW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W229" s="127"/>
      <c r="BX229" s="127"/>
      <c r="BY229" s="127"/>
      <c r="BZ229" s="127"/>
      <c r="CA229" s="127"/>
    </row>
    <row r="230" spans="2:79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03" t="s">
        <v>375</v>
      </c>
      <c r="L230" s="136">
        <v>48421439.999999993</v>
      </c>
      <c r="M230" s="136">
        <v>171593.14285714287</v>
      </c>
      <c r="N230" s="285">
        <v>0</v>
      </c>
      <c r="O230" s="286">
        <v>18633942.857142858</v>
      </c>
      <c r="P230" s="136">
        <v>45043200</v>
      </c>
      <c r="Q230" s="136">
        <v>0</v>
      </c>
      <c r="R230" s="136">
        <v>882884702.85714281</v>
      </c>
      <c r="S230" s="138">
        <v>2690.08</v>
      </c>
      <c r="T230" s="138">
        <v>0</v>
      </c>
      <c r="U230" s="138">
        <v>0</v>
      </c>
      <c r="V230" s="138">
        <v>0</v>
      </c>
      <c r="W230" s="138">
        <v>0</v>
      </c>
      <c r="X230" s="138">
        <v>85796.571428571435</v>
      </c>
      <c r="Y230" s="138">
        <v>0</v>
      </c>
      <c r="Z230" s="138">
        <v>0</v>
      </c>
      <c r="AA230" s="138">
        <v>0</v>
      </c>
      <c r="AB230" s="138">
        <v>0</v>
      </c>
      <c r="AC230" s="138">
        <v>0</v>
      </c>
      <c r="AD230" s="138">
        <v>302969142.85714287</v>
      </c>
      <c r="AE230" s="138">
        <v>0</v>
      </c>
      <c r="AF230" s="138">
        <v>8451005184.000001</v>
      </c>
      <c r="AG230" s="138">
        <v>0</v>
      </c>
      <c r="AI230" s="127"/>
      <c r="AJ230" s="127"/>
      <c r="AK230" s="127"/>
      <c r="AL230" s="127"/>
      <c r="AM230" s="127"/>
      <c r="AP230" s="127"/>
      <c r="AQ230" s="127"/>
      <c r="AR230" s="127"/>
      <c r="AS230" s="127"/>
      <c r="AT230" s="127"/>
      <c r="AU230" s="127"/>
      <c r="AV230" s="127"/>
      <c r="AW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W230" s="127"/>
      <c r="BX230" s="127"/>
      <c r="BY230" s="127"/>
      <c r="BZ230" s="127"/>
      <c r="CA230" s="127"/>
    </row>
    <row r="231" spans="2:79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19" t="s">
        <v>370</v>
      </c>
      <c r="L231" s="136">
        <v>218076.103500761</v>
      </c>
      <c r="M231" s="136">
        <v>0</v>
      </c>
      <c r="N231" s="285">
        <v>0</v>
      </c>
      <c r="O231" s="286">
        <v>520315.57584982243</v>
      </c>
      <c r="P231" s="136">
        <v>0</v>
      </c>
      <c r="Q231" s="136">
        <v>0</v>
      </c>
      <c r="R231" s="136">
        <v>24904870.62404871</v>
      </c>
      <c r="S231" s="138">
        <v>0</v>
      </c>
      <c r="T231" s="138">
        <v>0</v>
      </c>
      <c r="U231" s="138">
        <v>0</v>
      </c>
      <c r="V231" s="138">
        <v>0</v>
      </c>
      <c r="W231" s="138">
        <v>0</v>
      </c>
      <c r="X231" s="138">
        <v>0</v>
      </c>
      <c r="Y231" s="138">
        <v>0</v>
      </c>
      <c r="Z231" s="138">
        <v>0</v>
      </c>
      <c r="AA231" s="138">
        <v>0</v>
      </c>
      <c r="AB231" s="138">
        <v>0</v>
      </c>
      <c r="AC231" s="138">
        <v>0</v>
      </c>
      <c r="AD231" s="138">
        <v>0</v>
      </c>
      <c r="AE231" s="138">
        <v>0</v>
      </c>
      <c r="AF231" s="138">
        <v>25357686.453576867</v>
      </c>
      <c r="AG231" s="138">
        <v>0</v>
      </c>
      <c r="AI231" s="127"/>
      <c r="AJ231" s="127"/>
      <c r="AK231" s="127"/>
      <c r="AL231" s="127"/>
      <c r="AM231" s="127"/>
      <c r="AP231" s="127"/>
      <c r="AQ231" s="127"/>
      <c r="AR231" s="127"/>
      <c r="AS231" s="127"/>
      <c r="AT231" s="127"/>
      <c r="AU231" s="127"/>
      <c r="AV231" s="127"/>
      <c r="AW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W231" s="127"/>
      <c r="BX231" s="127"/>
      <c r="BY231" s="127"/>
      <c r="BZ231" s="127"/>
      <c r="CA231" s="127"/>
    </row>
    <row r="232" spans="2:79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I232" s="127"/>
      <c r="AJ232" s="127"/>
      <c r="AK232" s="127"/>
      <c r="AL232" s="127"/>
      <c r="AM232" s="127"/>
      <c r="AP232" s="127"/>
      <c r="AQ232" s="127"/>
      <c r="AR232" s="127"/>
      <c r="AS232" s="127"/>
      <c r="AT232" s="127"/>
      <c r="AU232" s="127"/>
      <c r="AV232" s="127"/>
      <c r="AW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W232" s="127"/>
      <c r="BX232" s="127"/>
      <c r="BY232" s="127"/>
      <c r="BZ232" s="127"/>
      <c r="CA232" s="127"/>
    </row>
    <row r="233" spans="2:79" ht="144.4">
      <c r="B233" s="127"/>
      <c r="C233" s="127"/>
      <c r="D233" s="127"/>
      <c r="E233" s="127"/>
      <c r="F233" s="127"/>
      <c r="G233" s="127"/>
      <c r="H233" s="127"/>
      <c r="I233" s="127"/>
      <c r="J233" s="127"/>
      <c r="K233" s="1" t="s">
        <v>440</v>
      </c>
      <c r="L233" s="102" t="s">
        <v>11</v>
      </c>
      <c r="M233" s="102" t="s">
        <v>243</v>
      </c>
      <c r="N233" s="102" t="s">
        <v>256</v>
      </c>
      <c r="O233" s="102" t="s">
        <v>171</v>
      </c>
      <c r="P233" s="102" t="s">
        <v>217</v>
      </c>
      <c r="Q233" s="102" t="s">
        <v>230</v>
      </c>
      <c r="R233" s="102" t="s">
        <v>7</v>
      </c>
      <c r="S233" s="102" t="s">
        <v>10</v>
      </c>
      <c r="T233" s="102" t="s">
        <v>14</v>
      </c>
      <c r="U233" s="102" t="s">
        <v>333</v>
      </c>
      <c r="V233" s="102" t="s">
        <v>255</v>
      </c>
      <c r="W233" s="102" t="s">
        <v>32</v>
      </c>
      <c r="X233" s="102" t="s">
        <v>160</v>
      </c>
      <c r="Y233" s="102" t="s">
        <v>229</v>
      </c>
      <c r="Z233" s="102" t="s">
        <v>9</v>
      </c>
      <c r="AA233" s="102" t="s">
        <v>12</v>
      </c>
      <c r="AB233" s="102" t="s">
        <v>221</v>
      </c>
      <c r="AC233" s="102" t="s">
        <v>158</v>
      </c>
      <c r="AD233" s="102" t="s">
        <v>326</v>
      </c>
      <c r="AE233" s="102" t="s">
        <v>269</v>
      </c>
      <c r="AF233" s="102" t="s">
        <v>8</v>
      </c>
      <c r="AG233" s="102" t="s">
        <v>228</v>
      </c>
      <c r="AI233" s="127"/>
      <c r="AJ233" s="127"/>
      <c r="AK233" s="127"/>
      <c r="AL233" s="127"/>
      <c r="AM233" s="127"/>
      <c r="AP233" s="127"/>
      <c r="AQ233" s="127"/>
      <c r="AR233" s="127"/>
      <c r="AS233" s="127"/>
      <c r="AT233" s="127"/>
      <c r="AU233" s="127"/>
      <c r="AV233" s="127"/>
      <c r="AW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W233" s="127"/>
      <c r="BX233" s="127"/>
      <c r="BY233" s="127"/>
      <c r="BZ233" s="127"/>
      <c r="CA233" s="127"/>
    </row>
    <row r="234" spans="2:79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03" t="s">
        <v>385</v>
      </c>
      <c r="L234" s="284" cm="1">
        <f t="array" ref="L234:AG240">TRANSPOSE(C4:I4)*L184:AG190</f>
        <v>1699730.2511415523</v>
      </c>
      <c r="M234" s="284">
        <v>0</v>
      </c>
      <c r="N234" s="284">
        <v>48300667.80821918</v>
      </c>
      <c r="O234" s="284">
        <v>18960641.438356165</v>
      </c>
      <c r="P234" s="284">
        <v>0</v>
      </c>
      <c r="Q234" s="284">
        <v>0</v>
      </c>
      <c r="R234" s="284">
        <v>50281645.205479458</v>
      </c>
      <c r="S234" s="284">
        <v>30356598.230593607</v>
      </c>
      <c r="T234" s="284">
        <v>13093745.433789952</v>
      </c>
      <c r="U234" s="284">
        <v>0</v>
      </c>
      <c r="V234" s="284">
        <v>328182628.53881276</v>
      </c>
      <c r="W234" s="136">
        <v>0</v>
      </c>
      <c r="X234" s="136">
        <v>124475319.6347032</v>
      </c>
      <c r="Y234" s="136">
        <v>0</v>
      </c>
      <c r="Z234" s="136">
        <v>499326.48401826486</v>
      </c>
      <c r="AA234" s="136">
        <v>4645890.4109589029</v>
      </c>
      <c r="AB234" s="136">
        <v>0</v>
      </c>
      <c r="AC234" s="136">
        <v>3483032.1917808219</v>
      </c>
      <c r="AD234" s="138">
        <v>0</v>
      </c>
      <c r="AE234" s="138">
        <v>0</v>
      </c>
      <c r="AF234" s="138">
        <v>206119504.10958904</v>
      </c>
      <c r="AG234" s="138">
        <v>0</v>
      </c>
      <c r="AI234" s="127"/>
      <c r="AJ234" s="127"/>
      <c r="AK234" s="127"/>
      <c r="AL234" s="127"/>
      <c r="AM234" s="127"/>
      <c r="AP234" s="127"/>
      <c r="AQ234" s="127"/>
      <c r="AR234" s="127"/>
      <c r="AS234" s="127"/>
      <c r="AT234" s="127"/>
      <c r="AU234" s="127"/>
      <c r="AV234" s="127"/>
      <c r="AW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W234" s="127"/>
      <c r="BX234" s="127"/>
      <c r="BY234" s="127"/>
      <c r="BZ234" s="127"/>
      <c r="CA234" s="127"/>
    </row>
    <row r="235" spans="2:79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03" t="s">
        <v>330</v>
      </c>
      <c r="L235" s="136">
        <v>0</v>
      </c>
      <c r="M235" s="136">
        <v>0</v>
      </c>
      <c r="N235" s="136">
        <v>0</v>
      </c>
      <c r="O235" s="136">
        <v>0</v>
      </c>
      <c r="P235" s="136">
        <v>0</v>
      </c>
      <c r="Q235" s="136">
        <v>53830665.816844232</v>
      </c>
      <c r="R235" s="136">
        <v>250137.87924911216</v>
      </c>
      <c r="S235" s="136">
        <v>0</v>
      </c>
      <c r="T235" s="136">
        <v>0</v>
      </c>
      <c r="U235" s="136">
        <v>0</v>
      </c>
      <c r="V235" s="136">
        <v>0</v>
      </c>
      <c r="W235" s="136">
        <v>13031224.505327245</v>
      </c>
      <c r="X235" s="136">
        <v>0</v>
      </c>
      <c r="Y235" s="136">
        <v>23126787.385844748</v>
      </c>
      <c r="Z235" s="136">
        <v>0</v>
      </c>
      <c r="AA235" s="136">
        <v>3695882.8006088273</v>
      </c>
      <c r="AB235" s="136">
        <v>0</v>
      </c>
      <c r="AC235" s="136">
        <v>0</v>
      </c>
      <c r="AD235" s="136">
        <v>0</v>
      </c>
      <c r="AE235" s="136">
        <v>0</v>
      </c>
      <c r="AF235" s="136">
        <v>34402924.150177576</v>
      </c>
      <c r="AG235" s="136">
        <v>362878907.91476351</v>
      </c>
      <c r="AI235" s="127"/>
      <c r="AJ235" s="127"/>
      <c r="AK235" s="127"/>
      <c r="AL235" s="127"/>
      <c r="AM235" s="127"/>
      <c r="AP235" s="127"/>
      <c r="AQ235" s="127"/>
      <c r="AR235" s="127"/>
      <c r="AS235" s="127"/>
      <c r="AT235" s="127"/>
      <c r="AU235" s="127"/>
      <c r="AV235" s="127"/>
      <c r="AW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W235" s="127"/>
      <c r="BX235" s="127"/>
      <c r="BY235" s="127"/>
      <c r="BZ235" s="127"/>
      <c r="CA235" s="127"/>
    </row>
    <row r="236" spans="2:79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03" t="s">
        <v>331</v>
      </c>
      <c r="L236" s="136">
        <v>5247780999.999999</v>
      </c>
      <c r="M236" s="136">
        <v>0</v>
      </c>
      <c r="N236" s="285">
        <v>0</v>
      </c>
      <c r="O236" s="286">
        <v>0</v>
      </c>
      <c r="P236" s="136">
        <v>0</v>
      </c>
      <c r="Q236" s="136">
        <v>0</v>
      </c>
      <c r="R236" s="136">
        <v>0</v>
      </c>
      <c r="S236" s="138">
        <v>278293400</v>
      </c>
      <c r="T236" s="138">
        <v>0</v>
      </c>
      <c r="U236" s="138">
        <v>0</v>
      </c>
      <c r="V236" s="138">
        <v>0</v>
      </c>
      <c r="W236" s="138">
        <v>41494252.799999997</v>
      </c>
      <c r="X236" s="138">
        <v>0</v>
      </c>
      <c r="Y236" s="138">
        <v>0</v>
      </c>
      <c r="Z236" s="138">
        <v>0</v>
      </c>
      <c r="AA236" s="138">
        <v>146607999.99999997</v>
      </c>
      <c r="AB236" s="138">
        <v>0</v>
      </c>
      <c r="AC236" s="138">
        <v>0</v>
      </c>
      <c r="AD236" s="138">
        <v>0</v>
      </c>
      <c r="AE236" s="138">
        <v>30904835500</v>
      </c>
      <c r="AF236" s="138">
        <v>20485850000</v>
      </c>
      <c r="AG236" s="138">
        <v>0</v>
      </c>
      <c r="AI236" s="127"/>
      <c r="AJ236" s="127"/>
      <c r="AK236" s="127"/>
      <c r="AL236" s="127"/>
      <c r="AM236" s="127"/>
      <c r="AP236" s="127"/>
      <c r="AQ236" s="127"/>
      <c r="AR236" s="127"/>
      <c r="AS236" s="127"/>
      <c r="AT236" s="127"/>
      <c r="AU236" s="127"/>
      <c r="AV236" s="127"/>
      <c r="AW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W236" s="127"/>
      <c r="BX236" s="127"/>
      <c r="BY236" s="127"/>
      <c r="BZ236" s="127"/>
      <c r="CA236" s="127"/>
    </row>
    <row r="237" spans="2:79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03" t="s">
        <v>332</v>
      </c>
      <c r="L237" s="136">
        <v>0</v>
      </c>
      <c r="M237" s="136">
        <v>0</v>
      </c>
      <c r="N237" s="285">
        <v>0</v>
      </c>
      <c r="O237" s="286">
        <v>863673142.50000012</v>
      </c>
      <c r="P237" s="136">
        <v>619348827.99999976</v>
      </c>
      <c r="Q237" s="136">
        <v>0</v>
      </c>
      <c r="R237" s="136">
        <v>2958130560.0000005</v>
      </c>
      <c r="S237" s="138">
        <v>4224683557.5000005</v>
      </c>
      <c r="T237" s="138">
        <v>0</v>
      </c>
      <c r="U237" s="138">
        <v>0</v>
      </c>
      <c r="V237" s="138">
        <v>0</v>
      </c>
      <c r="W237" s="138">
        <v>0</v>
      </c>
      <c r="X237" s="138">
        <v>0</v>
      </c>
      <c r="Y237" s="138">
        <v>0</v>
      </c>
      <c r="Z237" s="138">
        <v>0</v>
      </c>
      <c r="AA237" s="138">
        <v>0</v>
      </c>
      <c r="AB237" s="138">
        <v>34068924120.000004</v>
      </c>
      <c r="AC237" s="138">
        <v>0</v>
      </c>
      <c r="AD237" s="138">
        <v>8001957382.6500006</v>
      </c>
      <c r="AE237" s="138">
        <v>0</v>
      </c>
      <c r="AF237" s="138">
        <v>3995262208.0000014</v>
      </c>
      <c r="AG237" s="138">
        <v>0</v>
      </c>
      <c r="AI237" s="127"/>
      <c r="AJ237" s="127"/>
      <c r="AK237" s="127"/>
      <c r="AL237" s="127"/>
      <c r="AM237" s="127"/>
      <c r="AP237" s="127"/>
      <c r="AQ237" s="127"/>
      <c r="AR237" s="127"/>
      <c r="AS237" s="127"/>
      <c r="AT237" s="127"/>
      <c r="AU237" s="127"/>
      <c r="AV237" s="127"/>
      <c r="AW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W237" s="127"/>
      <c r="BX237" s="127"/>
      <c r="BY237" s="127"/>
      <c r="BZ237" s="127"/>
      <c r="CA237" s="127"/>
    </row>
    <row r="238" spans="2:79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03" t="s">
        <v>290</v>
      </c>
      <c r="L238" s="136">
        <v>3819078899.9999995</v>
      </c>
      <c r="M238" s="136">
        <v>467435165.39999998</v>
      </c>
      <c r="N238" s="285">
        <v>0</v>
      </c>
      <c r="O238" s="286">
        <v>13857669</v>
      </c>
      <c r="P238" s="136">
        <v>180239920.18199998</v>
      </c>
      <c r="Q238" s="136">
        <v>0</v>
      </c>
      <c r="R238" s="136">
        <v>153890019.36000004</v>
      </c>
      <c r="S238" s="138">
        <v>0</v>
      </c>
      <c r="T238" s="138">
        <v>0</v>
      </c>
      <c r="U238" s="138">
        <v>0</v>
      </c>
      <c r="V238" s="138">
        <v>0</v>
      </c>
      <c r="W238" s="138">
        <v>0</v>
      </c>
      <c r="X238" s="138">
        <v>0</v>
      </c>
      <c r="Y238" s="138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3198027420</v>
      </c>
      <c r="AG238" s="138">
        <v>0</v>
      </c>
      <c r="AI238" s="127"/>
      <c r="AJ238" s="127"/>
      <c r="AK238" s="127"/>
      <c r="AL238" s="127"/>
      <c r="AM238" s="127"/>
      <c r="AP238" s="127"/>
      <c r="AQ238" s="127"/>
      <c r="AR238" s="127"/>
      <c r="AS238" s="127"/>
      <c r="AT238" s="127"/>
      <c r="AU238" s="127"/>
      <c r="AV238" s="127"/>
      <c r="AW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W238" s="127"/>
      <c r="BX238" s="127"/>
      <c r="BY238" s="127"/>
      <c r="BZ238" s="127"/>
      <c r="CA238" s="127"/>
    </row>
    <row r="239" spans="2:79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03" t="s">
        <v>375</v>
      </c>
      <c r="L239" s="136">
        <v>237602880</v>
      </c>
      <c r="M239" s="136">
        <v>1259779.6571428571</v>
      </c>
      <c r="N239" s="285">
        <v>0</v>
      </c>
      <c r="O239" s="286">
        <v>9129291.4285714291</v>
      </c>
      <c r="P239" s="136">
        <v>339265382.39999998</v>
      </c>
      <c r="Q239" s="136">
        <v>0</v>
      </c>
      <c r="R239" s="136">
        <v>274817929.32571429</v>
      </c>
      <c r="S239" s="138">
        <v>33250.639999999999</v>
      </c>
      <c r="T239" s="138">
        <v>0</v>
      </c>
      <c r="U239" s="138">
        <v>0</v>
      </c>
      <c r="V239" s="138">
        <v>0</v>
      </c>
      <c r="W239" s="138">
        <v>0</v>
      </c>
      <c r="X239" s="138">
        <v>6091556.5714285709</v>
      </c>
      <c r="Y239" s="138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5717027725.7142859</v>
      </c>
      <c r="AE239" s="138">
        <v>0</v>
      </c>
      <c r="AF239" s="138">
        <v>12596022012.342857</v>
      </c>
      <c r="AG239" s="138">
        <v>0</v>
      </c>
      <c r="AI239" s="127"/>
      <c r="AJ239" s="127"/>
      <c r="AK239" s="127"/>
      <c r="AL239" s="127"/>
      <c r="AM239" s="127"/>
      <c r="AP239" s="127"/>
      <c r="AQ239" s="127"/>
      <c r="AR239" s="127"/>
      <c r="AS239" s="127"/>
      <c r="AT239" s="127"/>
      <c r="AU239" s="127"/>
      <c r="AV239" s="127"/>
      <c r="AW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W239" s="127"/>
      <c r="BX239" s="127"/>
      <c r="BY239" s="127"/>
      <c r="BZ239" s="127"/>
      <c r="CA239" s="127"/>
    </row>
    <row r="240" spans="2:79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19" t="s">
        <v>370</v>
      </c>
      <c r="L240" s="136">
        <v>1070094.3683409437</v>
      </c>
      <c r="M240" s="136">
        <v>0</v>
      </c>
      <c r="N240" s="285">
        <v>0</v>
      </c>
      <c r="O240" s="286">
        <v>254917.19939117198</v>
      </c>
      <c r="P240" s="136">
        <v>0</v>
      </c>
      <c r="Q240" s="136">
        <v>0</v>
      </c>
      <c r="R240" s="136">
        <v>7752207.0015220698</v>
      </c>
      <c r="S240" s="138">
        <v>0</v>
      </c>
      <c r="T240" s="138">
        <v>0</v>
      </c>
      <c r="U240" s="138">
        <v>0</v>
      </c>
      <c r="V240" s="138">
        <v>0</v>
      </c>
      <c r="W240" s="138">
        <v>0</v>
      </c>
      <c r="X240" s="138">
        <v>0</v>
      </c>
      <c r="Y240" s="138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37795027.904616944</v>
      </c>
      <c r="AG240" s="138">
        <v>0</v>
      </c>
      <c r="AI240" s="127"/>
      <c r="AJ240" s="127"/>
      <c r="AK240" s="127"/>
      <c r="AL240" s="127"/>
      <c r="AM240" s="127"/>
      <c r="AP240" s="127"/>
      <c r="AQ240" s="127"/>
      <c r="AR240" s="127"/>
      <c r="AS240" s="127"/>
      <c r="AT240" s="127"/>
      <c r="AU240" s="127"/>
      <c r="AV240" s="127"/>
      <c r="AW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W240" s="127"/>
      <c r="BX240" s="127"/>
      <c r="BY240" s="127"/>
      <c r="BZ240" s="127"/>
      <c r="CA240" s="127"/>
    </row>
    <row r="241" spans="2:79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I241" s="127"/>
      <c r="AJ241" s="127"/>
      <c r="AK241" s="127"/>
      <c r="AL241" s="127"/>
      <c r="AM241" s="127"/>
      <c r="AP241" s="127"/>
      <c r="AQ241" s="127"/>
      <c r="AR241" s="127"/>
      <c r="AS241" s="127"/>
      <c r="AT241" s="127"/>
      <c r="AU241" s="127"/>
      <c r="AV241" s="127"/>
      <c r="AW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W241" s="127"/>
      <c r="BX241" s="127"/>
      <c r="BY241" s="127"/>
      <c r="BZ241" s="127"/>
      <c r="CA241" s="127"/>
    </row>
    <row r="242" spans="2:79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I242" s="127"/>
      <c r="AJ242" s="127"/>
      <c r="AK242" s="127"/>
      <c r="AL242" s="127"/>
      <c r="AM242" s="127"/>
      <c r="AP242" s="127"/>
      <c r="AQ242" s="127"/>
      <c r="AR242" s="127"/>
      <c r="AS242" s="127"/>
      <c r="AT242" s="127"/>
      <c r="AU242" s="127"/>
      <c r="AV242" s="127"/>
      <c r="AW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W242" s="127"/>
      <c r="BX242" s="127"/>
      <c r="BY242" s="127"/>
      <c r="BZ242" s="127"/>
      <c r="CA242" s="127"/>
    </row>
    <row r="243" spans="2:79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I243" s="127"/>
      <c r="AJ243" s="127"/>
      <c r="AK243" s="127"/>
      <c r="AL243" s="127"/>
      <c r="AM243" s="127"/>
      <c r="AP243" s="127"/>
      <c r="AQ243" s="127"/>
      <c r="AR243" s="127"/>
      <c r="AS243" s="127"/>
      <c r="AT243" s="127"/>
      <c r="AU243" s="127"/>
      <c r="AV243" s="127"/>
      <c r="AW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W243" s="127"/>
      <c r="BX243" s="127"/>
      <c r="BY243" s="127"/>
      <c r="BZ243" s="127"/>
      <c r="CA243" s="127"/>
    </row>
    <row r="244" spans="2:79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I244" s="127"/>
      <c r="AJ244" s="127"/>
      <c r="AK244" s="127"/>
      <c r="AL244" s="127"/>
      <c r="AM244" s="127"/>
      <c r="AP244" s="127"/>
      <c r="AQ244" s="127"/>
      <c r="AR244" s="127"/>
      <c r="AS244" s="127"/>
      <c r="AT244" s="127"/>
      <c r="AU244" s="127"/>
      <c r="AV244" s="127"/>
      <c r="AW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W244" s="127"/>
      <c r="BX244" s="127"/>
      <c r="BY244" s="127"/>
      <c r="BZ244" s="127"/>
      <c r="CA244" s="127"/>
    </row>
    <row r="245" spans="2:79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I245" s="127"/>
      <c r="AJ245" s="127"/>
      <c r="AK245" s="127"/>
      <c r="AL245" s="127"/>
      <c r="AM245" s="127"/>
      <c r="AP245" s="127"/>
      <c r="AQ245" s="127"/>
      <c r="AR245" s="127"/>
      <c r="AS245" s="127"/>
      <c r="AT245" s="127"/>
      <c r="AU245" s="127"/>
      <c r="AV245" s="127"/>
      <c r="AW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W245" s="127"/>
      <c r="BX245" s="127"/>
      <c r="BY245" s="127"/>
      <c r="BZ245" s="127"/>
      <c r="CA245" s="127"/>
    </row>
    <row r="246" spans="2:79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I246" s="127"/>
      <c r="AJ246" s="127"/>
      <c r="AK246" s="127"/>
      <c r="AL246" s="127"/>
      <c r="AM246" s="127"/>
      <c r="AP246" s="127"/>
      <c r="AQ246" s="127"/>
      <c r="AR246" s="127"/>
      <c r="AS246" s="127"/>
      <c r="AT246" s="127"/>
      <c r="AU246" s="127"/>
      <c r="AV246" s="127"/>
      <c r="AW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W246" s="127"/>
      <c r="BX246" s="127"/>
      <c r="BY246" s="127"/>
      <c r="BZ246" s="127"/>
      <c r="CA246" s="127"/>
    </row>
    <row r="247" spans="2:79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I247" s="127"/>
      <c r="AJ247" s="127"/>
      <c r="AK247" s="127"/>
      <c r="AL247" s="127"/>
      <c r="AM247" s="127"/>
      <c r="AP247" s="127"/>
      <c r="AQ247" s="127"/>
      <c r="AR247" s="127"/>
      <c r="AS247" s="127"/>
      <c r="AT247" s="127"/>
      <c r="AU247" s="127"/>
      <c r="AV247" s="127"/>
      <c r="AW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W247" s="127"/>
      <c r="BX247" s="127"/>
      <c r="BY247" s="127"/>
      <c r="BZ247" s="127"/>
      <c r="CA247" s="127"/>
    </row>
    <row r="248" spans="2:79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I248" s="127"/>
      <c r="AJ248" s="127"/>
      <c r="AK248" s="127"/>
      <c r="AL248" s="127"/>
      <c r="AM248" s="127"/>
      <c r="AP248" s="127"/>
      <c r="AQ248" s="127"/>
      <c r="AR248" s="127"/>
      <c r="AS248" s="127"/>
      <c r="AT248" s="127"/>
      <c r="AU248" s="127"/>
      <c r="AV248" s="127"/>
      <c r="AW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W248" s="127"/>
      <c r="BX248" s="127"/>
      <c r="BY248" s="127"/>
      <c r="BZ248" s="127"/>
      <c r="CA248" s="127"/>
    </row>
    <row r="249" spans="2:79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I249" s="127"/>
      <c r="AJ249" s="127"/>
      <c r="AK249" s="127"/>
      <c r="AL249" s="127"/>
      <c r="AM249" s="127"/>
      <c r="AP249" s="127"/>
      <c r="AQ249" s="127"/>
      <c r="AR249" s="127"/>
      <c r="AS249" s="127"/>
      <c r="AT249" s="127"/>
      <c r="AU249" s="127"/>
      <c r="AV249" s="127"/>
      <c r="AW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W249" s="127"/>
      <c r="BX249" s="127"/>
      <c r="BY249" s="127"/>
      <c r="BZ249" s="127"/>
      <c r="CA249" s="127"/>
    </row>
    <row r="250" spans="2:79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I250" s="127"/>
      <c r="AJ250" s="127"/>
      <c r="AK250" s="127"/>
      <c r="AL250" s="127"/>
      <c r="AM250" s="127"/>
      <c r="AP250" s="127"/>
      <c r="AQ250" s="127"/>
      <c r="AR250" s="127"/>
      <c r="AS250" s="127"/>
      <c r="AT250" s="127"/>
      <c r="AU250" s="127"/>
      <c r="AV250" s="127"/>
      <c r="AW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W250" s="127"/>
      <c r="BX250" s="127"/>
      <c r="BY250" s="127"/>
      <c r="BZ250" s="127"/>
      <c r="CA250" s="127"/>
    </row>
    <row r="251" spans="2:79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I251" s="127"/>
      <c r="AJ251" s="127"/>
      <c r="AK251" s="127"/>
      <c r="AL251" s="127"/>
      <c r="AM251" s="127"/>
      <c r="AP251" s="127"/>
      <c r="AQ251" s="127"/>
      <c r="AR251" s="127"/>
      <c r="AS251" s="127"/>
      <c r="AT251" s="127"/>
      <c r="AU251" s="127"/>
      <c r="AV251" s="127"/>
      <c r="AW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W251" s="127"/>
      <c r="BX251" s="127"/>
      <c r="BY251" s="127"/>
      <c r="BZ251" s="127"/>
      <c r="CA251" s="127"/>
    </row>
    <row r="252" spans="2:79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I252" s="127"/>
      <c r="AJ252" s="127"/>
      <c r="AK252" s="127"/>
      <c r="AL252" s="127"/>
      <c r="AM252" s="127"/>
      <c r="AP252" s="127"/>
      <c r="AQ252" s="127"/>
      <c r="AR252" s="127"/>
      <c r="AS252" s="127"/>
      <c r="AT252" s="127"/>
      <c r="AU252" s="127"/>
      <c r="AV252" s="127"/>
      <c r="AW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W252" s="127"/>
      <c r="BX252" s="127"/>
      <c r="BY252" s="127"/>
      <c r="BZ252" s="127"/>
      <c r="CA252" s="127"/>
    </row>
    <row r="253" spans="2:79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I253" s="127"/>
      <c r="AJ253" s="127"/>
      <c r="AK253" s="127"/>
      <c r="AL253" s="127"/>
      <c r="AM253" s="127"/>
      <c r="AP253" s="127"/>
      <c r="AQ253" s="127"/>
      <c r="AR253" s="127"/>
      <c r="AS253" s="127"/>
      <c r="AT253" s="127"/>
      <c r="AU253" s="127"/>
      <c r="AV253" s="127"/>
      <c r="AW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W253" s="127"/>
      <c r="BX253" s="127"/>
      <c r="BY253" s="127"/>
      <c r="BZ253" s="127"/>
      <c r="CA253" s="127"/>
    </row>
    <row r="254" spans="2:79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I254" s="127"/>
      <c r="AJ254" s="127"/>
      <c r="AK254" s="127"/>
      <c r="AL254" s="127"/>
      <c r="AM254" s="127"/>
      <c r="AP254" s="127"/>
      <c r="AQ254" s="127"/>
      <c r="AR254" s="127"/>
      <c r="AS254" s="127"/>
      <c r="AT254" s="127"/>
      <c r="AU254" s="127"/>
      <c r="AV254" s="127"/>
      <c r="AW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W254" s="127"/>
      <c r="BX254" s="127"/>
      <c r="BY254" s="127"/>
      <c r="BZ254" s="127"/>
      <c r="CA254" s="127"/>
    </row>
    <row r="255" spans="2:79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I255" s="127"/>
      <c r="AJ255" s="127"/>
      <c r="AK255" s="127"/>
      <c r="AL255" s="127"/>
      <c r="AM255" s="127"/>
      <c r="AP255" s="127"/>
      <c r="AQ255" s="127"/>
      <c r="AR255" s="127"/>
      <c r="AS255" s="127"/>
      <c r="AT255" s="127"/>
      <c r="AU255" s="127"/>
      <c r="AV255" s="127"/>
      <c r="AW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W255" s="127"/>
      <c r="BX255" s="127"/>
      <c r="BY255" s="127"/>
      <c r="BZ255" s="127"/>
      <c r="CA255" s="127"/>
    </row>
    <row r="256" spans="2:79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I256" s="127"/>
      <c r="AJ256" s="127"/>
      <c r="AK256" s="127"/>
      <c r="AL256" s="127"/>
      <c r="AM256" s="127"/>
      <c r="AP256" s="127"/>
      <c r="AQ256" s="127"/>
      <c r="AR256" s="127"/>
      <c r="AS256" s="127"/>
      <c r="AT256" s="127"/>
      <c r="AU256" s="127"/>
      <c r="AV256" s="127"/>
      <c r="AW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W256" s="127"/>
      <c r="BX256" s="127"/>
      <c r="BY256" s="127"/>
      <c r="BZ256" s="127"/>
      <c r="CA256" s="127"/>
    </row>
    <row r="257" spans="2:79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I257" s="127"/>
      <c r="AJ257" s="127"/>
      <c r="AK257" s="127"/>
      <c r="AL257" s="127"/>
      <c r="AM257" s="127"/>
      <c r="AP257" s="127"/>
      <c r="AQ257" s="127"/>
      <c r="AR257" s="127"/>
      <c r="AS257" s="127"/>
      <c r="AT257" s="127"/>
      <c r="AU257" s="127"/>
      <c r="AV257" s="127"/>
      <c r="AW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W257" s="127"/>
      <c r="BX257" s="127"/>
      <c r="BY257" s="127"/>
      <c r="BZ257" s="127"/>
      <c r="CA257" s="127"/>
    </row>
    <row r="258" spans="2:79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I258" s="127"/>
      <c r="AJ258" s="127"/>
      <c r="AK258" s="127"/>
      <c r="AL258" s="127"/>
      <c r="AM258" s="127"/>
      <c r="AP258" s="127"/>
      <c r="AQ258" s="127"/>
      <c r="AR258" s="127"/>
      <c r="AS258" s="127"/>
      <c r="AT258" s="127"/>
      <c r="AU258" s="127"/>
      <c r="AV258" s="127"/>
      <c r="AW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W258" s="127"/>
      <c r="BX258" s="127"/>
      <c r="BY258" s="127"/>
      <c r="BZ258" s="127"/>
      <c r="CA258" s="127"/>
    </row>
    <row r="259" spans="2:79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I259" s="127"/>
      <c r="AJ259" s="127"/>
      <c r="AK259" s="127"/>
      <c r="AL259" s="127"/>
      <c r="AM259" s="127"/>
      <c r="AP259" s="127"/>
      <c r="AQ259" s="127"/>
      <c r="AR259" s="127"/>
      <c r="AS259" s="127"/>
      <c r="AT259" s="127"/>
      <c r="AU259" s="127"/>
      <c r="AV259" s="127"/>
      <c r="AW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W259" s="127"/>
      <c r="BX259" s="127"/>
      <c r="BY259" s="127"/>
      <c r="BZ259" s="127"/>
      <c r="CA259" s="127"/>
    </row>
    <row r="260" spans="2:79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I260" s="127"/>
      <c r="AJ260" s="127"/>
      <c r="AK260" s="127"/>
      <c r="AL260" s="127"/>
      <c r="AM260" s="127"/>
      <c r="AP260" s="127"/>
      <c r="AQ260" s="127"/>
      <c r="AR260" s="127"/>
      <c r="AS260" s="127"/>
      <c r="AT260" s="127"/>
      <c r="AU260" s="127"/>
      <c r="AV260" s="127"/>
      <c r="AW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W260" s="127"/>
      <c r="BX260" s="127"/>
      <c r="BY260" s="127"/>
      <c r="BZ260" s="127"/>
      <c r="CA260" s="127"/>
    </row>
    <row r="261" spans="2:79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I261" s="127"/>
      <c r="AJ261" s="127"/>
      <c r="AK261" s="127"/>
      <c r="AL261" s="127"/>
      <c r="AM261" s="127"/>
      <c r="AP261" s="127"/>
      <c r="AQ261" s="127"/>
      <c r="AR261" s="127"/>
      <c r="AS261" s="127"/>
      <c r="AT261" s="127"/>
      <c r="AU261" s="127"/>
      <c r="AV261" s="127"/>
      <c r="AW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W261" s="127"/>
      <c r="BX261" s="127"/>
      <c r="BY261" s="127"/>
      <c r="BZ261" s="127"/>
      <c r="CA261" s="127"/>
    </row>
    <row r="262" spans="2:79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I262" s="127"/>
      <c r="AJ262" s="127"/>
      <c r="AK262" s="127"/>
      <c r="AL262" s="127"/>
      <c r="AM262" s="127"/>
      <c r="AP262" s="127"/>
      <c r="AQ262" s="127"/>
      <c r="AR262" s="127"/>
      <c r="AS262" s="127"/>
      <c r="AT262" s="127"/>
      <c r="AU262" s="127"/>
      <c r="AV262" s="127"/>
      <c r="AW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W262" s="127"/>
      <c r="BX262" s="127"/>
      <c r="BY262" s="127"/>
      <c r="BZ262" s="127"/>
      <c r="CA262" s="127"/>
    </row>
    <row r="263" spans="2:79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I263" s="127"/>
      <c r="AJ263" s="127"/>
      <c r="AK263" s="127"/>
      <c r="AL263" s="127"/>
      <c r="AM263" s="127"/>
      <c r="AP263" s="127"/>
      <c r="AQ263" s="127"/>
      <c r="AR263" s="127"/>
      <c r="AS263" s="127"/>
      <c r="AT263" s="127"/>
      <c r="AU263" s="127"/>
      <c r="AV263" s="127"/>
      <c r="AW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W263" s="127"/>
      <c r="BX263" s="127"/>
      <c r="BY263" s="127"/>
      <c r="BZ263" s="127"/>
      <c r="CA263" s="127"/>
    </row>
    <row r="264" spans="2:79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I264" s="127"/>
      <c r="AJ264" s="127"/>
      <c r="AK264" s="127"/>
      <c r="AL264" s="127"/>
      <c r="AM264" s="127"/>
      <c r="AP264" s="127"/>
      <c r="AQ264" s="127"/>
      <c r="AR264" s="127"/>
      <c r="AS264" s="127"/>
      <c r="AT264" s="127"/>
      <c r="AU264" s="127"/>
      <c r="AV264" s="127"/>
      <c r="AW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W264" s="127"/>
      <c r="BX264" s="127"/>
      <c r="BY264" s="127"/>
      <c r="BZ264" s="127"/>
      <c r="CA264" s="127"/>
    </row>
    <row r="265" spans="2:79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I265" s="127"/>
      <c r="AJ265" s="127"/>
      <c r="AK265" s="127"/>
      <c r="AL265" s="127"/>
      <c r="AM265" s="127"/>
      <c r="AP265" s="127"/>
      <c r="AQ265" s="127"/>
      <c r="AR265" s="127"/>
      <c r="AS265" s="127"/>
      <c r="AT265" s="127"/>
      <c r="AU265" s="127"/>
      <c r="AV265" s="127"/>
      <c r="AW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W265" s="127"/>
      <c r="BX265" s="127"/>
      <c r="BY265" s="127"/>
      <c r="BZ265" s="127"/>
      <c r="CA265" s="127"/>
    </row>
    <row r="266" spans="2:79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I266" s="127"/>
      <c r="AJ266" s="127"/>
      <c r="AK266" s="127"/>
      <c r="AL266" s="127"/>
      <c r="AM266" s="127"/>
      <c r="AP266" s="127"/>
      <c r="AQ266" s="127"/>
      <c r="AR266" s="127"/>
      <c r="AS266" s="127"/>
      <c r="AT266" s="127"/>
      <c r="AU266" s="127"/>
      <c r="AV266" s="127"/>
      <c r="AW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W266" s="127"/>
      <c r="BX266" s="127"/>
      <c r="BY266" s="127"/>
      <c r="BZ266" s="127"/>
      <c r="CA266" s="127"/>
    </row>
    <row r="267" spans="2:79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I267" s="127"/>
      <c r="AJ267" s="127"/>
      <c r="AK267" s="127"/>
      <c r="AL267" s="127"/>
      <c r="AM267" s="127"/>
      <c r="AP267" s="127"/>
      <c r="AQ267" s="127"/>
      <c r="AR267" s="127"/>
      <c r="AS267" s="127"/>
      <c r="AT267" s="127"/>
      <c r="AU267" s="127"/>
      <c r="AV267" s="127"/>
      <c r="AW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W267" s="127"/>
      <c r="BX267" s="127"/>
      <c r="BY267" s="127"/>
      <c r="BZ267" s="127"/>
      <c r="CA267" s="127"/>
    </row>
    <row r="268" spans="2:79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I268" s="127"/>
      <c r="AJ268" s="127"/>
      <c r="AK268" s="127"/>
      <c r="AL268" s="127"/>
      <c r="AM268" s="127"/>
      <c r="AP268" s="127"/>
      <c r="AQ268" s="127"/>
      <c r="AR268" s="127"/>
      <c r="AS268" s="127"/>
      <c r="AT268" s="127"/>
      <c r="AU268" s="127"/>
      <c r="AV268" s="127"/>
      <c r="AW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W268" s="127"/>
      <c r="BX268" s="127"/>
      <c r="BY268" s="127"/>
      <c r="BZ268" s="127"/>
      <c r="CA268" s="127"/>
    </row>
    <row r="269" spans="2:79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I269" s="127"/>
      <c r="AJ269" s="127"/>
      <c r="AK269" s="127"/>
      <c r="AL269" s="127"/>
      <c r="AM269" s="127"/>
      <c r="AP269" s="127"/>
      <c r="AQ269" s="127"/>
      <c r="AR269" s="127"/>
      <c r="AS269" s="127"/>
      <c r="AT269" s="127"/>
      <c r="AU269" s="127"/>
      <c r="AV269" s="127"/>
      <c r="AW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W269" s="127"/>
      <c r="BX269" s="127"/>
      <c r="BY269" s="127"/>
      <c r="BZ269" s="127"/>
      <c r="CA269" s="127"/>
    </row>
    <row r="270" spans="2:79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I270" s="127"/>
      <c r="AJ270" s="127"/>
      <c r="AK270" s="127"/>
      <c r="AL270" s="127"/>
      <c r="AM270" s="127"/>
      <c r="AP270" s="127"/>
      <c r="AQ270" s="127"/>
      <c r="AR270" s="127"/>
      <c r="AS270" s="127"/>
      <c r="AT270" s="127"/>
      <c r="AU270" s="127"/>
      <c r="AV270" s="127"/>
      <c r="AW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W270" s="127"/>
      <c r="BX270" s="127"/>
      <c r="BY270" s="127"/>
      <c r="BZ270" s="127"/>
      <c r="CA270" s="127"/>
    </row>
    <row r="271" spans="2:79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I271" s="127"/>
      <c r="AJ271" s="127"/>
      <c r="AK271" s="127"/>
      <c r="AL271" s="127"/>
      <c r="AM271" s="127"/>
      <c r="AP271" s="127"/>
      <c r="AQ271" s="127"/>
      <c r="AR271" s="127"/>
      <c r="AS271" s="127"/>
      <c r="AT271" s="127"/>
      <c r="AU271" s="127"/>
      <c r="AV271" s="127"/>
      <c r="AW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W271" s="127"/>
      <c r="BX271" s="127"/>
      <c r="BY271" s="127"/>
      <c r="BZ271" s="127"/>
      <c r="CA271" s="127"/>
    </row>
    <row r="272" spans="2:79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I272" s="127"/>
      <c r="AJ272" s="127"/>
      <c r="AK272" s="127"/>
      <c r="AL272" s="127"/>
      <c r="AM272" s="127"/>
      <c r="AP272" s="127"/>
      <c r="AQ272" s="127"/>
      <c r="AR272" s="127"/>
      <c r="AS272" s="127"/>
      <c r="AT272" s="127"/>
      <c r="AU272" s="127"/>
      <c r="AV272" s="127"/>
      <c r="AW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W272" s="127"/>
      <c r="BX272" s="127"/>
      <c r="BY272" s="127"/>
      <c r="BZ272" s="127"/>
      <c r="CA272" s="127"/>
    </row>
    <row r="273" spans="2:79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I273" s="127"/>
      <c r="AJ273" s="127"/>
      <c r="AK273" s="127"/>
      <c r="AL273" s="127"/>
      <c r="AM273" s="127"/>
      <c r="AP273" s="127"/>
      <c r="AQ273" s="127"/>
      <c r="AR273" s="127"/>
      <c r="AS273" s="127"/>
      <c r="AT273" s="127"/>
      <c r="AU273" s="127"/>
      <c r="AV273" s="127"/>
      <c r="AW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W273" s="127"/>
      <c r="BX273" s="127"/>
      <c r="BY273" s="127"/>
      <c r="BZ273" s="127"/>
      <c r="CA273" s="127"/>
    </row>
    <row r="274" spans="2:79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I274" s="127"/>
      <c r="AJ274" s="127"/>
      <c r="AK274" s="127"/>
      <c r="AL274" s="127"/>
      <c r="AM274" s="127"/>
      <c r="AP274" s="127"/>
      <c r="AQ274" s="127"/>
      <c r="AR274" s="127"/>
      <c r="AS274" s="127"/>
      <c r="AT274" s="127"/>
      <c r="AU274" s="127"/>
      <c r="AV274" s="127"/>
      <c r="AW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W274" s="127"/>
      <c r="BX274" s="127"/>
      <c r="BY274" s="127"/>
      <c r="BZ274" s="127"/>
      <c r="CA274" s="127"/>
    </row>
    <row r="275" spans="2:79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I275" s="127"/>
      <c r="AJ275" s="127"/>
      <c r="AK275" s="127"/>
      <c r="AL275" s="127"/>
      <c r="AM275" s="127"/>
      <c r="AP275" s="127"/>
      <c r="AQ275" s="127"/>
      <c r="AR275" s="127"/>
      <c r="AS275" s="127"/>
      <c r="AT275" s="127"/>
      <c r="AU275" s="127"/>
      <c r="AV275" s="127"/>
      <c r="AW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W275" s="127"/>
      <c r="BX275" s="127"/>
      <c r="BY275" s="127"/>
      <c r="BZ275" s="127"/>
      <c r="CA275" s="127"/>
    </row>
    <row r="276" spans="2:79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I276" s="127"/>
      <c r="AJ276" s="127"/>
      <c r="AK276" s="127"/>
      <c r="AL276" s="127"/>
      <c r="AM276" s="127"/>
      <c r="AP276" s="127"/>
      <c r="AQ276" s="127"/>
      <c r="AR276" s="127"/>
      <c r="AS276" s="127"/>
      <c r="AT276" s="127"/>
      <c r="AU276" s="127"/>
      <c r="AV276" s="127"/>
      <c r="AW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W276" s="127"/>
      <c r="BX276" s="127"/>
      <c r="BY276" s="127"/>
      <c r="BZ276" s="127"/>
      <c r="CA276" s="127"/>
    </row>
    <row r="277" spans="2:79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I277" s="127"/>
      <c r="AJ277" s="127"/>
      <c r="AK277" s="127"/>
      <c r="AL277" s="127"/>
      <c r="AM277" s="127"/>
      <c r="AP277" s="127"/>
      <c r="AQ277" s="127"/>
      <c r="AR277" s="127"/>
      <c r="AS277" s="127"/>
      <c r="AT277" s="127"/>
      <c r="AU277" s="127"/>
      <c r="AV277" s="127"/>
      <c r="AW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W277" s="127"/>
      <c r="BX277" s="127"/>
      <c r="BY277" s="127"/>
      <c r="BZ277" s="127"/>
      <c r="CA277" s="127"/>
    </row>
    <row r="278" spans="2:79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I278" s="127"/>
      <c r="AJ278" s="127"/>
      <c r="AK278" s="127"/>
      <c r="AL278" s="127"/>
      <c r="AM278" s="127"/>
      <c r="AP278" s="127"/>
      <c r="AQ278" s="127"/>
      <c r="AR278" s="127"/>
      <c r="AS278" s="127"/>
      <c r="AT278" s="127"/>
      <c r="AU278" s="127"/>
      <c r="AV278" s="127"/>
      <c r="AW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W278" s="127"/>
      <c r="BX278" s="127"/>
      <c r="BY278" s="127"/>
      <c r="BZ278" s="127"/>
      <c r="CA278" s="127"/>
    </row>
    <row r="279" spans="2:79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I279" s="127"/>
      <c r="AJ279" s="127"/>
      <c r="AK279" s="127"/>
      <c r="AL279" s="127"/>
      <c r="AM279" s="127"/>
      <c r="AP279" s="127"/>
      <c r="AQ279" s="127"/>
      <c r="AR279" s="127"/>
      <c r="AS279" s="127"/>
      <c r="AT279" s="127"/>
      <c r="AU279" s="127"/>
      <c r="AV279" s="127"/>
      <c r="AW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W279" s="127"/>
      <c r="BX279" s="127"/>
      <c r="BY279" s="127"/>
      <c r="BZ279" s="127"/>
      <c r="CA279" s="127"/>
    </row>
    <row r="280" spans="2:79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I280" s="127"/>
      <c r="AJ280" s="127"/>
      <c r="AK280" s="127"/>
      <c r="AL280" s="127"/>
      <c r="AM280" s="127"/>
      <c r="AP280" s="127"/>
      <c r="AQ280" s="127"/>
      <c r="AR280" s="127"/>
      <c r="AS280" s="127"/>
      <c r="AT280" s="127"/>
      <c r="AU280" s="127"/>
      <c r="AV280" s="127"/>
      <c r="AW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W280" s="127"/>
      <c r="BX280" s="127"/>
      <c r="BY280" s="127"/>
      <c r="BZ280" s="127"/>
      <c r="CA280" s="127"/>
    </row>
    <row r="281" spans="2:79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I281" s="127"/>
      <c r="AJ281" s="127"/>
      <c r="AK281" s="127"/>
      <c r="AL281" s="127"/>
      <c r="AM281" s="127"/>
      <c r="AP281" s="127"/>
      <c r="AQ281" s="127"/>
      <c r="AR281" s="127"/>
      <c r="AS281" s="127"/>
      <c r="AT281" s="127"/>
      <c r="AU281" s="127"/>
      <c r="AV281" s="127"/>
      <c r="AW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W281" s="127"/>
      <c r="BX281" s="127"/>
      <c r="BY281" s="127"/>
      <c r="BZ281" s="127"/>
      <c r="CA281" s="127"/>
    </row>
    <row r="282" spans="2:79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I282" s="127"/>
      <c r="AJ282" s="127"/>
      <c r="AK282" s="127"/>
      <c r="AL282" s="127"/>
      <c r="AM282" s="127"/>
      <c r="AP282" s="127"/>
      <c r="AQ282" s="127"/>
      <c r="AR282" s="127"/>
      <c r="AS282" s="127"/>
      <c r="AT282" s="127"/>
      <c r="AU282" s="127"/>
      <c r="AV282" s="127"/>
      <c r="AW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W282" s="127"/>
      <c r="BX282" s="127"/>
      <c r="BY282" s="127"/>
      <c r="BZ282" s="127"/>
      <c r="CA282" s="127"/>
    </row>
    <row r="283" spans="2:79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I283" s="127"/>
      <c r="AJ283" s="127"/>
      <c r="AK283" s="127"/>
      <c r="AL283" s="127"/>
      <c r="AM283" s="127"/>
      <c r="AP283" s="127"/>
      <c r="AQ283" s="127"/>
      <c r="AR283" s="127"/>
      <c r="AS283" s="127"/>
      <c r="AT283" s="127"/>
      <c r="AU283" s="127"/>
      <c r="AV283" s="127"/>
      <c r="AW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W283" s="127"/>
      <c r="BX283" s="127"/>
      <c r="BY283" s="127"/>
      <c r="BZ283" s="127"/>
      <c r="CA283" s="127"/>
    </row>
    <row r="284" spans="2:79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I284" s="127"/>
      <c r="AJ284" s="127"/>
      <c r="AK284" s="127"/>
      <c r="AL284" s="127"/>
      <c r="AM284" s="127"/>
      <c r="AP284" s="127"/>
      <c r="AQ284" s="127"/>
      <c r="AR284" s="127"/>
      <c r="AS284" s="127"/>
      <c r="AT284" s="127"/>
      <c r="AU284" s="127"/>
      <c r="AV284" s="127"/>
      <c r="AW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W284" s="127"/>
      <c r="BX284" s="127"/>
      <c r="BY284" s="127"/>
      <c r="BZ284" s="127"/>
      <c r="CA284" s="127"/>
    </row>
    <row r="285" spans="2:79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I285" s="127"/>
      <c r="AJ285" s="127"/>
      <c r="AK285" s="127"/>
      <c r="AL285" s="127"/>
      <c r="AM285" s="127"/>
      <c r="AP285" s="127"/>
      <c r="AQ285" s="127"/>
      <c r="AR285" s="127"/>
      <c r="AS285" s="127"/>
      <c r="AT285" s="127"/>
      <c r="AU285" s="127"/>
      <c r="AV285" s="127"/>
      <c r="AW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W285" s="127"/>
      <c r="BX285" s="127"/>
      <c r="BY285" s="127"/>
      <c r="BZ285" s="127"/>
      <c r="CA285" s="127"/>
    </row>
    <row r="286" spans="2:79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I286" s="127"/>
      <c r="AJ286" s="127"/>
      <c r="AK286" s="127"/>
      <c r="AL286" s="127"/>
      <c r="AM286" s="127"/>
      <c r="AP286" s="127"/>
      <c r="AQ286" s="127"/>
      <c r="AR286" s="127"/>
      <c r="AS286" s="127"/>
      <c r="AT286" s="127"/>
      <c r="AU286" s="127"/>
      <c r="AV286" s="127"/>
      <c r="AW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W286" s="127"/>
      <c r="BX286" s="127"/>
      <c r="BY286" s="127"/>
      <c r="BZ286" s="127"/>
      <c r="CA286" s="127"/>
    </row>
    <row r="287" spans="2:79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I287" s="127"/>
      <c r="AJ287" s="127"/>
      <c r="AK287" s="127"/>
      <c r="AL287" s="127"/>
      <c r="AM287" s="127"/>
      <c r="AP287" s="127"/>
      <c r="AQ287" s="127"/>
      <c r="AR287" s="127"/>
      <c r="AS287" s="127"/>
      <c r="AT287" s="127"/>
      <c r="AU287" s="127"/>
      <c r="AV287" s="127"/>
      <c r="AW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W287" s="127"/>
      <c r="BX287" s="127"/>
      <c r="BY287" s="127"/>
      <c r="BZ287" s="127"/>
      <c r="CA287" s="127"/>
    </row>
    <row r="288" spans="2:79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I288" s="127"/>
      <c r="AJ288" s="127"/>
      <c r="AK288" s="127"/>
      <c r="AL288" s="127"/>
      <c r="AM288" s="127"/>
      <c r="AP288" s="127"/>
      <c r="AQ288" s="127"/>
      <c r="AR288" s="127"/>
      <c r="AS288" s="127"/>
      <c r="AT288" s="127"/>
      <c r="AU288" s="127"/>
      <c r="AV288" s="127"/>
      <c r="AW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W288" s="127"/>
      <c r="BX288" s="127"/>
      <c r="BY288" s="127"/>
      <c r="BZ288" s="127"/>
      <c r="CA288" s="127"/>
    </row>
    <row r="289" spans="2:79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I289" s="127"/>
      <c r="AJ289" s="127"/>
      <c r="AK289" s="127"/>
      <c r="AL289" s="127"/>
      <c r="AM289" s="127"/>
      <c r="AP289" s="127"/>
      <c r="AQ289" s="127"/>
      <c r="AR289" s="127"/>
      <c r="AS289" s="127"/>
      <c r="AT289" s="127"/>
      <c r="AU289" s="127"/>
      <c r="AV289" s="127"/>
      <c r="AW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W289" s="127"/>
      <c r="BX289" s="127"/>
      <c r="BY289" s="127"/>
      <c r="BZ289" s="127"/>
      <c r="CA289" s="127"/>
    </row>
    <row r="290" spans="2:79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I290" s="127"/>
      <c r="AJ290" s="127"/>
      <c r="AK290" s="127"/>
      <c r="AL290" s="127"/>
      <c r="AM290" s="127"/>
      <c r="AP290" s="127"/>
      <c r="AQ290" s="127"/>
      <c r="AR290" s="127"/>
      <c r="AS290" s="127"/>
      <c r="AT290" s="127"/>
      <c r="AU290" s="127"/>
      <c r="AV290" s="127"/>
      <c r="AW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W290" s="127"/>
      <c r="BX290" s="127"/>
      <c r="BY290" s="127"/>
      <c r="BZ290" s="127"/>
      <c r="CA290" s="127"/>
    </row>
    <row r="291" spans="2:79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I291" s="127"/>
      <c r="AJ291" s="127"/>
      <c r="AK291" s="127"/>
      <c r="AL291" s="127"/>
      <c r="AM291" s="127"/>
      <c r="AP291" s="127"/>
      <c r="AQ291" s="127"/>
      <c r="AR291" s="127"/>
      <c r="AS291" s="127"/>
      <c r="AT291" s="127"/>
      <c r="AU291" s="127"/>
      <c r="AV291" s="127"/>
      <c r="AW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W291" s="127"/>
      <c r="BX291" s="127"/>
      <c r="BY291" s="127"/>
      <c r="BZ291" s="127"/>
      <c r="CA291" s="127"/>
    </row>
    <row r="292" spans="2:79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I292" s="127"/>
      <c r="AJ292" s="127"/>
      <c r="AK292" s="127"/>
      <c r="AL292" s="127"/>
      <c r="AM292" s="127"/>
      <c r="AP292" s="127"/>
      <c r="AQ292" s="127"/>
      <c r="AR292" s="127"/>
      <c r="AS292" s="127"/>
      <c r="AT292" s="127"/>
      <c r="AU292" s="127"/>
      <c r="AV292" s="127"/>
      <c r="AW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W292" s="127"/>
      <c r="BX292" s="127"/>
      <c r="BY292" s="127"/>
      <c r="BZ292" s="127"/>
      <c r="CA292" s="127"/>
    </row>
    <row r="293" spans="2:79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I293" s="127"/>
      <c r="AJ293" s="127"/>
      <c r="AK293" s="127"/>
      <c r="AL293" s="127"/>
      <c r="AM293" s="127"/>
      <c r="AP293" s="127"/>
      <c r="AQ293" s="127"/>
      <c r="AR293" s="127"/>
      <c r="AS293" s="127"/>
      <c r="AT293" s="127"/>
      <c r="AU293" s="127"/>
      <c r="AV293" s="127"/>
      <c r="AW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W293" s="127"/>
      <c r="BX293" s="127"/>
      <c r="BY293" s="127"/>
      <c r="BZ293" s="127"/>
      <c r="CA293" s="127"/>
    </row>
    <row r="294" spans="2:79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I294" s="127"/>
      <c r="AJ294" s="127"/>
      <c r="AK294" s="127"/>
      <c r="AL294" s="127"/>
      <c r="AM294" s="127"/>
      <c r="AP294" s="127"/>
      <c r="AQ294" s="127"/>
      <c r="AR294" s="127"/>
      <c r="AS294" s="127"/>
      <c r="AT294" s="127"/>
      <c r="AU294" s="127"/>
      <c r="AV294" s="127"/>
      <c r="AW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W294" s="127"/>
      <c r="BX294" s="127"/>
      <c r="BY294" s="127"/>
      <c r="BZ294" s="127"/>
      <c r="CA294" s="127"/>
    </row>
    <row r="295" spans="2:79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I295" s="127"/>
      <c r="AJ295" s="127"/>
      <c r="AK295" s="127"/>
      <c r="AL295" s="127"/>
      <c r="AM295" s="127"/>
      <c r="AP295" s="127"/>
      <c r="AQ295" s="127"/>
      <c r="AR295" s="127"/>
      <c r="AS295" s="127"/>
      <c r="AT295" s="127"/>
      <c r="AU295" s="127"/>
      <c r="AV295" s="127"/>
      <c r="AW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W295" s="127"/>
      <c r="BX295" s="127"/>
      <c r="BY295" s="127"/>
      <c r="BZ295" s="127"/>
      <c r="CA295" s="127"/>
    </row>
    <row r="296" spans="2:79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I296" s="127"/>
      <c r="AJ296" s="127"/>
      <c r="AK296" s="127"/>
      <c r="AL296" s="127"/>
      <c r="AM296" s="127"/>
      <c r="AP296" s="127"/>
      <c r="AQ296" s="127"/>
      <c r="AR296" s="127"/>
      <c r="AS296" s="127"/>
      <c r="AT296" s="127"/>
      <c r="AU296" s="127"/>
      <c r="AV296" s="127"/>
      <c r="AW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W296" s="127"/>
      <c r="BX296" s="127"/>
      <c r="BY296" s="127"/>
      <c r="BZ296" s="127"/>
      <c r="CA296" s="127"/>
    </row>
    <row r="297" spans="2:79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I297" s="127"/>
      <c r="AJ297" s="127"/>
      <c r="AK297" s="127"/>
      <c r="AL297" s="127"/>
      <c r="AM297" s="127"/>
      <c r="AP297" s="127"/>
      <c r="AQ297" s="127"/>
      <c r="AR297" s="127"/>
      <c r="AS297" s="127"/>
      <c r="AT297" s="127"/>
      <c r="AU297" s="127"/>
      <c r="AV297" s="127"/>
      <c r="AW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W297" s="127"/>
      <c r="BX297" s="127"/>
      <c r="BY297" s="127"/>
      <c r="BZ297" s="127"/>
      <c r="CA297" s="127"/>
    </row>
    <row r="298" spans="2:79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I298" s="127"/>
      <c r="AJ298" s="127"/>
      <c r="AK298" s="127"/>
      <c r="AL298" s="127"/>
      <c r="AM298" s="127"/>
      <c r="AP298" s="127"/>
      <c r="AQ298" s="127"/>
      <c r="AR298" s="127"/>
      <c r="AS298" s="127"/>
      <c r="AT298" s="127"/>
      <c r="AU298" s="127"/>
      <c r="AV298" s="127"/>
      <c r="AW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W298" s="127"/>
      <c r="BX298" s="127"/>
      <c r="BY298" s="127"/>
      <c r="BZ298" s="127"/>
      <c r="CA298" s="127"/>
    </row>
    <row r="299" spans="2:79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I299" s="127"/>
      <c r="AJ299" s="127"/>
      <c r="AK299" s="127"/>
      <c r="AL299" s="127"/>
      <c r="AM299" s="127"/>
      <c r="AP299" s="127"/>
      <c r="AQ299" s="127"/>
      <c r="AR299" s="127"/>
      <c r="AS299" s="127"/>
      <c r="AT299" s="127"/>
      <c r="AU299" s="127"/>
      <c r="AV299" s="127"/>
      <c r="AW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W299" s="127"/>
      <c r="BX299" s="127"/>
      <c r="BY299" s="127"/>
      <c r="BZ299" s="127"/>
      <c r="CA299" s="127"/>
    </row>
    <row r="300" spans="2:79"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I300" s="127"/>
      <c r="AJ300" s="127"/>
      <c r="AK300" s="127"/>
      <c r="AL300" s="127"/>
      <c r="AM300" s="127"/>
      <c r="AP300" s="127"/>
      <c r="AQ300" s="127"/>
      <c r="AR300" s="127"/>
      <c r="AS300" s="127"/>
      <c r="AT300" s="127"/>
      <c r="AU300" s="127"/>
      <c r="AV300" s="127"/>
      <c r="AW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W300" s="127"/>
      <c r="BX300" s="127"/>
      <c r="BY300" s="127"/>
      <c r="BZ300" s="127"/>
      <c r="CA300" s="127"/>
    </row>
    <row r="301" spans="2:79">
      <c r="AM301" s="127"/>
      <c r="AP301" s="127"/>
      <c r="AQ301" s="127"/>
      <c r="AR301" s="127"/>
      <c r="AS301" s="127"/>
      <c r="AT301" s="127"/>
      <c r="AU301" s="127"/>
      <c r="AV301" s="127"/>
      <c r="AW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W301" s="127"/>
      <c r="BX301" s="127"/>
      <c r="BY301" s="127"/>
      <c r="BZ301" s="127"/>
      <c r="CA301" s="127"/>
    </row>
    <row r="302" spans="2:79">
      <c r="AP302" s="127"/>
      <c r="AQ302" s="127"/>
      <c r="AR302" s="127"/>
      <c r="AS302" s="127"/>
      <c r="AT302" s="127"/>
      <c r="AU302" s="127"/>
      <c r="AV302" s="127"/>
      <c r="AW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W302" s="127"/>
      <c r="BX302" s="127"/>
      <c r="BY302" s="127"/>
      <c r="BZ302" s="127"/>
      <c r="CA302" s="127"/>
    </row>
    <row r="303" spans="2:79">
      <c r="AP303" s="127"/>
      <c r="AQ303" s="127"/>
      <c r="AR303" s="127"/>
      <c r="AS303" s="127"/>
      <c r="AT303" s="127"/>
      <c r="AU303" s="127"/>
      <c r="AV303" s="127"/>
      <c r="AW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W303" s="127"/>
      <c r="BX303" s="127"/>
      <c r="BY303" s="127"/>
      <c r="BZ303" s="127"/>
      <c r="CA303" s="127"/>
    </row>
    <row r="304" spans="2:79">
      <c r="AP304" s="127"/>
      <c r="AQ304" s="127"/>
      <c r="AR304" s="127"/>
      <c r="AS304" s="127"/>
      <c r="AT304" s="127"/>
      <c r="AU304" s="127"/>
      <c r="AV304" s="127"/>
      <c r="AW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W304" s="127"/>
      <c r="BX304" s="127"/>
      <c r="BY304" s="127"/>
      <c r="BZ304" s="127"/>
      <c r="CA304" s="127"/>
    </row>
    <row r="305" spans="42:79">
      <c r="AP305" s="127"/>
      <c r="AQ305" s="127"/>
      <c r="AR305" s="127"/>
      <c r="AS305" s="127"/>
      <c r="AT305" s="127"/>
      <c r="AU305" s="127"/>
      <c r="AV305" s="127"/>
      <c r="AW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W305" s="127"/>
      <c r="BX305" s="127"/>
      <c r="BY305" s="127"/>
      <c r="BZ305" s="127"/>
      <c r="CA305" s="127"/>
    </row>
    <row r="306" spans="42:79">
      <c r="AP306" s="127"/>
      <c r="AQ306" s="127"/>
      <c r="AR306" s="127"/>
      <c r="AS306" s="127"/>
      <c r="AT306" s="127"/>
      <c r="AU306" s="127"/>
      <c r="AV306" s="127"/>
      <c r="AW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W306" s="127"/>
      <c r="BX306" s="127"/>
      <c r="BY306" s="127"/>
      <c r="BZ306" s="127"/>
      <c r="CA306" s="127"/>
    </row>
    <row r="307" spans="42:79">
      <c r="AP307" s="127"/>
      <c r="AQ307" s="127"/>
      <c r="AR307" s="127"/>
      <c r="AS307" s="127"/>
      <c r="AT307" s="127"/>
      <c r="AU307" s="127"/>
      <c r="AV307" s="127"/>
      <c r="AW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W307" s="127"/>
      <c r="BX307" s="127"/>
      <c r="BY307" s="127"/>
      <c r="BZ307" s="127"/>
      <c r="CA307" s="127"/>
    </row>
    <row r="308" spans="42:79">
      <c r="AP308" s="127"/>
      <c r="AQ308" s="127"/>
      <c r="AR308" s="127"/>
      <c r="AS308" s="127"/>
      <c r="AT308" s="127"/>
      <c r="AU308" s="127"/>
      <c r="AV308" s="127"/>
      <c r="AW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W308" s="127"/>
      <c r="BX308" s="127"/>
      <c r="BY308" s="127"/>
      <c r="BZ308" s="127"/>
      <c r="CA308" s="127"/>
    </row>
    <row r="309" spans="42:79">
      <c r="AP309" s="127"/>
      <c r="AQ309" s="127"/>
      <c r="AR309" s="127"/>
      <c r="AS309" s="127"/>
      <c r="AT309" s="127"/>
      <c r="AU309" s="127"/>
      <c r="AV309" s="127"/>
      <c r="AW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W309" s="127"/>
      <c r="BX309" s="127"/>
      <c r="BY309" s="127"/>
      <c r="BZ309" s="127"/>
      <c r="CA309" s="127"/>
    </row>
    <row r="310" spans="42:79">
      <c r="AP310" s="127"/>
      <c r="AQ310" s="127"/>
      <c r="AR310" s="127"/>
      <c r="AS310" s="127"/>
      <c r="AT310" s="127"/>
      <c r="AU310" s="127"/>
      <c r="AV310" s="127"/>
      <c r="AW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W310" s="127"/>
      <c r="BX310" s="127"/>
      <c r="BY310" s="127"/>
      <c r="BZ310" s="127"/>
      <c r="CA310" s="127"/>
    </row>
    <row r="311" spans="42:79">
      <c r="AP311" s="127"/>
      <c r="AQ311" s="127"/>
      <c r="AR311" s="127"/>
      <c r="AS311" s="127"/>
      <c r="AT311" s="127"/>
      <c r="AU311" s="127"/>
      <c r="AV311" s="127"/>
      <c r="AW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W311" s="127"/>
      <c r="BX311" s="127"/>
      <c r="BY311" s="127"/>
      <c r="BZ311" s="127"/>
      <c r="CA311" s="127"/>
    </row>
    <row r="312" spans="42:79">
      <c r="AP312" s="127"/>
      <c r="AQ312" s="127"/>
      <c r="AR312" s="127"/>
      <c r="AS312" s="127"/>
      <c r="AT312" s="127"/>
      <c r="AU312" s="127"/>
      <c r="AV312" s="127"/>
      <c r="AW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W312" s="127"/>
      <c r="BX312" s="127"/>
      <c r="BY312" s="127"/>
      <c r="BZ312" s="127"/>
      <c r="CA312" s="127"/>
    </row>
    <row r="313" spans="42:79">
      <c r="AP313" s="127"/>
      <c r="AQ313" s="127"/>
      <c r="AR313" s="127"/>
      <c r="AS313" s="127"/>
      <c r="AT313" s="127"/>
      <c r="AU313" s="127"/>
      <c r="AV313" s="127"/>
      <c r="AW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W313" s="127"/>
      <c r="BX313" s="127"/>
      <c r="BY313" s="127"/>
      <c r="BZ313" s="127"/>
      <c r="CA313" s="127"/>
    </row>
    <row r="314" spans="42:79">
      <c r="AP314" s="127"/>
      <c r="AQ314" s="127"/>
      <c r="AR314" s="127"/>
      <c r="AS314" s="127"/>
      <c r="AT314" s="127"/>
      <c r="AU314" s="127"/>
      <c r="AV314" s="127"/>
      <c r="AW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W314" s="127"/>
      <c r="BX314" s="127"/>
      <c r="BY314" s="127"/>
      <c r="BZ314" s="127"/>
      <c r="CA314" s="127"/>
    </row>
    <row r="315" spans="42:79">
      <c r="AP315" s="127"/>
      <c r="AQ315" s="127"/>
      <c r="AR315" s="127"/>
      <c r="AS315" s="127"/>
      <c r="AT315" s="127"/>
      <c r="AU315" s="127"/>
      <c r="AV315" s="127"/>
      <c r="AW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W315" s="127"/>
      <c r="BX315" s="127"/>
      <c r="BY315" s="127"/>
      <c r="BZ315" s="127"/>
      <c r="CA315" s="127"/>
    </row>
    <row r="316" spans="42:79">
      <c r="AP316" s="127"/>
      <c r="AQ316" s="127"/>
      <c r="AR316" s="127"/>
      <c r="AS316" s="127"/>
      <c r="AT316" s="127"/>
      <c r="AU316" s="127"/>
      <c r="AV316" s="127"/>
      <c r="AW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W316" s="127"/>
      <c r="BX316" s="127"/>
      <c r="BY316" s="127"/>
      <c r="BZ316" s="127"/>
      <c r="CA316" s="127"/>
    </row>
    <row r="317" spans="42:79">
      <c r="AP317" s="127"/>
      <c r="AQ317" s="127"/>
      <c r="AR317" s="127"/>
      <c r="AS317" s="127"/>
      <c r="AT317" s="127"/>
      <c r="AU317" s="127"/>
      <c r="AV317" s="127"/>
      <c r="AW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W317" s="127"/>
      <c r="BX317" s="127"/>
      <c r="BY317" s="127"/>
      <c r="BZ317" s="127"/>
      <c r="CA317" s="127"/>
    </row>
    <row r="318" spans="42:79">
      <c r="AP318" s="127"/>
      <c r="AQ318" s="127"/>
      <c r="AR318" s="127"/>
      <c r="AS318" s="127"/>
      <c r="AT318" s="127"/>
      <c r="AU318" s="127"/>
      <c r="AV318" s="127"/>
      <c r="AW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W318" s="127"/>
      <c r="BX318" s="127"/>
      <c r="BY318" s="127"/>
      <c r="BZ318" s="127"/>
      <c r="CA318" s="127"/>
    </row>
    <row r="319" spans="42:79">
      <c r="AP319" s="127"/>
      <c r="AQ319" s="127"/>
      <c r="AR319" s="127"/>
      <c r="AS319" s="127"/>
      <c r="AT319" s="127"/>
      <c r="AU319" s="127"/>
      <c r="AV319" s="127"/>
      <c r="AW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W319" s="127"/>
      <c r="BX319" s="127"/>
      <c r="BY319" s="127"/>
      <c r="BZ319" s="127"/>
      <c r="CA319" s="127"/>
    </row>
    <row r="320" spans="42:79">
      <c r="AP320" s="127"/>
      <c r="AQ320" s="127"/>
      <c r="AR320" s="127"/>
      <c r="AS320" s="127"/>
      <c r="AT320" s="127"/>
      <c r="AU320" s="127"/>
      <c r="AV320" s="127"/>
      <c r="AW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W320" s="127"/>
      <c r="BX320" s="127"/>
      <c r="BY320" s="127"/>
      <c r="BZ320" s="127"/>
      <c r="CA320" s="127"/>
    </row>
    <row r="321" spans="42:79">
      <c r="AP321" s="127"/>
      <c r="AQ321" s="127"/>
      <c r="AR321" s="127"/>
      <c r="AS321" s="127"/>
      <c r="AT321" s="127"/>
      <c r="AU321" s="127"/>
      <c r="AV321" s="127"/>
      <c r="AW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W321" s="127"/>
      <c r="BX321" s="127"/>
      <c r="BY321" s="127"/>
      <c r="BZ321" s="127"/>
      <c r="CA321" s="127"/>
    </row>
    <row r="322" spans="42:79">
      <c r="AP322" s="127"/>
      <c r="AQ322" s="127"/>
      <c r="AR322" s="127"/>
      <c r="AS322" s="127"/>
      <c r="AT322" s="127"/>
      <c r="AU322" s="127"/>
      <c r="AV322" s="127"/>
      <c r="AW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W322" s="127"/>
      <c r="BX322" s="127"/>
      <c r="BY322" s="127"/>
      <c r="BZ322" s="127"/>
      <c r="CA322" s="127"/>
    </row>
    <row r="323" spans="42:79">
      <c r="AP323" s="127"/>
      <c r="AQ323" s="127"/>
      <c r="AR323" s="127"/>
      <c r="AS323" s="127"/>
      <c r="AT323" s="127"/>
      <c r="AU323" s="127"/>
      <c r="AV323" s="127"/>
      <c r="AW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W323" s="127"/>
      <c r="BX323" s="127"/>
      <c r="BY323" s="127"/>
      <c r="BZ323" s="127"/>
      <c r="CA323" s="127"/>
    </row>
    <row r="324" spans="42:79">
      <c r="AP324" s="127"/>
      <c r="AQ324" s="127"/>
      <c r="AR324" s="127"/>
      <c r="AS324" s="127"/>
      <c r="AT324" s="127"/>
      <c r="AU324" s="127"/>
      <c r="AV324" s="127"/>
      <c r="AW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W324" s="127"/>
      <c r="BX324" s="127"/>
      <c r="BY324" s="127"/>
      <c r="BZ324" s="127"/>
      <c r="CA324" s="127"/>
    </row>
    <row r="325" spans="42:79">
      <c r="AP325" s="127"/>
      <c r="AQ325" s="127"/>
      <c r="AR325" s="127"/>
      <c r="AS325" s="127"/>
      <c r="AT325" s="127"/>
      <c r="AU325" s="127"/>
      <c r="AV325" s="127"/>
      <c r="AW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W325" s="127"/>
      <c r="BX325" s="127"/>
      <c r="BY325" s="127"/>
      <c r="BZ325" s="127"/>
      <c r="CA325" s="127"/>
    </row>
    <row r="326" spans="42:79">
      <c r="AP326" s="127"/>
      <c r="AQ326" s="127"/>
      <c r="AR326" s="127"/>
      <c r="AS326" s="127"/>
      <c r="AT326" s="127"/>
      <c r="AU326" s="127"/>
      <c r="AV326" s="127"/>
      <c r="AW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W326" s="127"/>
      <c r="BX326" s="127"/>
      <c r="BY326" s="127"/>
      <c r="BZ326" s="127"/>
      <c r="CA326" s="127"/>
    </row>
    <row r="327" spans="42:79">
      <c r="AP327" s="127"/>
      <c r="AQ327" s="127"/>
      <c r="AR327" s="127"/>
      <c r="AS327" s="127"/>
      <c r="AT327" s="127"/>
      <c r="AU327" s="127"/>
      <c r="AV327" s="127"/>
      <c r="AW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W327" s="127"/>
      <c r="BX327" s="127"/>
      <c r="BY327" s="127"/>
      <c r="BZ327" s="127"/>
      <c r="CA327" s="127"/>
    </row>
    <row r="328" spans="42:79">
      <c r="AP328" s="127"/>
      <c r="AQ328" s="127"/>
      <c r="AR328" s="127"/>
      <c r="AS328" s="127"/>
      <c r="AT328" s="127"/>
      <c r="AU328" s="127"/>
      <c r="AV328" s="127"/>
      <c r="AW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W328" s="127"/>
      <c r="BX328" s="127"/>
      <c r="BY328" s="127"/>
      <c r="BZ328" s="127"/>
      <c r="CA328" s="127"/>
    </row>
    <row r="329" spans="42:79">
      <c r="AP329" s="127"/>
      <c r="AQ329" s="127"/>
      <c r="AR329" s="127"/>
      <c r="AS329" s="127"/>
      <c r="AT329" s="127"/>
      <c r="AU329" s="127"/>
      <c r="AV329" s="127"/>
      <c r="AW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W329" s="127"/>
      <c r="BX329" s="127"/>
      <c r="BY329" s="127"/>
      <c r="BZ329" s="127"/>
      <c r="CA329" s="127"/>
    </row>
    <row r="330" spans="42:79">
      <c r="AP330" s="127"/>
      <c r="AQ330" s="127"/>
      <c r="AR330" s="127"/>
      <c r="AS330" s="127"/>
      <c r="AT330" s="127"/>
      <c r="AU330" s="127"/>
      <c r="AV330" s="127"/>
      <c r="AW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W330" s="127"/>
      <c r="BX330" s="127"/>
      <c r="BY330" s="127"/>
      <c r="BZ330" s="127"/>
      <c r="CA330" s="127"/>
    </row>
    <row r="331" spans="42:79">
      <c r="AP331" s="127"/>
      <c r="AQ331" s="127"/>
      <c r="AR331" s="127"/>
      <c r="AS331" s="127"/>
      <c r="AT331" s="127"/>
      <c r="AU331" s="127"/>
      <c r="AV331" s="127"/>
      <c r="AW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W331" s="127"/>
      <c r="BX331" s="127"/>
      <c r="BY331" s="127"/>
      <c r="BZ331" s="127"/>
      <c r="CA331" s="127"/>
    </row>
    <row r="332" spans="42:79">
      <c r="AP332" s="127"/>
      <c r="AQ332" s="127"/>
      <c r="AR332" s="127"/>
      <c r="AS332" s="127"/>
      <c r="AT332" s="127"/>
      <c r="AU332" s="127"/>
      <c r="AV332" s="127"/>
      <c r="AW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W332" s="127"/>
      <c r="BX332" s="127"/>
      <c r="BY332" s="127"/>
      <c r="BZ332" s="127"/>
      <c r="CA332" s="127"/>
    </row>
    <row r="333" spans="42:79">
      <c r="AP333" s="127"/>
      <c r="AQ333" s="127"/>
      <c r="AR333" s="127"/>
      <c r="AS333" s="127"/>
      <c r="AT333" s="127"/>
      <c r="AU333" s="127"/>
      <c r="AV333" s="127"/>
      <c r="AW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W333" s="127"/>
      <c r="BX333" s="127"/>
      <c r="BY333" s="127"/>
      <c r="BZ333" s="127"/>
      <c r="CA333" s="127"/>
    </row>
    <row r="334" spans="42:79">
      <c r="AP334" s="127"/>
      <c r="AQ334" s="127"/>
      <c r="AR334" s="127"/>
      <c r="AS334" s="127"/>
      <c r="AT334" s="127"/>
      <c r="AU334" s="127"/>
      <c r="AV334" s="127"/>
      <c r="AW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W334" s="127"/>
      <c r="BX334" s="127"/>
      <c r="BY334" s="127"/>
      <c r="BZ334" s="127"/>
      <c r="CA334" s="127"/>
    </row>
    <row r="335" spans="42:79">
      <c r="AP335" s="127"/>
      <c r="AQ335" s="127"/>
      <c r="AR335" s="127"/>
      <c r="AS335" s="127"/>
      <c r="AT335" s="127"/>
      <c r="AU335" s="127"/>
      <c r="AV335" s="127"/>
      <c r="AW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W335" s="127"/>
      <c r="BX335" s="127"/>
      <c r="BY335" s="127"/>
      <c r="BZ335" s="127"/>
      <c r="CA335" s="127"/>
    </row>
    <row r="336" spans="42:79"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W336" s="127"/>
      <c r="BX336" s="127"/>
      <c r="BY336" s="127"/>
      <c r="BZ336" s="127"/>
      <c r="CA336" s="127"/>
    </row>
    <row r="337" spans="51:79"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W337" s="127"/>
      <c r="BX337" s="127"/>
      <c r="BY337" s="127"/>
      <c r="BZ337" s="127"/>
      <c r="CA337" s="127"/>
    </row>
    <row r="338" spans="51:79"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W338" s="127"/>
      <c r="BX338" s="127"/>
      <c r="BY338" s="127"/>
      <c r="BZ338" s="127"/>
      <c r="CA338" s="127"/>
    </row>
    <row r="339" spans="51:79"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W339" s="127"/>
      <c r="BX339" s="127"/>
      <c r="BY339" s="127"/>
      <c r="BZ339" s="127"/>
      <c r="CA339" s="127"/>
    </row>
    <row r="340" spans="51:79"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W340" s="127"/>
      <c r="BX340" s="127"/>
      <c r="BY340" s="127"/>
      <c r="BZ340" s="127"/>
      <c r="CA340" s="127"/>
    </row>
    <row r="341" spans="51:79"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W341" s="127"/>
      <c r="BX341" s="127"/>
      <c r="BY341" s="127"/>
      <c r="BZ341" s="127"/>
      <c r="CA341" s="127"/>
    </row>
    <row r="342" spans="51:79"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W342" s="127"/>
      <c r="BX342" s="127"/>
      <c r="BY342" s="127"/>
      <c r="BZ342" s="127"/>
      <c r="CA342" s="127"/>
    </row>
    <row r="343" spans="51:79"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W343" s="127"/>
      <c r="BX343" s="127"/>
      <c r="BY343" s="127"/>
      <c r="BZ343" s="127"/>
      <c r="CA343" s="127"/>
    </row>
    <row r="344" spans="51:79"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W344" s="127"/>
      <c r="BX344" s="127"/>
      <c r="BY344" s="127"/>
      <c r="BZ344" s="127"/>
      <c r="CA344" s="127"/>
    </row>
    <row r="345" spans="51:79"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W345" s="127"/>
      <c r="BX345" s="127"/>
      <c r="BY345" s="127"/>
      <c r="BZ345" s="127"/>
      <c r="CA345" s="127"/>
    </row>
    <row r="346" spans="51:79"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W346" s="127"/>
      <c r="BX346" s="127"/>
      <c r="BY346" s="127"/>
      <c r="BZ346" s="127"/>
      <c r="CA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116D-88CD-475D-818D-B873AF76A790}">
  <sheetPr>
    <tabColor theme="9" tint="0.39997558519241921"/>
  </sheetPr>
  <dimension ref="A1:HQ346"/>
  <sheetViews>
    <sheetView topLeftCell="X1" zoomScale="70" zoomScaleNormal="70" workbookViewId="0">
      <selection activeCell="S13" sqref="S1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5" width="17.1875" style="1" customWidth="1"/>
    <col min="6" max="6" width="15.8125" style="1"/>
    <col min="7" max="7" width="17.3125" style="1" bestFit="1" customWidth="1"/>
    <col min="8" max="17" width="15.8125" style="1"/>
    <col min="18" max="18" width="23" style="1" customWidth="1"/>
    <col min="19" max="41" width="8.8125" style="1" customWidth="1"/>
    <col min="42" max="42" width="17.3125" style="127" bestFit="1" customWidth="1"/>
    <col min="43" max="43" width="24.8125" style="1" customWidth="1"/>
    <col min="44" max="47" width="13.8125" style="1" customWidth="1"/>
    <col min="48" max="48" width="15.8125" style="127"/>
    <col min="49" max="49" width="15.8125" style="144"/>
    <col min="50" max="64" width="15.8125" style="1"/>
    <col min="65" max="65" width="15.8125" style="127"/>
    <col min="66" max="66" width="22.1875" style="1" customWidth="1"/>
    <col min="67" max="89" width="8.8125" style="1" customWidth="1"/>
    <col min="90" max="90" width="15.8125" style="127"/>
    <col min="91" max="91" width="23.8125" style="1" customWidth="1"/>
    <col min="92" max="95" width="15.8125" style="1"/>
    <col min="96" max="225" width="15.8125" style="127"/>
    <col min="226" max="16384" width="15.8125" style="1"/>
  </cols>
  <sheetData>
    <row r="1" spans="1:95" s="265" customFormat="1" ht="31.9">
      <c r="B1" s="265" t="s">
        <v>422</v>
      </c>
      <c r="AW1" s="266"/>
      <c r="AY1" s="265" t="s">
        <v>361</v>
      </c>
    </row>
    <row r="2" spans="1:95" s="127" customFormat="1">
      <c r="C2" s="295" t="s">
        <v>470</v>
      </c>
      <c r="D2" s="295" t="s">
        <v>469</v>
      </c>
      <c r="E2" s="295" t="s">
        <v>468</v>
      </c>
      <c r="F2" s="295"/>
      <c r="G2" s="295" t="s">
        <v>332</v>
      </c>
      <c r="H2" s="295" t="s">
        <v>471</v>
      </c>
      <c r="I2" s="295" t="s">
        <v>375</v>
      </c>
      <c r="J2" s="295" t="s">
        <v>377</v>
      </c>
      <c r="K2" s="295" t="s">
        <v>467</v>
      </c>
      <c r="L2" s="295" t="s">
        <v>290</v>
      </c>
      <c r="M2" s="295" t="s">
        <v>360</v>
      </c>
      <c r="N2" s="295" t="s">
        <v>472</v>
      </c>
      <c r="O2" s="295" t="s">
        <v>473</v>
      </c>
      <c r="P2" s="295" t="s">
        <v>474</v>
      </c>
      <c r="Z2" s="128"/>
      <c r="AA2" s="128"/>
      <c r="AB2" s="128"/>
      <c r="AC2" s="128"/>
      <c r="AD2" s="128"/>
      <c r="AE2" s="128"/>
      <c r="AF2" s="128"/>
      <c r="AG2" s="128"/>
      <c r="AH2" s="128"/>
      <c r="AW2" s="129"/>
      <c r="AX2" s="130"/>
      <c r="AY2" s="295" t="s">
        <v>470</v>
      </c>
      <c r="AZ2" s="295" t="s">
        <v>469</v>
      </c>
      <c r="BA2" s="295" t="s">
        <v>468</v>
      </c>
      <c r="BB2" s="295"/>
      <c r="BC2" s="295" t="s">
        <v>332</v>
      </c>
      <c r="BD2" s="295" t="s">
        <v>471</v>
      </c>
      <c r="BE2" s="295" t="s">
        <v>375</v>
      </c>
      <c r="BF2" s="295" t="s">
        <v>377</v>
      </c>
      <c r="BG2" s="295" t="s">
        <v>467</v>
      </c>
      <c r="BH2" s="295" t="s">
        <v>290</v>
      </c>
      <c r="BI2" s="295" t="s">
        <v>360</v>
      </c>
      <c r="BJ2" s="295" t="s">
        <v>472</v>
      </c>
      <c r="BK2" s="295" t="s">
        <v>473</v>
      </c>
      <c r="BL2" s="295" t="s">
        <v>474</v>
      </c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  <c r="CN2" s="130"/>
      <c r="CO2" s="130"/>
    </row>
    <row r="3" spans="1:95" ht="150" thickBot="1">
      <c r="B3" s="1" t="s">
        <v>357</v>
      </c>
      <c r="C3" s="98" t="s">
        <v>385</v>
      </c>
      <c r="D3" s="98" t="s">
        <v>387</v>
      </c>
      <c r="E3" s="98" t="s">
        <v>384</v>
      </c>
      <c r="F3" s="98" t="s">
        <v>331</v>
      </c>
      <c r="G3" s="98" t="s">
        <v>332</v>
      </c>
      <c r="H3" s="98" t="s">
        <v>370</v>
      </c>
      <c r="I3" s="98" t="s">
        <v>375</v>
      </c>
      <c r="J3" s="98" t="s">
        <v>377</v>
      </c>
      <c r="K3" s="98" t="s">
        <v>467</v>
      </c>
      <c r="L3" s="98" t="s">
        <v>290</v>
      </c>
      <c r="M3" s="98" t="s">
        <v>360</v>
      </c>
      <c r="N3" s="98" t="s">
        <v>472</v>
      </c>
      <c r="O3" s="98" t="s">
        <v>473</v>
      </c>
      <c r="P3" s="121" t="s">
        <v>474</v>
      </c>
      <c r="Q3" s="127"/>
      <c r="R3" s="1" t="s">
        <v>245</v>
      </c>
      <c r="S3" s="102" t="s">
        <v>11</v>
      </c>
      <c r="T3" s="102" t="s">
        <v>243</v>
      </c>
      <c r="U3" s="102" t="s">
        <v>256</v>
      </c>
      <c r="V3" s="102" t="s">
        <v>171</v>
      </c>
      <c r="W3" s="102" t="s">
        <v>217</v>
      </c>
      <c r="X3" s="102" t="s">
        <v>230</v>
      </c>
      <c r="Y3" s="102" t="s">
        <v>7</v>
      </c>
      <c r="Z3" s="102" t="s">
        <v>10</v>
      </c>
      <c r="AA3" s="102" t="s">
        <v>14</v>
      </c>
      <c r="AB3" s="102" t="s">
        <v>333</v>
      </c>
      <c r="AC3" s="102" t="s">
        <v>255</v>
      </c>
      <c r="AD3" s="102" t="s">
        <v>32</v>
      </c>
      <c r="AE3" s="102" t="s">
        <v>160</v>
      </c>
      <c r="AF3" s="102" t="s">
        <v>229</v>
      </c>
      <c r="AG3" s="102" t="s">
        <v>9</v>
      </c>
      <c r="AH3" s="102" t="s">
        <v>12</v>
      </c>
      <c r="AI3" s="102" t="s">
        <v>221</v>
      </c>
      <c r="AJ3" s="102" t="s">
        <v>158</v>
      </c>
      <c r="AK3" s="102" t="s">
        <v>326</v>
      </c>
      <c r="AL3" s="102" t="s">
        <v>269</v>
      </c>
      <c r="AM3" s="102" t="s">
        <v>8</v>
      </c>
      <c r="AN3" s="102" t="s">
        <v>228</v>
      </c>
      <c r="AO3" s="102"/>
      <c r="AP3" s="131"/>
      <c r="AQ3" s="99" t="s">
        <v>391</v>
      </c>
      <c r="AR3" s="102" t="s">
        <v>365</v>
      </c>
      <c r="AS3" s="102" t="s">
        <v>366</v>
      </c>
      <c r="AT3" s="102" t="s">
        <v>367</v>
      </c>
      <c r="AU3" s="102" t="s">
        <v>386</v>
      </c>
      <c r="AV3" s="143"/>
      <c r="AW3" s="129"/>
      <c r="AX3" s="13" t="s">
        <v>357</v>
      </c>
      <c r="AY3" s="98" t="s">
        <v>385</v>
      </c>
      <c r="AZ3" s="98" t="s">
        <v>387</v>
      </c>
      <c r="BA3" s="98" t="s">
        <v>384</v>
      </c>
      <c r="BB3" s="98" t="s">
        <v>331</v>
      </c>
      <c r="BC3" s="98" t="s">
        <v>332</v>
      </c>
      <c r="BD3" s="98" t="s">
        <v>370</v>
      </c>
      <c r="BE3" s="98" t="s">
        <v>375</v>
      </c>
      <c r="BF3" s="98" t="s">
        <v>377</v>
      </c>
      <c r="BG3" s="98" t="s">
        <v>467</v>
      </c>
      <c r="BH3" s="98" t="s">
        <v>290</v>
      </c>
      <c r="BI3" s="98" t="s">
        <v>360</v>
      </c>
      <c r="BJ3" s="98" t="s">
        <v>472</v>
      </c>
      <c r="BK3" s="98" t="s">
        <v>473</v>
      </c>
      <c r="BL3" s="121" t="s">
        <v>474</v>
      </c>
      <c r="BM3" s="130"/>
      <c r="BN3" s="13" t="s">
        <v>245</v>
      </c>
      <c r="BO3" s="104" t="s">
        <v>11</v>
      </c>
      <c r="BP3" s="104" t="s">
        <v>243</v>
      </c>
      <c r="BQ3" s="104" t="s">
        <v>256</v>
      </c>
      <c r="BR3" s="104" t="s">
        <v>171</v>
      </c>
      <c r="BS3" s="104" t="s">
        <v>217</v>
      </c>
      <c r="BT3" s="104" t="s">
        <v>230</v>
      </c>
      <c r="BU3" s="104" t="s">
        <v>7</v>
      </c>
      <c r="BV3" s="104" t="s">
        <v>10</v>
      </c>
      <c r="BW3" s="104" t="s">
        <v>14</v>
      </c>
      <c r="BX3" s="104" t="s">
        <v>333</v>
      </c>
      <c r="BY3" s="104" t="s">
        <v>255</v>
      </c>
      <c r="BZ3" s="104" t="s">
        <v>32</v>
      </c>
      <c r="CA3" s="104" t="s">
        <v>160</v>
      </c>
      <c r="CB3" s="104" t="s">
        <v>229</v>
      </c>
      <c r="CC3" s="104" t="s">
        <v>9</v>
      </c>
      <c r="CD3" s="104" t="s">
        <v>12</v>
      </c>
      <c r="CE3" s="104" t="s">
        <v>221</v>
      </c>
      <c r="CF3" s="104" t="s">
        <v>158</v>
      </c>
      <c r="CG3" s="104" t="s">
        <v>326</v>
      </c>
      <c r="CH3" s="104" t="s">
        <v>269</v>
      </c>
      <c r="CI3" s="104" t="s">
        <v>8</v>
      </c>
      <c r="CJ3" s="104" t="s">
        <v>228</v>
      </c>
      <c r="CK3" s="104"/>
      <c r="CL3" s="145"/>
      <c r="CM3" s="105" t="s">
        <v>391</v>
      </c>
      <c r="CN3" s="102" t="s">
        <v>365</v>
      </c>
      <c r="CO3" s="102" t="s">
        <v>366</v>
      </c>
      <c r="CP3" s="102" t="s">
        <v>367</v>
      </c>
      <c r="CQ3" s="102" t="s">
        <v>386</v>
      </c>
    </row>
    <row r="4" spans="1:95" ht="22.5" thickBot="1">
      <c r="B4" s="97" t="s">
        <v>465</v>
      </c>
      <c r="C4" s="294">
        <f>HLOOKUP(C$2,'[1]Projection (UK)'!$E$2:$R$61,12,FALSE)</f>
        <v>107988881294.39993</v>
      </c>
      <c r="D4" s="294">
        <f>HLOOKUP(D$2,'[1]Projection (UK)'!$E$2:$R$61,12,FALSE)</f>
        <v>308392586701.99921</v>
      </c>
      <c r="E4" s="294" t="e">
        <f>HLOOKUP(E$2,'[1]Projection (UK)'!$E$2:$R$61,12,FALSE)</f>
        <v>#N/A</v>
      </c>
      <c r="F4" s="294" t="e">
        <f>HLOOKUP(F$2,'[1]Projection (UK)'!$E$2:$R$61,12,FALSE)</f>
        <v>#N/A</v>
      </c>
      <c r="G4" s="294">
        <f>HLOOKUP(G$2,'[1]Projection (UK)'!$E$2:$R$61,12,FALSE)</f>
        <v>0</v>
      </c>
      <c r="H4" s="294">
        <f>HLOOKUP(H$2,'[1]Projection (UK)'!$E$2:$R$61,12,FALSE)</f>
        <v>0</v>
      </c>
      <c r="I4" s="294">
        <v>0</v>
      </c>
      <c r="J4" s="294">
        <f>HLOOKUP(J$2,'[1]Projection (UK)'!$E$2:$R$61,12,FALSE)</f>
        <v>0</v>
      </c>
      <c r="K4" s="294">
        <f>HLOOKUP(K$2,'[1]Projection (UK)'!$E$2:$R$61,12,FALSE)</f>
        <v>101120240600.00005</v>
      </c>
      <c r="L4" s="294">
        <f>HLOOKUP(L$2,'[1]Projection (UK)'!$E$2:$R$61,12,FALSE)</f>
        <v>0</v>
      </c>
      <c r="M4" s="294">
        <f>HLOOKUP(M$2,'[1]Projection (UK)'!$E$2:$R$61,12,FALSE)</f>
        <v>0</v>
      </c>
      <c r="N4" s="294">
        <f>HLOOKUP(N$2,'[1]Projection (UK)'!$E$2:$R$61,12,FALSE)</f>
        <v>1535083292.5999999</v>
      </c>
      <c r="O4" s="294">
        <f>HLOOKUP(O$2,'[1]Projection (UK)'!$E$2:$R$61,12,FALSE)</f>
        <v>55261583999.999954</v>
      </c>
      <c r="P4" s="294">
        <f>HLOOKUP(P$2,'[1]Projection (UK)'!$E$2:$R$61,12,FALSE)</f>
        <v>7892155280.5</v>
      </c>
      <c r="Q4" s="127"/>
      <c r="R4" s="103" t="s">
        <v>385</v>
      </c>
      <c r="S4" s="154">
        <f>_xlfn.IFNA(HLOOKUP(S$3,'Total Material Emissions'!$C$8:$N$13,5, FALSE),0)</f>
        <v>6.7694063926940643E-3</v>
      </c>
      <c r="T4" s="155">
        <f>_xlfn.IFNA(HLOOKUP(T$3,'Total Material Emissions'!$C$8:$N$13,5, FALSE),0)</f>
        <v>0</v>
      </c>
      <c r="U4" s="155">
        <f>_xlfn.IFNA(HLOOKUP(U$3,'Total Material Emissions'!$C$8:$N$13,5, FALSE),0)</f>
        <v>6.0176125244618397E-3</v>
      </c>
      <c r="V4" s="155">
        <f>_xlfn.IFNA(HLOOKUP(V$3,'Total Material Emissions'!$C$8:$N$13,5, FALSE),0)</f>
        <v>0.467938682322244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0</v>
      </c>
      <c r="Y4" s="155">
        <f>_xlfn.IFNA(HLOOKUP(Y$3,'Total Material Emissions'!$C$8:$N$13,5, FALSE),0)</f>
        <v>9.8723091976516635</v>
      </c>
      <c r="Z4" s="155">
        <f>_xlfn.IFNA(HLOOKUP(Z$3,'Total Material Emissions'!$C$8:$N$13,5, FALSE),0)</f>
        <v>4.7995759947814735E-2</v>
      </c>
      <c r="AA4" s="155">
        <f>_xlfn.IFNA(HLOOKUP(AA$3,'Total Material Emissions'!$C$8:$N$13,5, FALSE),0)</f>
        <v>4.978799739073711E-2</v>
      </c>
      <c r="AB4" s="155">
        <f>_xlfn.IFNA(HLOOKUP(AB$3,'Total Material Emissions'!$C$8:$N$13,5, FALSE),0)</f>
        <v>0</v>
      </c>
      <c r="AC4" s="155">
        <f>_xlfn.IFNA(HLOOKUP(AC$3,'Total Material Emissions'!$C$8:$N$13,5, FALSE),0)</f>
        <v>0.16132420091324201</v>
      </c>
      <c r="AD4" s="155">
        <f>_xlfn.IFNA(HLOOKUP(AD$3,'Total Material Emissions'!$C$8:$N$13,5, FALSE),0)</f>
        <v>0</v>
      </c>
      <c r="AE4" s="155">
        <f>_xlfn.IFNA(HLOOKUP(AE$3,'Total Material Emissions'!$C$8:$N$13,5, FALSE),0)</f>
        <v>1.4732550554468364</v>
      </c>
      <c r="AF4" s="155">
        <f>_xlfn.IFNA(HLOOKUP(AF$3,'Total Material Emissions'!$C$8:$N$13,5, FALSE),0)</f>
        <v>0</v>
      </c>
      <c r="AG4" s="155">
        <f>_xlfn.IFNA(HLOOKUP(AG$3,'Total Material Emissions'!$C$8:$N$13,5, FALSE),0)</f>
        <v>2.0221787345075016E-3</v>
      </c>
      <c r="AH4" s="155">
        <f>_xlfn.IFNA(HLOOKUP(AH$3,'Total Material Emissions'!$C$8:$N$13,5, FALSE),0)</f>
        <v>1.3943248532289627E-2</v>
      </c>
      <c r="AI4" s="155">
        <f>_xlfn.IFNA(HLOOKUP(AI$3,'Total Material Emissions'!$C$8:$N$13,5, FALSE),0)</f>
        <v>0</v>
      </c>
      <c r="AJ4" s="156">
        <f>_xlfn.IFNA(HLOOKUP(AJ$3,'Total Material Emissions'!$C$8:$N$13,5, FALSE),0)</f>
        <v>1.9383561643835617E-2</v>
      </c>
      <c r="AK4" s="155">
        <f>_xlfn.IFNA(HLOOKUP(AK$3,'Total Material Emissions'!$C$8:$N$13,5, FALSE),0)</f>
        <v>0</v>
      </c>
      <c r="AL4" s="156">
        <f>_xlfn.IFNA(HLOOKUP(AL$3,'Total Material Emissions'!$C$8:$N$13,5, FALSE),0)</f>
        <v>0</v>
      </c>
      <c r="AM4" s="156">
        <f>_xlfn.IFNA(HLOOKUP(AM$3,'Total Material Emissions'!$C$8:$N$13,5, FALSE),0)</f>
        <v>2.7669275929549899</v>
      </c>
      <c r="AN4" s="155">
        <f>_xlfn.IFNA(HLOOKUP(AN$3,'Total Material Emissions'!$C$8:$N$13,5, FALSE),0)</f>
        <v>0</v>
      </c>
      <c r="AO4" s="157"/>
      <c r="AQ4" s="97" t="s">
        <v>11</v>
      </c>
      <c r="AR4" s="170">
        <f>VLOOKUP($AQ4,'Material Breakdowns'!$B$42:$Y$64,5,FALSE)</f>
        <v>12.58</v>
      </c>
      <c r="AS4" s="156">
        <f>VLOOKUP($AQ4,'Material Breakdowns'!$B$42:$Y$64,11,FALSE)</f>
        <v>1050</v>
      </c>
      <c r="AT4" s="171">
        <f>VLOOKUP($AQ4,'Material Breakdowns'!$B$42:$Y$64,17,FALSE)</f>
        <v>0.43</v>
      </c>
      <c r="AU4" s="157">
        <f>VLOOKUP($AQ4,'Material Breakdowns'!$B$42:$Y$64,23,FALSE)</f>
        <v>2.11</v>
      </c>
      <c r="AW4" s="129"/>
      <c r="AX4" s="106" t="s">
        <v>465</v>
      </c>
      <c r="AY4" s="174">
        <f>HLOOKUP(AY$2,'[1]Projection (UK)'!$E$2:$R$61,13,FALSE)</f>
        <v>21597776258.87999</v>
      </c>
      <c r="AZ4" s="175">
        <f>HLOOKUP(AZ$2,'[1]Projection (UK)'!$E$2:$R$61,13,FALSE)</f>
        <v>61678517340.399841</v>
      </c>
      <c r="BA4" s="175" t="e">
        <f>HLOOKUP(BA$2,'[1]Projection (UK)'!$E$2:$R$61,13,FALSE)</f>
        <v>#N/A</v>
      </c>
      <c r="BB4" s="175" t="e">
        <f>HLOOKUP(BB$2,'[1]Projection (UK)'!$E$2:$R$61,13,FALSE)</f>
        <v>#N/A</v>
      </c>
      <c r="BC4" s="175">
        <f>HLOOKUP(BC$2,'[1]Projection (UK)'!$E$2:$R$61,13,FALSE)</f>
        <v>0</v>
      </c>
      <c r="BD4" s="175">
        <f>HLOOKUP(BD$2,'[1]Projection (UK)'!$E$2:$R$61,13,FALSE)</f>
        <v>0</v>
      </c>
      <c r="BE4" s="175"/>
      <c r="BF4" s="175">
        <f>HLOOKUP(BF$2,'[1]Projection (UK)'!$E$2:$R$61,13,FALSE)</f>
        <v>0</v>
      </c>
      <c r="BG4" s="175">
        <f>HLOOKUP(BG$2,'[1]Projection (UK)'!$E$2:$R$61,13,FALSE)</f>
        <v>20224048120.000011</v>
      </c>
      <c r="BH4" s="175">
        <f>HLOOKUP(BH$2,'[1]Projection (UK)'!$E$2:$R$61,13,FALSE)</f>
        <v>0</v>
      </c>
      <c r="BI4" s="175">
        <f>HLOOKUP(BI$2,'[1]Projection (UK)'!$E$2:$R$61,13,FALSE)</f>
        <v>0</v>
      </c>
      <c r="BJ4" s="176">
        <f>HLOOKUP(BJ$2,'[1]Projection (UK)'!$E$2:$R$61,13,FALSE)</f>
        <v>307016658.51999998</v>
      </c>
      <c r="BK4" s="176">
        <f>HLOOKUP(BK$2,'[1]Projection (UK)'!$E$2:$R$61,13,FALSE)</f>
        <v>11052316799.999992</v>
      </c>
      <c r="BL4" s="177">
        <f>HLOOKUP(BL$2,'[1]Projection (UK)'!$E$2:$R$61,13,FALSE)</f>
        <v>1578431056.1000001</v>
      </c>
      <c r="BM4" s="130"/>
      <c r="BN4" s="107" t="s">
        <v>385</v>
      </c>
      <c r="BO4" s="178">
        <f>_xlfn.IFNA(HLOOKUP(BO$3,'Total Material Emissions'!$C$8:$N$13,6, FALSE),0)</f>
        <v>4.2523415386320701E-3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5.9255698412753761E-3</v>
      </c>
      <c r="BR4" s="180">
        <f>_xlfn.IFNA(HLOOKUP(BR$3,'Total Material Emissions'!$C$8:$N$13,6, FALSE),0)</f>
        <v>0.18424482366257475</v>
      </c>
      <c r="BS4" s="179">
        <f>_xlfn.IFNA(HLOOKUP(BS$3,'Total Material Emissions'!$C$8:$N$13,6, FALSE),0)</f>
        <v>0</v>
      </c>
      <c r="BT4" s="179">
        <f>_xlfn.IFNA(HLOOKUP(BT$3,'Total Material Emissions'!$C$8:$N$13,6, FALSE),0)</f>
        <v>0</v>
      </c>
      <c r="BU4" s="180">
        <f>_xlfn.IFNA(HLOOKUP(BU$3,'Total Material Emissions'!$C$8:$N$13,6, FALSE),0)</f>
        <v>3.5284041134005428</v>
      </c>
      <c r="BV4" s="180">
        <f>_xlfn.IFNA(HLOOKUP(BV$3,'Total Material Emissions'!$C$8:$N$13,6, FALSE),0)</f>
        <v>1.9324599789348376E-2</v>
      </c>
      <c r="BW4" s="180">
        <f>_xlfn.IFNA(HLOOKUP(BW$3,'Total Material Emissions'!$C$8:$N$13,6, FALSE),0)</f>
        <v>2.4203769535218838E-2</v>
      </c>
      <c r="BX4" s="179">
        <f>_xlfn.IFNA(HLOOKUP(BX$3,'Total Material Emissions'!$C$8:$N$13,6, FALSE),0)</f>
        <v>0</v>
      </c>
      <c r="BY4" s="179">
        <f>_xlfn.IFNA(HLOOKUP(BY$3,'Total Material Emissions'!$C$8:$N$13,6, FALSE),0)</f>
        <v>5.8957615490669489E-2</v>
      </c>
      <c r="BZ4" s="179">
        <f>_xlfn.IFNA(HLOOKUP(BZ$3,'Total Material Emissions'!$C$8:$N$13,6, FALSE),0)</f>
        <v>0</v>
      </c>
      <c r="CA4" s="180">
        <f>_xlfn.IFNA(HLOOKUP(CA$3,'Total Material Emissions'!$C$8:$N$13,6, FALSE),0)</f>
        <v>1.0664274508165914</v>
      </c>
      <c r="CB4" s="180">
        <f>_xlfn.IFNA(HLOOKUP(CB$3,'Total Material Emissions'!$C$8:$N$13,6, FALSE),0)</f>
        <v>0</v>
      </c>
      <c r="CC4" s="179">
        <f>_xlfn.IFNA(HLOOKUP(CC$3,'Total Material Emissions'!$C$8:$N$13,6, FALSE),0)</f>
        <v>1.9912484019461965E-3</v>
      </c>
      <c r="CD4" s="180">
        <f>_xlfn.IFNA(HLOOKUP(CD$3,'Total Material Emissions'!$C$8:$N$13,6, FALSE),0)</f>
        <v>7.368085271476651E-3</v>
      </c>
      <c r="CE4" s="180">
        <f>_xlfn.IFNA(HLOOKUP(CE$3,'Total Material Emissions'!$C$8:$N$13,6, FALSE),0)</f>
        <v>0</v>
      </c>
      <c r="CF4" s="179">
        <f>_xlfn.IFNA(HLOOKUP(CF$3,'Total Material Emissions'!$C$8:$N$13,6, FALSE),0)</f>
        <v>1.9087079439945559E-2</v>
      </c>
      <c r="CG4" s="180">
        <f>_xlfn.IFNA(HLOOKUP(CG$3,'Total Material Emissions'!$C$8:$N$13,6, FALSE),0)</f>
        <v>0</v>
      </c>
      <c r="CH4" s="179">
        <f>_xlfn.IFNA(HLOOKUP(CH$3,'Total Material Emissions'!$C$8:$N$13,6, FALSE),0)</f>
        <v>0</v>
      </c>
      <c r="CI4" s="179">
        <f>_xlfn.IFNA(HLOOKUP(CI$3,'Total Material Emissions'!$C$8:$N$13,6, FALSE),0)</f>
        <v>0.94741057839806253</v>
      </c>
      <c r="CJ4" s="180">
        <f>_xlfn.IFNA(HLOOKUP(CJ$3,'Total Material Emissions'!$C$8:$N$13,6, FALSE),0)</f>
        <v>0</v>
      </c>
      <c r="CK4" s="181"/>
      <c r="CL4" s="146"/>
      <c r="CM4" s="106" t="s">
        <v>11</v>
      </c>
      <c r="CN4" s="198">
        <f>VLOOKUP($CM4,'Material Breakdowns'!$B$42:$Y$64,6,FALSE)</f>
        <v>1.119999999999999</v>
      </c>
      <c r="CO4" s="199">
        <f>VLOOKUP($CM4,'Material Breakdowns'!$B$42:$Y$64,12,FALSE)</f>
        <v>50</v>
      </c>
      <c r="CP4" s="200">
        <f>VLOOKUP($CM4,'Material Breakdowns'!$B$42:$Y$64,18,FALSE)</f>
        <v>2.0000000000000018E-2</v>
      </c>
      <c r="CQ4" s="201">
        <f>VLOOKUP($CM4,'Material Breakdowns'!$B$42:$Y$64,24,FALSE)</f>
        <v>8.0000000000000071E-2</v>
      </c>
    </row>
    <row r="5" spans="1:95" ht="22.15">
      <c r="B5" s="296" t="s">
        <v>475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03" t="s">
        <v>384</v>
      </c>
      <c r="S5" s="158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59">
        <f>_xlfn.IFNA(HLOOKUP(W$3,'Total Material Emissions'!$C$33:$I$38,5, FALSE),0)</f>
        <v>0</v>
      </c>
      <c r="X5" s="160">
        <f>_xlfn.IFNA(HLOOKUP(X$3,'Total Material Emissions'!$C$33:$I$38,5, FALSE),0)</f>
        <v>0.33244545915778789</v>
      </c>
      <c r="Y5" s="160">
        <f>_xlfn.IFNA(HLOOKUP(Y$3,'Total Material Emissions'!$C$33:$I$38,5, FALSE),0)</f>
        <v>0.22323693556570268</v>
      </c>
      <c r="Z5" s="159">
        <f>_xlfn.IFNA(HLOOKUP(Z$3,'Total Material Emissions'!$C$33:$I$38,5, FALSE),0)</f>
        <v>0</v>
      </c>
      <c r="AA5" s="159">
        <f>_xlfn.IFNA(HLOOKUP(AA$3,'Total Material Emissions'!$C$33:$I$38,5, FALSE),0)</f>
        <v>0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60">
        <f>_xlfn.IFNA(HLOOKUP(AD$3,'Total Material Emissions'!$C$33:$I$38,5, FALSE),0)</f>
        <v>0.3919330289193303</v>
      </c>
      <c r="AE5" s="159">
        <f>_xlfn.IFNA(HLOOKUP(AE$3,'Total Material Emissions'!$C$33:$I$38,5, FALSE),0)</f>
        <v>0</v>
      </c>
      <c r="AF5" s="159">
        <f>_xlfn.IFNA(HLOOKUP(AF$3,'Total Material Emissions'!$C$33:$I$38,5, FALSE),0)</f>
        <v>8.8470319634703198E-2</v>
      </c>
      <c r="AG5" s="160">
        <f>_xlfn.IFNA(HLOOKUP(AG$3,'Total Material Emissions'!$C$33:$I$38,5, FALSE),0)</f>
        <v>0</v>
      </c>
      <c r="AH5" s="159">
        <f>_xlfn.IFNA(HLOOKUP(AH$3,'Total Material Emissions'!$C$33:$I$38,5, FALSE),0)</f>
        <v>5.041856925418569E-2</v>
      </c>
      <c r="AI5" s="160">
        <f>_xlfn.IFNA(HLOOKUP(AI$3,'Total Material Emissions'!$C$33:$I$38,5, FALSE),0)</f>
        <v>0</v>
      </c>
      <c r="AJ5" s="159">
        <f>_xlfn.IFNA(HLOOKUP(AJ$3,'Total Material Emissions'!$C$33:$I$38,5, FALSE),0)</f>
        <v>0</v>
      </c>
      <c r="AK5" s="159">
        <f>_xlfn.IFNA(HLOOKUP(AK$3,'Total Material Emissions'!$C$33:$I$38,5, FALSE),0)</f>
        <v>0</v>
      </c>
      <c r="AL5" s="159">
        <f>_xlfn.IFNA(HLOOKUP(AL$3,'Total Material Emissions'!$C$33:$I$38,5, FALSE),0)</f>
        <v>0</v>
      </c>
      <c r="AM5" s="159">
        <f>_xlfn.IFNA(HLOOKUP(AM$3,'Total Material Emissions'!$C$33:$I$38,5, FALSE),0)</f>
        <v>2.0991882293252155</v>
      </c>
      <c r="AN5" s="160">
        <f>_xlfn.IFNA(HLOOKUP(AN$3,'Total Material Emissions'!$C$33:$I$38,5, FALSE),0)</f>
        <v>5.1623541349568676</v>
      </c>
      <c r="AO5" s="161"/>
      <c r="AQ5" s="97" t="s">
        <v>243</v>
      </c>
      <c r="AR5" s="158">
        <f>VLOOKUP($AQ5,'Material Breakdowns'!$B$42:$Y$64,5,FALSE)</f>
        <v>3.3000000000000002E-2</v>
      </c>
      <c r="AS5" s="159">
        <f>VLOOKUP($AQ5,'Material Breakdowns'!$B$42:$Y$64,11,FALSE)</f>
        <v>7.5549999999999997</v>
      </c>
      <c r="AT5" s="172">
        <f>VLOOKUP($AQ5,'Material Breakdowns'!$B$42:$Y$64,17,FALSE)</f>
        <v>6.0000000000000005E-2</v>
      </c>
      <c r="AU5" s="163">
        <f>VLOOKUP($AQ5,'Material Breakdowns'!$B$42:$Y$64,23,FALSE)</f>
        <v>0.4405</v>
      </c>
      <c r="AV5" s="136"/>
      <c r="AW5" s="129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07" t="s">
        <v>384</v>
      </c>
      <c r="BO5" s="182">
        <f>_xlfn.IFNA(HLOOKUP(BO$3,'Total Material Emissions'!$C$33:$I$38,6, FALSE),0)</f>
        <v>0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0.12451304212576977</v>
      </c>
      <c r="BU5" s="183">
        <f>_xlfn.IFNA(HLOOKUP(BU$3,'Total Material Emissions'!$C$33:$I$38,6, FALSE),0)</f>
        <v>8.3610436528559637E-2</v>
      </c>
      <c r="BV5" s="183">
        <f>_xlfn.IFNA(HLOOKUP(BV$3,'Total Material Emissions'!$C$33:$I$38,6, FALSE),0)</f>
        <v>0</v>
      </c>
      <c r="BW5" s="183">
        <f>_xlfn.IFNA(HLOOKUP(BW$3,'Total Material Emissions'!$C$33:$I$38,6, FALSE),0)</f>
        <v>0</v>
      </c>
      <c r="BX5" s="183">
        <f>_xlfn.IFNA(HLOOKUP(BX$3,'Total Material Emissions'!$C$33:$I$38,6, FALSE),0)</f>
        <v>0</v>
      </c>
      <c r="BY5" s="183">
        <f>_xlfn.IFNA(HLOOKUP(BY$3,'Total Material Emissions'!$C$33:$I$38,6, FALSE),0)</f>
        <v>0</v>
      </c>
      <c r="BZ5" s="183">
        <f>_xlfn.IFNA(HLOOKUP(BZ$3,'Total Material Emissions'!$C$33:$I$38,6, FALSE),0)</f>
        <v>0.14679332322343711</v>
      </c>
      <c r="CA5" s="183">
        <f>_xlfn.IFNA(HLOOKUP(CA$3,'Total Material Emissions'!$C$33:$I$38,6, FALSE),0)</f>
        <v>0</v>
      </c>
      <c r="CB5" s="183">
        <f>_xlfn.IFNA(HLOOKUP(CB$3,'Total Material Emissions'!$C$33:$I$38,6, FALSE),0)</f>
        <v>3.3135386067426338E-2</v>
      </c>
      <c r="CC5" s="183">
        <f>_xlfn.IFNA(HLOOKUP(CC$3,'Total Material Emissions'!$C$33:$I$38,6, FALSE),0)</f>
        <v>0</v>
      </c>
      <c r="CD5" s="183">
        <f>_xlfn.IFNA(HLOOKUP(CD$3,'Total Material Emissions'!$C$33:$I$38,6, FALSE),0)</f>
        <v>1.8883607113694578E-2</v>
      </c>
      <c r="CE5" s="183">
        <f>_xlfn.IFNA(HLOOKUP(CE$3,'Total Material Emissions'!$C$33:$I$38,6, FALSE),0)</f>
        <v>0</v>
      </c>
      <c r="CF5" s="183">
        <f>_xlfn.IFNA(HLOOKUP(CF$3,'Total Material Emissions'!$C$33:$I$38,6, FALSE),0)</f>
        <v>0</v>
      </c>
      <c r="CG5" s="183">
        <f>_xlfn.IFNA(HLOOKUP(CG$3,'Total Material Emissions'!$C$33:$I$38,6, FALSE),0)</f>
        <v>0</v>
      </c>
      <c r="CH5" s="183">
        <f>_xlfn.IFNA(HLOOKUP(CH$3,'Total Material Emissions'!$C$33:$I$38,6, FALSE),0)</f>
        <v>0</v>
      </c>
      <c r="CI5" s="183">
        <f>_xlfn.IFNA(HLOOKUP(CI$3,'Total Material Emissions'!$C$33:$I$38,6, FALSE),0)</f>
        <v>0.78622313894753526</v>
      </c>
      <c r="CJ5" s="183">
        <f>_xlfn.IFNA(HLOOKUP(CJ$3,'Total Material Emissions'!$C$33:$I$38,6, FALSE),0)</f>
        <v>1.9334913447229389</v>
      </c>
      <c r="CK5" s="184"/>
      <c r="CL5" s="130"/>
      <c r="CM5" s="106" t="s">
        <v>243</v>
      </c>
      <c r="CN5" s="182">
        <f>VLOOKUP($CM5,'Material Breakdowns'!$B$42:$Y$64,6,FALSE)</f>
        <v>1.7000000000000005E-2</v>
      </c>
      <c r="CO5" s="188">
        <f>VLOOKUP($CM5,'Material Breakdowns'!$B$42:$Y$64,12,FALSE)</f>
        <v>1.5110000000000001</v>
      </c>
      <c r="CP5" s="202">
        <f>VLOOKUP($CM5,'Material Breakdowns'!$B$42:$Y$64,18,FALSE)</f>
        <v>0.04</v>
      </c>
      <c r="CQ5" s="189">
        <f>VLOOKUP($CM5,'Material Breakdowns'!$B$42:$Y$64,24,FALSE)</f>
        <v>8.9500000000000135E-2</v>
      </c>
    </row>
    <row r="6" spans="1:95" ht="22.15">
      <c r="B6" s="127"/>
      <c r="C6" s="290"/>
      <c r="D6" s="290"/>
      <c r="E6" s="290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03" t="s">
        <v>331</v>
      </c>
      <c r="S6" s="162">
        <f>_xlfn.IFNA(HLOOKUP(S$3,'Total Material Emissions'!$C$58:$I$63,5, FALSE),0)</f>
        <v>0.95</v>
      </c>
      <c r="T6" s="159">
        <f>_xlfn.IFNA(HLOOKUP(T$3,'Total Material Emissions'!$C$58:$I$63,5, FALSE),0)</f>
        <v>0</v>
      </c>
      <c r="U6" s="159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59">
        <f>_xlfn.IFNA(HLOOKUP(W$3,'Total Material Emissions'!$C$58:$I$63,5, FALSE),0)</f>
        <v>0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60">
        <f>_xlfn.IFNA(HLOOKUP(Z$3,'Total Material Emissions'!$C$58:$I$63,5, FALSE),0)</f>
        <v>0.02</v>
      </c>
      <c r="AA6" s="159">
        <f>_xlfn.IFNA(HLOOKUP(AA$3,'Total Material Emissions'!$C$58:$I$63,5, FALSE),0)</f>
        <v>0</v>
      </c>
      <c r="AB6" s="160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60">
        <f>_xlfn.IFNA(HLOOKUP(AD$3,'Total Material Emissions'!$C$58:$I$63,5, FALSE),0)</f>
        <v>1.248E-2</v>
      </c>
      <c r="AE6" s="159">
        <f>_xlfn.IFNA(HLOOKUP(AE$3,'Total Material Emissions'!$C$58:$I$63,5, FALSE),0)</f>
        <v>0</v>
      </c>
      <c r="AF6" s="159">
        <f>_xlfn.IFNA(HLOOKUP(AF$3,'Total Material Emissions'!$C$58:$I$63,5, FALSE),0)</f>
        <v>0</v>
      </c>
      <c r="AG6" s="159">
        <f>_xlfn.IFNA(HLOOKUP(AG$3,'Total Material Emissions'!$C$58:$I$63,5, FALSE),0)</f>
        <v>0</v>
      </c>
      <c r="AH6" s="159">
        <f>_xlfn.IFNA(HLOOKUP(AH$3,'Total Material Emissions'!$C$58:$I$63,5, FALSE),0)</f>
        <v>0.02</v>
      </c>
      <c r="AI6" s="160">
        <f>_xlfn.IFNA(HLOOKUP(AI$3,'Total Material Emissions'!$C$58:$I$63,5, FALSE),0)</f>
        <v>0</v>
      </c>
      <c r="AJ6" s="159">
        <f>_xlfn.IFNA(HLOOKUP(AJ$3,'Total Material Emissions'!$C$58:$I$63,5, FALSE),0)</f>
        <v>0</v>
      </c>
      <c r="AK6" s="159">
        <f>_xlfn.IFNA(HLOOKUP(AK$3,'Total Material Emissions'!$C$58:$I$63,5, FALSE),0)</f>
        <v>0</v>
      </c>
      <c r="AL6" s="159">
        <f>_xlfn.IFNA(HLOOKUP(AL$3,'Total Material Emissions'!$C$58:$I$63,5, FALSE),0)</f>
        <v>0.115</v>
      </c>
      <c r="AM6" s="160">
        <f>_xlfn.IFNA(HLOOKUP(AM$3,'Total Material Emissions'!$C$58:$I$63,5, FALSE),0)</f>
        <v>12.5</v>
      </c>
      <c r="AN6" s="160">
        <f>_xlfn.IFNA(HLOOKUP(AN$3,'Total Material Emissions'!$C$58:$I$63,5, FALSE),0)</f>
        <v>0</v>
      </c>
      <c r="AO6" s="163"/>
      <c r="AQ6" s="97" t="s">
        <v>256</v>
      </c>
      <c r="AR6" s="158">
        <f>VLOOKUP($AQ6,'Material Breakdowns'!$B$42:$Y$64,5,FALSE)</f>
        <v>20.3</v>
      </c>
      <c r="AS6" s="159">
        <f>VLOOKUP($AQ6,'Material Breakdowns'!$B$42:$Y$64,11,FALSE)</f>
        <v>14.165000000000001</v>
      </c>
      <c r="AT6" s="172">
        <f>VLOOKUP($AQ6,'Material Breakdowns'!$B$42:$Y$64,17,FALSE)</f>
        <v>0</v>
      </c>
      <c r="AU6" s="163">
        <f>VLOOKUP($AQ6,'Material Breakdowns'!$B$42:$Y$64,23,FALSE)</f>
        <v>67.45</v>
      </c>
      <c r="AV6" s="136"/>
      <c r="AW6" s="129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 t="s">
        <v>529</v>
      </c>
      <c r="BN6" s="107" t="s">
        <v>331</v>
      </c>
      <c r="BO6" s="182">
        <f>_xlfn.IFNA(HLOOKUP(BO$3,'Total Material Emissions'!$C$58:$I$63,6, FALSE),0)</f>
        <v>0.51598207333201018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0</v>
      </c>
      <c r="BT6" s="183">
        <f>_xlfn.IFNA(HLOOKUP(BT$3,'Total Material Emissions'!$C$58:$I$63,6, FALSE),0)</f>
        <v>0</v>
      </c>
      <c r="BU6" s="183">
        <f>_xlfn.IFNA(HLOOKUP(BU$3,'Total Material Emissions'!$C$58:$I$63,6, FALSE),0)</f>
        <v>0</v>
      </c>
      <c r="BV6" s="183">
        <f>_xlfn.IFNA(HLOOKUP(BV$3,'Total Material Emissions'!$C$58:$I$63,6, FALSE),0)</f>
        <v>1.0862780491200215E-2</v>
      </c>
      <c r="BW6" s="183">
        <f>_xlfn.IFNA(HLOOKUP(BW$3,'Total Material Emissions'!$C$58:$I$63,6, FALSE),0)</f>
        <v>0</v>
      </c>
      <c r="BX6" s="183">
        <f>_xlfn.IFNA(HLOOKUP(BX$3,'Total Material Emissions'!$C$58:$I$63,6, FALSE),0)</f>
        <v>0</v>
      </c>
      <c r="BY6" s="183">
        <f>_xlfn.IFNA(HLOOKUP(BY$3,'Total Material Emissions'!$C$58:$I$63,6, FALSE),0)</f>
        <v>0</v>
      </c>
      <c r="BZ6" s="183">
        <f>_xlfn.IFNA(HLOOKUP(BZ$3,'Total Material Emissions'!$C$58:$I$63,6, FALSE),0)</f>
        <v>6.7783750265089336E-3</v>
      </c>
      <c r="CA6" s="183">
        <f>_xlfn.IFNA(HLOOKUP(CA$3,'Total Material Emissions'!$C$58:$I$63,6, FALSE),0)</f>
        <v>0</v>
      </c>
      <c r="CB6" s="183">
        <f>_xlfn.IFNA(HLOOKUP(CB$3,'Total Material Emissions'!$C$58:$I$63,6, FALSE),0)</f>
        <v>0</v>
      </c>
      <c r="CC6" s="183">
        <f>_xlfn.IFNA(HLOOKUP(CC$3,'Total Material Emissions'!$C$58:$I$63,6, FALSE),0)</f>
        <v>0</v>
      </c>
      <c r="CD6" s="183">
        <f>_xlfn.IFNA(HLOOKUP(CD$3,'Total Material Emissions'!$C$58:$I$63,6, FALSE),0)</f>
        <v>1.0862780491200215E-2</v>
      </c>
      <c r="CE6" s="183">
        <f>_xlfn.IFNA(HLOOKUP(CE$3,'Total Material Emissions'!$C$58:$I$63,6, FALSE),0)</f>
        <v>0</v>
      </c>
      <c r="CF6" s="183">
        <f>_xlfn.IFNA(HLOOKUP(CF$3,'Total Material Emissions'!$C$58:$I$63,6, FALSE),0)</f>
        <v>0</v>
      </c>
      <c r="CG6" s="183">
        <f>_xlfn.IFNA(HLOOKUP(CG$3,'Total Material Emissions'!$C$58:$I$63,6, FALSE),0)</f>
        <v>0</v>
      </c>
      <c r="CH6" s="183">
        <f>_xlfn.IFNA(HLOOKUP(CH$3,'Total Material Emissions'!$C$58:$I$63,6, FALSE),0)</f>
        <v>6.2460987824401237E-2</v>
      </c>
      <c r="CI6" s="183">
        <f>_xlfn.IFNA(HLOOKUP(CI$3,'Total Material Emissions'!$C$58:$I$63,6, FALSE),0)</f>
        <v>6.7892378070001342</v>
      </c>
      <c r="CJ6" s="183">
        <f>_xlfn.IFNA(HLOOKUP(CJ$3,'Total Material Emissions'!$C$58:$I$63,6, FALSE),0)</f>
        <v>0</v>
      </c>
      <c r="CK6" s="184"/>
      <c r="CL6" s="130"/>
      <c r="CM6" s="106" t="s">
        <v>256</v>
      </c>
      <c r="CN6" s="182">
        <f>VLOOKUP($CM6,'Material Breakdowns'!$B$42:$Y$64,6,FALSE)</f>
        <v>1</v>
      </c>
      <c r="CO6" s="188">
        <f>VLOOKUP($CM6,'Material Breakdowns'!$B$42:$Y$64,12,FALSE)</f>
        <v>7.1350000000000007</v>
      </c>
      <c r="CP6" s="202">
        <f>VLOOKUP($CM6,'Material Breakdowns'!$B$42:$Y$64,18,FALSE)</f>
        <v>0</v>
      </c>
      <c r="CQ6" s="189">
        <f>VLOOKUP($CM6,'Material Breakdowns'!$B$42:$Y$64,24,FALSE)</f>
        <v>22.45000000000001</v>
      </c>
    </row>
    <row r="7" spans="1:95" ht="22.15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03" t="s">
        <v>332</v>
      </c>
      <c r="S7" s="158">
        <f>_xlfn.IFNA(HLOOKUP(S$3,'Total Material Emissions'!$C$83:$I$85,2, FALSE),0)</f>
        <v>0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60">
        <f>_xlfn.IFNA(HLOOKUP(V$3,'Total Material Emissions'!$C$83:$I$85,2, FALSE),0)</f>
        <v>0.35525000000000001</v>
      </c>
      <c r="W7" s="160">
        <f>_xlfn.IFNA(HLOOKUP(W$3,'Total Material Emissions'!$C$83:$I$85,2, FALSE),0)</f>
        <v>0.921333333333333</v>
      </c>
      <c r="X7" s="159">
        <f>_xlfn.IFNA(HLOOKUP(X$3,'Total Material Emissions'!$C$83:$I$85,2, FALSE),0)</f>
        <v>0</v>
      </c>
      <c r="Y7" s="160">
        <f>_xlfn.IFNA(HLOOKUP(Y$3,'Total Material Emissions'!$C$83:$I$85,2, FALSE),0)</f>
        <v>9.68</v>
      </c>
      <c r="Z7" s="160">
        <f>_xlfn.IFNA(HLOOKUP(Z$3,'Total Material Emissions'!$C$83:$I$85,2, FALSE),0)</f>
        <v>0.11132499999999999</v>
      </c>
      <c r="AA7" s="159">
        <f>_xlfn.IFNA(HLOOKUP(AA$3,'Total Material Emissions'!$C$83:$I$85,2, FALSE),0)</f>
        <v>0</v>
      </c>
      <c r="AB7" s="159">
        <f>_xlfn.IFNA(HLOOKUP(AB$3,'Total Material Emissions'!$C$83:$I$85,2, FALSE),0)</f>
        <v>0</v>
      </c>
      <c r="AC7" s="159">
        <f>_xlfn.IFNA(HLOOKUP(AC$3,'Total Material Emissions'!$C$83:$I$85,2, FALSE),0)</f>
        <v>0</v>
      </c>
      <c r="AD7" s="159">
        <f>_xlfn.IFNA(HLOOKUP(AD$3,'Total Material Emissions'!$C$83:$I$85,2, FALSE),0)</f>
        <v>0</v>
      </c>
      <c r="AE7" s="159">
        <f>_xlfn.IFNA(HLOOKUP(AE$3,'Total Material Emissions'!$C$83:$I$85,2, FALSE),0)</f>
        <v>0</v>
      </c>
      <c r="AF7" s="159">
        <f>_xlfn.IFNA(HLOOKUP(AF$3,'Total Material Emissions'!$C$83:$I$85,2, FALSE),0)</f>
        <v>0</v>
      </c>
      <c r="AG7" s="159">
        <f>_xlfn.IFNA(HLOOKUP(AG$3,'Total Material Emissions'!$C$83:$I$85,2, FALSE),0)</f>
        <v>0</v>
      </c>
      <c r="AH7" s="159">
        <f>_xlfn.IFNA(HLOOKUP(AH$3,'Total Material Emissions'!$C$83:$I$85,2, FALSE),0)</f>
        <v>0</v>
      </c>
      <c r="AI7" s="159">
        <f>_xlfn.IFNA(HLOOKUP(AI$3,'Total Material Emissions'!$C$83:$I$85,2, FALSE),0)</f>
        <v>2.1688900000000002</v>
      </c>
      <c r="AJ7" s="160">
        <f>_xlfn.IFNA(HLOOKUP(AJ$3,'Total Material Emissions'!$C$83:$I$85,2, FALSE),0)</f>
        <v>0</v>
      </c>
      <c r="AK7" s="159">
        <f>_xlfn.IFNA(HLOOKUP(AK$3,'Total Material Emissions'!$C$83:$I$85,2, FALSE),0)</f>
        <v>3.9594499999999999</v>
      </c>
      <c r="AL7" s="160">
        <f>_xlfn.IFNA(HLOOKUP(AL$3,'Total Material Emissions'!$C$83:$I$85,2, FALSE),0)</f>
        <v>0</v>
      </c>
      <c r="AM7" s="159">
        <f>_xlfn.IFNA(HLOOKUP(AM$3,'Total Material Emissions'!$C$83:$I$85,2, FALSE),0)</f>
        <v>0.89386666666666703</v>
      </c>
      <c r="AN7" s="160">
        <f>_xlfn.IFNA(HLOOKUP(AN$3,'Total Material Emissions'!$C$83:$I$85,2, FALSE),0)</f>
        <v>0</v>
      </c>
      <c r="AO7" s="163"/>
      <c r="AQ7" s="97" t="s">
        <v>171</v>
      </c>
      <c r="AR7" s="158">
        <f>VLOOKUP($AQ7,'Material Breakdowns'!$B$42:$Y$64,5,FALSE)</f>
        <v>2.2000000000000002</v>
      </c>
      <c r="AS7" s="159">
        <f>VLOOKUP($AQ7,'Material Breakdowns'!$B$42:$Y$64,11,FALSE)</f>
        <v>45.5</v>
      </c>
      <c r="AT7" s="172">
        <f>VLOOKUP($AQ7,'Material Breakdowns'!$B$42:$Y$64,17,FALSE)</f>
        <v>0.69500000000000006</v>
      </c>
      <c r="AU7" s="163">
        <f>VLOOKUP($AQ7,'Material Breakdowns'!$B$42:$Y$64,23,FALSE)</f>
        <v>0.34050000000000002</v>
      </c>
      <c r="AV7" s="136"/>
      <c r="AW7" s="129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30"/>
      <c r="BN7" s="107" t="s">
        <v>332</v>
      </c>
      <c r="BO7" s="182">
        <f>_xlfn.IFNA(HLOOKUP(BO$3,'Total Material Emissions'!$C$83:$I$85,3, FALSE),0)</f>
        <v>0</v>
      </c>
      <c r="BP7" s="183">
        <f>_xlfn.IFNA(HLOOKUP(BP$3,'Total Material Emissions'!$C$83:$I$85,3, FALSE),0)</f>
        <v>0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3.5525000000000001E-2</v>
      </c>
      <c r="BS7" s="183">
        <f>_xlfn.IFNA(HLOOKUP(BS$3,'Total Material Emissions'!$C$83:$I$85,3, FALSE),0)</f>
        <v>9.2133333333333303E-2</v>
      </c>
      <c r="BT7" s="183">
        <f>_xlfn.IFNA(HLOOKUP(BT$3,'Total Material Emissions'!$C$83:$I$85,3, FALSE),0)</f>
        <v>0</v>
      </c>
      <c r="BU7" s="183">
        <f>_xlfn.IFNA(HLOOKUP(BU$3,'Total Material Emissions'!$C$83:$I$85,3, FALSE),0)</f>
        <v>0.96799999999999997</v>
      </c>
      <c r="BV7" s="183">
        <f>_xlfn.IFNA(HLOOKUP(BV$3,'Total Material Emissions'!$C$83:$I$85,3, FALSE),0)</f>
        <v>1.11325E-2</v>
      </c>
      <c r="BW7" s="183">
        <f>_xlfn.IFNA(HLOOKUP(BW$3,'Total Material Emissions'!$C$83:$I$85,3, FALSE),0)</f>
        <v>0</v>
      </c>
      <c r="BX7" s="183">
        <f>_xlfn.IFNA(HLOOKUP(BX$3,'Total Material Emissions'!$C$83:$I$85,3, FALSE),0)</f>
        <v>0</v>
      </c>
      <c r="BY7" s="183">
        <f>_xlfn.IFNA(HLOOKUP(BY$3,'Total Material Emissions'!$C$83:$I$85,3, FALSE),0)</f>
        <v>0</v>
      </c>
      <c r="BZ7" s="183">
        <f>_xlfn.IFNA(HLOOKUP(BZ$3,'Total Material Emissions'!$C$83:$I$85,3, FALSE),0)</f>
        <v>0</v>
      </c>
      <c r="CA7" s="183">
        <f>_xlfn.IFNA(HLOOKUP(CA$3,'Total Material Emissions'!$C$83:$I$85,3, FALSE),0)</f>
        <v>0</v>
      </c>
      <c r="CB7" s="183">
        <f>_xlfn.IFNA(HLOOKUP(CB$3,'Total Material Emissions'!$C$83:$I$85,3, FALSE),0)</f>
        <v>0</v>
      </c>
      <c r="CC7" s="183">
        <f>_xlfn.IFNA(HLOOKUP(CC$3,'Total Material Emissions'!$C$83:$I$85,3, FALSE),0)</f>
        <v>0</v>
      </c>
      <c r="CD7" s="183">
        <f>_xlfn.IFNA(HLOOKUP(CD$3,'Total Material Emissions'!$C$83:$I$85,3, FALSE),0)</f>
        <v>0</v>
      </c>
      <c r="CE7" s="183">
        <f>_xlfn.IFNA(HLOOKUP(CE$3,'Total Material Emissions'!$C$83:$I$85,3, FALSE),0)</f>
        <v>0.21688900000000003</v>
      </c>
      <c r="CF7" s="183">
        <f>_xlfn.IFNA(HLOOKUP(CF$3,'Total Material Emissions'!$C$83:$I$85,3, FALSE),0)</f>
        <v>0</v>
      </c>
      <c r="CG7" s="183">
        <f>_xlfn.IFNA(HLOOKUP(CG$3,'Total Material Emissions'!$C$83:$I$85,3, FALSE),0)</f>
        <v>0.39594499999999999</v>
      </c>
      <c r="CH7" s="183">
        <f>_xlfn.IFNA(HLOOKUP(CH$3,'Total Material Emissions'!$C$83:$I$85,3, FALSE),0)</f>
        <v>0</v>
      </c>
      <c r="CI7" s="183">
        <f>_xlfn.IFNA(HLOOKUP(CI$3,'Total Material Emissions'!$C$83:$I$85,3, FALSE),0)</f>
        <v>8.9386666666666711E-2</v>
      </c>
      <c r="CJ7" s="183">
        <f>_xlfn.IFNA(HLOOKUP(CJ$3,'Total Material Emissions'!$C$83:$I$85,3, FALSE),0)</f>
        <v>0</v>
      </c>
      <c r="CK7" s="184"/>
      <c r="CL7" s="130"/>
      <c r="CM7" s="106" t="s">
        <v>171</v>
      </c>
      <c r="CN7" s="182">
        <f>VLOOKUP($CM7,'Material Breakdowns'!$B$42:$Y$64,6,FALSE)</f>
        <v>0.28999999999999893</v>
      </c>
      <c r="CO7" s="188">
        <f>VLOOKUP($CM7,'Material Breakdowns'!$B$42:$Y$64,12,FALSE)</f>
        <v>2.5</v>
      </c>
      <c r="CP7" s="202">
        <f>VLOOKUP($CM7,'Material Breakdowns'!$B$42:$Y$64,18,FALSE)</f>
        <v>3.4999999999999969E-2</v>
      </c>
      <c r="CQ7" s="189">
        <f>VLOOKUP($CM7,'Material Breakdowns'!$B$42:$Y$64,24,FALSE)</f>
        <v>3.6499999999999713E-2</v>
      </c>
    </row>
    <row r="8" spans="1:95" ht="22.1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03" t="s">
        <v>290</v>
      </c>
      <c r="S8" s="162">
        <f>_xlfn.IFNA(HLOOKUP(S$3,'Total Material Emissions'!$C$105:$H$107,2, FALSE),0)</f>
        <v>0.84499999999999997</v>
      </c>
      <c r="T8" s="160">
        <f>_xlfn.IFNA(HLOOKUP(T$3,'Total Material Emissions'!$C$105:$H$107,2, FALSE),0)</f>
        <v>0.49540000000000001</v>
      </c>
      <c r="U8" s="159">
        <f>_xlfn.IFNA(HLOOKUP(U$3,'Total Material Emissions'!$C$105:$H$107,2, FALSE),0)</f>
        <v>0</v>
      </c>
      <c r="V8" s="160">
        <f>_xlfn.IFNA(HLOOKUP(V$3,'Total Material Emissions'!$C$105:$H$107,2, FALSE),0)</f>
        <v>1.9E-2</v>
      </c>
      <c r="W8" s="160">
        <f>_xlfn.IFNA(HLOOKUP(W$3,'Total Material Emissions'!$C$105:$H$107,2, FALSE),0)</f>
        <v>0.89373999999999998</v>
      </c>
      <c r="X8" s="159">
        <f>_xlfn.IFNA(HLOOKUP(X$3,'Total Material Emissions'!$C$105:$H$107,2, FALSE),0)</f>
        <v>0</v>
      </c>
      <c r="Y8" s="160">
        <f>_xlfn.IFNA(HLOOKUP(Y$3,'Total Material Emissions'!$C$105:$H$107,2, FALSE),0)</f>
        <v>1.6786000000000001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59">
        <f>_xlfn.IFNA(HLOOKUP(AF$3,'Total Material Emissions'!$C$105:$H$107,2, FALSE),0)</f>
        <v>0</v>
      </c>
      <c r="AG8" s="159">
        <f>_xlfn.IFNA(HLOOKUP(AG$3,'Total Material Emissions'!$C$105:$H$107,2, FALSE),0)</f>
        <v>0</v>
      </c>
      <c r="AH8" s="159">
        <f>_xlfn.IFNA(HLOOKUP(AH$3,'Total Material Emissions'!$C$105:$H$107,2, FALSE),0)</f>
        <v>0</v>
      </c>
      <c r="AI8" s="159">
        <f>_xlfn.IFNA(HLOOKUP(AI$3,'Total Material Emissions'!$C$105:$H$107,2, FALSE),0)</f>
        <v>0</v>
      </c>
      <c r="AJ8" s="159">
        <f>_xlfn.IFNA(HLOOKUP(AJ$3,'Total Material Emissions'!$C$105:$H$107,2, FALSE),0)</f>
        <v>0</v>
      </c>
      <c r="AK8" s="159">
        <f>_xlfn.IFNA(HLOOKUP(AK$3,'Total Material Emissions'!$C$105:$H$107,2, FALSE),0)</f>
        <v>0</v>
      </c>
      <c r="AL8" s="159">
        <f>_xlfn.IFNA(HLOOKUP(AL$3,'Total Material Emissions'!$C$105:$H$107,2, FALSE),0)</f>
        <v>0</v>
      </c>
      <c r="AM8" s="159">
        <f>_xlfn.IFNA(HLOOKUP(AM$3,'Total Material Emissions'!$C$105:$H$107,2, FALSE),0)</f>
        <v>2.3849999999999998</v>
      </c>
      <c r="AN8" s="160">
        <f>_xlfn.IFNA(HLOOKUP(AN$3,'Total Material Emissions'!$C$105:$H$107,2, FALSE),0)</f>
        <v>0</v>
      </c>
      <c r="AO8" s="163"/>
      <c r="AQ8" s="97" t="s">
        <v>217</v>
      </c>
      <c r="AR8" s="158">
        <f>VLOOKUP($AQ8,'Material Breakdowns'!$B$42:$Y$64,5,FALSE)</f>
        <v>0.86499999999999999</v>
      </c>
      <c r="AS8" s="159">
        <f>VLOOKUP($AQ8,'Material Breakdowns'!$B$42:$Y$64,11,FALSE)</f>
        <v>36.950000000000003</v>
      </c>
      <c r="AT8" s="172">
        <f>VLOOKUP($AQ8,'Material Breakdowns'!$B$42:$Y$64,17,FALSE)</f>
        <v>1.2500000000000001E-2</v>
      </c>
      <c r="AU8" s="163">
        <f>VLOOKUP($AQ8,'Material Breakdowns'!$B$42:$Y$64,23,FALSE)</f>
        <v>9.4149999999999998E-2</v>
      </c>
      <c r="AV8" s="136"/>
      <c r="AW8" s="129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07" t="s">
        <v>290</v>
      </c>
      <c r="BO8" s="182">
        <f>_xlfn.IFNA(HLOOKUP(BO$3,'Total Material Emissions'!$C$105:$H$107,3, FALSE),0)</f>
        <v>8.4500000000000006E-2</v>
      </c>
      <c r="BP8" s="183">
        <f>_xlfn.IFNA(HLOOKUP(BP$3,'Total Material Emissions'!$C$105:$H$107,3, FALSE),0)</f>
        <v>4.9540000000000001E-2</v>
      </c>
      <c r="BQ8" s="183">
        <f>_xlfn.IFNA(HLOOKUP(BQ$3,'Total Material Emissions'!$C$105:$H$107,3, FALSE),0)</f>
        <v>0</v>
      </c>
      <c r="BR8" s="185">
        <f>_xlfn.IFNA(HLOOKUP(BR$3,'Total Material Emissions'!$C$105:$H$107,3, FALSE),0)</f>
        <v>1.9E-3</v>
      </c>
      <c r="BS8" s="183">
        <f>_xlfn.IFNA(HLOOKUP(BS$3,'Total Material Emissions'!$C$105:$H$107,3, FALSE),0)</f>
        <v>8.9374000000000009E-2</v>
      </c>
      <c r="BT8" s="183">
        <f>_xlfn.IFNA(HLOOKUP(BT$3,'Total Material Emissions'!$C$105:$H$107,3, FALSE),0)</f>
        <v>0</v>
      </c>
      <c r="BU8" s="183">
        <f>_xlfn.IFNA(HLOOKUP(BU$3,'Total Material Emissions'!$C$105:$H$107,3, FALSE),0)</f>
        <v>0.16786000000000001</v>
      </c>
      <c r="BV8" s="183">
        <f>_xlfn.IFNA(HLOOKUP(BV$3,'Total Material Emissions'!$C$105:$H$107,3, FALSE),0)</f>
        <v>0</v>
      </c>
      <c r="BW8" s="183">
        <f>_xlfn.IFNA(HLOOKUP(BW$3,'Total Material Emissions'!$C$105:$H$107,3, FALSE),0)</f>
        <v>0</v>
      </c>
      <c r="BX8" s="183">
        <f>_xlfn.IFNA(HLOOKUP(BX$3,'Total Material Emissions'!$C$105:$H$107,3, FALSE),0)</f>
        <v>0</v>
      </c>
      <c r="BY8" s="183">
        <f>_xlfn.IFNA(HLOOKUP(BY$3,'Total Material Emissions'!$C$105:$H$107,3, FALSE),0)</f>
        <v>0</v>
      </c>
      <c r="BZ8" s="183">
        <f>_xlfn.IFNA(HLOOKUP(BZ$3,'Total Material Emissions'!$C$105:$H$107,3, FALSE),0)</f>
        <v>0</v>
      </c>
      <c r="CA8" s="183">
        <f>_xlfn.IFNA(HLOOKUP(CA$3,'Total Material Emissions'!$C$105:$H$107,3, FALSE),0)</f>
        <v>0</v>
      </c>
      <c r="CB8" s="183">
        <f>_xlfn.IFNA(HLOOKUP(CB$3,'Total Material Emissions'!$C$105:$H$107,3, FALSE),0)</f>
        <v>0</v>
      </c>
      <c r="CC8" s="183">
        <f>_xlfn.IFNA(HLOOKUP(CC$3,'Total Material Emissions'!$C$105:$H$107,3, FALSE),0)</f>
        <v>0</v>
      </c>
      <c r="CD8" s="183">
        <f>_xlfn.IFNA(HLOOKUP(CD$3,'Total Material Emissions'!$C$105:$H$107,3, FALSE),0)</f>
        <v>0</v>
      </c>
      <c r="CE8" s="183">
        <f>_xlfn.IFNA(HLOOKUP(CE$3,'Total Material Emissions'!$C$105:$H$107,3, FALSE),0)</f>
        <v>0</v>
      </c>
      <c r="CF8" s="183">
        <f>_xlfn.IFNA(HLOOKUP(CF$3,'Total Material Emissions'!$C$105:$H$107,3, FALSE),0)</f>
        <v>0</v>
      </c>
      <c r="CG8" s="183">
        <f>_xlfn.IFNA(HLOOKUP(CG$3,'Total Material Emissions'!$C$105:$H$107,3, FALSE),0)</f>
        <v>0</v>
      </c>
      <c r="CH8" s="183">
        <f>_xlfn.IFNA(HLOOKUP(CH$3,'Total Material Emissions'!$C$105:$H$107,3, FALSE),0)</f>
        <v>0</v>
      </c>
      <c r="CI8" s="183">
        <f>_xlfn.IFNA(HLOOKUP(CI$3,'Total Material Emissions'!$C$105:$H$107,3, FALSE),0)</f>
        <v>0.23849999999999999</v>
      </c>
      <c r="CJ8" s="183">
        <f>_xlfn.IFNA(HLOOKUP(CJ$3,'Total Material Emissions'!$C$105:$H$107,3, FALSE),0)</f>
        <v>0</v>
      </c>
      <c r="CK8" s="184"/>
      <c r="CL8" s="130"/>
      <c r="CM8" s="106" t="s">
        <v>217</v>
      </c>
      <c r="CN8" s="182">
        <f>VLOOKUP($CM8,'Material Breakdowns'!$B$42:$Y$64,6,FALSE)</f>
        <v>0.13499999999999976</v>
      </c>
      <c r="CO8" s="188">
        <f>VLOOKUP($CM8,'Material Breakdowns'!$B$42:$Y$64,12,FALSE)</f>
        <v>1.8499999999999979</v>
      </c>
      <c r="CP8" s="202">
        <f>VLOOKUP($CM8,'Material Breakdowns'!$B$42:$Y$64,18,FALSE)</f>
        <v>2.4999999999999992E-3</v>
      </c>
      <c r="CQ8" s="189">
        <f>VLOOKUP($CM8,'Material Breakdowns'!$B$42:$Y$64,24,FALSE)</f>
        <v>8.849999999999995E-3</v>
      </c>
    </row>
    <row r="9" spans="1:95" ht="22.15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03" t="s">
        <v>375</v>
      </c>
      <c r="S9" s="162">
        <f>_xlfn.IFNA(HLOOKUP(S$3,'Total Material Emissions'!$C$227:$K$232,5, FALSE),0)</f>
        <v>1.0285714285714285E-2</v>
      </c>
      <c r="T9" s="160">
        <f>_xlfn.IFNA(HLOOKUP(T$3,'Total Material Emissions'!$C$227:$K$232,5, FALSE),0)</f>
        <v>2.6122448979591835E-4</v>
      </c>
      <c r="U9" s="159">
        <f>_xlfn.IFNA(HLOOKUP(U$3,'Total Material Emissions'!$C$227:$K$232,5, FALSE),0)</f>
        <v>0</v>
      </c>
      <c r="V9" s="160">
        <f>_xlfn.IFNA(HLOOKUP(V$3,'Total Material Emissions'!$C$227:$K$232,5, FALSE),0)</f>
        <v>2.4489795918367346E-3</v>
      </c>
      <c r="W9" s="160">
        <f>_xlfn.IFNA(HLOOKUP(W$3,'Total Material Emissions'!$C$227:$K$232,5, FALSE),0)</f>
        <v>0.32914285714285713</v>
      </c>
      <c r="X9" s="159">
        <f>_xlfn.IFNA(HLOOKUP(X$3,'Total Material Emissions'!$C$227:$K$232,5, FALSE),0)</f>
        <v>0</v>
      </c>
      <c r="Y9" s="160">
        <f>_xlfn.IFNA(HLOOKUP(Y$3,'Total Material Emissions'!$C$227:$K$232,5, FALSE),0)</f>
        <v>0.58649795918367342</v>
      </c>
      <c r="Z9" s="159">
        <f>_xlfn.IFNA(HLOOKUP(Z$3,'Total Material Emissions'!$C$227:$K$232,5, FALSE),0)</f>
        <v>5.7142857142857139E-7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0</v>
      </c>
      <c r="AE9" s="159">
        <f>_xlfn.IFNA(HLOOKUP(AE$3,'Total Material Emissions'!$C$227:$K$232,5, FALSE),0)</f>
        <v>7.8367346938775515E-4</v>
      </c>
      <c r="AF9" s="159">
        <f>_xlfn.IFNA(HLOOKUP(AF$3,'Total Material Emissions'!$C$227:$K$232,5, FALSE),0)</f>
        <v>0</v>
      </c>
      <c r="AG9" s="159">
        <f>_xlfn.IFNA(HLOOKUP(AG$3,'Total Material Emissions'!$C$227:$K$232,5, FALSE),0)</f>
        <v>0</v>
      </c>
      <c r="AH9" s="159">
        <f>_xlfn.IFNA(HLOOKUP(AH$3,'Total Material Emissions'!$C$227:$K$232,5, FALSE),0)</f>
        <v>0</v>
      </c>
      <c r="AI9" s="159">
        <f>_xlfn.IFNA(HLOOKUP(AI$3,'Total Material Emissions'!$C$227:$K$232,5, FALSE),0)</f>
        <v>0</v>
      </c>
      <c r="AJ9" s="159">
        <f>_xlfn.IFNA(HLOOKUP(AJ$3,'Total Material Emissions'!$C$227:$K$232,5, FALSE),0)</f>
        <v>0</v>
      </c>
      <c r="AK9" s="159">
        <f>_xlfn.IFNA(HLOOKUP(AK$3,'Total Material Emissions'!$C$227:$K$232,5, FALSE),0)</f>
        <v>1.8448979591836734</v>
      </c>
      <c r="AL9" s="159">
        <f>_xlfn.IFNA(HLOOKUP(AL$3,'Total Material Emissions'!$C$227:$K$232,5, FALSE),0)</f>
        <v>0</v>
      </c>
      <c r="AM9" s="159">
        <f>_xlfn.IFNA(HLOOKUP(AM$3,'Total Material Emissions'!$C$227:$K$232,5, FALSE),0)</f>
        <v>1.8379102040816326</v>
      </c>
      <c r="AN9" s="160">
        <f>_xlfn.IFNA(HLOOKUP(AN$3,'Total Material Emissions'!$C$227:$K$232,5, FALSE),0)</f>
        <v>0</v>
      </c>
      <c r="AO9" s="163"/>
      <c r="AQ9" s="97" t="s">
        <v>230</v>
      </c>
      <c r="AR9" s="158">
        <f>VLOOKUP($AQ9,'Material Breakdowns'!$B$42:$Y$64,5,FALSE)</f>
        <v>1.5450000000000002</v>
      </c>
      <c r="AS9" s="159">
        <f>VLOOKUP($AQ9,'Material Breakdowns'!$B$42:$Y$64,11,FALSE)</f>
        <v>6.6749999999999998</v>
      </c>
      <c r="AT9" s="172">
        <f>VLOOKUP($AQ9,'Material Breakdowns'!$B$42:$Y$64,17,FALSE)</f>
        <v>5.0000000000000001E-4</v>
      </c>
      <c r="AU9" s="163">
        <f>VLOOKUP($AQ9,'Material Breakdowns'!$B$42:$Y$64,23,FALSE)</f>
        <v>6.1849999999999996</v>
      </c>
      <c r="AV9" s="136"/>
      <c r="AW9" s="129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03" t="s">
        <v>375</v>
      </c>
      <c r="BO9" s="186">
        <f>_xlfn.IFNA(HLOOKUP(BO$3,'Total Material Emissions'!$C$227:$K$232,6, FALSE),0)</f>
        <v>1.904614953557859E-3</v>
      </c>
      <c r="BP9" s="187">
        <f>_xlfn.IFNA(HLOOKUP(BP$3,'Total Material Emissions'!$C$227:$K$232,6, FALSE),0)</f>
        <v>4.8371173423691655E-5</v>
      </c>
      <c r="BQ9" s="188">
        <f>_xlfn.IFNA(HLOOKUP(BQ$3,'Total Material Emissions'!$C$227:$K$232,6, FALSE),0)</f>
        <v>0</v>
      </c>
      <c r="BR9" s="187">
        <f>_xlfn.IFNA(HLOOKUP(BR$3,'Total Material Emissions'!$C$227:$K$232,6, FALSE),0)</f>
        <v>4.5347975084710927E-4</v>
      </c>
      <c r="BS9" s="187">
        <f>_xlfn.IFNA(HLOOKUP(BS$3,'Total Material Emissions'!$C$227:$K$232,6, FALSE),0)</f>
        <v>6.0947678513851487E-2</v>
      </c>
      <c r="BT9" s="188">
        <f>_xlfn.IFNA(HLOOKUP(BT$3,'Total Material Emissions'!$C$227:$K$232,6, FALSE),0)</f>
        <v>0</v>
      </c>
      <c r="BU9" s="187">
        <f>_xlfn.IFNA(HLOOKUP(BU$3,'Total Material Emissions'!$C$227:$K$232,6, FALSE),0)</f>
        <v>0.10860235393120471</v>
      </c>
      <c r="BV9" s="188">
        <f>_xlfn.IFNA(HLOOKUP(BV$3,'Total Material Emissions'!$C$227:$K$232,6, FALSE),0)</f>
        <v>1.058119418643255E-7</v>
      </c>
      <c r="BW9" s="188">
        <f>_xlfn.IFNA(HLOOKUP(BW$3,'Total Material Emissions'!$C$227:$K$232,6, FALSE),0)</f>
        <v>0</v>
      </c>
      <c r="BX9" s="188">
        <f>_xlfn.IFNA(HLOOKUP(BX$3,'Total Material Emissions'!$C$227:$K$232,6, FALSE),0)</f>
        <v>0</v>
      </c>
      <c r="BY9" s="188">
        <f>_xlfn.IFNA(HLOOKUP(BY$3,'Total Material Emissions'!$C$227:$K$232,6, FALSE),0)</f>
        <v>0</v>
      </c>
      <c r="BZ9" s="188">
        <f>_xlfn.IFNA(HLOOKUP(BZ$3,'Total Material Emissions'!$C$227:$K$232,6, FALSE),0)</f>
        <v>0</v>
      </c>
      <c r="CA9" s="188">
        <f>_xlfn.IFNA(HLOOKUP(CA$3,'Total Material Emissions'!$C$227:$K$232,6, FALSE),0)</f>
        <v>1.4511352027107499E-4</v>
      </c>
      <c r="CB9" s="188">
        <f>_xlfn.IFNA(HLOOKUP(CB$3,'Total Material Emissions'!$C$227:$K$232,6, FALSE),0)</f>
        <v>0</v>
      </c>
      <c r="CC9" s="188">
        <f>_xlfn.IFNA(HLOOKUP(CC$3,'Total Material Emissions'!$C$227:$K$232,6, FALSE),0)</f>
        <v>0</v>
      </c>
      <c r="CD9" s="188">
        <f>_xlfn.IFNA(HLOOKUP(CD$3,'Total Material Emissions'!$C$227:$K$232,6, FALSE),0)</f>
        <v>0</v>
      </c>
      <c r="CE9" s="188">
        <f>_xlfn.IFNA(HLOOKUP(CE$3,'Total Material Emissions'!$C$227:$K$232,6, FALSE),0)</f>
        <v>0</v>
      </c>
      <c r="CF9" s="188">
        <f>_xlfn.IFNA(HLOOKUP(CF$3,'Total Material Emissions'!$C$227:$K$232,6, FALSE),0)</f>
        <v>0</v>
      </c>
      <c r="CG9" s="188">
        <f>_xlfn.IFNA(HLOOKUP(CG$3,'Total Material Emissions'!$C$227:$K$232,6, FALSE),0)</f>
        <v>0.34162141230482235</v>
      </c>
      <c r="CH9" s="188">
        <f>_xlfn.IFNA(HLOOKUP(CH$3,'Total Material Emissions'!$C$227:$K$232,6, FALSE),0)</f>
        <v>0</v>
      </c>
      <c r="CI9" s="188">
        <f>_xlfn.IFNA(HLOOKUP(CI$3,'Total Material Emissions'!$C$227:$K$232,6, FALSE),0)</f>
        <v>0.3403274834157386</v>
      </c>
      <c r="CJ9" s="187">
        <f>_xlfn.IFNA(HLOOKUP(CJ$3,'Total Material Emissions'!$C$227:$K$232,6, FALSE),0)</f>
        <v>0</v>
      </c>
      <c r="CK9" s="189"/>
      <c r="CL9" s="130"/>
      <c r="CM9" s="106" t="s">
        <v>230</v>
      </c>
      <c r="CN9" s="182">
        <f>VLOOKUP($CM9,'Material Breakdowns'!$B$42:$Y$64,6,FALSE)</f>
        <v>0.88499999999999979</v>
      </c>
      <c r="CO9" s="188">
        <f>VLOOKUP($CM9,'Material Breakdowns'!$B$42:$Y$64,12,FALSE)</f>
        <v>0.33499999999999991</v>
      </c>
      <c r="CP9" s="202">
        <f>VLOOKUP($CM9,'Material Breakdowns'!$B$42:$Y$64,18,FALSE)</f>
        <v>5.0000000000000001E-4</v>
      </c>
      <c r="CQ9" s="189">
        <f>VLOOKUP($CM9,'Material Breakdowns'!$B$42:$Y$64,24,FALSE)</f>
        <v>4.415</v>
      </c>
    </row>
    <row r="10" spans="1:95" ht="22.15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9" t="s">
        <v>383</v>
      </c>
      <c r="R10" s="119" t="s">
        <v>370</v>
      </c>
      <c r="S10" s="164">
        <f>_xlfn.IFNA(HLOOKUP(S$3,'Total Material Emissions'!$C$177:$F$185,5, FALSE),0)</f>
        <v>5.3272450532724505E-4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7.8640284119736172E-4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0.19025875190258751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</v>
      </c>
      <c r="AG10" s="165">
        <f>_xlfn.IFNA(HLOOKUP(AG$3,'Total Material Emissions'!$C$177:$F$185,5, FALSE),0)</f>
        <v>0</v>
      </c>
      <c r="AH10" s="165">
        <f>_xlfn.IFNA(HLOOKUP(AH$3,'Total Material Emissions'!$C$177:$F$185,5, FALSE),0)</f>
        <v>0</v>
      </c>
      <c r="AI10" s="165">
        <f>_xlfn.IFNA(HLOOKUP(AI$3,'Total Material Emissions'!$C$177:$F$185,5, FALSE),0)</f>
        <v>0</v>
      </c>
      <c r="AJ10" s="165">
        <f>_xlfn.IFNA(HLOOKUP(AJ$3,'Total Material Emissions'!$C$177:$F$185,5, FALSE),0)</f>
        <v>0</v>
      </c>
      <c r="AK10" s="165">
        <f>_xlfn.IFNA(HLOOKUP(AK$3,'Total Material Emissions'!$C$177:$F$185,5, FALSE),0)</f>
        <v>0</v>
      </c>
      <c r="AL10" s="165">
        <f>_xlfn.IFNA(HLOOKUP(AL$3,'Total Material Emissions'!$C$177:$F$185,5, FALSE),0)</f>
        <v>0</v>
      </c>
      <c r="AM10" s="165">
        <f>_xlfn.IFNA(HLOOKUP(AM$3,'Total Material Emissions'!$C$177:$F$185,5, FALSE),0)</f>
        <v>6.3419583967529169E-2</v>
      </c>
      <c r="AN10" s="165">
        <f>_xlfn.IFNA(HLOOKUP(AN$3,'Total Material Emissions'!$C$177:$F$185,5, FALSE),0)</f>
        <v>0</v>
      </c>
      <c r="AO10" s="166"/>
      <c r="AQ10" s="97" t="s">
        <v>7</v>
      </c>
      <c r="AR10" s="158">
        <f>VLOOKUP($AQ10,'Material Breakdowns'!$B$42:$Y$64,5,FALSE)</f>
        <v>9.5150000000000012E-2</v>
      </c>
      <c r="AS10" s="159">
        <f>VLOOKUP($AQ10,'Material Breakdowns'!$B$42:$Y$64,11,FALSE)</f>
        <v>3.4</v>
      </c>
      <c r="AT10" s="172">
        <f>VLOOKUP($AQ10,'Material Breakdowns'!$B$42:$Y$64,17,FALSE)</f>
        <v>0.13750000000000001</v>
      </c>
      <c r="AU10" s="163">
        <f>VLOOKUP($AQ10,'Material Breakdowns'!$B$42:$Y$64,23,FALSE)</f>
        <v>4.2800000000000005E-2</v>
      </c>
      <c r="AV10" s="136"/>
      <c r="AW10" s="129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19" t="s">
        <v>370</v>
      </c>
      <c r="BO10" s="190">
        <f>_xlfn.IFNA(HLOOKUP(BO$3,'Total Material Emissions'!$C$177:$F$185,6, FALSE),0)</f>
        <v>7.4939946688008295E-5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1.1062563558705986E-4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0</v>
      </c>
      <c r="BU10" s="191">
        <f>_xlfn.IFNA(HLOOKUP(BU$3,'Total Material Emissions'!$C$177:$F$185,6, FALSE),0)</f>
        <v>2.6764266674288675E-2</v>
      </c>
      <c r="BV10" s="191">
        <f>_xlfn.IFNA(HLOOKUP(BV$3,'Total Material Emissions'!$C$177:$F$185,6, FALSE),0)</f>
        <v>0</v>
      </c>
      <c r="BW10" s="191">
        <f>_xlfn.IFNA(HLOOKUP(BW$3,'Total Material Emissions'!$C$177:$F$185,6, FALSE),0)</f>
        <v>0</v>
      </c>
      <c r="BX10" s="191">
        <f>_xlfn.IFNA(HLOOKUP(BX$3,'Total Material Emissions'!$C$177:$F$185,6, FALSE),0)</f>
        <v>0</v>
      </c>
      <c r="BY10" s="191">
        <f>_xlfn.IFNA(HLOOKUP(BY$3,'Total Material Emissions'!$C$177:$F$185,6, FALSE),0)</f>
        <v>0</v>
      </c>
      <c r="BZ10" s="191">
        <f>_xlfn.IFNA(HLOOKUP(BZ$3,'Total Material Emissions'!$C$177:$F$185,6, FALSE),0)</f>
        <v>0</v>
      </c>
      <c r="CA10" s="191">
        <f>_xlfn.IFNA(HLOOKUP(CA$3,'Total Material Emissions'!$C$177:$F$185,6, FALSE),0)</f>
        <v>0</v>
      </c>
      <c r="CB10" s="191">
        <f>_xlfn.IFNA(HLOOKUP(CB$3,'Total Material Emissions'!$C$177:$F$185,6, FALSE),0)</f>
        <v>0</v>
      </c>
      <c r="CC10" s="191">
        <f>_xlfn.IFNA(HLOOKUP(CC$3,'Total Material Emissions'!$C$177:$F$185,6, FALSE),0)</f>
        <v>0</v>
      </c>
      <c r="CD10" s="191">
        <f>_xlfn.IFNA(HLOOKUP(CD$3,'Total Material Emissions'!$C$177:$F$185,6, FALSE),0)</f>
        <v>0</v>
      </c>
      <c r="CE10" s="191">
        <f>_xlfn.IFNA(HLOOKUP(CE$3,'Total Material Emissions'!$C$177:$F$185,6, FALSE),0)</f>
        <v>0</v>
      </c>
      <c r="CF10" s="191">
        <f>_xlfn.IFNA(HLOOKUP(CF$3,'Total Material Emissions'!$C$177:$F$185,6, FALSE),0)</f>
        <v>0</v>
      </c>
      <c r="CG10" s="191">
        <f>_xlfn.IFNA(HLOOKUP(CG$3,'Total Material Emissions'!$C$177:$F$185,6, FALSE),0)</f>
        <v>0</v>
      </c>
      <c r="CH10" s="191">
        <f>_xlfn.IFNA(HLOOKUP(CH$3,'Total Material Emissions'!$C$177:$F$185,6, FALSE),0)</f>
        <v>0</v>
      </c>
      <c r="CI10" s="191">
        <f>_xlfn.IFNA(HLOOKUP(CI$3,'Total Material Emissions'!$C$177:$F$185,6, FALSE),0)</f>
        <v>8.9214222247628924E-3</v>
      </c>
      <c r="CJ10" s="191">
        <f>_xlfn.IFNA(HLOOKUP(CJ$3,'Total Material Emissions'!$C$177:$F$185,6, FALSE),0)</f>
        <v>0</v>
      </c>
      <c r="CK10" s="192"/>
      <c r="CL10" s="130"/>
      <c r="CM10" s="106" t="s">
        <v>7</v>
      </c>
      <c r="CN10" s="182">
        <f>VLOOKUP($CM10,'Material Breakdowns'!$B$42:$Y$64,6,FALSE)</f>
        <v>4.8499999999999993E-3</v>
      </c>
      <c r="CO10" s="188">
        <f>VLOOKUP($CM10,'Material Breakdowns'!$B$42:$Y$64,12,FALSE)</f>
        <v>0.16999999999999993</v>
      </c>
      <c r="CP10" s="202">
        <f>VLOOKUP($CM10,'Material Breakdowns'!$B$42:$Y$64,18,FALSE)</f>
        <v>1.2499999999999997E-2</v>
      </c>
      <c r="CQ10" s="189">
        <f>VLOOKUP($CM10,'Material Breakdowns'!$B$42:$Y$64,24,FALSE)</f>
        <v>8.3999999999999804E-3</v>
      </c>
    </row>
    <row r="11" spans="1:95" ht="22.15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0" t="s">
        <v>377</v>
      </c>
      <c r="S11" s="158">
        <f>_xlfn.IFNA(HLOOKUP(S$3,'Total Material Emissions'!$C$202:$F$210,5, FALSE),0)</f>
        <v>1.2244897959183673E-3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2.2000000000000002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9.5150000000000012E-2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0</v>
      </c>
      <c r="AG11" s="159">
        <f>_xlfn.IFNA(HLOOKUP(AG$3,'Total Material Emissions'!$C$202:$F$210,8, FALSE),0)</f>
        <v>0</v>
      </c>
      <c r="AH11" s="159">
        <f>_xlfn.IFNA(HLOOKUP(AH$3,'Total Material Emissions'!$C$202:$F$210,8, FALSE),0)</f>
        <v>0</v>
      </c>
      <c r="AI11" s="159">
        <f>_xlfn.IFNA(HLOOKUP(AI$3,'Total Material Emissions'!$C$202:$F$210,8, FALSE),0)</f>
        <v>0</v>
      </c>
      <c r="AJ11" s="159">
        <f>_xlfn.IFNA(HLOOKUP(AJ$3,'Total Material Emissions'!$C$202:$F$210,8, FALSE),0)</f>
        <v>0</v>
      </c>
      <c r="AK11" s="159">
        <f>_xlfn.IFNA(HLOOKUP(AK$3,'Total Material Emissions'!$C$202:$F$210,8, FALSE),0)</f>
        <v>0</v>
      </c>
      <c r="AL11" s="159">
        <f>_xlfn.IFNA(HLOOKUP(AL$3,'Total Material Emissions'!$C$202:$F$210,8, FALSE),0)</f>
        <v>0</v>
      </c>
      <c r="AM11" s="159">
        <f>_xlfn.IFNA(HLOOKUP(AM$3,'Total Material Emissions'!$C$202:$F$210,8, FALSE),0)</f>
        <v>2.46</v>
      </c>
      <c r="AN11" s="159">
        <f>_xlfn.IFNA(HLOOKUP(AN$3,'Total Material Emissions'!$C$202:$F$210,8, FALSE),0)</f>
        <v>0</v>
      </c>
      <c r="AO11" s="163"/>
      <c r="AQ11" s="97" t="s">
        <v>10</v>
      </c>
      <c r="AR11" s="158">
        <f>VLOOKUP($AQ11,'Material Breakdowns'!$B$42:$Y$64,5,FALSE)</f>
        <v>3.625</v>
      </c>
      <c r="AS11" s="159">
        <f>VLOOKUP($AQ11,'Material Breakdowns'!$B$42:$Y$64,11,FALSE)</f>
        <v>315</v>
      </c>
      <c r="AT11" s="172">
        <f>VLOOKUP($AQ11,'Material Breakdowns'!$B$42:$Y$64,17,FALSE)</f>
        <v>0.43</v>
      </c>
      <c r="AU11" s="163">
        <f>VLOOKUP($AQ11,'Material Breakdowns'!$B$42:$Y$64,23,FALSE)</f>
        <v>5.3150000000000004</v>
      </c>
      <c r="AW11" s="129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20" t="s">
        <v>377</v>
      </c>
      <c r="BO11" s="193">
        <f>_xlfn.IFNA(HLOOKUP(BO$3,'Total Material Emissions'!$C$202:$F$210,6, FALSE),0)</f>
        <v>4.3396028930618822E-4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8.6792057861237643E-4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0</v>
      </c>
      <c r="BU11" s="188">
        <f>_xlfn.IFNA(HLOOKUP(BU$3,'Total Material Emissions'!$C$202:$F$210,6, FALSE),0)</f>
        <v>0.20785540630328264</v>
      </c>
      <c r="BV11" s="188">
        <f>_xlfn.IFNA(HLOOKUP(BV$3,'Total Material Emissions'!$C$202:$F$210,6, FALSE),0)</f>
        <v>0</v>
      </c>
      <c r="BW11" s="188">
        <f>_xlfn.IFNA(HLOOKUP(BW$3,'Total Material Emissions'!$C$202:$F$210,6, FALSE),0)</f>
        <v>0</v>
      </c>
      <c r="BX11" s="188">
        <f>_xlfn.IFNA(HLOOKUP(BX$3,'Total Material Emissions'!$C$202:$F$210,6, FALSE),0)</f>
        <v>0</v>
      </c>
      <c r="BY11" s="188">
        <f>_xlfn.IFNA(HLOOKUP(BY$3,'Total Material Emissions'!$C$202:$F$210,6, FALSE),0)</f>
        <v>0</v>
      </c>
      <c r="BZ11" s="188">
        <f>_xlfn.IFNA(HLOOKUP(BZ$3,'Total Material Emissions'!$C$202:$F$210,6, FALSE),0)</f>
        <v>0</v>
      </c>
      <c r="CA11" s="188">
        <f>_xlfn.IFNA(HLOOKUP(CA$3,'Total Material Emissions'!$C$202:$F$210,6, FALSE),0)</f>
        <v>0</v>
      </c>
      <c r="CB11" s="188">
        <f>_xlfn.IFNA(HLOOKUP(CB$3,'Total Material Emissions'!$C$202:$F$210,6, FALSE),0)</f>
        <v>0</v>
      </c>
      <c r="CC11" s="188">
        <f>_xlfn.IFNA(HLOOKUP(CC$3,'Total Material Emissions'!$C$202:$F$210,6, FALSE),0)</f>
        <v>0</v>
      </c>
      <c r="CD11" s="188">
        <f>_xlfn.IFNA(HLOOKUP(CD$3,'Total Material Emissions'!$C$202:$F$210,6, FALSE),0)</f>
        <v>0</v>
      </c>
      <c r="CE11" s="188">
        <f>_xlfn.IFNA(HLOOKUP(CE$3,'Total Material Emissions'!$C$202:$F$210,6, FALSE),0)</f>
        <v>0</v>
      </c>
      <c r="CF11" s="188">
        <f>_xlfn.IFNA(HLOOKUP(CF$3,'Total Material Emissions'!$C$202:$F$210,6, FALSE),0)</f>
        <v>0</v>
      </c>
      <c r="CG11" s="188">
        <f>_xlfn.IFNA(HLOOKUP(CG$3,'Total Material Emissions'!$C$202:$F$210,6, FALSE),0)</f>
        <v>0</v>
      </c>
      <c r="CH11" s="188">
        <f>_xlfn.IFNA(HLOOKUP(CH$3,'Total Material Emissions'!$C$202:$F$210,6, FALSE),0)</f>
        <v>0</v>
      </c>
      <c r="CI11" s="188">
        <f>_xlfn.IFNA(HLOOKUP(CI$3,'Total Material Emissions'!$C$202:$F$210,6, FALSE),0)</f>
        <v>6.5985108523303596E-2</v>
      </c>
      <c r="CJ11" s="188">
        <f>_xlfn.IFNA(HLOOKUP(CJ$3,'Total Material Emissions'!$C$202:$F$210,6, FALSE),0)</f>
        <v>0</v>
      </c>
      <c r="CK11" s="189"/>
      <c r="CL11" s="130"/>
      <c r="CM11" s="106" t="s">
        <v>10</v>
      </c>
      <c r="CN11" s="182">
        <f>VLOOKUP($CM11,'Material Breakdowns'!$B$42:$Y$64,6,FALSE)</f>
        <v>0.17499999999999979</v>
      </c>
      <c r="CO11" s="188">
        <f>VLOOKUP($CM11,'Material Breakdowns'!$B$42:$Y$64,12,FALSE)</f>
        <v>15</v>
      </c>
      <c r="CP11" s="202">
        <f>VLOOKUP($CM11,'Material Breakdowns'!$B$42:$Y$64,18,FALSE)</f>
        <v>2.0000000000000018E-2</v>
      </c>
      <c r="CQ11" s="189">
        <f>VLOOKUP($CM11,'Material Breakdowns'!$B$42:$Y$64,24,FALSE)</f>
        <v>0.16500000000000004</v>
      </c>
    </row>
    <row r="12" spans="1:95" ht="22.15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0" t="s">
        <v>360</v>
      </c>
      <c r="S12" s="158">
        <f>_xlfn.IFNA(HLOOKUP(S$3,'Total Material Emissions'!$C$127:$E$132,5, FALSE),0)</f>
        <v>4.7488584474885843E-3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1.3570776255707762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</v>
      </c>
      <c r="AG12" s="159">
        <f>_xlfn.IFNA(HLOOKUP(AG$3,'Total Material Emissions'!$C$127:$E$132,5, FALSE),0)</f>
        <v>0</v>
      </c>
      <c r="AH12" s="159">
        <f>_xlfn.IFNA(HLOOKUP(AH$3,'Total Material Emissions'!$C$127:$E$132,5, FALSE),0)</f>
        <v>0</v>
      </c>
      <c r="AI12" s="159">
        <f>_xlfn.IFNA(HLOOKUP(AI$3,'Total Material Emissions'!$C$127:$E$132,5, FALSE),0)</f>
        <v>0</v>
      </c>
      <c r="AJ12" s="159">
        <f>_xlfn.IFNA(HLOOKUP(AJ$3,'Total Material Emissions'!$C$127:$E$132,5, FALSE),0)</f>
        <v>0</v>
      </c>
      <c r="AK12" s="159">
        <f>_xlfn.IFNA(HLOOKUP(AK$3,'Total Material Emissions'!$C$127:$E$132,5, FALSE),0)</f>
        <v>0</v>
      </c>
      <c r="AL12" s="159">
        <f>_xlfn.IFNA(HLOOKUP(AL$3,'Total Material Emissions'!$C$127:$E$132,5, FALSE),0)</f>
        <v>0</v>
      </c>
      <c r="AM12" s="159">
        <f>_xlfn.IFNA(HLOOKUP(AM$3,'Total Material Emissions'!$C$127:$E$132,5, FALSE),0)</f>
        <v>0.47336377473363772</v>
      </c>
      <c r="AN12" s="159">
        <f>_xlfn.IFNA(HLOOKUP(AN$3,'Total Material Emissions'!$C$127:$E$132,5, FALSE),0)</f>
        <v>0</v>
      </c>
      <c r="AO12" s="163"/>
      <c r="AQ12" s="97" t="s">
        <v>14</v>
      </c>
      <c r="AR12" s="158">
        <f>VLOOKUP($AQ12,'Material Breakdowns'!$B$42:$Y$64,5,FALSE)</f>
        <v>7.1899999999999995</v>
      </c>
      <c r="AS12" s="159">
        <f>VLOOKUP($AQ12,'Material Breakdowns'!$B$42:$Y$64,11,FALSE)</f>
        <v>28</v>
      </c>
      <c r="AT12" s="172">
        <f>VLOOKUP($AQ12,'Material Breakdowns'!$B$42:$Y$64,17,FALSE)</f>
        <v>7.4999999999999997E-3</v>
      </c>
      <c r="AU12" s="163">
        <f>VLOOKUP($AQ12,'Material Breakdowns'!$B$42:$Y$64,23,FALSE)</f>
        <v>2.21</v>
      </c>
      <c r="AV12" s="136"/>
      <c r="AW12" s="129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20" t="s">
        <v>360</v>
      </c>
      <c r="BO12" s="193">
        <f>_xlfn.IFNA(HLOOKUP(BO$3,'Total Material Emissions'!$C$127:$E$132,6, FALSE),0)</f>
        <v>1.0648226034213591E-3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</v>
      </c>
      <c r="BU12" s="188">
        <f>_xlfn.IFNA(HLOOKUP(BU$3,'Total Material Emissions'!$C$127:$E$132,6, FALSE),0)</f>
        <v>0.3042935362854115</v>
      </c>
      <c r="BV12" s="188">
        <f>_xlfn.IFNA(HLOOKUP(BV$3,'Total Material Emissions'!$C$127:$E$132,6, FALSE),0)</f>
        <v>0</v>
      </c>
      <c r="BW12" s="188">
        <f>_xlfn.IFNA(HLOOKUP(BW$3,'Total Material Emissions'!$C$127:$E$132,6, FALSE),0)</f>
        <v>0</v>
      </c>
      <c r="BX12" s="188">
        <f>_xlfn.IFNA(HLOOKUP(BX$3,'Total Material Emissions'!$C$127:$E$132,6, FALSE),0)</f>
        <v>0</v>
      </c>
      <c r="BY12" s="188">
        <f>_xlfn.IFNA(HLOOKUP(BY$3,'Total Material Emissions'!$C$127:$E$132,6, FALSE),0)</f>
        <v>0</v>
      </c>
      <c r="BZ12" s="188">
        <f>_xlfn.IFNA(HLOOKUP(BZ$3,'Total Material Emissions'!$C$127:$E$132,6, FALSE),0)</f>
        <v>0</v>
      </c>
      <c r="CA12" s="188">
        <f>_xlfn.IFNA(HLOOKUP(CA$3,'Total Material Emissions'!$C$127:$E$132,6, FALSE),0)</f>
        <v>0</v>
      </c>
      <c r="CB12" s="188">
        <f>_xlfn.IFNA(HLOOKUP(CB$3,'Total Material Emissions'!$C$127:$E$132,6, FALSE),0)</f>
        <v>0</v>
      </c>
      <c r="CC12" s="188">
        <f>_xlfn.IFNA(HLOOKUP(CC$3,'Total Material Emissions'!$C$127:$E$132,6, FALSE),0)</f>
        <v>0</v>
      </c>
      <c r="CD12" s="188">
        <f>_xlfn.IFNA(HLOOKUP(CD$3,'Total Material Emissions'!$C$127:$E$132,6, FALSE),0)</f>
        <v>0</v>
      </c>
      <c r="CE12" s="188">
        <f>_xlfn.IFNA(HLOOKUP(CE$3,'Total Material Emissions'!$C$127:$E$132,6, FALSE),0)</f>
        <v>0</v>
      </c>
      <c r="CF12" s="188">
        <f>_xlfn.IFNA(HLOOKUP(CF$3,'Total Material Emissions'!$C$127:$E$132,6, FALSE),0)</f>
        <v>0</v>
      </c>
      <c r="CG12" s="188">
        <f>_xlfn.IFNA(HLOOKUP(CG$3,'Total Material Emissions'!$C$127:$E$132,6, FALSE),0)</f>
        <v>0</v>
      </c>
      <c r="CH12" s="188">
        <f>_xlfn.IFNA(HLOOKUP(CH$3,'Total Material Emissions'!$C$127:$E$132,6, FALSE),0)</f>
        <v>0</v>
      </c>
      <c r="CI12" s="188">
        <f>_xlfn.IFNA(HLOOKUP(CI$3,'Total Material Emissions'!$C$127:$E$132,6, FALSE),0)</f>
        <v>0.10614097104616753</v>
      </c>
      <c r="CJ12" s="188">
        <f>_xlfn.IFNA(HLOOKUP(CJ$3,'Total Material Emissions'!$C$127:$E$132,6, FALSE),0)</f>
        <v>0</v>
      </c>
      <c r="CK12" s="189"/>
      <c r="CL12" s="130"/>
      <c r="CM12" s="106" t="s">
        <v>14</v>
      </c>
      <c r="CN12" s="182">
        <f>VLOOKUP($CM12,'Material Breakdowns'!$B$42:$Y$64,6,FALSE)</f>
        <v>0.35999999999999988</v>
      </c>
      <c r="CO12" s="188">
        <f>VLOOKUP($CM12,'Material Breakdowns'!$B$42:$Y$64,12,FALSE)</f>
        <v>1.3999999999999984</v>
      </c>
      <c r="CP12" s="202">
        <f>VLOOKUP($CM12,'Material Breakdowns'!$B$42:$Y$64,18,FALSE)</f>
        <v>2.5000000000000005E-3</v>
      </c>
      <c r="CQ12" s="189">
        <f>VLOOKUP($CM12,'Material Breakdowns'!$B$42:$Y$64,24,FALSE)</f>
        <v>0.26999999999999952</v>
      </c>
    </row>
    <row r="13" spans="1:95" ht="25.05" customHeight="1">
      <c r="B13" s="127"/>
      <c r="C13" s="127"/>
      <c r="D13" s="127"/>
      <c r="E13" s="127"/>
      <c r="F13" s="132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0" t="s">
        <v>387</v>
      </c>
      <c r="S13" s="158">
        <f>_xlfn.IFNA(HLOOKUP(S$3,'Total Material Emissions'!$AE$8:$AN$13,5, FALSE),0)</f>
        <v>1.8264840182648401E-3</v>
      </c>
      <c r="T13" s="159">
        <f>_xlfn.IFNA(HLOOKUP(T$3,'Total Material Emissions'!$AE$8:$AN$13,5, FALSE),0)</f>
        <v>0</v>
      </c>
      <c r="U13" s="159">
        <f>_xlfn.IFNA(HLOOKUP(U$3,'Total Material Emissions'!$AE$8:$AN$13,5, FALSE),0)</f>
        <v>0</v>
      </c>
      <c r="V13" s="159">
        <f>_xlfn.IFNA(HLOOKUP(V$3,'Total Material Emissions'!$AE$8:$AN$13,5, FALSE),0)</f>
        <v>0.36027397260273974</v>
      </c>
      <c r="W13" s="159">
        <f>_xlfn.IFNA(HLOOKUP(W$3,'Total Material Emissions'!$AE$8:$AN$13,5, FALSE),0)</f>
        <v>0</v>
      </c>
      <c r="X13" s="159">
        <f>_xlfn.IFNA(HLOOKUP(X$3,'Total Material Emissions'!$AE$8:$AN$13,5, FALSE),0)</f>
        <v>0</v>
      </c>
      <c r="Y13" s="159">
        <f>_xlfn.IFNA(HLOOKUP(Y$3,'Total Material Emissions'!$AE$8:$AN$13,5, FALSE),0)</f>
        <v>3.2328767123287672</v>
      </c>
      <c r="Z13" s="159">
        <f>_xlfn.IFNA(HLOOKUP(Z$3,'Total Material Emissions'!$AE$8:$AN$13,5, FALSE),0)</f>
        <v>3.8812785388127852E-2</v>
      </c>
      <c r="AA13" s="159">
        <f>_xlfn.IFNA(HLOOKUP(AA$3,'Total Material Emissions'!$AE$8:$AN$13,5, FALSE),0)</f>
        <v>8.9041095890410954E-2</v>
      </c>
      <c r="AB13" s="159">
        <f>_xlfn.IFNA(HLOOKUP(AB$3,'Total Material Emissions'!$AE$8:$AN$13,5, FALSE),0)</f>
        <v>0</v>
      </c>
      <c r="AC13" s="159">
        <f>_xlfn.IFNA(HLOOKUP(AC$3,'Total Material Emissions'!$AE$8:$AN$13,5, FALSE),0)</f>
        <v>0.17625570776255708</v>
      </c>
      <c r="AD13" s="159">
        <f>_xlfn.IFNA(HLOOKUP(AD$3,'Total Material Emissions'!$AE$8:$AN$13,5, FALSE),0)</f>
        <v>0</v>
      </c>
      <c r="AE13" s="159">
        <f>_xlfn.IFNA(HLOOKUP(AE$3,'Total Material Emissions'!$AE$8:$AN$13,5, FALSE),0)</f>
        <v>8.6757990867579911E-3</v>
      </c>
      <c r="AF13" s="159">
        <f>_xlfn.IFNA(HLOOKUP(AF$3,'Total Material Emissions'!$AE$8:$AN$13,5, FALSE),0)</f>
        <v>0</v>
      </c>
      <c r="AG13" s="159">
        <f>_xlfn.IFNA(HLOOKUP(AG$3,'Total Material Emissions'!$AE$8:$AN$13,5, FALSE),0)</f>
        <v>0</v>
      </c>
      <c r="AH13" s="159">
        <f>_xlfn.IFNA(HLOOKUP(AH$3,'Total Material Emissions'!$AE$8:$AN$13,5, FALSE),0)</f>
        <v>0</v>
      </c>
      <c r="AI13" s="159">
        <f>_xlfn.IFNA(HLOOKUP(AI$3,'Total Material Emissions'!$AE$8:$AN$13,5, FALSE),0)</f>
        <v>0</v>
      </c>
      <c r="AJ13" s="159">
        <f>_xlfn.IFNA(HLOOKUP(AJ$3,'Total Material Emissions'!$AE$8:$AN$13,5, FALSE),0)</f>
        <v>0</v>
      </c>
      <c r="AK13" s="159">
        <f>_xlfn.IFNA(HLOOKUP(AK$3,'Total Material Emissions'!$AE$8:$AN$13,5, FALSE),0)</f>
        <v>4.2831050228310499</v>
      </c>
      <c r="AL13" s="159">
        <f>_xlfn.IFNA(HLOOKUP(AL$3,'Total Material Emissions'!$AE$8:$AN$13,5, FALSE),0)</f>
        <v>0</v>
      </c>
      <c r="AM13" s="159">
        <f>_xlfn.IFNA(HLOOKUP(AM$3,'Total Material Emissions'!$AE$8:$AN$13,5, FALSE),0)</f>
        <v>1.6273972602739726</v>
      </c>
      <c r="AN13" s="159">
        <f>_xlfn.IFNA(HLOOKUP(AN$3,'Total Material Emissions'!$AE$8:$AN$13,5, FALSE),0)</f>
        <v>0</v>
      </c>
      <c r="AO13" s="163"/>
      <c r="AQ13" s="97" t="s">
        <v>111</v>
      </c>
      <c r="AR13" s="158">
        <f>VLOOKUP($AQ13,'Material Breakdowns'!$B$42:$Y$64,5,FALSE)</f>
        <v>2.105</v>
      </c>
      <c r="AS13" s="159">
        <f>VLOOKUP($AQ13,'Material Breakdowns'!$B$42:$Y$64,11,FALSE)</f>
        <v>2.8</v>
      </c>
      <c r="AT13" s="172">
        <f>VLOOKUP($AQ13,'Material Breakdowns'!$B$42:$Y$64,17,FALSE)</f>
        <v>5.0000000000000001E-4</v>
      </c>
      <c r="AU13" s="163">
        <f>VLOOKUP($AQ13,'Material Breakdowns'!$B$42:$Y$64,23,FALSE)</f>
        <v>2.0699999999999998</v>
      </c>
      <c r="AW13" s="129"/>
      <c r="AX13" s="130"/>
      <c r="AY13" s="130"/>
      <c r="AZ13" s="132"/>
      <c r="BA13" s="132"/>
      <c r="BB13" s="132"/>
      <c r="BC13" s="132"/>
      <c r="BD13" s="132"/>
      <c r="BE13" s="132"/>
      <c r="BF13" s="132"/>
      <c r="BG13" s="130"/>
      <c r="BH13" s="130"/>
      <c r="BI13" s="130"/>
      <c r="BJ13" s="130"/>
      <c r="BK13" s="130"/>
      <c r="BL13" s="130"/>
      <c r="BM13" s="130"/>
      <c r="BN13" s="120" t="s">
        <v>387</v>
      </c>
      <c r="BO13" s="193">
        <f>_xlfn.IFNA(HLOOKUP(BO$3,'Total Material Emissions'!$AE$8:$AN$13,6, FALSE),0)</f>
        <v>1.8264840182648402E-4</v>
      </c>
      <c r="BP13" s="188">
        <f>_xlfn.IFNA(HLOOKUP(BP$3,'Total Material Emissions'!$AE$8:$AN$13,6, FALSE),0)</f>
        <v>0</v>
      </c>
      <c r="BQ13" s="188">
        <f>_xlfn.IFNA(HLOOKUP(BQ$3,'Total Material Emissions'!$AE$8:$AN$13,6, FALSE),0)</f>
        <v>0</v>
      </c>
      <c r="BR13" s="188">
        <f>_xlfn.IFNA(HLOOKUP(BR$3,'Total Material Emissions'!$AE$8:$AN$13,6, FALSE),0)</f>
        <v>3.6027397260273979E-2</v>
      </c>
      <c r="BS13" s="188">
        <f>_xlfn.IFNA(HLOOKUP(BS$3,'Total Material Emissions'!$AE$8:$AN$13,6, FALSE),0)</f>
        <v>0</v>
      </c>
      <c r="BT13" s="188">
        <f>_xlfn.IFNA(HLOOKUP(BT$3,'Total Material Emissions'!$AE$8:$AN$13,6, FALSE),0)</f>
        <v>0</v>
      </c>
      <c r="BU13" s="188">
        <f>_xlfn.IFNA(HLOOKUP(BU$3,'Total Material Emissions'!$AE$8:$AN$13,6, FALSE),0)</f>
        <v>0.32328767123287672</v>
      </c>
      <c r="BV13" s="188">
        <f>_xlfn.IFNA(HLOOKUP(BV$3,'Total Material Emissions'!$AE$8:$AN$13,6, FALSE),0)</f>
        <v>3.8812785388127853E-3</v>
      </c>
      <c r="BW13" s="188">
        <f>_xlfn.IFNA(HLOOKUP(BW$3,'Total Material Emissions'!$AE$8:$AN$13,6, FALSE),0)</f>
        <v>8.9041095890410957E-3</v>
      </c>
      <c r="BX13" s="188">
        <f>_xlfn.IFNA(HLOOKUP(BX$3,'Total Material Emissions'!$AE$8:$AN$13,6, FALSE),0)</f>
        <v>0</v>
      </c>
      <c r="BY13" s="188">
        <f>_xlfn.IFNA(HLOOKUP(BY$3,'Total Material Emissions'!$AE$8:$AN$13,6, FALSE),0)</f>
        <v>1.7625570776255709E-2</v>
      </c>
      <c r="BZ13" s="188">
        <f>_xlfn.IFNA(HLOOKUP(BZ$3,'Total Material Emissions'!$AE$8:$AN$13,6, FALSE),0)</f>
        <v>0</v>
      </c>
      <c r="CA13" s="188">
        <f>_xlfn.IFNA(HLOOKUP(CA$3,'Total Material Emissions'!$AE$8:$AN$13,6, FALSE),0)</f>
        <v>8.6757990867579915E-4</v>
      </c>
      <c r="CB13" s="188">
        <f>_xlfn.IFNA(HLOOKUP(CB$3,'Total Material Emissions'!$AE$8:$AN$13,6, FALSE),0)</f>
        <v>0</v>
      </c>
      <c r="CC13" s="188">
        <f>_xlfn.IFNA(HLOOKUP(CC$3,'Total Material Emissions'!$AE$8:$AN$13,6, FALSE),0)</f>
        <v>0</v>
      </c>
      <c r="CD13" s="188">
        <f>_xlfn.IFNA(HLOOKUP(CD$3,'Total Material Emissions'!$AE$8:$AN$13,6, FALSE),0)</f>
        <v>0</v>
      </c>
      <c r="CE13" s="188">
        <f>_xlfn.IFNA(HLOOKUP(CE$3,'Total Material Emissions'!$AE$8:$AN$13,6, FALSE),0)</f>
        <v>0</v>
      </c>
      <c r="CF13" s="188">
        <f>_xlfn.IFNA(HLOOKUP(CF$3,'Total Material Emissions'!$AE$8:$AN$13,6, FALSE),0)</f>
        <v>0</v>
      </c>
      <c r="CG13" s="188">
        <f>_xlfn.IFNA(HLOOKUP(CG$3,'Total Material Emissions'!$AE$8:$AN$13,6, FALSE),0)</f>
        <v>0.42831050228310502</v>
      </c>
      <c r="CH13" s="188">
        <f>_xlfn.IFNA(HLOOKUP(CH$3,'Total Material Emissions'!$AE$8:$AN$13,6, FALSE),0)</f>
        <v>0</v>
      </c>
      <c r="CI13" s="188">
        <f>_xlfn.IFNA(HLOOKUP(CI$3,'Total Material Emissions'!$AE$8:$AN$13,6, FALSE),0)</f>
        <v>0.16273972602739728</v>
      </c>
      <c r="CJ13" s="188">
        <f>_xlfn.IFNA(HLOOKUP(CJ$3,'Total Material Emissions'!$AE$8:$AN$13,6, FALSE),0)</f>
        <v>0</v>
      </c>
      <c r="CK13" s="189"/>
      <c r="CL13" s="130"/>
      <c r="CM13" s="106" t="s">
        <v>111</v>
      </c>
      <c r="CN13" s="182">
        <f>VLOOKUP($CM13,'Material Breakdowns'!$B$42:$Y$64,6,FALSE)</f>
        <v>0.10499999999999997</v>
      </c>
      <c r="CO13" s="188">
        <f>VLOOKUP($CM13,'Material Breakdowns'!$B$42:$Y$64,12,FALSE)</f>
        <v>0.13999999999999987</v>
      </c>
      <c r="CP13" s="202">
        <f>VLOOKUP($CM13,'Material Breakdowns'!$B$42:$Y$64,18,FALSE)</f>
        <v>5.0000000000000001E-4</v>
      </c>
      <c r="CQ13" s="189">
        <f>VLOOKUP($CM13,'Material Breakdowns'!$B$42:$Y$64,24,FALSE)</f>
        <v>9.9999999999999978E-2</v>
      </c>
    </row>
    <row r="14" spans="1:95" ht="22.15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0" t="s">
        <v>472</v>
      </c>
      <c r="S14" s="158">
        <f>_xlfn.IFNA(HLOOKUP(S$3,'Total Material Emissions'!$C$277:$E$285,5, FALSE),0)</f>
        <v>2.3066122448979591E-2</v>
      </c>
      <c r="T14" s="159">
        <f>_xlfn.IFNA(HLOOKUP(T$3,'Total Material Emissions'!$C$277:$E$285,5, FALSE),0)</f>
        <v>0</v>
      </c>
      <c r="U14" s="159">
        <f>_xlfn.IFNA(HLOOKUP(U$3,'Total Material Emissions'!$C$277:$E$285,5, FALSE),0)</f>
        <v>0</v>
      </c>
      <c r="V14" s="159">
        <f>_xlfn.IFNA(HLOOKUP(V$3,'Total Material Emissions'!$C$277:$E$285,5, FALSE),0)</f>
        <v>0</v>
      </c>
      <c r="W14" s="159">
        <f>_xlfn.IFNA(HLOOKUP(W$3,'Total Material Emissions'!$C$277:$E$285,5, FALSE),0)</f>
        <v>0</v>
      </c>
      <c r="X14" s="159">
        <f>_xlfn.IFNA(HLOOKUP(X$3,'Total Material Emissions'!$C$277:$E$285,5, FALSE),0)</f>
        <v>0</v>
      </c>
      <c r="Y14" s="159">
        <f>_xlfn.IFNA(HLOOKUP(Y$3,'Total Material Emissions'!$C$277:$E$285,5, FALSE),0)</f>
        <v>5.0684468571428569</v>
      </c>
      <c r="Z14" s="159">
        <f>_xlfn.IFNA(HLOOKUP(Z$3,'Total Material Emissions'!$C$277:$E$285,5, FALSE),0)</f>
        <v>0</v>
      </c>
      <c r="AA14" s="159">
        <f>_xlfn.IFNA(HLOOKUP(AA$3,'Total Material Emissions'!$C$277:$E$285,5, FALSE),0)</f>
        <v>0</v>
      </c>
      <c r="AB14" s="159">
        <f>_xlfn.IFNA(HLOOKUP(AB$3,'Total Material Emissions'!$C$277:$E$285,5, FALSE),0)</f>
        <v>0</v>
      </c>
      <c r="AC14" s="159">
        <f>_xlfn.IFNA(HLOOKUP(AC$3,'Total Material Emissions'!$C$277:$E$285,5, FALSE),0)</f>
        <v>0</v>
      </c>
      <c r="AD14" s="159">
        <f>_xlfn.IFNA(HLOOKUP(AD$3,'Total Material Emissions'!$C$277:$E$285,5, FALSE),0)</f>
        <v>0</v>
      </c>
      <c r="AE14" s="159">
        <f>_xlfn.IFNA(HLOOKUP(AE$3,'Total Material Emissions'!$C$277:$E$285,5, FALSE),0)</f>
        <v>0</v>
      </c>
      <c r="AF14" s="159">
        <f>_xlfn.IFNA(HLOOKUP(AF$3,'Total Material Emissions'!$C$277:$E$285,5, FALSE),0)</f>
        <v>0</v>
      </c>
      <c r="AG14" s="159">
        <f>_xlfn.IFNA(HLOOKUP(AG$3,'Total Material Emissions'!$C$277:$E$285,5, FALSE),0)</f>
        <v>0</v>
      </c>
      <c r="AH14" s="159">
        <f>_xlfn.IFNA(HLOOKUP(AH$3,'Total Material Emissions'!$C$277:$E$285,5, FALSE),0)</f>
        <v>0</v>
      </c>
      <c r="AI14" s="159">
        <f>_xlfn.IFNA(HLOOKUP(AI$3,'Total Material Emissions'!$C$277:$E$285,5, FALSE),0)</f>
        <v>0</v>
      </c>
      <c r="AJ14" s="159">
        <f>_xlfn.IFNA(HLOOKUP(AJ$3,'Total Material Emissions'!$C$277:$E$285,5, FALSE),0)</f>
        <v>0</v>
      </c>
      <c r="AK14" s="159">
        <f>_xlfn.IFNA(HLOOKUP(AK$3,'Total Material Emissions'!$C$277:$E$285,5, FALSE),0)</f>
        <v>0</v>
      </c>
      <c r="AL14" s="159">
        <f>_xlfn.IFNA(HLOOKUP(AL$3,'Total Material Emissions'!$C$277:$E$285,5, FALSE),0)</f>
        <v>0</v>
      </c>
      <c r="AM14" s="159">
        <f>_xlfn.IFNA(HLOOKUP(AM$3,'Total Material Emissions'!$C$277:$E$285,5, FALSE),0)</f>
        <v>0.72388571428571424</v>
      </c>
      <c r="AN14" s="159">
        <f>_xlfn.IFNA(HLOOKUP(AN$3,'Total Material Emissions'!$C$277:$E$285,5, FALSE),0)</f>
        <v>0</v>
      </c>
      <c r="AO14" s="163"/>
      <c r="AQ14" s="97" t="s">
        <v>255</v>
      </c>
      <c r="AR14" s="158">
        <f>VLOOKUP($AQ14,'Material Breakdowns'!$B$42:$Y$64,5,FALSE)</f>
        <v>2.9950000000000001</v>
      </c>
      <c r="AS14" s="159">
        <f>VLOOKUP($AQ14,'Material Breakdowns'!$B$42:$Y$64,11,FALSE)</f>
        <v>296</v>
      </c>
      <c r="AT14" s="172">
        <f>VLOOKUP($AQ14,'Material Breakdowns'!$B$42:$Y$64,17,FALSE)</f>
        <v>1.5E-3</v>
      </c>
      <c r="AU14" s="163">
        <f>VLOOKUP($AQ14,'Material Breakdowns'!$B$42:$Y$64,23,FALSE)</f>
        <v>17.094999999999999</v>
      </c>
      <c r="AV14" s="136"/>
      <c r="AW14" s="129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20" t="s">
        <v>472</v>
      </c>
      <c r="BO14" s="193">
        <f>_xlfn.IFNA(HLOOKUP(BO$3,'Total Material Emissions'!$C$277:$E$285,6, FALSE),0)</f>
        <v>4.2711746133119732E-3</v>
      </c>
      <c r="BP14" s="188">
        <f>_xlfn.IFNA(HLOOKUP(BP$3,'Total Material Emissions'!$C$277:$E$285,6, FALSE),0)</f>
        <v>0</v>
      </c>
      <c r="BQ14" s="188">
        <f>_xlfn.IFNA(HLOOKUP(BQ$3,'Total Material Emissions'!$C$277:$E$285,6, FALSE),0)</f>
        <v>0</v>
      </c>
      <c r="BR14" s="188">
        <f>_xlfn.IFNA(HLOOKUP(BR$3,'Total Material Emissions'!$C$277:$E$285,6, FALSE),0)</f>
        <v>0</v>
      </c>
      <c r="BS14" s="188">
        <f>_xlfn.IFNA(HLOOKUP(BS$3,'Total Material Emissions'!$C$277:$E$285,6, FALSE),0)</f>
        <v>0</v>
      </c>
      <c r="BT14" s="188">
        <f>_xlfn.IFNA(HLOOKUP(BT$3,'Total Material Emissions'!$C$277:$E$285,6, FALSE),0)</f>
        <v>0</v>
      </c>
      <c r="BU14" s="188">
        <f>_xlfn.IFNA(HLOOKUP(BU$3,'Total Material Emissions'!$C$277:$E$285,6, FALSE),0)</f>
        <v>0.93852885733324076</v>
      </c>
      <c r="BV14" s="188">
        <f>_xlfn.IFNA(HLOOKUP(BV$3,'Total Material Emissions'!$C$277:$E$285,6, FALSE),0)</f>
        <v>0</v>
      </c>
      <c r="BW14" s="188">
        <f>_xlfn.IFNA(HLOOKUP(BW$3,'Total Material Emissions'!$C$277:$E$285,6, FALSE),0)</f>
        <v>0</v>
      </c>
      <c r="BX14" s="188">
        <f>_xlfn.IFNA(HLOOKUP(BX$3,'Total Material Emissions'!$C$277:$E$285,6, FALSE),0)</f>
        <v>0</v>
      </c>
      <c r="BY14" s="188">
        <f>_xlfn.IFNA(HLOOKUP(BY$3,'Total Material Emissions'!$C$277:$E$285,6, FALSE),0)</f>
        <v>0</v>
      </c>
      <c r="BZ14" s="188">
        <f>_xlfn.IFNA(HLOOKUP(BZ$3,'Total Material Emissions'!$C$277:$E$285,6, FALSE),0)</f>
        <v>0</v>
      </c>
      <c r="CA14" s="188">
        <f>_xlfn.IFNA(HLOOKUP(CA$3,'Total Material Emissions'!$C$277:$E$285,6, FALSE),0)</f>
        <v>0</v>
      </c>
      <c r="CB14" s="188">
        <f>_xlfn.IFNA(HLOOKUP(CB$3,'Total Material Emissions'!$C$277:$E$285,6, FALSE),0)</f>
        <v>0</v>
      </c>
      <c r="CC14" s="188">
        <f>_xlfn.IFNA(HLOOKUP(CC$3,'Total Material Emissions'!$C$277:$E$285,6, FALSE),0)</f>
        <v>0</v>
      </c>
      <c r="CD14" s="188">
        <f>_xlfn.IFNA(HLOOKUP(CD$3,'Total Material Emissions'!$C$277:$E$285,6, FALSE),0)</f>
        <v>0</v>
      </c>
      <c r="CE14" s="188">
        <f>_xlfn.IFNA(HLOOKUP(CE$3,'Total Material Emissions'!$C$277:$E$285,6, FALSE),0)</f>
        <v>0</v>
      </c>
      <c r="CF14" s="188">
        <f>_xlfn.IFNA(HLOOKUP(CF$3,'Total Material Emissions'!$C$277:$E$285,6, FALSE),0)</f>
        <v>0</v>
      </c>
      <c r="CG14" s="188">
        <f>_xlfn.IFNA(HLOOKUP(CG$3,'Total Material Emissions'!$C$277:$E$285,6, FALSE),0)</f>
        <v>0</v>
      </c>
      <c r="CH14" s="188">
        <f>_xlfn.IFNA(HLOOKUP(CH$3,'Total Material Emissions'!$C$277:$E$285,6, FALSE),0)</f>
        <v>0</v>
      </c>
      <c r="CI14" s="188">
        <f>_xlfn.IFNA(HLOOKUP(CI$3,'Total Material Emissions'!$C$277:$E$285,6, FALSE),0)</f>
        <v>0.13404256795372754</v>
      </c>
      <c r="CJ14" s="188">
        <f>_xlfn.IFNA(HLOOKUP(CJ$3,'Total Material Emissions'!$C$277:$E$285,6, FALSE),0)</f>
        <v>0</v>
      </c>
      <c r="CK14" s="189"/>
      <c r="CL14" s="130"/>
      <c r="CM14" s="106" t="s">
        <v>255</v>
      </c>
      <c r="CN14" s="182">
        <f>VLOOKUP($CM14,'Material Breakdowns'!$B$42:$Y$64,6,FALSE)</f>
        <v>0.14500000000000002</v>
      </c>
      <c r="CO14" s="188">
        <f>VLOOKUP($CM14,'Material Breakdowns'!$B$42:$Y$64,12,FALSE)</f>
        <v>15</v>
      </c>
      <c r="CP14" s="202">
        <f>VLOOKUP($CM14,'Material Breakdowns'!$B$42:$Y$64,18,FALSE)</f>
        <v>5.0000000000000001E-4</v>
      </c>
      <c r="CQ14" s="189">
        <f>VLOOKUP($CM14,'Material Breakdowns'!$B$42:$Y$64,24,FALSE)</f>
        <v>9.9050000000000011</v>
      </c>
    </row>
    <row r="15" spans="1:95" ht="22.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0" t="s">
        <v>467</v>
      </c>
      <c r="S15" s="158">
        <f>_xlfn.IFNA(HLOOKUP(S$3,'Total Material Emissions'!$C$252:$E$260,5, FALSE),0)</f>
        <v>2.3389999999999999E-4</v>
      </c>
      <c r="T15" s="159">
        <f>_xlfn.IFNA(HLOOKUP(T$3,'Total Material Emissions'!$C$252:$E$260,5, FALSE),0)</f>
        <v>0</v>
      </c>
      <c r="U15" s="159">
        <f>_xlfn.IFNA(HLOOKUP(U$3,'Total Material Emissions'!$C$252:$E$260,5, FALSE),0)</f>
        <v>0</v>
      </c>
      <c r="V15" s="159">
        <f>_xlfn.IFNA(HLOOKUP(V$3,'Total Material Emissions'!$C$252:$E$260,5, FALSE),0)</f>
        <v>0</v>
      </c>
      <c r="W15" s="159">
        <f>_xlfn.IFNA(HLOOKUP(W$3,'Total Material Emissions'!$C$252:$E$260,5, FALSE),0)</f>
        <v>0</v>
      </c>
      <c r="X15" s="159">
        <f>_xlfn.IFNA(HLOOKUP(X$3,'Total Material Emissions'!$C$252:$E$260,5, FALSE),0)</f>
        <v>0</v>
      </c>
      <c r="Y15" s="159">
        <f>_xlfn.IFNA(HLOOKUP(Y$3,'Total Material Emissions'!$C$252:$E$260,5, FALSE),0)</f>
        <v>1.4321999999999999</v>
      </c>
      <c r="Z15" s="159">
        <f>_xlfn.IFNA(HLOOKUP(Z$3,'Total Material Emissions'!$C$252:$E$260,5, FALSE),0)</f>
        <v>0</v>
      </c>
      <c r="AA15" s="159">
        <f>_xlfn.IFNA(HLOOKUP(AA$3,'Total Material Emissions'!$C$252:$E$260,5, FALSE),0)</f>
        <v>0</v>
      </c>
      <c r="AB15" s="159">
        <f>_xlfn.IFNA(HLOOKUP(AB$3,'Total Material Emissions'!$C$252:$E$260,5, FALSE),0)</f>
        <v>0</v>
      </c>
      <c r="AC15" s="159">
        <f>_xlfn.IFNA(HLOOKUP(AC$3,'Total Material Emissions'!$C$252:$E$260,5, FALSE),0)</f>
        <v>0</v>
      </c>
      <c r="AD15" s="159">
        <f>_xlfn.IFNA(HLOOKUP(AD$3,'Total Material Emissions'!$C$252:$E$260,5, FALSE),0)</f>
        <v>0</v>
      </c>
      <c r="AE15" s="159">
        <f>_xlfn.IFNA(HLOOKUP(AE$3,'Total Material Emissions'!$C$252:$E$260,5, FALSE),0)</f>
        <v>0</v>
      </c>
      <c r="AF15" s="159">
        <f>_xlfn.IFNA(HLOOKUP(AF$3,'Total Material Emissions'!$C$252:$E$260,5, FALSE),0)</f>
        <v>0</v>
      </c>
      <c r="AG15" s="159">
        <f>_xlfn.IFNA(HLOOKUP(AG$3,'Total Material Emissions'!$C$252:$E$260,5, FALSE),0)</f>
        <v>0</v>
      </c>
      <c r="AH15" s="159">
        <f>_xlfn.IFNA(HLOOKUP(AH$3,'Total Material Emissions'!$C$252:$E$260,5, FALSE),0)</f>
        <v>0</v>
      </c>
      <c r="AI15" s="159">
        <f>_xlfn.IFNA(HLOOKUP(AI$3,'Total Material Emissions'!$C$252:$E$260,5, FALSE),0)</f>
        <v>0</v>
      </c>
      <c r="AJ15" s="159">
        <f>_xlfn.IFNA(HLOOKUP(AJ$3,'Total Material Emissions'!$C$252:$E$260,5, FALSE),0)</f>
        <v>0</v>
      </c>
      <c r="AK15" s="159">
        <f>_xlfn.IFNA(HLOOKUP(AK$3,'Total Material Emissions'!$C$252:$E$260,5, FALSE),0)</f>
        <v>0</v>
      </c>
      <c r="AL15" s="159">
        <f>_xlfn.IFNA(HLOOKUP(AL$3,'Total Material Emissions'!$C$252:$E$260,5, FALSE),0)</f>
        <v>0</v>
      </c>
      <c r="AM15" s="159">
        <f>_xlfn.IFNA(HLOOKUP(AM$3,'Total Material Emissions'!$C$252:$E$260,5, FALSE),0)</f>
        <v>7.3039999999999994E-2</v>
      </c>
      <c r="AN15" s="159">
        <f>_xlfn.IFNA(HLOOKUP(AN$3,'Total Material Emissions'!$C$252:$E$260,5, FALSE),0)</f>
        <v>0</v>
      </c>
      <c r="AO15" s="163"/>
      <c r="AQ15" s="97" t="s">
        <v>32</v>
      </c>
      <c r="AR15" s="158">
        <f>VLOOKUP($AQ15,'Material Breakdowns'!$B$42:$Y$64,5,FALSE)</f>
        <v>0.79</v>
      </c>
      <c r="AS15" s="159">
        <f>VLOOKUP($AQ15,'Material Breakdowns'!$B$42:$Y$64,11,FALSE)</f>
        <v>14.35</v>
      </c>
      <c r="AT15" s="172">
        <f>VLOOKUP($AQ15,'Material Breakdowns'!$B$42:$Y$64,17,FALSE)</f>
        <v>0.24</v>
      </c>
      <c r="AU15" s="163">
        <f>VLOOKUP($AQ15,'Material Breakdowns'!$B$42:$Y$64,23,FALSE)</f>
        <v>1.27</v>
      </c>
      <c r="AW15" s="129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30"/>
      <c r="BN15" s="120" t="s">
        <v>467</v>
      </c>
      <c r="BO15" s="193">
        <f>_xlfn.IFNA(HLOOKUP(BO$3,'Total Material Emissions'!$C$252:$E$260,6, FALSE),0)</f>
        <v>2.3390000000000001E-5</v>
      </c>
      <c r="BP15" s="188">
        <f>_xlfn.IFNA(HLOOKUP(BP$3,'Total Material Emissions'!$C$252:$E$260,6, FALSE),0)</f>
        <v>0</v>
      </c>
      <c r="BQ15" s="188">
        <f>_xlfn.IFNA(HLOOKUP(BQ$3,'Total Material Emissions'!$C$252:$E$260,6, FALSE),0)</f>
        <v>0</v>
      </c>
      <c r="BR15" s="188">
        <f>_xlfn.IFNA(HLOOKUP(BR$3,'Total Material Emissions'!$C$252:$E$260,6, FALSE),0)</f>
        <v>0</v>
      </c>
      <c r="BS15" s="188">
        <f>_xlfn.IFNA(HLOOKUP(BS$3,'Total Material Emissions'!$C$252:$E$260,6, FALSE),0)</f>
        <v>0</v>
      </c>
      <c r="BT15" s="188">
        <f>_xlfn.IFNA(HLOOKUP(BT$3,'Total Material Emissions'!$C$252:$E$260,6, FALSE),0)</f>
        <v>0</v>
      </c>
      <c r="BU15" s="188">
        <f>_xlfn.IFNA(HLOOKUP(BU$3,'Total Material Emissions'!$C$252:$E$260,6, FALSE),0)</f>
        <v>0.14321999999999999</v>
      </c>
      <c r="BV15" s="188">
        <f>_xlfn.IFNA(HLOOKUP(BV$3,'Total Material Emissions'!$C$252:$E$260,6, FALSE),0)</f>
        <v>0</v>
      </c>
      <c r="BW15" s="188">
        <f>_xlfn.IFNA(HLOOKUP(BW$3,'Total Material Emissions'!$C$252:$E$260,6, FALSE),0)</f>
        <v>0</v>
      </c>
      <c r="BX15" s="188">
        <f>_xlfn.IFNA(HLOOKUP(BX$3,'Total Material Emissions'!$C$252:$E$260,6, FALSE),0)</f>
        <v>0</v>
      </c>
      <c r="BY15" s="188">
        <f>_xlfn.IFNA(HLOOKUP(BY$3,'Total Material Emissions'!$C$252:$E$260,6, FALSE),0)</f>
        <v>0</v>
      </c>
      <c r="BZ15" s="188">
        <f>_xlfn.IFNA(HLOOKUP(BZ$3,'Total Material Emissions'!$C$252:$E$260,6, FALSE),0)</f>
        <v>0</v>
      </c>
      <c r="CA15" s="188">
        <f>_xlfn.IFNA(HLOOKUP(CA$3,'Total Material Emissions'!$C$252:$E$260,6, FALSE),0)</f>
        <v>0</v>
      </c>
      <c r="CB15" s="188">
        <f>_xlfn.IFNA(HLOOKUP(CB$3,'Total Material Emissions'!$C$252:$E$260,6, FALSE),0)</f>
        <v>0</v>
      </c>
      <c r="CC15" s="188">
        <f>_xlfn.IFNA(HLOOKUP(CC$3,'Total Material Emissions'!$C$252:$E$260,6, FALSE),0)</f>
        <v>0</v>
      </c>
      <c r="CD15" s="188">
        <f>_xlfn.IFNA(HLOOKUP(CD$3,'Total Material Emissions'!$C$252:$E$260,6, FALSE),0)</f>
        <v>0</v>
      </c>
      <c r="CE15" s="188">
        <f>_xlfn.IFNA(HLOOKUP(CE$3,'Total Material Emissions'!$C$252:$E$260,6, FALSE),0)</f>
        <v>0</v>
      </c>
      <c r="CF15" s="188">
        <f>_xlfn.IFNA(HLOOKUP(CF$3,'Total Material Emissions'!$C$252:$E$260,6, FALSE),0)</f>
        <v>0</v>
      </c>
      <c r="CG15" s="188">
        <f>_xlfn.IFNA(HLOOKUP(CG$3,'Total Material Emissions'!$C$252:$E$260,6, FALSE),0)</f>
        <v>0</v>
      </c>
      <c r="CH15" s="188">
        <f>_xlfn.IFNA(HLOOKUP(CH$3,'Total Material Emissions'!$C$252:$E$260,6, FALSE),0)</f>
        <v>0</v>
      </c>
      <c r="CI15" s="188">
        <f>_xlfn.IFNA(HLOOKUP(CI$3,'Total Material Emissions'!$C$252:$E$260,6, FALSE),0)</f>
        <v>7.3039999999999997E-3</v>
      </c>
      <c r="CJ15" s="188">
        <f>_xlfn.IFNA(HLOOKUP(CJ$3,'Total Material Emissions'!$C$252:$E$260,6, FALSE),0)</f>
        <v>0</v>
      </c>
      <c r="CK15" s="189"/>
      <c r="CL15" s="130"/>
      <c r="CM15" s="106" t="s">
        <v>32</v>
      </c>
      <c r="CN15" s="182">
        <f>VLOOKUP($CM15,'Material Breakdowns'!$B$42:$Y$64,6,FALSE)</f>
        <v>7.0000000000000007E-2</v>
      </c>
      <c r="CO15" s="188">
        <f>VLOOKUP($CM15,'Material Breakdowns'!$B$42:$Y$64,12,FALSE)</f>
        <v>0.74999999999999989</v>
      </c>
      <c r="CP15" s="202">
        <f>VLOOKUP($CM15,'Material Breakdowns'!$B$42:$Y$64,18,FALSE)</f>
        <v>2.0000000000000004E-2</v>
      </c>
      <c r="CQ15" s="189">
        <f>VLOOKUP($CM15,'Material Breakdowns'!$B$42:$Y$64,24,FALSE)</f>
        <v>7.0000000000000048E-2</v>
      </c>
    </row>
    <row r="16" spans="1:95" ht="22.15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0" t="s">
        <v>473</v>
      </c>
      <c r="S16" s="158">
        <f>_xlfn.IFNA(HLOOKUP(S$3,'Total Material Emissions'!$C$302:$E$310,5, FALSE),0)</f>
        <v>0</v>
      </c>
      <c r="T16" s="159">
        <f>_xlfn.IFNA(HLOOKUP(T$3,'Total Material Emissions'!$C$302:$E$310,5, FALSE),0)</f>
        <v>0</v>
      </c>
      <c r="U16" s="159">
        <f>_xlfn.IFNA(HLOOKUP(U$3,'Total Material Emissions'!$C$302:$E$310,5, FALSE),0)</f>
        <v>0</v>
      </c>
      <c r="V16" s="159">
        <f>_xlfn.IFNA(HLOOKUP(V$3,'Total Material Emissions'!$C$302:$E$310,5, FALSE),0)</f>
        <v>0</v>
      </c>
      <c r="W16" s="159">
        <f>_xlfn.IFNA(HLOOKUP(W$3,'Total Material Emissions'!$C$302:$E$310,5, FALSE),0)</f>
        <v>0</v>
      </c>
      <c r="X16" s="159">
        <f>_xlfn.IFNA(HLOOKUP(X$3,'Total Material Emissions'!$C$302:$E$310,5, FALSE),0)</f>
        <v>0</v>
      </c>
      <c r="Y16" s="159">
        <f>_xlfn.IFNA(HLOOKUP(Y$3,'Total Material Emissions'!$C$302:$E$310,5, FALSE),0)</f>
        <v>3.9290285714285711E-5</v>
      </c>
      <c r="Z16" s="159">
        <f>_xlfn.IFNA(HLOOKUP(Z$3,'Total Material Emissions'!$C$302:$E$310,5, FALSE),0)</f>
        <v>0</v>
      </c>
      <c r="AA16" s="159">
        <f>_xlfn.IFNA(HLOOKUP(AA$3,'Total Material Emissions'!$C$302:$E$310,5, FALSE),0)</f>
        <v>0</v>
      </c>
      <c r="AB16" s="159">
        <f>_xlfn.IFNA(HLOOKUP(AB$3,'Total Material Emissions'!$C$302:$E$310,5, FALSE),0)</f>
        <v>0</v>
      </c>
      <c r="AC16" s="159">
        <f>_xlfn.IFNA(HLOOKUP(AC$3,'Total Material Emissions'!$C$302:$E$310,5, FALSE),0)</f>
        <v>0</v>
      </c>
      <c r="AD16" s="159">
        <f>_xlfn.IFNA(HLOOKUP(AD$3,'Total Material Emissions'!$C$302:$E$310,5, FALSE),0)</f>
        <v>0</v>
      </c>
      <c r="AE16" s="159">
        <f>_xlfn.IFNA(HLOOKUP(AE$3,'Total Material Emissions'!$C$302:$E$310,5, FALSE),0)</f>
        <v>0</v>
      </c>
      <c r="AF16" s="159">
        <f>_xlfn.IFNA(HLOOKUP(AF$3,'Total Material Emissions'!$C$302:$E$310,5, FALSE),0)</f>
        <v>0</v>
      </c>
      <c r="AG16" s="159">
        <f>_xlfn.IFNA(HLOOKUP(AG$3,'Total Material Emissions'!$C$302:$E$310,5, FALSE),0)</f>
        <v>0</v>
      </c>
      <c r="AH16" s="159">
        <f>_xlfn.IFNA(HLOOKUP(AH$3,'Total Material Emissions'!$C$302:$E$310,5, FALSE),0)</f>
        <v>0</v>
      </c>
      <c r="AI16" s="159">
        <f>_xlfn.IFNA(HLOOKUP(AI$3,'Total Material Emissions'!$C$302:$E$310,5, FALSE),0)</f>
        <v>0</v>
      </c>
      <c r="AJ16" s="159">
        <f>_xlfn.IFNA(HLOOKUP(AJ$3,'Total Material Emissions'!$C$302:$E$310,5, FALSE),0)</f>
        <v>0</v>
      </c>
      <c r="AK16" s="159">
        <f>_xlfn.IFNA(HLOOKUP(AK$3,'Total Material Emissions'!$C$302:$E$310,5, FALSE),0)</f>
        <v>0</v>
      </c>
      <c r="AL16" s="159">
        <f>_xlfn.IFNA(HLOOKUP(AL$3,'Total Material Emissions'!$C$302:$E$310,5, FALSE),0)</f>
        <v>0</v>
      </c>
      <c r="AM16" s="159">
        <f>_xlfn.IFNA(HLOOKUP(AM$3,'Total Material Emissions'!$C$302:$E$310,5, FALSE),0)</f>
        <v>5.175510204081633E-3</v>
      </c>
      <c r="AN16" s="159">
        <f>_xlfn.IFNA(HLOOKUP(AN$3,'Total Material Emissions'!$C$302:$E$310,5, FALSE),0)</f>
        <v>0</v>
      </c>
      <c r="AO16" s="163"/>
      <c r="AQ16" s="97" t="s">
        <v>160</v>
      </c>
      <c r="AR16" s="158">
        <f>VLOOKUP($AQ16,'Material Breakdowns'!$B$42:$Y$64,5,FALSE)</f>
        <v>1.07</v>
      </c>
      <c r="AS16" s="159">
        <f>VLOOKUP($AQ16,'Material Breakdowns'!$B$42:$Y$64,11,FALSE)</f>
        <v>9.3000000000000007</v>
      </c>
      <c r="AT16" s="172">
        <f>VLOOKUP($AQ16,'Material Breakdowns'!$B$42:$Y$64,17,FALSE)</f>
        <v>0.01</v>
      </c>
      <c r="AU16" s="163">
        <f>VLOOKUP($AQ16,'Material Breakdowns'!$B$42:$Y$64,23,FALSE)</f>
        <v>0.71</v>
      </c>
      <c r="AV16" s="136"/>
      <c r="AW16" s="129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30"/>
      <c r="BN16" s="120" t="s">
        <v>473</v>
      </c>
      <c r="BO16" s="193">
        <f>_xlfn.IFNA(HLOOKUP(BO$3,'Total Material Emissions'!$C$302:$E$310,6, FALSE),0)</f>
        <v>0</v>
      </c>
      <c r="BP16" s="188">
        <f>_xlfn.IFNA(HLOOKUP(BP$3,'Total Material Emissions'!$C$302:$E$310,6, FALSE),0)</f>
        <v>0</v>
      </c>
      <c r="BQ16" s="188">
        <f>_xlfn.IFNA(HLOOKUP(BQ$3,'Total Material Emissions'!$C$302:$E$310,6, FALSE),0)</f>
        <v>0</v>
      </c>
      <c r="BR16" s="188">
        <f>_xlfn.IFNA(HLOOKUP(BR$3,'Total Material Emissions'!$C$302:$E$310,6, FALSE),0)</f>
        <v>0</v>
      </c>
      <c r="BS16" s="188">
        <f>_xlfn.IFNA(HLOOKUP(BS$3,'Total Material Emissions'!$C$302:$E$310,6, FALSE),0)</f>
        <v>0</v>
      </c>
      <c r="BT16" s="188">
        <f>_xlfn.IFNA(HLOOKUP(BT$3,'Total Material Emissions'!$C$302:$E$310,6, FALSE),0)</f>
        <v>0</v>
      </c>
      <c r="BU16" s="188">
        <f>_xlfn.IFNA(HLOOKUP(BU$3,'Total Material Emissions'!$C$302:$E$310,6, FALSE),0)</f>
        <v>7.2754174987072924E-6</v>
      </c>
      <c r="BV16" s="188">
        <f>_xlfn.IFNA(HLOOKUP(BV$3,'Total Material Emissions'!$C$302:$E$310,6, FALSE),0)</f>
        <v>0</v>
      </c>
      <c r="BW16" s="188">
        <f>_xlfn.IFNA(HLOOKUP(BW$3,'Total Material Emissions'!$C$302:$E$310,6, FALSE),0)</f>
        <v>0</v>
      </c>
      <c r="BX16" s="188">
        <f>_xlfn.IFNA(HLOOKUP(BX$3,'Total Material Emissions'!$C$302:$E$310,6, FALSE),0)</f>
        <v>0</v>
      </c>
      <c r="BY16" s="188">
        <f>_xlfn.IFNA(HLOOKUP(BY$3,'Total Material Emissions'!$C$302:$E$310,6, FALSE),0)</f>
        <v>0</v>
      </c>
      <c r="BZ16" s="188">
        <f>_xlfn.IFNA(HLOOKUP(BZ$3,'Total Material Emissions'!$C$302:$E$310,6, FALSE),0)</f>
        <v>0</v>
      </c>
      <c r="CA16" s="188">
        <f>_xlfn.IFNA(HLOOKUP(CA$3,'Total Material Emissions'!$C$302:$E$310,6, FALSE),0)</f>
        <v>0</v>
      </c>
      <c r="CB16" s="188">
        <f>_xlfn.IFNA(HLOOKUP(CB$3,'Total Material Emissions'!$C$302:$E$310,6, FALSE),0)</f>
        <v>0</v>
      </c>
      <c r="CC16" s="188">
        <f>_xlfn.IFNA(HLOOKUP(CC$3,'Total Material Emissions'!$C$302:$E$310,6, FALSE),0)</f>
        <v>0</v>
      </c>
      <c r="CD16" s="188">
        <f>_xlfn.IFNA(HLOOKUP(CD$3,'Total Material Emissions'!$C$302:$E$310,6, FALSE),0)</f>
        <v>0</v>
      </c>
      <c r="CE16" s="188">
        <f>_xlfn.IFNA(HLOOKUP(CE$3,'Total Material Emissions'!$C$302:$E$310,6, FALSE),0)</f>
        <v>0</v>
      </c>
      <c r="CF16" s="188">
        <f>_xlfn.IFNA(HLOOKUP(CF$3,'Total Material Emissions'!$C$302:$E$310,6, FALSE),0)</f>
        <v>0</v>
      </c>
      <c r="CG16" s="188">
        <f>_xlfn.IFNA(HLOOKUP(CG$3,'Total Material Emissions'!$C$302:$E$310,6, FALSE),0)</f>
        <v>0</v>
      </c>
      <c r="CH16" s="188">
        <f>_xlfn.IFNA(HLOOKUP(CH$3,'Total Material Emissions'!$C$302:$E$310,6, FALSE),0)</f>
        <v>0</v>
      </c>
      <c r="CI16" s="188">
        <f>_xlfn.IFNA(HLOOKUP(CI$3,'Total Material Emissions'!$C$302:$E$310,6, FALSE),0)</f>
        <v>9.5835387345689102E-4</v>
      </c>
      <c r="CJ16" s="188">
        <f>_xlfn.IFNA(HLOOKUP(CJ$3,'Total Material Emissions'!$C$302:$E$310,6, FALSE),0)</f>
        <v>0</v>
      </c>
      <c r="CK16" s="189"/>
      <c r="CL16" s="130"/>
      <c r="CM16" s="106" t="s">
        <v>160</v>
      </c>
      <c r="CN16" s="182">
        <f>VLOOKUP($CM16,'Material Breakdowns'!$B$42:$Y$64,6,FALSE)</f>
        <v>0.21400000000000002</v>
      </c>
      <c r="CO16" s="188">
        <f>VLOOKUP($CM16,'Material Breakdowns'!$B$42:$Y$64,12,FALSE)</f>
        <v>1.8600000000000003</v>
      </c>
      <c r="CP16" s="202">
        <f>VLOOKUP($CM16,'Material Breakdowns'!$B$42:$Y$64,18,FALSE)</f>
        <v>0.01</v>
      </c>
      <c r="CQ16" s="189">
        <f>VLOOKUP($CM16,'Material Breakdowns'!$B$42:$Y$64,24,FALSE)</f>
        <v>0.17999999999999994</v>
      </c>
    </row>
    <row r="17" spans="1:95" ht="22.15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0" t="s">
        <v>474</v>
      </c>
      <c r="S17" s="158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  <c r="AD17" s="159"/>
      <c r="AE17" s="159"/>
      <c r="AF17" s="159"/>
      <c r="AG17" s="159"/>
      <c r="AH17" s="159"/>
      <c r="AI17" s="159"/>
      <c r="AJ17" s="159"/>
      <c r="AK17" s="159"/>
      <c r="AL17" s="159"/>
      <c r="AM17" s="159"/>
      <c r="AN17" s="159"/>
      <c r="AO17" s="163"/>
      <c r="AQ17" s="97" t="s">
        <v>229</v>
      </c>
      <c r="AR17" s="158">
        <f>VLOOKUP($AQ17,'Material Breakdowns'!$B$42:$Y$64,5,FALSE)</f>
        <v>8.625</v>
      </c>
      <c r="AS17" s="159">
        <f>VLOOKUP($AQ17,'Material Breakdowns'!$B$42:$Y$64,11,FALSE)</f>
        <v>5861</v>
      </c>
      <c r="AT17" s="172">
        <f>VLOOKUP($AQ17,'Material Breakdowns'!$B$42:$Y$64,17,FALSE)</f>
        <v>0.33750000000000002</v>
      </c>
      <c r="AU17" s="163">
        <f>VLOOKUP($AQ17,'Material Breakdowns'!$B$42:$Y$64,23,FALSE)</f>
        <v>9.9849999999999994</v>
      </c>
      <c r="AV17" s="136"/>
      <c r="AW17" s="129"/>
      <c r="AX17" s="148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20" t="s">
        <v>474</v>
      </c>
      <c r="BO17" s="193"/>
      <c r="BP17" s="188"/>
      <c r="BQ17" s="188"/>
      <c r="BR17" s="188"/>
      <c r="BS17" s="188"/>
      <c r="BT17" s="188"/>
      <c r="BU17" s="188"/>
      <c r="BV17" s="188"/>
      <c r="BW17" s="188"/>
      <c r="BX17" s="188"/>
      <c r="BY17" s="188"/>
      <c r="BZ17" s="188"/>
      <c r="CA17" s="188"/>
      <c r="CB17" s="188"/>
      <c r="CC17" s="188"/>
      <c r="CD17" s="188"/>
      <c r="CE17" s="188"/>
      <c r="CF17" s="188"/>
      <c r="CG17" s="188"/>
      <c r="CH17" s="188"/>
      <c r="CI17" s="188"/>
      <c r="CJ17" s="188"/>
      <c r="CK17" s="189"/>
      <c r="CL17" s="130"/>
      <c r="CM17" s="106" t="s">
        <v>229</v>
      </c>
      <c r="CN17" s="182">
        <f>VLOOKUP($CM17,'Material Breakdowns'!$B$42:$Y$64,6,FALSE)</f>
        <v>5.1750000000000016</v>
      </c>
      <c r="CO17" s="188">
        <f>VLOOKUP($CM17,'Material Breakdowns'!$B$42:$Y$64,12,FALSE)</f>
        <v>5638.9999999999991</v>
      </c>
      <c r="CP17" s="202">
        <f>VLOOKUP($CM17,'Material Breakdowns'!$B$42:$Y$64,18,FALSE)</f>
        <v>0.27749999999999991</v>
      </c>
      <c r="CQ17" s="189">
        <f>VLOOKUP($CM17,'Material Breakdowns'!$B$42:$Y$64,24,FALSE)</f>
        <v>5.4150000000000027</v>
      </c>
    </row>
    <row r="18" spans="1:95" ht="22.15">
      <c r="A18" s="128"/>
      <c r="B18" s="128"/>
      <c r="C18" s="128"/>
      <c r="D18" s="128"/>
      <c r="E18" s="128"/>
      <c r="F18" s="128"/>
      <c r="G18" s="128"/>
      <c r="H18" s="134"/>
      <c r="I18" s="134"/>
      <c r="J18" s="128"/>
      <c r="K18" s="128"/>
      <c r="L18" s="128"/>
      <c r="M18" s="128"/>
      <c r="N18" s="128"/>
      <c r="O18" s="128"/>
      <c r="P18" s="128"/>
      <c r="Q18" s="128"/>
      <c r="R18" s="120" t="s">
        <v>569</v>
      </c>
      <c r="S18" s="30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  <c r="AN18" s="309"/>
      <c r="AO18" s="310"/>
      <c r="AQ18" s="97" t="s">
        <v>9</v>
      </c>
      <c r="AR18" s="158">
        <f>VLOOKUP($AQ18,'Material Breakdowns'!$B$42:$Y$64,5,FALSE)</f>
        <v>2.42</v>
      </c>
      <c r="AS18" s="159">
        <f>VLOOKUP($AQ18,'Material Breakdowns'!$B$42:$Y$64,11,FALSE)</f>
        <v>178.5</v>
      </c>
      <c r="AT18" s="172">
        <f>VLOOKUP($AQ18,'Material Breakdowns'!$B$42:$Y$64,17,FALSE)</f>
        <v>5.0000000000000001E-4</v>
      </c>
      <c r="AU18" s="163">
        <f>VLOOKUP($AQ18,'Material Breakdowns'!$B$42:$Y$64,23,FALSE)</f>
        <v>2.0750000000000002</v>
      </c>
      <c r="AV18" s="136"/>
      <c r="AW18" s="129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20" t="s">
        <v>569</v>
      </c>
      <c r="BO18" s="311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3"/>
      <c r="CL18" s="130"/>
      <c r="CM18" s="106" t="s">
        <v>9</v>
      </c>
      <c r="CN18" s="182">
        <f>VLOOKUP($CM18,'Material Breakdowns'!$B$42:$Y$64,6,FALSE)</f>
        <v>0.48399999999999999</v>
      </c>
      <c r="CO18" s="188">
        <f>VLOOKUP($CM18,'Material Breakdowns'!$B$42:$Y$64,12,FALSE)</f>
        <v>35.700000000000003</v>
      </c>
      <c r="CP18" s="202">
        <f>VLOOKUP($CM18,'Material Breakdowns'!$B$42:$Y$64,18,FALSE)</f>
        <v>5.0000000000000001E-4</v>
      </c>
      <c r="CQ18" s="189">
        <f>VLOOKUP($CM18,'Material Breakdowns'!$B$42:$Y$64,24,FALSE)</f>
        <v>0.5949999999999992</v>
      </c>
    </row>
    <row r="19" spans="1:95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Q19" s="97" t="s">
        <v>12</v>
      </c>
      <c r="AR19" s="158">
        <f>VLOOKUP($AQ19,'Material Breakdowns'!$B$42:$Y$64,5,FALSE)</f>
        <v>2.7149999999999999</v>
      </c>
      <c r="AS19" s="159">
        <f>VLOOKUP($AQ19,'Material Breakdowns'!$B$42:$Y$64,11,FALSE)</f>
        <v>20.8</v>
      </c>
      <c r="AT19" s="172">
        <f>VLOOKUP($AQ19,'Material Breakdowns'!$B$42:$Y$64,17,FALSE)</f>
        <v>7.4999999999999997E-3</v>
      </c>
      <c r="AU19" s="163">
        <f>VLOOKUP($AQ19,'Material Breakdowns'!$B$42:$Y$64,23,FALSE)</f>
        <v>2.8</v>
      </c>
      <c r="AW19" s="129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/>
      <c r="CL19" s="130"/>
      <c r="CM19" s="106" t="s">
        <v>12</v>
      </c>
      <c r="CN19" s="182">
        <f>VLOOKUP($CM19,'Material Breakdowns'!$B$42:$Y$64,6,FALSE)</f>
        <v>1.4999999999999902E-2</v>
      </c>
      <c r="CO19" s="188">
        <f>VLOOKUP($CM19,'Material Breakdowns'!$B$42:$Y$64,12,FALSE)</f>
        <v>1</v>
      </c>
      <c r="CP19" s="202">
        <f>VLOOKUP($CM19,'Material Breakdowns'!$B$42:$Y$64,18,FALSE)</f>
        <v>2.5000000000000005E-3</v>
      </c>
      <c r="CQ19" s="189">
        <f>VLOOKUP($CM19,'Material Breakdowns'!$B$42:$Y$64,24,FALSE)</f>
        <v>0.38000000000000239</v>
      </c>
    </row>
    <row r="20" spans="1:95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Q20" s="97" t="s">
        <v>221</v>
      </c>
      <c r="AR20" s="158">
        <f>VLOOKUP($AQ20,'Material Breakdowns'!$B$42:$Y$64,5,FALSE)</f>
        <v>2.4950000000000001</v>
      </c>
      <c r="AS20" s="159">
        <f>VLOOKUP($AQ20,'Material Breakdowns'!$B$42:$Y$64,11,FALSE)</f>
        <v>207.5</v>
      </c>
      <c r="AT20" s="172">
        <f>VLOOKUP($AQ20,'Material Breakdowns'!$B$42:$Y$64,17,FALSE)</f>
        <v>7.4999999999999997E-3</v>
      </c>
      <c r="AU20" s="163">
        <f>VLOOKUP($AQ20,'Material Breakdowns'!$B$42:$Y$64,23,FALSE)</f>
        <v>2.2000000000000002</v>
      </c>
      <c r="AV20" s="136"/>
      <c r="AW20" s="129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30"/>
      <c r="CL20" s="130"/>
      <c r="CM20" s="106" t="s">
        <v>221</v>
      </c>
      <c r="CN20" s="182">
        <f>VLOOKUP($CM20,'Material Breakdowns'!$B$42:$Y$64,6,FALSE)</f>
        <v>0.125</v>
      </c>
      <c r="CO20" s="188">
        <f>VLOOKUP($CM20,'Material Breakdowns'!$B$42:$Y$64,12,FALSE)</f>
        <v>10.499999999999998</v>
      </c>
      <c r="CP20" s="202">
        <f>VLOOKUP($CM20,'Material Breakdowns'!$B$42:$Y$64,18,FALSE)</f>
        <v>2.5000000000000005E-3</v>
      </c>
      <c r="CQ20" s="189">
        <f>VLOOKUP($CM20,'Material Breakdowns'!$B$42:$Y$64,24,FALSE)</f>
        <v>2.0000000000000018E-2</v>
      </c>
    </row>
    <row r="21" spans="1:95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Q21" s="97" t="s">
        <v>158</v>
      </c>
      <c r="AR21" s="158">
        <f>VLOOKUP($AQ21,'Material Breakdowns'!$B$42:$Y$64,5,FALSE)</f>
        <v>3.625</v>
      </c>
      <c r="AS21" s="159">
        <f>VLOOKUP($AQ21,'Material Breakdowns'!$B$42:$Y$64,11,FALSE)</f>
        <v>51.8</v>
      </c>
      <c r="AT21" s="172">
        <f>VLOOKUP($AQ21,'Material Breakdowns'!$B$42:$Y$64,17,FALSE)</f>
        <v>7.4999999999999997E-3</v>
      </c>
      <c r="AU21" s="163">
        <f>VLOOKUP($AQ21,'Material Breakdowns'!$B$42:$Y$64,23,FALSE)</f>
        <v>1.51</v>
      </c>
      <c r="AV21" s="136"/>
      <c r="AW21" s="129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30"/>
      <c r="CL21" s="130"/>
      <c r="CM21" s="106" t="s">
        <v>158</v>
      </c>
      <c r="CN21" s="182">
        <f>VLOOKUP($CM21,'Material Breakdowns'!$B$42:$Y$64,6,FALSE)</f>
        <v>0.18500000000000003</v>
      </c>
      <c r="CO21" s="188">
        <f>VLOOKUP($CM21,'Material Breakdowns'!$B$42:$Y$64,12,FALSE)</f>
        <v>2.5999999999999979</v>
      </c>
      <c r="CP21" s="202">
        <f>VLOOKUP($CM21,'Material Breakdowns'!$B$42:$Y$64,18,FALSE)</f>
        <v>2.5000000000000005E-3</v>
      </c>
      <c r="CQ21" s="189">
        <f>VLOOKUP($CM21,'Material Breakdowns'!$B$42:$Y$64,24,FALSE)</f>
        <v>9.0000000000000094E-2</v>
      </c>
    </row>
    <row r="22" spans="1:95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Q22" s="97" t="s">
        <v>326</v>
      </c>
      <c r="AR22" s="158">
        <f>VLOOKUP($AQ22,'Material Breakdowns'!$B$42:$Y$64,5,FALSE)</f>
        <v>1.585E-2</v>
      </c>
      <c r="AS22" s="159">
        <f>VLOOKUP($AQ22,'Material Breakdowns'!$B$42:$Y$64,11,FALSE)</f>
        <v>3.4</v>
      </c>
      <c r="AT22" s="172">
        <f>VLOOKUP($AQ22,'Material Breakdowns'!$B$42:$Y$64,17,FALSE)</f>
        <v>1.4999999999999999E-2</v>
      </c>
      <c r="AU22" s="163">
        <f>VLOOKUP($AQ22,'Material Breakdowns'!$B$42:$Y$64,23,FALSE)</f>
        <v>0.28305000000000002</v>
      </c>
      <c r="AV22" s="136"/>
      <c r="AW22" s="129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30"/>
      <c r="CL22" s="130"/>
      <c r="CM22" s="106" t="s">
        <v>326</v>
      </c>
      <c r="CN22" s="182">
        <f>VLOOKUP($CM22,'Material Breakdowns'!$B$42:$Y$64,6,FALSE)</f>
        <v>1.1049999999999999E-2</v>
      </c>
      <c r="CO22" s="188">
        <f>VLOOKUP($CM22,'Material Breakdowns'!$B$42:$Y$64,12,FALSE)</f>
        <v>0.16999999999999993</v>
      </c>
      <c r="CP22" s="202">
        <f>VLOOKUP($CM22,'Material Breakdowns'!$B$42:$Y$64,18,FALSE)</f>
        <v>5.000000000000001E-3</v>
      </c>
      <c r="CQ22" s="189">
        <f>VLOOKUP($CM22,'Material Breakdowns'!$B$42:$Y$64,24,FALSE)</f>
        <v>0.24794999999999998</v>
      </c>
    </row>
    <row r="23" spans="1:95">
      <c r="A23" s="128"/>
      <c r="B23" s="128"/>
      <c r="C23" s="128"/>
      <c r="D23" s="128"/>
      <c r="E23" s="128"/>
      <c r="F23" s="134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Q23" s="97" t="s">
        <v>269</v>
      </c>
      <c r="AR23" s="158">
        <f>VLOOKUP($AQ23,'Material Breakdowns'!$B$42:$Y$64,5,FALSE)</f>
        <v>5.34</v>
      </c>
      <c r="AS23" s="159">
        <f>VLOOKUP($AQ23,'Material Breakdowns'!$B$42:$Y$64,11,FALSE)</f>
        <v>24.45</v>
      </c>
      <c r="AT23" s="172">
        <f>VLOOKUP($AQ23,'Material Breakdowns'!$B$42:$Y$64,17,FALSE)</f>
        <v>5.0000000000000001E-4</v>
      </c>
      <c r="AU23" s="163">
        <f>VLOOKUP($AQ23,'Material Breakdowns'!$B$42:$Y$64,23,FALSE)</f>
        <v>102.65</v>
      </c>
      <c r="AW23" s="129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/>
      <c r="CL23" s="130"/>
      <c r="CM23" s="106" t="s">
        <v>269</v>
      </c>
      <c r="CN23" s="182">
        <f>VLOOKUP($CM23,'Material Breakdowns'!$B$42:$Y$64,6,FALSE)</f>
        <v>1.5600000000000016</v>
      </c>
      <c r="CO23" s="188">
        <f>VLOOKUP($CM23,'Material Breakdowns'!$B$42:$Y$64,12,FALSE)</f>
        <v>1.25</v>
      </c>
      <c r="CP23" s="202">
        <f>VLOOKUP($CM23,'Material Breakdowns'!$B$42:$Y$64,18,FALSE)</f>
        <v>5.0000000000000001E-4</v>
      </c>
      <c r="CQ23" s="189">
        <f>VLOOKUP($CM23,'Material Breakdowns'!$B$42:$Y$64,24,FALSE)</f>
        <v>68.34999999999998</v>
      </c>
    </row>
    <row r="24" spans="1:95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Q24" s="97" t="s">
        <v>8</v>
      </c>
      <c r="AR24" s="158">
        <f>VLOOKUP($AQ24,'Material Breakdowns'!$B$42:$Y$64,5,FALSE)</f>
        <v>2.46</v>
      </c>
      <c r="AS24" s="159">
        <f>VLOOKUP($AQ24,'Material Breakdowns'!$B$42:$Y$64,11,FALSE)</f>
        <v>48</v>
      </c>
      <c r="AT24" s="172">
        <f>VLOOKUP($AQ24,'Material Breakdowns'!$B$42:$Y$64,17,FALSE)</f>
        <v>0.42000000000000004</v>
      </c>
      <c r="AU24" s="163">
        <f>VLOOKUP($AQ24,'Material Breakdowns'!$B$42:$Y$64,23,FALSE)</f>
        <v>0.626</v>
      </c>
      <c r="AW24" s="129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30"/>
      <c r="CL24" s="130"/>
      <c r="CM24" s="106" t="s">
        <v>8</v>
      </c>
      <c r="CN24" s="182">
        <f>VLOOKUP($CM24,'Material Breakdowns'!$B$42:$Y$64,6,FALSE)</f>
        <v>0.25000000000000178</v>
      </c>
      <c r="CO24" s="188">
        <f>VLOOKUP($CM24,'Material Breakdowns'!$B$42:$Y$64,12,FALSE)</f>
        <v>4</v>
      </c>
      <c r="CP24" s="202">
        <f>VLOOKUP($CM24,'Material Breakdowns'!$B$42:$Y$64,18,FALSE)</f>
        <v>1.999999999999999E-2</v>
      </c>
      <c r="CQ24" s="189">
        <f>VLOOKUP($CM24,'Material Breakdowns'!$B$42:$Y$64,24,FALSE)</f>
        <v>4.2000000000000037E-2</v>
      </c>
    </row>
    <row r="25" spans="1:95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Q25" s="97" t="s">
        <v>228</v>
      </c>
      <c r="AR25" s="158">
        <f>VLOOKUP($AQ25,'Material Breakdowns'!$B$42:$Y$64,5,FALSE)</f>
        <v>5.665</v>
      </c>
      <c r="AS25" s="159">
        <f>VLOOKUP($AQ25,'Material Breakdowns'!$B$42:$Y$64,11,FALSE)</f>
        <v>135</v>
      </c>
      <c r="AT25" s="172">
        <f>VLOOKUP($AQ25,'Material Breakdowns'!$B$42:$Y$64,17,FALSE)</f>
        <v>0.375</v>
      </c>
      <c r="AU25" s="163">
        <f>VLOOKUP($AQ25,'Material Breakdowns'!$B$42:$Y$64,23,FALSE)</f>
        <v>2.6849999999999996</v>
      </c>
      <c r="AV25" s="136"/>
      <c r="AW25" s="129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30"/>
      <c r="CL25" s="130"/>
      <c r="CM25" s="106" t="s">
        <v>228</v>
      </c>
      <c r="CN25" s="182">
        <f>VLOOKUP($CM25,'Material Breakdowns'!$B$42:$Y$64,6,FALSE)</f>
        <v>0.48500000000000032</v>
      </c>
      <c r="CO25" s="188">
        <f>VLOOKUP($CM25,'Material Breakdowns'!$B$42:$Y$64,12,FALSE)</f>
        <v>5</v>
      </c>
      <c r="CP25" s="202">
        <f>VLOOKUP($CM25,'Material Breakdowns'!$B$42:$Y$64,18,FALSE)</f>
        <v>1.5000000000000012E-2</v>
      </c>
      <c r="CQ25" s="189">
        <f>VLOOKUP($CM25,'Material Breakdowns'!$B$42:$Y$64,24,FALSE)</f>
        <v>9.4999999999999973E-2</v>
      </c>
    </row>
    <row r="26" spans="1:95" ht="22.5" thickBot="1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35"/>
      <c r="S26" s="136"/>
      <c r="T26" s="128"/>
      <c r="U26" s="149"/>
      <c r="V26" s="150"/>
      <c r="W26" s="128"/>
      <c r="X26" s="128"/>
      <c r="Y26" s="128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Q26" s="97"/>
      <c r="AR26" s="167"/>
      <c r="AS26" s="168"/>
      <c r="AT26" s="173"/>
      <c r="AU26" s="169"/>
      <c r="AW26" s="129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06"/>
      <c r="CN26" s="194"/>
      <c r="CO26" s="203"/>
      <c r="CP26" s="204"/>
      <c r="CQ26" s="205"/>
    </row>
    <row r="27" spans="1:95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36"/>
      <c r="T27" s="136"/>
      <c r="U27" s="136"/>
      <c r="V27" s="134"/>
      <c r="W27" s="128"/>
      <c r="X27" s="128"/>
      <c r="Y27" s="128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Q27" s="127"/>
      <c r="AR27" s="127"/>
      <c r="AS27" s="127"/>
      <c r="AT27" s="127"/>
      <c r="AU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M27" s="127"/>
      <c r="CN27" s="127"/>
      <c r="CO27" s="127"/>
      <c r="CP27" s="127"/>
      <c r="CQ27" s="127"/>
    </row>
    <row r="28" spans="1:95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36"/>
      <c r="T28" s="128"/>
      <c r="U28" s="128"/>
      <c r="V28" s="128"/>
      <c r="W28" s="128"/>
      <c r="X28" s="128"/>
      <c r="Y28" s="128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Q28" s="127"/>
      <c r="AR28" s="127"/>
      <c r="AS28" s="127"/>
      <c r="AT28" s="127"/>
      <c r="AU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M28" s="127"/>
      <c r="CN28" s="127"/>
      <c r="CO28" s="127"/>
      <c r="CP28" s="127"/>
      <c r="CQ28" s="127"/>
    </row>
    <row r="29" spans="1:95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36"/>
      <c r="T29" s="128"/>
      <c r="U29" s="128"/>
      <c r="V29" s="128"/>
      <c r="W29" s="128"/>
      <c r="X29" s="128"/>
      <c r="Y29" s="128"/>
      <c r="Z29" s="127"/>
      <c r="AA29" s="127"/>
      <c r="AB29" s="127"/>
      <c r="AC29" s="127"/>
      <c r="AD29" s="127"/>
      <c r="AE29" s="127"/>
      <c r="AF29" s="127"/>
      <c r="AG29" s="127"/>
      <c r="AH29" s="127"/>
      <c r="AI29" s="137"/>
      <c r="AJ29" s="137"/>
      <c r="AK29" s="137"/>
      <c r="AL29" s="137"/>
      <c r="AM29" s="127"/>
      <c r="AN29" s="127"/>
      <c r="AO29" s="127"/>
      <c r="AQ29" s="127"/>
      <c r="AS29" s="127"/>
      <c r="AT29" s="127"/>
      <c r="AU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M29" s="127"/>
      <c r="CN29" s="127"/>
      <c r="CO29" s="127"/>
      <c r="CP29" s="127"/>
      <c r="CQ29" s="127"/>
    </row>
    <row r="30" spans="1:95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36"/>
      <c r="T30" s="128"/>
      <c r="U30" s="128"/>
      <c r="V30" s="128"/>
      <c r="W30" s="128"/>
      <c r="X30" s="128"/>
      <c r="Y30" s="128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Q30" s="127"/>
      <c r="AR30" s="127"/>
      <c r="AS30" s="127"/>
      <c r="AT30" s="127"/>
      <c r="AU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M30" s="127"/>
      <c r="CN30" s="127"/>
      <c r="CO30" s="127"/>
      <c r="CP30" s="127"/>
      <c r="CQ30" s="127"/>
    </row>
    <row r="31" spans="1:95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36"/>
      <c r="T31" s="128"/>
      <c r="U31" s="128"/>
      <c r="V31" s="128"/>
      <c r="W31" s="128"/>
      <c r="X31" s="128"/>
      <c r="Y31" s="128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Q31" s="127"/>
      <c r="AR31" s="127"/>
      <c r="AS31" s="127"/>
      <c r="AT31" s="127"/>
      <c r="AU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M31" s="127"/>
      <c r="CN31" s="127"/>
      <c r="CO31" s="127"/>
      <c r="CP31" s="127"/>
      <c r="CQ31" s="127"/>
    </row>
    <row r="32" spans="1:95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36"/>
      <c r="T32" s="128"/>
      <c r="U32" s="128"/>
      <c r="V32" s="128"/>
      <c r="W32" s="128"/>
      <c r="X32" s="128"/>
      <c r="Y32" s="128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Q32" s="127"/>
      <c r="AR32" s="127"/>
      <c r="AS32" s="127"/>
      <c r="AT32" s="127"/>
      <c r="AU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M32" s="127"/>
      <c r="CN32" s="127"/>
      <c r="CO32" s="127"/>
      <c r="CP32" s="127"/>
      <c r="CQ32" s="127"/>
    </row>
    <row r="33" spans="1:95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36"/>
      <c r="T33" s="128"/>
      <c r="U33" s="128"/>
      <c r="V33" s="128"/>
      <c r="W33" s="128"/>
      <c r="X33" s="128"/>
      <c r="Y33" s="128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Q33" s="127"/>
      <c r="AR33" s="127"/>
      <c r="AS33" s="127"/>
      <c r="AT33" s="127"/>
      <c r="AU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M33" s="127"/>
      <c r="CN33" s="127"/>
      <c r="CO33" s="127"/>
      <c r="CP33" s="127"/>
      <c r="CQ33" s="127"/>
    </row>
    <row r="34" spans="1:95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38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Q34" s="127"/>
      <c r="AR34" s="127"/>
      <c r="AS34" s="127"/>
      <c r="AT34" s="127"/>
      <c r="AU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M34" s="127"/>
      <c r="CN34" s="127"/>
      <c r="CO34" s="127"/>
      <c r="CP34" s="127"/>
      <c r="CQ34" s="127"/>
    </row>
    <row r="35" spans="1:95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38"/>
      <c r="T35" s="127"/>
      <c r="U35" s="127"/>
      <c r="V35" s="127"/>
      <c r="W35" s="127"/>
      <c r="X35" s="127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7"/>
      <c r="AQ35" s="127"/>
      <c r="AR35" s="127"/>
      <c r="AS35" s="127"/>
      <c r="AT35" s="127"/>
      <c r="AU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M35" s="127"/>
      <c r="CN35" s="127"/>
      <c r="CO35" s="127"/>
      <c r="CP35" s="127"/>
      <c r="CQ35" s="127"/>
    </row>
    <row r="36" spans="1:95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38"/>
      <c r="T36" s="127"/>
      <c r="U36" s="127"/>
      <c r="V36" s="127"/>
      <c r="W36" s="127"/>
      <c r="X36" s="127"/>
      <c r="Y36" s="128"/>
      <c r="Z36" s="139"/>
      <c r="AA36" s="139"/>
      <c r="AB36" s="139"/>
      <c r="AC36" s="139"/>
      <c r="AD36" s="139"/>
      <c r="AE36" s="139"/>
      <c r="AF36" s="140"/>
      <c r="AG36" s="139"/>
      <c r="AH36" s="139"/>
      <c r="AI36" s="139"/>
      <c r="AJ36" s="139"/>
      <c r="AK36" s="139"/>
      <c r="AL36" s="140"/>
      <c r="AM36" s="139"/>
      <c r="AN36" s="128"/>
      <c r="AO36" s="127"/>
      <c r="AQ36" s="127"/>
      <c r="AR36" s="127"/>
      <c r="AS36" s="127"/>
      <c r="AT36" s="127"/>
      <c r="AU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M36" s="127"/>
      <c r="CN36" s="127"/>
      <c r="CO36" s="127"/>
      <c r="CP36" s="127"/>
      <c r="CQ36" s="127"/>
    </row>
    <row r="37" spans="1:95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8"/>
      <c r="Z37" s="128"/>
      <c r="AA37" s="128"/>
      <c r="AB37" s="128"/>
      <c r="AC37" s="128"/>
      <c r="AD37" s="128"/>
      <c r="AE37" s="128"/>
      <c r="AF37" s="128"/>
      <c r="AG37" s="141"/>
      <c r="AH37" s="128"/>
      <c r="AI37" s="128"/>
      <c r="AJ37" s="128"/>
      <c r="AK37" s="142"/>
      <c r="AL37" s="128"/>
      <c r="AM37" s="141"/>
      <c r="AN37" s="128"/>
      <c r="AO37" s="127"/>
      <c r="AQ37" s="127"/>
      <c r="AR37" s="127"/>
      <c r="AS37" s="127"/>
      <c r="AT37" s="127"/>
      <c r="AU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M37" s="127"/>
      <c r="CN37" s="127"/>
      <c r="CO37" s="127"/>
      <c r="CP37" s="127"/>
      <c r="CQ37" s="127"/>
    </row>
    <row r="38" spans="1:95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8"/>
      <c r="Z38" s="128"/>
      <c r="AA38" s="128"/>
      <c r="AB38" s="128"/>
      <c r="AC38" s="128"/>
      <c r="AD38" s="128"/>
      <c r="AE38" s="128"/>
      <c r="AF38" s="128"/>
      <c r="AG38" s="136"/>
      <c r="AH38" s="128"/>
      <c r="AI38" s="128"/>
      <c r="AJ38" s="128"/>
      <c r="AK38" s="128"/>
      <c r="AL38" s="128"/>
      <c r="AM38" s="136"/>
      <c r="AN38" s="128"/>
      <c r="AO38" s="127"/>
      <c r="AQ38" s="127"/>
      <c r="AR38" s="127"/>
      <c r="AS38" s="127"/>
      <c r="AT38" s="127"/>
      <c r="AU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M38" s="127"/>
      <c r="CN38" s="127"/>
      <c r="CO38" s="127"/>
      <c r="CP38" s="127"/>
      <c r="CQ38" s="127"/>
    </row>
    <row r="39" spans="1:95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Q39" s="127"/>
      <c r="AR39" s="127"/>
      <c r="AS39" s="127"/>
      <c r="AT39" s="127"/>
      <c r="AU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M39" s="127"/>
      <c r="CN39" s="127"/>
      <c r="CO39" s="127"/>
      <c r="CP39" s="127"/>
      <c r="CQ39" s="127"/>
    </row>
    <row r="40" spans="1:95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Q40" s="127"/>
      <c r="AR40" s="127"/>
      <c r="AS40" s="127"/>
      <c r="AT40" s="127"/>
      <c r="AU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M40" s="127"/>
      <c r="CN40" s="127"/>
      <c r="CO40" s="127"/>
      <c r="CP40" s="127"/>
      <c r="CQ40" s="127"/>
    </row>
    <row r="41" spans="1:95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Q41" s="127"/>
      <c r="AR41" s="127"/>
      <c r="AS41" s="127"/>
      <c r="AT41" s="127"/>
      <c r="AU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M41" s="127"/>
      <c r="CN41" s="127"/>
      <c r="CO41" s="127"/>
      <c r="CP41" s="127"/>
      <c r="CQ41" s="127"/>
    </row>
    <row r="42" spans="1:95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Q42" s="127"/>
      <c r="AR42" s="127"/>
      <c r="AS42" s="127"/>
      <c r="AT42" s="127"/>
      <c r="AU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M42" s="127"/>
      <c r="CN42" s="127"/>
      <c r="CO42" s="127"/>
      <c r="CP42" s="127"/>
      <c r="CQ42" s="127"/>
    </row>
    <row r="43" spans="1:95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Q43" s="127"/>
      <c r="AR43" s="127"/>
      <c r="AS43" s="127"/>
      <c r="AT43" s="127"/>
      <c r="AU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M43" s="127"/>
      <c r="CN43" s="127"/>
      <c r="CO43" s="127"/>
      <c r="CP43" s="127"/>
      <c r="CQ43" s="127"/>
    </row>
    <row r="44" spans="1:95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Q44" s="127"/>
      <c r="AR44" s="127"/>
      <c r="AS44" s="127"/>
      <c r="AT44" s="127"/>
      <c r="AU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M44" s="127"/>
      <c r="CN44" s="127"/>
      <c r="CO44" s="127"/>
      <c r="CP44" s="127"/>
      <c r="CQ44" s="127"/>
    </row>
    <row r="45" spans="1:95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Q45" s="127"/>
      <c r="AR45" s="127"/>
      <c r="AS45" s="127"/>
      <c r="AT45" s="127"/>
      <c r="AU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J45" s="127"/>
      <c r="CK45" s="127"/>
      <c r="CM45" s="127"/>
      <c r="CN45" s="127"/>
      <c r="CO45" s="127"/>
      <c r="CP45" s="127"/>
      <c r="CQ45" s="127"/>
    </row>
    <row r="46" spans="1:95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Q46" s="127"/>
      <c r="AR46" s="127"/>
      <c r="AS46" s="127"/>
      <c r="AT46" s="127"/>
      <c r="AU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J46" s="127"/>
      <c r="CK46" s="127"/>
      <c r="CM46" s="127"/>
      <c r="CN46" s="127"/>
      <c r="CO46" s="127"/>
      <c r="CP46" s="127"/>
      <c r="CQ46" s="127"/>
    </row>
    <row r="47" spans="1:95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Q47" s="127"/>
      <c r="AR47" s="127"/>
      <c r="AS47" s="127"/>
      <c r="AT47" s="127"/>
      <c r="AU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M47" s="127"/>
      <c r="CN47" s="127"/>
      <c r="CO47" s="127"/>
      <c r="CP47" s="127"/>
      <c r="CQ47" s="127"/>
    </row>
    <row r="48" spans="1:95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Q48" s="127"/>
      <c r="AR48" s="127"/>
      <c r="AS48" s="127"/>
      <c r="AT48" s="127"/>
      <c r="AU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J48" s="127"/>
      <c r="CK48" s="127"/>
      <c r="CM48" s="127"/>
      <c r="CN48" s="127"/>
      <c r="CO48" s="127"/>
      <c r="CP48" s="127"/>
      <c r="CQ48" s="127"/>
    </row>
    <row r="49" spans="2:95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Q49" s="127"/>
      <c r="AR49" s="127"/>
      <c r="AS49" s="127"/>
      <c r="AT49" s="127"/>
      <c r="AU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J49" s="127"/>
      <c r="CK49" s="127"/>
      <c r="CM49" s="127"/>
      <c r="CN49" s="127"/>
      <c r="CO49" s="127"/>
      <c r="CP49" s="127"/>
      <c r="CQ49" s="127"/>
    </row>
    <row r="50" spans="2:95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8"/>
      <c r="Z50" s="128"/>
      <c r="AA50" s="128"/>
      <c r="AB50" s="128"/>
      <c r="AC50" s="128"/>
      <c r="AD50" s="128"/>
      <c r="AE50" s="128"/>
      <c r="AF50" s="128"/>
      <c r="AG50" s="136"/>
      <c r="AH50" s="128"/>
      <c r="AI50" s="128"/>
      <c r="AJ50" s="128"/>
      <c r="AK50" s="128"/>
      <c r="AL50" s="128"/>
      <c r="AM50" s="136"/>
      <c r="AN50" s="128"/>
      <c r="AO50" s="127"/>
      <c r="AQ50" s="127"/>
      <c r="AR50" s="127"/>
      <c r="AS50" s="127"/>
      <c r="AT50" s="127"/>
      <c r="AU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J50" s="127"/>
      <c r="CK50" s="127"/>
      <c r="CM50" s="127"/>
      <c r="CN50" s="127"/>
      <c r="CO50" s="127"/>
      <c r="CP50" s="127"/>
      <c r="CQ50" s="127"/>
    </row>
    <row r="51" spans="2:95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8"/>
      <c r="Z51" s="128"/>
      <c r="AA51" s="128"/>
      <c r="AB51" s="128"/>
      <c r="AC51" s="128"/>
      <c r="AD51" s="128"/>
      <c r="AE51" s="128"/>
      <c r="AF51" s="128"/>
      <c r="AG51" s="136"/>
      <c r="AH51" s="128"/>
      <c r="AI51" s="128"/>
      <c r="AJ51" s="128"/>
      <c r="AK51" s="128"/>
      <c r="AL51" s="128"/>
      <c r="AM51" s="136"/>
      <c r="AN51" s="128"/>
      <c r="AO51" s="127"/>
      <c r="AQ51" s="127"/>
      <c r="AR51" s="127"/>
      <c r="AS51" s="127"/>
      <c r="AT51" s="127"/>
      <c r="AU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J51" s="127"/>
      <c r="CK51" s="127"/>
      <c r="CM51" s="127"/>
      <c r="CN51" s="127"/>
      <c r="CO51" s="127"/>
      <c r="CP51" s="127"/>
      <c r="CQ51" s="127"/>
    </row>
    <row r="52" spans="2:95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8"/>
      <c r="Z52" s="128"/>
      <c r="AA52" s="128"/>
      <c r="AB52" s="128"/>
      <c r="AC52" s="128"/>
      <c r="AD52" s="128"/>
      <c r="AE52" s="128"/>
      <c r="AF52" s="128"/>
      <c r="AG52" s="136"/>
      <c r="AH52" s="128"/>
      <c r="AI52" s="128"/>
      <c r="AJ52" s="128"/>
      <c r="AK52" s="128"/>
      <c r="AL52" s="128"/>
      <c r="AM52" s="136"/>
      <c r="AN52" s="128"/>
      <c r="AO52" s="127"/>
      <c r="AQ52" s="127"/>
      <c r="AR52" s="127"/>
      <c r="AS52" s="127"/>
      <c r="AT52" s="127"/>
      <c r="AU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J52" s="127"/>
      <c r="CK52" s="127"/>
      <c r="CM52" s="127"/>
      <c r="CN52" s="127"/>
      <c r="CO52" s="127"/>
      <c r="CP52" s="127"/>
      <c r="CQ52" s="127"/>
    </row>
    <row r="53" spans="2:95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8"/>
      <c r="Z53" s="128"/>
      <c r="AA53" s="128"/>
      <c r="AB53" s="128"/>
      <c r="AC53" s="128"/>
      <c r="AD53" s="128"/>
      <c r="AE53" s="128"/>
      <c r="AF53" s="128"/>
      <c r="AG53" s="136"/>
      <c r="AH53" s="128"/>
      <c r="AI53" s="128"/>
      <c r="AJ53" s="128"/>
      <c r="AK53" s="128"/>
      <c r="AL53" s="128"/>
      <c r="AM53" s="136"/>
      <c r="AN53" s="128"/>
      <c r="AO53" s="127"/>
      <c r="AQ53" s="127"/>
      <c r="AR53" s="127"/>
      <c r="AS53" s="127"/>
      <c r="AT53" s="127"/>
      <c r="AU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M53" s="127"/>
      <c r="CN53" s="127"/>
      <c r="CO53" s="127"/>
      <c r="CP53" s="127"/>
      <c r="CQ53" s="127"/>
    </row>
    <row r="54" spans="2:95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8"/>
      <c r="Z54" s="128"/>
      <c r="AA54" s="128"/>
      <c r="AB54" s="128"/>
      <c r="AC54" s="128"/>
      <c r="AD54" s="128"/>
      <c r="AE54" s="128"/>
      <c r="AF54" s="128"/>
      <c r="AG54" s="136"/>
      <c r="AH54" s="128"/>
      <c r="AI54" s="128"/>
      <c r="AJ54" s="128"/>
      <c r="AK54" s="128"/>
      <c r="AL54" s="128"/>
      <c r="AM54" s="136"/>
      <c r="AN54" s="128"/>
      <c r="AO54" s="127"/>
      <c r="AQ54" s="127"/>
      <c r="AR54" s="127"/>
      <c r="AS54" s="127"/>
      <c r="AT54" s="127"/>
      <c r="AU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J54" s="127"/>
      <c r="CK54" s="127"/>
      <c r="CM54" s="127"/>
      <c r="CN54" s="127"/>
      <c r="CO54" s="127"/>
      <c r="CP54" s="127"/>
      <c r="CQ54" s="127"/>
    </row>
    <row r="55" spans="2:95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8"/>
      <c r="Z55" s="128"/>
      <c r="AA55" s="128"/>
      <c r="AB55" s="128"/>
      <c r="AC55" s="128"/>
      <c r="AD55" s="128"/>
      <c r="AE55" s="128"/>
      <c r="AF55" s="128"/>
      <c r="AG55" s="136"/>
      <c r="AH55" s="128"/>
      <c r="AI55" s="128"/>
      <c r="AJ55" s="128"/>
      <c r="AK55" s="128"/>
      <c r="AL55" s="128"/>
      <c r="AM55" s="136"/>
      <c r="AN55" s="128"/>
      <c r="AO55" s="127"/>
      <c r="AQ55" s="127"/>
      <c r="AR55" s="127"/>
      <c r="AS55" s="127"/>
      <c r="AT55" s="127"/>
      <c r="AU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J55" s="127"/>
      <c r="CK55" s="127"/>
      <c r="CM55" s="127"/>
      <c r="CN55" s="127"/>
      <c r="CO55" s="127"/>
      <c r="CP55" s="127"/>
      <c r="CQ55" s="127"/>
    </row>
    <row r="56" spans="2:95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8"/>
      <c r="Z56" s="128"/>
      <c r="AA56" s="128"/>
      <c r="AB56" s="128"/>
      <c r="AC56" s="128"/>
      <c r="AD56" s="128"/>
      <c r="AE56" s="128"/>
      <c r="AF56" s="128"/>
      <c r="AG56" s="136"/>
      <c r="AH56" s="128"/>
      <c r="AI56" s="128"/>
      <c r="AJ56" s="128"/>
      <c r="AK56" s="128"/>
      <c r="AL56" s="128"/>
      <c r="AM56" s="136"/>
      <c r="AN56" s="128"/>
      <c r="AO56" s="127"/>
      <c r="AQ56" s="127"/>
      <c r="AR56" s="127"/>
      <c r="AS56" s="127"/>
      <c r="AT56" s="127"/>
      <c r="AU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J56" s="127"/>
      <c r="CK56" s="127"/>
      <c r="CM56" s="127"/>
      <c r="CN56" s="127"/>
      <c r="CO56" s="127"/>
      <c r="CP56" s="127"/>
      <c r="CQ56" s="127"/>
    </row>
    <row r="57" spans="2:95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8"/>
      <c r="Z57" s="128"/>
      <c r="AA57" s="128"/>
      <c r="AB57" s="128"/>
      <c r="AC57" s="128"/>
      <c r="AD57" s="128"/>
      <c r="AE57" s="128"/>
      <c r="AF57" s="128"/>
      <c r="AG57" s="136"/>
      <c r="AH57" s="128"/>
      <c r="AI57" s="128"/>
      <c r="AJ57" s="128"/>
      <c r="AK57" s="128"/>
      <c r="AL57" s="128"/>
      <c r="AM57" s="136"/>
      <c r="AN57" s="128"/>
      <c r="AO57" s="127"/>
      <c r="AQ57" s="127"/>
      <c r="AR57" s="127"/>
      <c r="AS57" s="127"/>
      <c r="AT57" s="127"/>
      <c r="AU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J57" s="127"/>
      <c r="CK57" s="127"/>
      <c r="CM57" s="127"/>
      <c r="CN57" s="127"/>
      <c r="CO57" s="127"/>
      <c r="CP57" s="127"/>
      <c r="CQ57" s="127"/>
    </row>
    <row r="58" spans="2:95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8"/>
      <c r="Z58" s="128"/>
      <c r="AA58" s="128"/>
      <c r="AB58" s="128"/>
      <c r="AC58" s="128"/>
      <c r="AD58" s="128"/>
      <c r="AE58" s="128"/>
      <c r="AF58" s="128"/>
      <c r="AG58" s="136"/>
      <c r="AH58" s="128"/>
      <c r="AI58" s="128"/>
      <c r="AJ58" s="128"/>
      <c r="AK58" s="128"/>
      <c r="AL58" s="128"/>
      <c r="AM58" s="136"/>
      <c r="AN58" s="128"/>
      <c r="AO58" s="127"/>
      <c r="AQ58" s="127"/>
      <c r="AR58" s="127"/>
      <c r="AS58" s="127"/>
      <c r="AT58" s="127"/>
      <c r="AU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J58" s="127"/>
      <c r="CK58" s="127"/>
      <c r="CM58" s="127"/>
      <c r="CN58" s="127"/>
      <c r="CO58" s="127"/>
      <c r="CP58" s="127"/>
      <c r="CQ58" s="127"/>
    </row>
    <row r="59" spans="2:95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Q59" s="127"/>
      <c r="AR59" s="127"/>
      <c r="AS59" s="127"/>
      <c r="AT59" s="127"/>
      <c r="AU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M59" s="127"/>
      <c r="CN59" s="127"/>
      <c r="CO59" s="127"/>
      <c r="CP59" s="127"/>
      <c r="CQ59" s="127"/>
    </row>
    <row r="60" spans="2:95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Q60" s="127"/>
      <c r="AR60" s="127"/>
      <c r="AS60" s="127"/>
      <c r="AT60" s="127"/>
      <c r="AU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J60" s="127"/>
      <c r="CK60" s="127"/>
      <c r="CM60" s="127"/>
      <c r="CN60" s="127"/>
      <c r="CO60" s="127"/>
      <c r="CP60" s="127"/>
      <c r="CQ60" s="127"/>
    </row>
    <row r="61" spans="2:95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Q61" s="127"/>
      <c r="AR61" s="127"/>
      <c r="AS61" s="127"/>
      <c r="AT61" s="127"/>
      <c r="AU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J61" s="127"/>
      <c r="CK61" s="127"/>
      <c r="CM61" s="127"/>
      <c r="CN61" s="127"/>
      <c r="CO61" s="127"/>
      <c r="CP61" s="127"/>
      <c r="CQ61" s="127"/>
    </row>
    <row r="62" spans="2:95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Q62" s="127"/>
      <c r="AR62" s="127"/>
      <c r="AS62" s="127"/>
      <c r="AT62" s="127"/>
      <c r="AU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M62" s="127"/>
      <c r="CN62" s="127"/>
      <c r="CO62" s="127"/>
      <c r="CP62" s="127"/>
      <c r="CQ62" s="127"/>
    </row>
    <row r="63" spans="2:95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Q63" s="127"/>
      <c r="AR63" s="127"/>
      <c r="AS63" s="127"/>
      <c r="AT63" s="127"/>
      <c r="AU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J63" s="127"/>
      <c r="CK63" s="127"/>
      <c r="CM63" s="127"/>
      <c r="CN63" s="127"/>
      <c r="CO63" s="127"/>
      <c r="CP63" s="127"/>
      <c r="CQ63" s="127"/>
    </row>
    <row r="64" spans="2:95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Q64" s="127"/>
      <c r="AR64" s="127"/>
      <c r="AS64" s="127"/>
      <c r="AT64" s="127"/>
      <c r="AU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J64" s="127"/>
      <c r="CK64" s="127"/>
      <c r="CM64" s="127"/>
      <c r="CN64" s="127"/>
      <c r="CO64" s="127"/>
      <c r="CP64" s="127"/>
      <c r="CQ64" s="127"/>
    </row>
    <row r="65" spans="2:95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Q65" s="127"/>
      <c r="AR65" s="127"/>
      <c r="AS65" s="127"/>
      <c r="AT65" s="127"/>
      <c r="AU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M65" s="127"/>
      <c r="CN65" s="127"/>
      <c r="CO65" s="127"/>
      <c r="CP65" s="127"/>
      <c r="CQ65" s="127"/>
    </row>
    <row r="66" spans="2:95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Q66" s="127"/>
      <c r="AR66" s="127"/>
      <c r="AS66" s="127"/>
      <c r="AT66" s="127"/>
      <c r="AU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J66" s="127"/>
      <c r="CK66" s="127"/>
      <c r="CM66" s="127"/>
      <c r="CN66" s="127"/>
      <c r="CO66" s="127"/>
      <c r="CP66" s="127"/>
      <c r="CQ66" s="127"/>
    </row>
    <row r="67" spans="2:95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Q67" s="127"/>
      <c r="AR67" s="127"/>
      <c r="AS67" s="127"/>
      <c r="AT67" s="127"/>
      <c r="AU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J67" s="127"/>
      <c r="CK67" s="127"/>
      <c r="CM67" s="127"/>
      <c r="CN67" s="127"/>
      <c r="CO67" s="127"/>
      <c r="CP67" s="127"/>
      <c r="CQ67" s="127"/>
    </row>
    <row r="68" spans="2:95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Q68" s="127"/>
      <c r="AR68" s="127"/>
      <c r="AS68" s="127"/>
      <c r="AT68" s="127"/>
      <c r="AU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J68" s="127"/>
      <c r="CK68" s="127"/>
      <c r="CM68" s="127"/>
      <c r="CN68" s="127"/>
      <c r="CO68" s="127"/>
      <c r="CP68" s="127"/>
      <c r="CQ68" s="127"/>
    </row>
    <row r="69" spans="2:95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Q69" s="127"/>
      <c r="AR69" s="127"/>
      <c r="AS69" s="127"/>
      <c r="AT69" s="127"/>
      <c r="AU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J69" s="127"/>
      <c r="CK69" s="127"/>
      <c r="CM69" s="127"/>
      <c r="CN69" s="127"/>
      <c r="CO69" s="127"/>
      <c r="CP69" s="127"/>
      <c r="CQ69" s="127"/>
    </row>
    <row r="70" spans="2:95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Q70" s="127"/>
      <c r="AR70" s="127"/>
      <c r="AS70" s="127"/>
      <c r="AT70" s="127"/>
      <c r="AU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J70" s="127"/>
      <c r="CK70" s="127"/>
      <c r="CM70" s="127"/>
      <c r="CN70" s="127"/>
      <c r="CO70" s="127"/>
      <c r="CP70" s="127"/>
      <c r="CQ70" s="127"/>
    </row>
    <row r="71" spans="2:95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Q71" s="127"/>
      <c r="AR71" s="127"/>
      <c r="AS71" s="127"/>
      <c r="AT71" s="127"/>
      <c r="AU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J71" s="127"/>
      <c r="CK71" s="127"/>
      <c r="CM71" s="127"/>
      <c r="CN71" s="127"/>
      <c r="CO71" s="127"/>
      <c r="CP71" s="127"/>
      <c r="CQ71" s="127"/>
    </row>
    <row r="72" spans="2:95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Q72" s="127"/>
      <c r="AR72" s="127"/>
      <c r="AS72" s="127"/>
      <c r="AT72" s="127"/>
      <c r="AU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J72" s="127"/>
      <c r="CK72" s="127"/>
      <c r="CM72" s="127"/>
      <c r="CN72" s="127"/>
      <c r="CO72" s="127"/>
      <c r="CP72" s="127"/>
      <c r="CQ72" s="127"/>
    </row>
    <row r="73" spans="2:95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Q73" s="127"/>
      <c r="AR73" s="127"/>
      <c r="AS73" s="127"/>
      <c r="AT73" s="127"/>
      <c r="AU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J73" s="127"/>
      <c r="CK73" s="127"/>
      <c r="CM73" s="127"/>
      <c r="CN73" s="127"/>
      <c r="CO73" s="127"/>
      <c r="CP73" s="127"/>
      <c r="CQ73" s="127"/>
    </row>
    <row r="74" spans="2:95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Q74" s="127"/>
      <c r="AR74" s="127"/>
      <c r="AS74" s="127"/>
      <c r="AT74" s="127"/>
      <c r="AU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M74" s="127"/>
      <c r="CN74" s="127"/>
      <c r="CO74" s="127"/>
      <c r="CP74" s="127"/>
      <c r="CQ74" s="127"/>
    </row>
    <row r="75" spans="2:95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Q75" s="127"/>
      <c r="AR75" s="127"/>
      <c r="AS75" s="127"/>
      <c r="AT75" s="127"/>
      <c r="AU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J75" s="127"/>
      <c r="CK75" s="127"/>
      <c r="CM75" s="127"/>
      <c r="CN75" s="127"/>
      <c r="CO75" s="127"/>
      <c r="CP75" s="127"/>
      <c r="CQ75" s="127"/>
    </row>
    <row r="76" spans="2:95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Q76" s="127"/>
      <c r="AR76" s="127"/>
      <c r="AS76" s="127"/>
      <c r="AT76" s="127"/>
      <c r="AU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J76" s="127"/>
      <c r="CK76" s="127"/>
      <c r="CM76" s="127"/>
      <c r="CN76" s="127"/>
      <c r="CO76" s="127"/>
      <c r="CP76" s="127"/>
      <c r="CQ76" s="127"/>
    </row>
    <row r="77" spans="2:95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Q77" s="127"/>
      <c r="AR77" s="127"/>
      <c r="AS77" s="127"/>
      <c r="AT77" s="127"/>
      <c r="AU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M77" s="127"/>
      <c r="CN77" s="127"/>
      <c r="CO77" s="127"/>
      <c r="CP77" s="127"/>
      <c r="CQ77" s="127"/>
    </row>
    <row r="78" spans="2:95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Q78" s="127"/>
      <c r="AR78" s="127"/>
      <c r="AS78" s="127"/>
      <c r="AT78" s="127"/>
      <c r="AU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M78" s="127"/>
      <c r="CN78" s="127"/>
      <c r="CO78" s="127"/>
      <c r="CP78" s="127"/>
      <c r="CQ78" s="127"/>
    </row>
    <row r="79" spans="2:95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Q79" s="127"/>
      <c r="AR79" s="127"/>
      <c r="AS79" s="127"/>
      <c r="AT79" s="127"/>
      <c r="AU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M79" s="127"/>
      <c r="CN79" s="127"/>
      <c r="CO79" s="127"/>
      <c r="CP79" s="127"/>
      <c r="CQ79" s="127"/>
    </row>
    <row r="80" spans="2:95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Q80" s="127"/>
      <c r="AR80" s="127"/>
      <c r="AS80" s="127"/>
      <c r="AT80" s="127"/>
      <c r="AU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M80" s="127"/>
      <c r="CN80" s="127"/>
      <c r="CO80" s="127"/>
      <c r="CP80" s="127"/>
      <c r="CQ80" s="127"/>
    </row>
    <row r="81" spans="2:95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Q81" s="127"/>
      <c r="AR81" s="127"/>
      <c r="AS81" s="127"/>
      <c r="AT81" s="127"/>
      <c r="AU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M81" s="127"/>
      <c r="CN81" s="127"/>
      <c r="CO81" s="127"/>
      <c r="CP81" s="127"/>
      <c r="CQ81" s="127"/>
    </row>
    <row r="82" spans="2:95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Q82" s="127"/>
      <c r="AR82" s="127"/>
      <c r="AS82" s="127"/>
      <c r="AT82" s="127"/>
      <c r="AU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J82" s="127"/>
      <c r="CK82" s="127"/>
      <c r="CM82" s="127"/>
      <c r="CN82" s="127"/>
      <c r="CO82" s="127"/>
      <c r="CP82" s="127"/>
      <c r="CQ82" s="127"/>
    </row>
    <row r="83" spans="2:95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Q83" s="127"/>
      <c r="AR83" s="127"/>
      <c r="AS83" s="127"/>
      <c r="AT83" s="127"/>
      <c r="AU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J83" s="127"/>
      <c r="CK83" s="127"/>
      <c r="CM83" s="127"/>
      <c r="CN83" s="127"/>
      <c r="CO83" s="127"/>
      <c r="CP83" s="127"/>
      <c r="CQ83" s="127"/>
    </row>
    <row r="84" spans="2:95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Q84" s="127"/>
      <c r="AR84" s="127"/>
      <c r="AS84" s="127"/>
      <c r="AT84" s="127"/>
      <c r="AU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J84" s="127"/>
      <c r="CK84" s="127"/>
      <c r="CM84" s="127"/>
      <c r="CN84" s="127"/>
      <c r="CO84" s="127"/>
      <c r="CP84" s="127"/>
      <c r="CQ84" s="127"/>
    </row>
    <row r="85" spans="2:95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Q85" s="127"/>
      <c r="AR85" s="127"/>
      <c r="AS85" s="127"/>
      <c r="AT85" s="127"/>
      <c r="AU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J85" s="127"/>
      <c r="CK85" s="127"/>
      <c r="CM85" s="127"/>
      <c r="CN85" s="127"/>
      <c r="CO85" s="127"/>
      <c r="CP85" s="127"/>
      <c r="CQ85" s="127"/>
    </row>
    <row r="86" spans="2:95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Q86" s="127"/>
      <c r="AR86" s="127"/>
      <c r="AS86" s="127"/>
      <c r="AT86" s="127"/>
      <c r="AU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J86" s="127"/>
      <c r="CK86" s="127"/>
      <c r="CM86" s="127"/>
      <c r="CN86" s="127"/>
      <c r="CO86" s="127"/>
      <c r="CP86" s="127"/>
      <c r="CQ86" s="127"/>
    </row>
    <row r="87" spans="2:95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Q87" s="127"/>
      <c r="AR87" s="127"/>
      <c r="AS87" s="127"/>
      <c r="AT87" s="127"/>
      <c r="AU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J87" s="127"/>
      <c r="CK87" s="127"/>
      <c r="CM87" s="127"/>
      <c r="CN87" s="127"/>
      <c r="CO87" s="127"/>
      <c r="CP87" s="127"/>
      <c r="CQ87" s="127"/>
    </row>
    <row r="88" spans="2:95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Q88" s="127"/>
      <c r="AR88" s="127"/>
      <c r="AS88" s="127"/>
      <c r="AT88" s="127"/>
      <c r="AU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J88" s="127"/>
      <c r="CK88" s="127"/>
      <c r="CM88" s="127"/>
      <c r="CN88" s="127"/>
      <c r="CO88" s="127"/>
      <c r="CP88" s="127"/>
      <c r="CQ88" s="127"/>
    </row>
    <row r="89" spans="2:95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Q89" s="127"/>
      <c r="AR89" s="127"/>
      <c r="AS89" s="127"/>
      <c r="AT89" s="127"/>
      <c r="AU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J89" s="127"/>
      <c r="CK89" s="127"/>
      <c r="CM89" s="127"/>
      <c r="CN89" s="127"/>
      <c r="CO89" s="127"/>
      <c r="CP89" s="127"/>
      <c r="CQ89" s="127"/>
    </row>
    <row r="90" spans="2:95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Q90" s="127"/>
      <c r="AR90" s="127"/>
      <c r="AS90" s="127"/>
      <c r="AT90" s="127"/>
      <c r="AU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J90" s="127"/>
      <c r="CK90" s="127"/>
      <c r="CM90" s="127"/>
      <c r="CN90" s="127"/>
      <c r="CO90" s="127"/>
      <c r="CP90" s="127"/>
      <c r="CQ90" s="127"/>
    </row>
    <row r="91" spans="2:95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Q91" s="127"/>
      <c r="AR91" s="127"/>
      <c r="AS91" s="127"/>
      <c r="AT91" s="127"/>
      <c r="AU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J91" s="127"/>
      <c r="CK91" s="127"/>
      <c r="CM91" s="127"/>
      <c r="CN91" s="127"/>
      <c r="CO91" s="127"/>
      <c r="CP91" s="127"/>
      <c r="CQ91" s="127"/>
    </row>
    <row r="92" spans="2:95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Q92" s="127"/>
      <c r="AR92" s="127"/>
      <c r="AS92" s="127"/>
      <c r="AT92" s="127"/>
      <c r="AU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J92" s="127"/>
      <c r="CK92" s="127"/>
      <c r="CM92" s="127"/>
      <c r="CN92" s="127"/>
      <c r="CO92" s="127"/>
      <c r="CP92" s="127"/>
      <c r="CQ92" s="127"/>
    </row>
    <row r="93" spans="2:95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Q93" s="127"/>
      <c r="AR93" s="127"/>
      <c r="AS93" s="127"/>
      <c r="AT93" s="127"/>
      <c r="AU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J93" s="127"/>
      <c r="CK93" s="127"/>
      <c r="CM93" s="127"/>
      <c r="CN93" s="127"/>
      <c r="CO93" s="127"/>
      <c r="CP93" s="127"/>
      <c r="CQ93" s="127"/>
    </row>
    <row r="94" spans="2:95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Q94" s="127"/>
      <c r="AR94" s="127"/>
      <c r="AS94" s="127"/>
      <c r="AT94" s="127"/>
      <c r="AU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M94" s="127"/>
      <c r="CN94" s="127"/>
      <c r="CO94" s="127"/>
      <c r="CP94" s="127"/>
      <c r="CQ94" s="127"/>
    </row>
    <row r="95" spans="2:95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Q95" s="127"/>
      <c r="AR95" s="127"/>
      <c r="AS95" s="127"/>
      <c r="AT95" s="127"/>
      <c r="AU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J95" s="127"/>
      <c r="CK95" s="127"/>
      <c r="CM95" s="127"/>
      <c r="CN95" s="127"/>
      <c r="CO95" s="127"/>
      <c r="CP95" s="127"/>
      <c r="CQ95" s="127"/>
    </row>
    <row r="96" spans="2:95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Q96" s="127"/>
      <c r="AR96" s="127"/>
      <c r="AS96" s="127"/>
      <c r="AT96" s="127"/>
      <c r="AU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J96" s="127"/>
      <c r="CK96" s="127"/>
      <c r="CM96" s="127"/>
      <c r="CN96" s="127"/>
      <c r="CO96" s="127"/>
      <c r="CP96" s="127"/>
      <c r="CQ96" s="127"/>
    </row>
    <row r="97" spans="2:95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Q97" s="127"/>
      <c r="AR97" s="127"/>
      <c r="AS97" s="127"/>
      <c r="AT97" s="127"/>
      <c r="AU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J97" s="127"/>
      <c r="CK97" s="127"/>
      <c r="CM97" s="127"/>
      <c r="CN97" s="127"/>
      <c r="CO97" s="127"/>
      <c r="CP97" s="127"/>
      <c r="CQ97" s="127"/>
    </row>
    <row r="98" spans="2:95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Q98" s="127"/>
      <c r="AR98" s="127"/>
      <c r="AS98" s="127"/>
      <c r="AT98" s="127"/>
      <c r="AU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M98" s="127"/>
      <c r="CN98" s="127"/>
      <c r="CO98" s="127"/>
      <c r="CP98" s="127"/>
      <c r="CQ98" s="127"/>
    </row>
    <row r="99" spans="2:95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Q99" s="127"/>
      <c r="AR99" s="127"/>
      <c r="AS99" s="127"/>
      <c r="AT99" s="127"/>
      <c r="AU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M99" s="127"/>
      <c r="CN99" s="127"/>
      <c r="CO99" s="127"/>
      <c r="CP99" s="127"/>
      <c r="CQ99" s="127"/>
    </row>
    <row r="100" spans="2:95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Q100" s="127"/>
      <c r="AR100" s="127"/>
      <c r="AS100" s="127"/>
      <c r="AT100" s="127"/>
      <c r="AU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J100" s="127"/>
      <c r="CK100" s="127"/>
      <c r="CM100" s="127"/>
      <c r="CN100" s="127"/>
      <c r="CO100" s="127"/>
      <c r="CP100" s="127"/>
      <c r="CQ100" s="127"/>
    </row>
    <row r="101" spans="2:95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Q101" s="127"/>
      <c r="AR101" s="127"/>
      <c r="AS101" s="127"/>
      <c r="AT101" s="127"/>
      <c r="AU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J101" s="127"/>
      <c r="CK101" s="127"/>
      <c r="CM101" s="127"/>
      <c r="CN101" s="127"/>
      <c r="CO101" s="127"/>
      <c r="CP101" s="127"/>
      <c r="CQ101" s="127"/>
    </row>
    <row r="102" spans="2:95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Q102" s="127"/>
      <c r="AR102" s="127"/>
      <c r="AS102" s="127"/>
      <c r="AT102" s="127"/>
      <c r="AU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J102" s="127"/>
      <c r="CK102" s="127"/>
      <c r="CM102" s="127"/>
      <c r="CN102" s="127"/>
      <c r="CO102" s="127"/>
      <c r="CP102" s="127"/>
      <c r="CQ102" s="127"/>
    </row>
    <row r="103" spans="2:95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Q103" s="127"/>
      <c r="AR103" s="127"/>
      <c r="AS103" s="127"/>
      <c r="AT103" s="127"/>
      <c r="AU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J103" s="127"/>
      <c r="CK103" s="127"/>
      <c r="CM103" s="127"/>
      <c r="CN103" s="127"/>
      <c r="CO103" s="127"/>
      <c r="CP103" s="127"/>
      <c r="CQ103" s="127"/>
    </row>
    <row r="104" spans="2:95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Q104" s="127"/>
      <c r="AR104" s="127"/>
      <c r="AS104" s="127"/>
      <c r="AT104" s="127"/>
      <c r="AU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M104" s="127"/>
      <c r="CN104" s="127"/>
      <c r="CO104" s="127"/>
      <c r="CP104" s="127"/>
      <c r="CQ104" s="127"/>
    </row>
    <row r="105" spans="2:95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Q105" s="127"/>
      <c r="AR105" s="127"/>
      <c r="AS105" s="127"/>
      <c r="AT105" s="127"/>
      <c r="AU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M105" s="127"/>
      <c r="CN105" s="127"/>
      <c r="CO105" s="127"/>
      <c r="CP105" s="127"/>
      <c r="CQ105" s="127"/>
    </row>
    <row r="106" spans="2:95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Q106" s="127"/>
      <c r="AR106" s="127"/>
      <c r="AS106" s="127"/>
      <c r="AT106" s="127"/>
      <c r="AU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J106" s="127"/>
      <c r="CK106" s="127"/>
      <c r="CM106" s="127"/>
      <c r="CN106" s="127"/>
      <c r="CO106" s="127"/>
      <c r="CP106" s="127"/>
      <c r="CQ106" s="127"/>
    </row>
    <row r="107" spans="2:95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Q107" s="127"/>
      <c r="AR107" s="127"/>
      <c r="AS107" s="127"/>
      <c r="AT107" s="127"/>
      <c r="AU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J107" s="127"/>
      <c r="CK107" s="127"/>
      <c r="CM107" s="127"/>
      <c r="CN107" s="127"/>
      <c r="CO107" s="127"/>
      <c r="CP107" s="127"/>
      <c r="CQ107" s="127"/>
    </row>
    <row r="108" spans="2:95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Q108" s="127"/>
      <c r="AR108" s="127"/>
      <c r="AS108" s="127"/>
      <c r="AT108" s="127"/>
      <c r="AU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J108" s="127"/>
      <c r="CK108" s="127"/>
      <c r="CM108" s="127"/>
      <c r="CN108" s="127"/>
      <c r="CO108" s="127"/>
      <c r="CP108" s="127"/>
      <c r="CQ108" s="127"/>
    </row>
    <row r="109" spans="2:95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Q109" s="127"/>
      <c r="AR109" s="127"/>
      <c r="AS109" s="127"/>
      <c r="AT109" s="127"/>
      <c r="AU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M109" s="127"/>
      <c r="CN109" s="127"/>
      <c r="CO109" s="127"/>
      <c r="CP109" s="127"/>
      <c r="CQ109" s="127"/>
    </row>
    <row r="110" spans="2:95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Q110" s="127"/>
      <c r="AR110" s="127"/>
      <c r="AS110" s="127"/>
      <c r="AT110" s="127"/>
      <c r="AU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M110" s="127"/>
      <c r="CN110" s="127"/>
      <c r="CO110" s="127"/>
      <c r="CP110" s="127"/>
      <c r="CQ110" s="127"/>
    </row>
    <row r="111" spans="2:95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Q111" s="127"/>
      <c r="AR111" s="127"/>
      <c r="AS111" s="127"/>
      <c r="AT111" s="127"/>
      <c r="AU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J111" s="127"/>
      <c r="CK111" s="127"/>
      <c r="CM111" s="127"/>
      <c r="CN111" s="127"/>
      <c r="CO111" s="127"/>
      <c r="CP111" s="127"/>
      <c r="CQ111" s="127"/>
    </row>
    <row r="112" spans="2:95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Q112" s="127"/>
      <c r="AR112" s="127"/>
      <c r="AS112" s="127"/>
      <c r="AT112" s="127"/>
      <c r="AU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J112" s="127"/>
      <c r="CK112" s="127"/>
      <c r="CM112" s="127"/>
      <c r="CN112" s="127"/>
      <c r="CO112" s="127"/>
      <c r="CP112" s="127"/>
      <c r="CQ112" s="127"/>
    </row>
    <row r="113" spans="2:95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Q113" s="127"/>
      <c r="AR113" s="127"/>
      <c r="AS113" s="127"/>
      <c r="AT113" s="127"/>
      <c r="AU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J113" s="127"/>
      <c r="CK113" s="127"/>
      <c r="CM113" s="127"/>
      <c r="CN113" s="127"/>
      <c r="CO113" s="127"/>
      <c r="CP113" s="127"/>
      <c r="CQ113" s="127"/>
    </row>
    <row r="114" spans="2:95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Q114" s="127"/>
      <c r="AR114" s="127"/>
      <c r="AS114" s="127"/>
      <c r="AT114" s="127"/>
      <c r="AU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J114" s="127"/>
      <c r="CK114" s="127"/>
      <c r="CM114" s="127"/>
      <c r="CN114" s="127"/>
      <c r="CO114" s="127"/>
      <c r="CP114" s="127"/>
      <c r="CQ114" s="127"/>
    </row>
    <row r="115" spans="2:95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Q115" s="127"/>
      <c r="AR115" s="127"/>
      <c r="AS115" s="127"/>
      <c r="AT115" s="127"/>
      <c r="AU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J115" s="127"/>
      <c r="CK115" s="127"/>
      <c r="CM115" s="127"/>
      <c r="CN115" s="127"/>
      <c r="CO115" s="127"/>
      <c r="CP115" s="127"/>
      <c r="CQ115" s="127"/>
    </row>
    <row r="116" spans="2:95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Q116" s="127"/>
      <c r="AR116" s="127"/>
      <c r="AS116" s="127"/>
      <c r="AT116" s="127"/>
      <c r="AU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J116" s="127"/>
      <c r="CK116" s="127"/>
      <c r="CM116" s="127"/>
      <c r="CN116" s="127"/>
      <c r="CO116" s="127"/>
      <c r="CP116" s="127"/>
      <c r="CQ116" s="127"/>
    </row>
    <row r="117" spans="2:95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Q117" s="127"/>
      <c r="AR117" s="127"/>
      <c r="AS117" s="127"/>
      <c r="AT117" s="127"/>
      <c r="AU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J117" s="127"/>
      <c r="CK117" s="127"/>
      <c r="CM117" s="127"/>
      <c r="CN117" s="127"/>
      <c r="CO117" s="127"/>
      <c r="CP117" s="127"/>
      <c r="CQ117" s="127"/>
    </row>
    <row r="118" spans="2:95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Q118" s="127"/>
      <c r="AR118" s="127"/>
      <c r="AS118" s="127"/>
      <c r="AT118" s="127"/>
      <c r="AU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J118" s="127"/>
      <c r="CK118" s="127"/>
      <c r="CM118" s="127"/>
      <c r="CN118" s="127"/>
      <c r="CO118" s="127"/>
      <c r="CP118" s="127"/>
      <c r="CQ118" s="127"/>
    </row>
    <row r="119" spans="2:95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Q119" s="127"/>
      <c r="AR119" s="127"/>
      <c r="AS119" s="127"/>
      <c r="AT119" s="127"/>
      <c r="AU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J119" s="127"/>
      <c r="CK119" s="127"/>
      <c r="CM119" s="127"/>
      <c r="CN119" s="127"/>
      <c r="CO119" s="127"/>
      <c r="CP119" s="127"/>
      <c r="CQ119" s="127"/>
    </row>
    <row r="120" spans="2:95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Q120" s="127"/>
      <c r="AR120" s="127"/>
      <c r="AS120" s="127"/>
      <c r="AT120" s="127"/>
      <c r="AU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J120" s="127"/>
      <c r="CK120" s="127"/>
      <c r="CM120" s="127"/>
      <c r="CN120" s="127"/>
      <c r="CO120" s="127"/>
      <c r="CP120" s="127"/>
      <c r="CQ120" s="127"/>
    </row>
    <row r="121" spans="2:95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Q121" s="127"/>
      <c r="AR121" s="127"/>
      <c r="AS121" s="127"/>
      <c r="AT121" s="127"/>
      <c r="AU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J121" s="127"/>
      <c r="CK121" s="127"/>
      <c r="CM121" s="127"/>
      <c r="CN121" s="127"/>
      <c r="CO121" s="127"/>
      <c r="CP121" s="127"/>
      <c r="CQ121" s="127"/>
    </row>
    <row r="122" spans="2:95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Q122" s="127"/>
      <c r="AR122" s="127"/>
      <c r="AS122" s="127"/>
      <c r="AT122" s="127"/>
      <c r="AU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M122" s="127"/>
      <c r="CN122" s="127"/>
      <c r="CO122" s="127"/>
      <c r="CP122" s="127"/>
      <c r="CQ122" s="127"/>
    </row>
    <row r="123" spans="2:95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Q123" s="127"/>
      <c r="AR123" s="127"/>
      <c r="AS123" s="127"/>
      <c r="AT123" s="127"/>
      <c r="AU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J123" s="127"/>
      <c r="CK123" s="127"/>
      <c r="CM123" s="127"/>
      <c r="CN123" s="127"/>
      <c r="CO123" s="127"/>
      <c r="CP123" s="127"/>
      <c r="CQ123" s="127"/>
    </row>
    <row r="124" spans="2:95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Q124" s="127"/>
      <c r="AR124" s="127"/>
      <c r="AS124" s="127"/>
      <c r="AT124" s="127"/>
      <c r="AU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J124" s="127"/>
      <c r="CK124" s="127"/>
      <c r="CM124" s="127"/>
      <c r="CN124" s="127"/>
      <c r="CO124" s="127"/>
      <c r="CP124" s="127"/>
      <c r="CQ124" s="127"/>
    </row>
    <row r="125" spans="2:95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Q125" s="127"/>
      <c r="AR125" s="127"/>
      <c r="AS125" s="127"/>
      <c r="AT125" s="127"/>
      <c r="AU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J125" s="127"/>
      <c r="CK125" s="127"/>
      <c r="CM125" s="127"/>
      <c r="CN125" s="127"/>
      <c r="CO125" s="127"/>
      <c r="CP125" s="127"/>
      <c r="CQ125" s="127"/>
    </row>
    <row r="126" spans="2:95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Q126" s="127"/>
      <c r="AR126" s="127"/>
      <c r="AS126" s="127"/>
      <c r="AT126" s="127"/>
      <c r="AU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J126" s="127"/>
      <c r="CK126" s="127"/>
      <c r="CM126" s="127"/>
      <c r="CN126" s="127"/>
      <c r="CO126" s="127"/>
      <c r="CP126" s="127"/>
      <c r="CQ126" s="127"/>
    </row>
    <row r="127" spans="2:95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Q127" s="127"/>
      <c r="AR127" s="127"/>
      <c r="AS127" s="127"/>
      <c r="AT127" s="127"/>
      <c r="AU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J127" s="127"/>
      <c r="CK127" s="127"/>
      <c r="CM127" s="127"/>
      <c r="CN127" s="127"/>
      <c r="CO127" s="127"/>
      <c r="CP127" s="127"/>
      <c r="CQ127" s="127"/>
    </row>
    <row r="128" spans="2:95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Q128" s="127"/>
      <c r="AR128" s="127"/>
      <c r="AS128" s="127"/>
      <c r="AT128" s="127"/>
      <c r="AU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J128" s="127"/>
      <c r="CK128" s="127"/>
      <c r="CM128" s="127"/>
      <c r="CN128" s="127"/>
      <c r="CO128" s="127"/>
      <c r="CP128" s="127"/>
      <c r="CQ128" s="127"/>
    </row>
    <row r="129" spans="2:95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Q129" s="127"/>
      <c r="AR129" s="127"/>
      <c r="AS129" s="127"/>
      <c r="AT129" s="127"/>
      <c r="AU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J129" s="127"/>
      <c r="CK129" s="127"/>
      <c r="CM129" s="127"/>
      <c r="CN129" s="127"/>
      <c r="CO129" s="127"/>
      <c r="CP129" s="127"/>
      <c r="CQ129" s="127"/>
    </row>
    <row r="130" spans="2:95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Q130" s="127"/>
      <c r="AR130" s="127"/>
      <c r="AS130" s="127"/>
      <c r="AT130" s="127"/>
      <c r="AU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M130" s="127"/>
      <c r="CN130" s="127"/>
      <c r="CO130" s="127"/>
      <c r="CP130" s="127"/>
      <c r="CQ130" s="127"/>
    </row>
    <row r="131" spans="2:95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Q131" s="127"/>
      <c r="AR131" s="127"/>
      <c r="AS131" s="127"/>
      <c r="AT131" s="127"/>
      <c r="AU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J131" s="127"/>
      <c r="CK131" s="127"/>
      <c r="CM131" s="127"/>
      <c r="CN131" s="127"/>
      <c r="CO131" s="127"/>
      <c r="CP131" s="127"/>
      <c r="CQ131" s="127"/>
    </row>
    <row r="132" spans="2:95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Q132" s="127"/>
      <c r="AR132" s="127"/>
      <c r="AS132" s="127"/>
      <c r="AT132" s="127"/>
      <c r="AU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J132" s="127"/>
      <c r="CK132" s="127"/>
      <c r="CM132" s="127"/>
      <c r="CN132" s="127"/>
      <c r="CO132" s="127"/>
      <c r="CP132" s="127"/>
      <c r="CQ132" s="127"/>
    </row>
    <row r="133" spans="2:95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Q133" s="127"/>
      <c r="AR133" s="127"/>
      <c r="AS133" s="127"/>
      <c r="AT133" s="127"/>
      <c r="AU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J133" s="127"/>
      <c r="CK133" s="127"/>
      <c r="CM133" s="127"/>
      <c r="CN133" s="127"/>
      <c r="CO133" s="127"/>
      <c r="CP133" s="127"/>
      <c r="CQ133" s="127"/>
    </row>
    <row r="134" spans="2:95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Q134" s="127"/>
      <c r="AR134" s="127"/>
      <c r="AS134" s="127"/>
      <c r="AT134" s="127"/>
      <c r="AU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J134" s="127"/>
      <c r="CK134" s="127"/>
      <c r="CM134" s="127"/>
      <c r="CN134" s="127"/>
      <c r="CO134" s="127"/>
      <c r="CP134" s="127"/>
      <c r="CQ134" s="127"/>
    </row>
    <row r="135" spans="2:95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Q135" s="127"/>
      <c r="AR135" s="127"/>
      <c r="AS135" s="127"/>
      <c r="AT135" s="127"/>
      <c r="AU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J135" s="127"/>
      <c r="CK135" s="127"/>
      <c r="CM135" s="127"/>
      <c r="CN135" s="127"/>
      <c r="CO135" s="127"/>
      <c r="CP135" s="127"/>
      <c r="CQ135" s="127"/>
    </row>
    <row r="136" spans="2:95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Q136" s="127"/>
      <c r="AR136" s="127"/>
      <c r="AS136" s="127"/>
      <c r="AT136" s="127"/>
      <c r="AU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J136" s="127"/>
      <c r="CK136" s="127"/>
      <c r="CM136" s="127"/>
      <c r="CN136" s="127"/>
      <c r="CO136" s="127"/>
      <c r="CP136" s="127"/>
      <c r="CQ136" s="127"/>
    </row>
    <row r="137" spans="2:95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Q137" s="127"/>
      <c r="AR137" s="127"/>
      <c r="AS137" s="127"/>
      <c r="AT137" s="127"/>
      <c r="AU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J137" s="127"/>
      <c r="CK137" s="127"/>
      <c r="CM137" s="127"/>
      <c r="CN137" s="127"/>
      <c r="CO137" s="127"/>
      <c r="CP137" s="127"/>
      <c r="CQ137" s="127"/>
    </row>
    <row r="138" spans="2:95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Q138" s="127"/>
      <c r="AR138" s="127"/>
      <c r="AS138" s="127"/>
      <c r="AT138" s="127"/>
      <c r="AU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M138" s="127"/>
      <c r="CN138" s="127"/>
      <c r="CO138" s="127"/>
      <c r="CP138" s="127"/>
      <c r="CQ138" s="127"/>
    </row>
    <row r="139" spans="2:95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Q139" s="127"/>
      <c r="AR139" s="127"/>
      <c r="AS139" s="127"/>
      <c r="AT139" s="127"/>
      <c r="AU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J139" s="127"/>
      <c r="CK139" s="127"/>
      <c r="CM139" s="127"/>
      <c r="CN139" s="127"/>
      <c r="CO139" s="127"/>
      <c r="CP139" s="127"/>
      <c r="CQ139" s="127"/>
    </row>
    <row r="140" spans="2:95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Q140" s="127"/>
      <c r="AR140" s="127"/>
      <c r="AS140" s="127"/>
      <c r="AT140" s="127"/>
      <c r="AU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J140" s="127"/>
      <c r="CK140" s="127"/>
      <c r="CM140" s="127"/>
      <c r="CN140" s="127"/>
      <c r="CO140" s="127"/>
      <c r="CP140" s="127"/>
      <c r="CQ140" s="127"/>
    </row>
    <row r="141" spans="2:95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Q141" s="127"/>
      <c r="AR141" s="127"/>
      <c r="AS141" s="127"/>
      <c r="AT141" s="127"/>
      <c r="AU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J141" s="127"/>
      <c r="CK141" s="127"/>
      <c r="CM141" s="127"/>
      <c r="CN141" s="127"/>
      <c r="CO141" s="127"/>
      <c r="CP141" s="127"/>
      <c r="CQ141" s="127"/>
    </row>
    <row r="142" spans="2:95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Q142" s="127"/>
      <c r="AR142" s="127"/>
      <c r="AS142" s="127"/>
      <c r="AT142" s="127"/>
      <c r="AU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J142" s="127"/>
      <c r="CK142" s="127"/>
      <c r="CM142" s="127"/>
      <c r="CN142" s="127"/>
      <c r="CO142" s="127"/>
      <c r="CP142" s="127"/>
      <c r="CQ142" s="127"/>
    </row>
    <row r="143" spans="2:95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Q143" s="127"/>
      <c r="AR143" s="127"/>
      <c r="AS143" s="127"/>
      <c r="AT143" s="127"/>
      <c r="AU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J143" s="127"/>
      <c r="CK143" s="127"/>
      <c r="CM143" s="127"/>
      <c r="CN143" s="127"/>
      <c r="CO143" s="127"/>
      <c r="CP143" s="127"/>
      <c r="CQ143" s="127"/>
    </row>
    <row r="144" spans="2:95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Q144" s="127"/>
      <c r="AR144" s="127"/>
      <c r="AS144" s="127"/>
      <c r="AT144" s="127"/>
      <c r="AU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J144" s="127"/>
      <c r="CK144" s="127"/>
      <c r="CM144" s="127"/>
      <c r="CN144" s="127"/>
      <c r="CO144" s="127"/>
      <c r="CP144" s="127"/>
      <c r="CQ144" s="127"/>
    </row>
    <row r="145" spans="2:95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Q145" s="127"/>
      <c r="AR145" s="127"/>
      <c r="AS145" s="127"/>
      <c r="AT145" s="127"/>
      <c r="AU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J145" s="127"/>
      <c r="CK145" s="127"/>
      <c r="CM145" s="127"/>
      <c r="CN145" s="127"/>
      <c r="CO145" s="127"/>
      <c r="CP145" s="127"/>
      <c r="CQ145" s="127"/>
    </row>
    <row r="146" spans="2:95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Q146" s="127"/>
      <c r="AR146" s="127"/>
      <c r="AS146" s="127"/>
      <c r="AT146" s="127"/>
      <c r="AU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J146" s="127"/>
      <c r="CK146" s="127"/>
      <c r="CM146" s="127"/>
      <c r="CN146" s="127"/>
      <c r="CO146" s="127"/>
      <c r="CP146" s="127"/>
      <c r="CQ146" s="127"/>
    </row>
    <row r="147" spans="2:95" ht="144.4"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" t="s">
        <v>291</v>
      </c>
      <c r="S147" s="102" t="s">
        <v>11</v>
      </c>
      <c r="T147" s="102" t="s">
        <v>243</v>
      </c>
      <c r="U147" s="102" t="s">
        <v>256</v>
      </c>
      <c r="V147" s="102" t="s">
        <v>171</v>
      </c>
      <c r="W147" s="102" t="s">
        <v>217</v>
      </c>
      <c r="X147" s="102" t="s">
        <v>230</v>
      </c>
      <c r="Y147" s="102" t="s">
        <v>7</v>
      </c>
      <c r="Z147" s="102" t="s">
        <v>10</v>
      </c>
      <c r="AA147" s="102" t="s">
        <v>14</v>
      </c>
      <c r="AB147" s="102" t="s">
        <v>333</v>
      </c>
      <c r="AC147" s="102" t="s">
        <v>255</v>
      </c>
      <c r="AD147" s="102" t="s">
        <v>32</v>
      </c>
      <c r="AE147" s="102" t="s">
        <v>503</v>
      </c>
      <c r="AF147" s="102" t="s">
        <v>160</v>
      </c>
      <c r="AG147" s="102" t="s">
        <v>229</v>
      </c>
      <c r="AH147" s="102" t="s">
        <v>9</v>
      </c>
      <c r="AI147" s="102" t="s">
        <v>12</v>
      </c>
      <c r="AJ147" s="102" t="s">
        <v>221</v>
      </c>
      <c r="AK147" s="102" t="s">
        <v>158</v>
      </c>
      <c r="AL147" s="102" t="s">
        <v>326</v>
      </c>
      <c r="AM147" s="102" t="s">
        <v>269</v>
      </c>
      <c r="AN147" s="102" t="s">
        <v>8</v>
      </c>
      <c r="AO147" s="102" t="s">
        <v>228</v>
      </c>
      <c r="AQ147" s="127"/>
      <c r="AR147" s="127"/>
      <c r="AS147" s="127"/>
      <c r="AT147" s="127"/>
      <c r="AU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J147" s="127"/>
      <c r="CK147" s="127"/>
      <c r="CM147" s="127"/>
      <c r="CN147" s="127"/>
      <c r="CO147" s="127"/>
      <c r="CP147" s="127"/>
      <c r="CQ147" s="127"/>
    </row>
    <row r="148" spans="2:95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03" t="s">
        <v>385</v>
      </c>
      <c r="S148" s="284" cm="1">
        <f t="array" ref="S148:AO157">S4:AO13*TRANSPOSE(AR4:AR25)</f>
        <v>8.5159132420091335E-2</v>
      </c>
      <c r="T148" s="284">
        <v>0</v>
      </c>
      <c r="U148" s="284">
        <v>0.12215753424657536</v>
      </c>
      <c r="V148" s="284">
        <v>1.0294651011089369</v>
      </c>
      <c r="W148" s="284">
        <v>0</v>
      </c>
      <c r="X148" s="284">
        <v>0</v>
      </c>
      <c r="Y148" s="284">
        <v>0.93935022015655589</v>
      </c>
      <c r="Z148" s="284">
        <v>0.17398462981082841</v>
      </c>
      <c r="AA148" s="284">
        <v>0.35797570123939981</v>
      </c>
      <c r="AB148" s="284">
        <v>0</v>
      </c>
      <c r="AC148" s="284">
        <v>0.48316598173515984</v>
      </c>
      <c r="AD148" s="136">
        <v>0</v>
      </c>
      <c r="AE148" s="136">
        <v>1.576382909328115</v>
      </c>
      <c r="AF148" s="136">
        <v>0</v>
      </c>
      <c r="AG148" s="136">
        <v>4.8936725375081534E-3</v>
      </c>
      <c r="AH148" s="136">
        <v>3.7855919765166335E-2</v>
      </c>
      <c r="AI148" s="136">
        <v>0</v>
      </c>
      <c r="AJ148" s="136">
        <v>7.0265410958904109E-2</v>
      </c>
      <c r="AK148" s="136">
        <v>0</v>
      </c>
      <c r="AL148" s="138">
        <v>0</v>
      </c>
      <c r="AM148" s="138">
        <v>6.8066418786692751</v>
      </c>
      <c r="AN148" s="138">
        <v>0</v>
      </c>
      <c r="AO148" s="138" t="e">
        <v>#N/A</v>
      </c>
      <c r="AQ148" s="127"/>
      <c r="AR148" s="127"/>
      <c r="AS148" s="127"/>
      <c r="AT148" s="127"/>
      <c r="AU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M148" s="127"/>
      <c r="CN148" s="127"/>
      <c r="CO148" s="127"/>
      <c r="CP148" s="127"/>
      <c r="CQ148" s="127"/>
    </row>
    <row r="149" spans="2:95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03" t="s">
        <v>330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0.51362823439878236</v>
      </c>
      <c r="Y149" s="136">
        <v>2.1240994419076613E-2</v>
      </c>
      <c r="Z149" s="136">
        <v>0</v>
      </c>
      <c r="AA149" s="136">
        <v>0</v>
      </c>
      <c r="AB149" s="136">
        <v>0</v>
      </c>
      <c r="AC149" s="136">
        <v>0</v>
      </c>
      <c r="AD149" s="136">
        <v>0.30962709284627093</v>
      </c>
      <c r="AE149" s="136">
        <v>0</v>
      </c>
      <c r="AF149" s="136">
        <v>0.76305650684931514</v>
      </c>
      <c r="AG149" s="136">
        <v>0</v>
      </c>
      <c r="AH149" s="136">
        <v>0.13688641552511413</v>
      </c>
      <c r="AI149" s="136">
        <v>0</v>
      </c>
      <c r="AJ149" s="136">
        <v>0</v>
      </c>
      <c r="AK149" s="136">
        <v>0</v>
      </c>
      <c r="AL149" s="136">
        <v>0</v>
      </c>
      <c r="AM149" s="136">
        <v>5.1640030441400304</v>
      </c>
      <c r="AN149" s="136">
        <v>29.244736174530654</v>
      </c>
      <c r="AO149" s="136" t="e">
        <v>#N/A</v>
      </c>
      <c r="AQ149" s="127"/>
      <c r="AR149" s="127"/>
      <c r="AS149" s="127"/>
      <c r="AT149" s="127"/>
      <c r="AU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J149" s="127"/>
      <c r="CK149" s="127"/>
      <c r="CM149" s="127"/>
      <c r="CN149" s="127"/>
      <c r="CO149" s="127"/>
      <c r="CP149" s="127"/>
      <c r="CQ149" s="127"/>
    </row>
    <row r="150" spans="2:95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03" t="s">
        <v>331</v>
      </c>
      <c r="S150" s="136">
        <v>11.950999999999999</v>
      </c>
      <c r="T150" s="136">
        <v>0</v>
      </c>
      <c r="U150" s="285">
        <v>0</v>
      </c>
      <c r="V150" s="286">
        <v>0</v>
      </c>
      <c r="W150" s="136">
        <v>0</v>
      </c>
      <c r="X150" s="136">
        <v>0</v>
      </c>
      <c r="Y150" s="136">
        <v>0</v>
      </c>
      <c r="Z150" s="138">
        <v>7.2499999999999995E-2</v>
      </c>
      <c r="AA150" s="138">
        <v>0</v>
      </c>
      <c r="AB150" s="138">
        <v>0</v>
      </c>
      <c r="AC150" s="138">
        <v>0</v>
      </c>
      <c r="AD150" s="138">
        <v>9.8592000000000003E-3</v>
      </c>
      <c r="AE150" s="138">
        <v>0</v>
      </c>
      <c r="AF150" s="138">
        <v>0</v>
      </c>
      <c r="AG150" s="138">
        <v>0</v>
      </c>
      <c r="AH150" s="138">
        <v>5.4300000000000001E-2</v>
      </c>
      <c r="AI150" s="138">
        <v>0</v>
      </c>
      <c r="AJ150" s="138">
        <v>0</v>
      </c>
      <c r="AK150" s="138">
        <v>0</v>
      </c>
      <c r="AL150" s="138">
        <v>0.61409999999999998</v>
      </c>
      <c r="AM150" s="138">
        <v>30.75</v>
      </c>
      <c r="AN150" s="138">
        <v>0</v>
      </c>
      <c r="AO150" s="138" t="e">
        <v>#N/A</v>
      </c>
      <c r="AQ150" s="127"/>
      <c r="AR150" s="127"/>
      <c r="AS150" s="127"/>
      <c r="AT150" s="127"/>
      <c r="AU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J150" s="127"/>
      <c r="CK150" s="127"/>
      <c r="CM150" s="127"/>
      <c r="CN150" s="127"/>
      <c r="CO150" s="127"/>
      <c r="CP150" s="127"/>
      <c r="CQ150" s="127"/>
    </row>
    <row r="151" spans="2:95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03" t="s">
        <v>332</v>
      </c>
      <c r="S151" s="136">
        <v>0</v>
      </c>
      <c r="T151" s="136">
        <v>0</v>
      </c>
      <c r="U151" s="285">
        <v>0</v>
      </c>
      <c r="V151" s="286">
        <v>0.78155000000000008</v>
      </c>
      <c r="W151" s="136">
        <v>0.79695333333333307</v>
      </c>
      <c r="X151" s="136">
        <v>0</v>
      </c>
      <c r="Y151" s="136">
        <v>0.92105200000000009</v>
      </c>
      <c r="Z151" s="138">
        <v>0.40355312499999996</v>
      </c>
      <c r="AA151" s="138">
        <v>0</v>
      </c>
      <c r="AB151" s="138">
        <v>0</v>
      </c>
      <c r="AC151" s="138">
        <v>0</v>
      </c>
      <c r="AD151" s="138">
        <v>0</v>
      </c>
      <c r="AE151" s="138">
        <v>0</v>
      </c>
      <c r="AF151" s="138">
        <v>0</v>
      </c>
      <c r="AG151" s="138">
        <v>0</v>
      </c>
      <c r="AH151" s="138">
        <v>0</v>
      </c>
      <c r="AI151" s="138">
        <v>5.4113805500000005</v>
      </c>
      <c r="AJ151" s="138">
        <v>0</v>
      </c>
      <c r="AK151" s="138">
        <v>6.2757282499999997E-2</v>
      </c>
      <c r="AL151" s="138">
        <v>0</v>
      </c>
      <c r="AM151" s="138">
        <v>2.1989120000000009</v>
      </c>
      <c r="AN151" s="138">
        <v>0</v>
      </c>
      <c r="AO151" s="138" t="e">
        <v>#N/A</v>
      </c>
      <c r="AQ151" s="127"/>
      <c r="AR151" s="127"/>
      <c r="AS151" s="127"/>
      <c r="AT151" s="127"/>
      <c r="AU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M151" s="127"/>
      <c r="CN151" s="127"/>
      <c r="CO151" s="127"/>
      <c r="CP151" s="127"/>
      <c r="CQ151" s="127"/>
    </row>
    <row r="152" spans="2:95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03" t="s">
        <v>290</v>
      </c>
      <c r="S152" s="136">
        <v>10.630100000000001</v>
      </c>
      <c r="T152" s="136">
        <v>1.63482E-2</v>
      </c>
      <c r="U152" s="285">
        <v>0</v>
      </c>
      <c r="V152" s="286">
        <v>4.1800000000000004E-2</v>
      </c>
      <c r="W152" s="136">
        <v>0.77308509999999997</v>
      </c>
      <c r="X152" s="136">
        <v>0</v>
      </c>
      <c r="Y152" s="136">
        <v>0.15971879000000003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0</v>
      </c>
      <c r="AG152" s="138">
        <v>0</v>
      </c>
      <c r="AH152" s="138">
        <v>0</v>
      </c>
      <c r="AI152" s="138">
        <v>0</v>
      </c>
      <c r="AJ152" s="138">
        <v>0</v>
      </c>
      <c r="AK152" s="138">
        <v>0</v>
      </c>
      <c r="AL152" s="138">
        <v>0</v>
      </c>
      <c r="AM152" s="138">
        <v>5.8670999999999998</v>
      </c>
      <c r="AN152" s="138">
        <v>0</v>
      </c>
      <c r="AO152" s="138" t="e">
        <v>#N/A</v>
      </c>
      <c r="AQ152" s="127"/>
      <c r="AR152" s="127"/>
      <c r="AS152" s="127"/>
      <c r="AT152" s="127"/>
      <c r="AU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M152" s="127"/>
      <c r="CN152" s="127"/>
      <c r="CO152" s="127"/>
      <c r="CP152" s="127"/>
      <c r="CQ152" s="127"/>
    </row>
    <row r="153" spans="2:95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03" t="s">
        <v>375</v>
      </c>
      <c r="S153" s="136">
        <v>0.12939428571428571</v>
      </c>
      <c r="T153" s="136">
        <v>8.6204081632653057E-6</v>
      </c>
      <c r="U153" s="285">
        <v>0</v>
      </c>
      <c r="V153" s="286">
        <v>5.3877551020408169E-3</v>
      </c>
      <c r="W153" s="136">
        <v>0.28470857142857142</v>
      </c>
      <c r="X153" s="136">
        <v>0</v>
      </c>
      <c r="Y153" s="136">
        <v>5.5805280816326533E-2</v>
      </c>
      <c r="Z153" s="138">
        <v>2.0714285714285713E-6</v>
      </c>
      <c r="AA153" s="138">
        <v>0</v>
      </c>
      <c r="AB153" s="138">
        <v>0</v>
      </c>
      <c r="AC153" s="138">
        <v>0</v>
      </c>
      <c r="AD153" s="138">
        <v>0</v>
      </c>
      <c r="AE153" s="138">
        <v>8.385306122448981E-4</v>
      </c>
      <c r="AF153" s="138">
        <v>0</v>
      </c>
      <c r="AG153" s="138">
        <v>0</v>
      </c>
      <c r="AH153" s="138">
        <v>0</v>
      </c>
      <c r="AI153" s="138">
        <v>0</v>
      </c>
      <c r="AJ153" s="138">
        <v>0</v>
      </c>
      <c r="AK153" s="138">
        <v>2.9241632653061223E-2</v>
      </c>
      <c r="AL153" s="138">
        <v>0</v>
      </c>
      <c r="AM153" s="138">
        <v>4.5212591020408164</v>
      </c>
      <c r="AN153" s="138">
        <v>0</v>
      </c>
      <c r="AO153" s="138" t="e">
        <v>#N/A</v>
      </c>
      <c r="AQ153" s="127"/>
      <c r="AR153" s="127"/>
      <c r="AS153" s="127"/>
      <c r="AT153" s="127"/>
      <c r="AU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J153" s="127"/>
      <c r="CK153" s="127"/>
      <c r="CM153" s="127"/>
      <c r="CN153" s="127"/>
      <c r="CO153" s="127"/>
      <c r="CP153" s="127"/>
      <c r="CQ153" s="127"/>
    </row>
    <row r="154" spans="2:95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19" t="s">
        <v>370</v>
      </c>
      <c r="S154" s="136">
        <v>6.7016742770167424E-3</v>
      </c>
      <c r="T154" s="136">
        <v>0</v>
      </c>
      <c r="U154" s="285">
        <v>0</v>
      </c>
      <c r="V154" s="286">
        <v>1.7300862506341959E-3</v>
      </c>
      <c r="W154" s="136">
        <v>0</v>
      </c>
      <c r="X154" s="136">
        <v>0</v>
      </c>
      <c r="Y154" s="136">
        <v>1.8103120243531202E-2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</v>
      </c>
      <c r="AG154" s="138">
        <v>0</v>
      </c>
      <c r="AH154" s="138">
        <v>0</v>
      </c>
      <c r="AI154" s="138">
        <v>0</v>
      </c>
      <c r="AJ154" s="138">
        <v>0</v>
      </c>
      <c r="AK154" s="138">
        <v>0</v>
      </c>
      <c r="AL154" s="138">
        <v>0</v>
      </c>
      <c r="AM154" s="138">
        <v>0.15601217656012176</v>
      </c>
      <c r="AN154" s="138">
        <v>0</v>
      </c>
      <c r="AO154" s="138" t="e">
        <v>#N/A</v>
      </c>
      <c r="AQ154" s="127"/>
      <c r="AR154" s="127"/>
      <c r="AS154" s="127"/>
      <c r="AT154" s="127"/>
      <c r="AU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J154" s="127"/>
      <c r="CK154" s="127"/>
      <c r="CM154" s="127"/>
      <c r="CN154" s="127"/>
      <c r="CO154" s="127"/>
      <c r="CP154" s="127"/>
      <c r="CQ154" s="127"/>
    </row>
    <row r="155" spans="2:95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0" t="s">
        <v>377</v>
      </c>
      <c r="S155" s="136">
        <v>1.540408163265306E-2</v>
      </c>
      <c r="T155" s="136">
        <v>0</v>
      </c>
      <c r="U155" s="285">
        <v>0</v>
      </c>
      <c r="V155" s="286">
        <v>4.8400000000000007</v>
      </c>
      <c r="W155" s="136">
        <v>0</v>
      </c>
      <c r="X155" s="136">
        <v>0</v>
      </c>
      <c r="Y155" s="136">
        <v>9.0535225000000028E-3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0</v>
      </c>
      <c r="AG155" s="138">
        <v>0</v>
      </c>
      <c r="AH155" s="138">
        <v>0</v>
      </c>
      <c r="AI155" s="138">
        <v>0</v>
      </c>
      <c r="AJ155" s="138">
        <v>0</v>
      </c>
      <c r="AK155" s="138">
        <v>0</v>
      </c>
      <c r="AL155" s="138">
        <v>0</v>
      </c>
      <c r="AM155" s="138">
        <v>6.0515999999999996</v>
      </c>
      <c r="AN155" s="138">
        <v>0</v>
      </c>
      <c r="AO155" s="138" t="e">
        <v>#N/A</v>
      </c>
      <c r="AQ155" s="127"/>
      <c r="AR155" s="127"/>
      <c r="AS155" s="127"/>
      <c r="AT155" s="127"/>
      <c r="AU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J155" s="127"/>
      <c r="CK155" s="127"/>
      <c r="CM155" s="127"/>
      <c r="CN155" s="127"/>
      <c r="CO155" s="127"/>
      <c r="CP155" s="127"/>
      <c r="CQ155" s="127"/>
    </row>
    <row r="156" spans="2:95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0" t="s">
        <v>360</v>
      </c>
      <c r="S156" s="136">
        <v>5.9740639269406391E-2</v>
      </c>
      <c r="T156" s="136">
        <v>0</v>
      </c>
      <c r="U156" s="285">
        <v>0</v>
      </c>
      <c r="V156" s="286">
        <v>0</v>
      </c>
      <c r="W156" s="136">
        <v>0</v>
      </c>
      <c r="X156" s="136">
        <v>0</v>
      </c>
      <c r="Y156" s="136">
        <v>0.12912593607305936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0</v>
      </c>
      <c r="AG156" s="138">
        <v>0</v>
      </c>
      <c r="AH156" s="138">
        <v>0</v>
      </c>
      <c r="AI156" s="138">
        <v>0</v>
      </c>
      <c r="AJ156" s="138">
        <v>0</v>
      </c>
      <c r="AK156" s="138">
        <v>0</v>
      </c>
      <c r="AL156" s="138">
        <v>0</v>
      </c>
      <c r="AM156" s="138">
        <v>1.1644748858447487</v>
      </c>
      <c r="AN156" s="138">
        <v>0</v>
      </c>
      <c r="AO156" s="138" t="e">
        <v>#N/A</v>
      </c>
      <c r="AQ156" s="127"/>
      <c r="AR156" s="127"/>
      <c r="AS156" s="127"/>
      <c r="AT156" s="127"/>
      <c r="AU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J156" s="127"/>
      <c r="CK156" s="127"/>
      <c r="CM156" s="127"/>
      <c r="CN156" s="127"/>
      <c r="CO156" s="127"/>
      <c r="CP156" s="127"/>
      <c r="CQ156" s="127"/>
    </row>
    <row r="157" spans="2:95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0" t="s">
        <v>387</v>
      </c>
      <c r="S157" s="136">
        <v>2.2977168949771688E-2</v>
      </c>
      <c r="T157" s="136">
        <v>0</v>
      </c>
      <c r="U157" s="285">
        <v>0</v>
      </c>
      <c r="V157" s="286">
        <v>0.79260273972602746</v>
      </c>
      <c r="W157" s="136">
        <v>0</v>
      </c>
      <c r="X157" s="136">
        <v>0</v>
      </c>
      <c r="Y157" s="136">
        <v>0.30760821917808223</v>
      </c>
      <c r="Z157" s="138">
        <v>0.14069634703196346</v>
      </c>
      <c r="AA157" s="138">
        <v>0.64020547945205475</v>
      </c>
      <c r="AB157" s="138">
        <v>0</v>
      </c>
      <c r="AC157" s="138">
        <v>0.52788584474885847</v>
      </c>
      <c r="AD157" s="138">
        <v>0</v>
      </c>
      <c r="AE157" s="138">
        <v>9.2831050228310511E-3</v>
      </c>
      <c r="AF157" s="138">
        <v>0</v>
      </c>
      <c r="AG157" s="138">
        <v>0</v>
      </c>
      <c r="AH157" s="138">
        <v>0</v>
      </c>
      <c r="AI157" s="138">
        <v>0</v>
      </c>
      <c r="AJ157" s="138">
        <v>0</v>
      </c>
      <c r="AK157" s="138">
        <v>6.7887214611872138E-2</v>
      </c>
      <c r="AL157" s="138">
        <v>0</v>
      </c>
      <c r="AM157" s="138">
        <v>4.0033972602739727</v>
      </c>
      <c r="AN157" s="138">
        <v>0</v>
      </c>
      <c r="AO157" s="138" t="e">
        <v>#N/A</v>
      </c>
      <c r="AQ157" s="127"/>
      <c r="AR157" s="127"/>
      <c r="AS157" s="127"/>
      <c r="AT157" s="127"/>
      <c r="AU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J157" s="127"/>
      <c r="CK157" s="127"/>
      <c r="CM157" s="127"/>
      <c r="CN157" s="127"/>
      <c r="CO157" s="127"/>
      <c r="CP157" s="127"/>
      <c r="CQ157" s="127"/>
    </row>
    <row r="158" spans="2:95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Q158" s="127"/>
      <c r="AR158" s="127"/>
      <c r="AS158" s="127"/>
      <c r="AT158" s="127"/>
      <c r="AU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J158" s="127"/>
      <c r="CK158" s="127"/>
      <c r="CM158" s="127"/>
      <c r="CN158" s="127"/>
      <c r="CO158" s="127"/>
      <c r="CP158" s="127"/>
      <c r="CQ158" s="127"/>
    </row>
    <row r="159" spans="2:95" ht="144.4"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" t="s">
        <v>431</v>
      </c>
      <c r="S159" s="102" t="s">
        <v>11</v>
      </c>
      <c r="T159" s="102" t="s">
        <v>243</v>
      </c>
      <c r="U159" s="102" t="s">
        <v>256</v>
      </c>
      <c r="V159" s="102" t="s">
        <v>171</v>
      </c>
      <c r="W159" s="102" t="s">
        <v>217</v>
      </c>
      <c r="X159" s="102" t="s">
        <v>230</v>
      </c>
      <c r="Y159" s="102" t="s">
        <v>7</v>
      </c>
      <c r="Z159" s="102" t="s">
        <v>10</v>
      </c>
      <c r="AA159" s="102" t="s">
        <v>14</v>
      </c>
      <c r="AB159" s="102" t="s">
        <v>333</v>
      </c>
      <c r="AC159" s="102" t="s">
        <v>255</v>
      </c>
      <c r="AD159" s="102" t="s">
        <v>32</v>
      </c>
      <c r="AE159" s="102" t="s">
        <v>503</v>
      </c>
      <c r="AF159" s="102" t="s">
        <v>160</v>
      </c>
      <c r="AG159" s="102" t="s">
        <v>229</v>
      </c>
      <c r="AH159" s="102" t="s">
        <v>9</v>
      </c>
      <c r="AI159" s="102" t="s">
        <v>12</v>
      </c>
      <c r="AJ159" s="102" t="s">
        <v>221</v>
      </c>
      <c r="AK159" s="102" t="s">
        <v>158</v>
      </c>
      <c r="AL159" s="102" t="s">
        <v>326</v>
      </c>
      <c r="AM159" s="102" t="s">
        <v>269</v>
      </c>
      <c r="AN159" s="102" t="s">
        <v>8</v>
      </c>
      <c r="AO159" s="102" t="s">
        <v>228</v>
      </c>
      <c r="AQ159" s="127"/>
      <c r="AR159" s="127"/>
      <c r="AS159" s="127"/>
      <c r="AT159" s="127"/>
      <c r="AU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J159" s="127"/>
      <c r="CK159" s="127"/>
      <c r="CM159" s="127"/>
      <c r="CN159" s="127"/>
      <c r="CO159" s="127"/>
      <c r="CP159" s="127"/>
      <c r="CQ159" s="127"/>
    </row>
    <row r="160" spans="2:95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03" t="s">
        <v>385</v>
      </c>
      <c r="S160" s="284" cm="1">
        <f t="array" ref="S160:AO169">S4:AO13*TRANSPOSE(AS4:AS25)</f>
        <v>7.1078767123287676</v>
      </c>
      <c r="T160" s="284">
        <v>0</v>
      </c>
      <c r="U160" s="284">
        <v>8.5239481409001963E-2</v>
      </c>
      <c r="V160" s="284">
        <v>21.291210045662101</v>
      </c>
      <c r="W160" s="284">
        <v>0</v>
      </c>
      <c r="X160" s="284">
        <v>0</v>
      </c>
      <c r="Y160" s="284">
        <v>33.565851272015657</v>
      </c>
      <c r="Z160" s="284">
        <v>15.118664383561642</v>
      </c>
      <c r="AA160" s="284">
        <v>1.394063926940639</v>
      </c>
      <c r="AB160" s="284">
        <v>0</v>
      </c>
      <c r="AC160" s="284">
        <v>47.751963470319637</v>
      </c>
      <c r="AD160" s="136">
        <v>0</v>
      </c>
      <c r="AE160" s="136">
        <v>13.701272015655579</v>
      </c>
      <c r="AF160" s="136">
        <v>0</v>
      </c>
      <c r="AG160" s="136">
        <v>0.36095890410958903</v>
      </c>
      <c r="AH160" s="136">
        <v>0.29001956947162427</v>
      </c>
      <c r="AI160" s="136">
        <v>0</v>
      </c>
      <c r="AJ160" s="136">
        <v>1.0040684931506849</v>
      </c>
      <c r="AK160" s="136">
        <v>0</v>
      </c>
      <c r="AL160" s="138">
        <v>0</v>
      </c>
      <c r="AM160" s="138">
        <v>132.81252446183953</v>
      </c>
      <c r="AN160" s="138">
        <v>0</v>
      </c>
      <c r="AO160" s="138" t="e">
        <v>#N/A</v>
      </c>
      <c r="AQ160" s="127"/>
      <c r="AR160" s="127"/>
      <c r="AS160" s="127"/>
      <c r="AT160" s="127"/>
      <c r="AU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J160" s="127"/>
      <c r="CK160" s="127"/>
      <c r="CM160" s="127"/>
      <c r="CN160" s="127"/>
      <c r="CO160" s="127"/>
      <c r="CP160" s="127"/>
      <c r="CQ160" s="127"/>
    </row>
    <row r="161" spans="2:95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03" t="s">
        <v>330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6">
        <v>2.2190734398782341</v>
      </c>
      <c r="Y161" s="136">
        <v>0.7590055809233891</v>
      </c>
      <c r="Z161" s="136">
        <v>0</v>
      </c>
      <c r="AA161" s="136">
        <v>0</v>
      </c>
      <c r="AB161" s="136">
        <v>0</v>
      </c>
      <c r="AC161" s="136">
        <v>0</v>
      </c>
      <c r="AD161" s="136">
        <v>5.6242389649923892</v>
      </c>
      <c r="AE161" s="136">
        <v>0</v>
      </c>
      <c r="AF161" s="136">
        <v>518.52454337899542</v>
      </c>
      <c r="AG161" s="136">
        <v>0</v>
      </c>
      <c r="AH161" s="136">
        <v>1.0487062404870624</v>
      </c>
      <c r="AI161" s="136">
        <v>0</v>
      </c>
      <c r="AJ161" s="136">
        <v>0</v>
      </c>
      <c r="AK161" s="136">
        <v>0</v>
      </c>
      <c r="AL161" s="136">
        <v>0</v>
      </c>
      <c r="AM161" s="136">
        <v>100.76103500761035</v>
      </c>
      <c r="AN161" s="136">
        <v>696.91780821917712</v>
      </c>
      <c r="AO161" s="136" t="e">
        <v>#N/A</v>
      </c>
      <c r="AQ161" s="127"/>
      <c r="AR161" s="127"/>
      <c r="AS161" s="127"/>
      <c r="AT161" s="127"/>
      <c r="AU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J161" s="127"/>
      <c r="CK161" s="127"/>
      <c r="CM161" s="127"/>
      <c r="CN161" s="127"/>
      <c r="CO161" s="127"/>
      <c r="CP161" s="127"/>
      <c r="CQ161" s="127"/>
    </row>
    <row r="162" spans="2:95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03" t="s">
        <v>331</v>
      </c>
      <c r="S162" s="136">
        <v>997.5</v>
      </c>
      <c r="T162" s="136">
        <v>0</v>
      </c>
      <c r="U162" s="285">
        <v>0</v>
      </c>
      <c r="V162" s="286">
        <v>0</v>
      </c>
      <c r="W162" s="136">
        <v>0</v>
      </c>
      <c r="X162" s="136">
        <v>0</v>
      </c>
      <c r="Y162" s="136">
        <v>0</v>
      </c>
      <c r="Z162" s="138">
        <v>6.3</v>
      </c>
      <c r="AA162" s="138">
        <v>0</v>
      </c>
      <c r="AB162" s="138">
        <v>0</v>
      </c>
      <c r="AC162" s="138">
        <v>0</v>
      </c>
      <c r="AD162" s="138">
        <v>0.179088</v>
      </c>
      <c r="AE162" s="138">
        <v>0</v>
      </c>
      <c r="AF162" s="138">
        <v>0</v>
      </c>
      <c r="AG162" s="138">
        <v>0</v>
      </c>
      <c r="AH162" s="138">
        <v>0.41600000000000004</v>
      </c>
      <c r="AI162" s="138">
        <v>0</v>
      </c>
      <c r="AJ162" s="138">
        <v>0</v>
      </c>
      <c r="AK162" s="138">
        <v>0</v>
      </c>
      <c r="AL162" s="138">
        <v>2.81175</v>
      </c>
      <c r="AM162" s="138">
        <v>600</v>
      </c>
      <c r="AN162" s="138">
        <v>0</v>
      </c>
      <c r="AO162" s="138" t="e">
        <v>#N/A</v>
      </c>
      <c r="AQ162" s="127"/>
      <c r="AR162" s="127"/>
      <c r="AS162" s="127"/>
      <c r="AT162" s="127"/>
      <c r="AU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J162" s="127"/>
      <c r="CK162" s="127"/>
      <c r="CM162" s="127"/>
      <c r="CN162" s="127"/>
      <c r="CO162" s="127"/>
      <c r="CP162" s="127"/>
      <c r="CQ162" s="127"/>
    </row>
    <row r="163" spans="2:95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03" t="s">
        <v>332</v>
      </c>
      <c r="S163" s="136">
        <v>0</v>
      </c>
      <c r="T163" s="136">
        <v>0</v>
      </c>
      <c r="U163" s="285">
        <v>0</v>
      </c>
      <c r="V163" s="286">
        <v>16.163875000000001</v>
      </c>
      <c r="W163" s="136">
        <v>34.043266666666661</v>
      </c>
      <c r="X163" s="136">
        <v>0</v>
      </c>
      <c r="Y163" s="136">
        <v>32.911999999999999</v>
      </c>
      <c r="Z163" s="138">
        <v>35.067374999999998</v>
      </c>
      <c r="AA163" s="138">
        <v>0</v>
      </c>
      <c r="AB163" s="138">
        <v>0</v>
      </c>
      <c r="AC163" s="138">
        <v>0</v>
      </c>
      <c r="AD163" s="138">
        <v>0</v>
      </c>
      <c r="AE163" s="138">
        <v>0</v>
      </c>
      <c r="AF163" s="138">
        <v>0</v>
      </c>
      <c r="AG163" s="138">
        <v>0</v>
      </c>
      <c r="AH163" s="138">
        <v>0</v>
      </c>
      <c r="AI163" s="138">
        <v>450.04467500000004</v>
      </c>
      <c r="AJ163" s="138">
        <v>0</v>
      </c>
      <c r="AK163" s="138">
        <v>13.46213</v>
      </c>
      <c r="AL163" s="138">
        <v>0</v>
      </c>
      <c r="AM163" s="138">
        <v>42.905600000000021</v>
      </c>
      <c r="AN163" s="138">
        <v>0</v>
      </c>
      <c r="AO163" s="138" t="e">
        <v>#N/A</v>
      </c>
      <c r="AQ163" s="127"/>
      <c r="AR163" s="127"/>
      <c r="AS163" s="127"/>
      <c r="AT163" s="127"/>
      <c r="AU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J163" s="127"/>
      <c r="CK163" s="127"/>
      <c r="CM163" s="127"/>
      <c r="CN163" s="127"/>
      <c r="CO163" s="127"/>
      <c r="CP163" s="127"/>
      <c r="CQ163" s="127"/>
    </row>
    <row r="164" spans="2:95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03" t="s">
        <v>290</v>
      </c>
      <c r="S164" s="136">
        <v>887.25</v>
      </c>
      <c r="T164" s="136">
        <v>3.742747</v>
      </c>
      <c r="U164" s="285">
        <v>0</v>
      </c>
      <c r="V164" s="286">
        <v>0.86449999999999994</v>
      </c>
      <c r="W164" s="136">
        <v>33.023693000000002</v>
      </c>
      <c r="X164" s="136">
        <v>0</v>
      </c>
      <c r="Y164" s="136">
        <v>5.7072400000000005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0</v>
      </c>
      <c r="AG164" s="138">
        <v>0</v>
      </c>
      <c r="AH164" s="138">
        <v>0</v>
      </c>
      <c r="AI164" s="138">
        <v>0</v>
      </c>
      <c r="AJ164" s="138">
        <v>0</v>
      </c>
      <c r="AK164" s="138">
        <v>0</v>
      </c>
      <c r="AL164" s="138">
        <v>0</v>
      </c>
      <c r="AM164" s="138">
        <v>114.47999999999999</v>
      </c>
      <c r="AN164" s="138">
        <v>0</v>
      </c>
      <c r="AO164" s="138" t="e">
        <v>#N/A</v>
      </c>
      <c r="AQ164" s="127"/>
      <c r="AR164" s="127"/>
      <c r="AS164" s="127"/>
      <c r="AT164" s="127"/>
      <c r="AU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J164" s="127"/>
      <c r="CK164" s="127"/>
      <c r="CM164" s="127"/>
      <c r="CN164" s="127"/>
      <c r="CO164" s="127"/>
      <c r="CP164" s="127"/>
      <c r="CQ164" s="127"/>
    </row>
    <row r="165" spans="2:95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03" t="s">
        <v>375</v>
      </c>
      <c r="S165" s="136">
        <v>10.799999999999999</v>
      </c>
      <c r="T165" s="136">
        <v>1.973551020408163E-3</v>
      </c>
      <c r="U165" s="285">
        <v>0</v>
      </c>
      <c r="V165" s="286">
        <v>0.11142857142857142</v>
      </c>
      <c r="W165" s="136">
        <v>12.161828571428572</v>
      </c>
      <c r="X165" s="136">
        <v>0</v>
      </c>
      <c r="Y165" s="136">
        <v>1.9940930612244896</v>
      </c>
      <c r="Z165" s="138">
        <v>1.7999999999999998E-4</v>
      </c>
      <c r="AA165" s="138">
        <v>0</v>
      </c>
      <c r="AB165" s="138">
        <v>0</v>
      </c>
      <c r="AC165" s="138">
        <v>0</v>
      </c>
      <c r="AD165" s="138">
        <v>0</v>
      </c>
      <c r="AE165" s="138">
        <v>7.2881632653061237E-3</v>
      </c>
      <c r="AF165" s="138">
        <v>0</v>
      </c>
      <c r="AG165" s="138">
        <v>0</v>
      </c>
      <c r="AH165" s="138">
        <v>0</v>
      </c>
      <c r="AI165" s="138">
        <v>0</v>
      </c>
      <c r="AJ165" s="138">
        <v>0</v>
      </c>
      <c r="AK165" s="138">
        <v>6.2726530612244895</v>
      </c>
      <c r="AL165" s="138">
        <v>0</v>
      </c>
      <c r="AM165" s="138">
        <v>88.21968979591837</v>
      </c>
      <c r="AN165" s="138">
        <v>0</v>
      </c>
      <c r="AO165" s="138" t="e">
        <v>#N/A</v>
      </c>
      <c r="AQ165" s="127"/>
      <c r="AR165" s="127"/>
      <c r="AS165" s="127"/>
      <c r="AT165" s="127"/>
      <c r="AU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J165" s="127"/>
      <c r="CK165" s="127"/>
      <c r="CM165" s="127"/>
      <c r="CN165" s="127"/>
      <c r="CO165" s="127"/>
      <c r="CP165" s="127"/>
      <c r="CQ165" s="127"/>
    </row>
    <row r="166" spans="2:95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19" t="s">
        <v>370</v>
      </c>
      <c r="S166" s="136">
        <v>0.55936073059360725</v>
      </c>
      <c r="T166" s="136">
        <v>0</v>
      </c>
      <c r="U166" s="285">
        <v>0</v>
      </c>
      <c r="V166" s="286">
        <v>3.578132927447996E-2</v>
      </c>
      <c r="W166" s="136">
        <v>0</v>
      </c>
      <c r="X166" s="136">
        <v>0</v>
      </c>
      <c r="Y166" s="136">
        <v>0.64687975646879747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0</v>
      </c>
      <c r="AG166" s="138">
        <v>0</v>
      </c>
      <c r="AH166" s="138">
        <v>0</v>
      </c>
      <c r="AI166" s="138">
        <v>0</v>
      </c>
      <c r="AJ166" s="138">
        <v>0</v>
      </c>
      <c r="AK166" s="138">
        <v>0</v>
      </c>
      <c r="AL166" s="138">
        <v>0</v>
      </c>
      <c r="AM166" s="138">
        <v>3.0441400304414001</v>
      </c>
      <c r="AN166" s="138">
        <v>0</v>
      </c>
      <c r="AO166" s="138" t="e">
        <v>#N/A</v>
      </c>
      <c r="AQ166" s="127"/>
      <c r="AR166" s="127"/>
      <c r="AS166" s="127"/>
      <c r="AT166" s="127"/>
      <c r="AU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J166" s="127"/>
      <c r="CK166" s="127"/>
      <c r="CM166" s="127"/>
      <c r="CN166" s="127"/>
      <c r="CO166" s="127"/>
      <c r="CP166" s="127"/>
      <c r="CQ166" s="127"/>
    </row>
    <row r="167" spans="2:95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0" t="s">
        <v>377</v>
      </c>
      <c r="S167" s="136">
        <v>1.2857142857142856</v>
      </c>
      <c r="T167" s="136">
        <v>0</v>
      </c>
      <c r="U167" s="285">
        <v>0</v>
      </c>
      <c r="V167" s="286">
        <v>100.10000000000001</v>
      </c>
      <c r="W167" s="136">
        <v>0</v>
      </c>
      <c r="X167" s="136">
        <v>0</v>
      </c>
      <c r="Y167" s="136">
        <v>0.32351000000000002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0</v>
      </c>
      <c r="AG167" s="138">
        <v>0</v>
      </c>
      <c r="AH167" s="138">
        <v>0</v>
      </c>
      <c r="AI167" s="138">
        <v>0</v>
      </c>
      <c r="AJ167" s="138">
        <v>0</v>
      </c>
      <c r="AK167" s="138">
        <v>0</v>
      </c>
      <c r="AL167" s="138">
        <v>0</v>
      </c>
      <c r="AM167" s="138">
        <v>118.08</v>
      </c>
      <c r="AN167" s="138">
        <v>0</v>
      </c>
      <c r="AO167" s="138" t="e">
        <v>#N/A</v>
      </c>
      <c r="AQ167" s="127"/>
      <c r="AR167" s="127"/>
      <c r="AS167" s="127"/>
      <c r="AT167" s="127"/>
      <c r="AU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J167" s="127"/>
      <c r="CK167" s="127"/>
      <c r="CM167" s="127"/>
      <c r="CN167" s="127"/>
      <c r="CO167" s="127"/>
      <c r="CP167" s="127"/>
      <c r="CQ167" s="127"/>
    </row>
    <row r="168" spans="2:95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0" t="s">
        <v>360</v>
      </c>
      <c r="S168" s="136">
        <v>4.9863013698630132</v>
      </c>
      <c r="T168" s="136">
        <v>0</v>
      </c>
      <c r="U168" s="285">
        <v>0</v>
      </c>
      <c r="V168" s="286">
        <v>0</v>
      </c>
      <c r="W168" s="136">
        <v>0</v>
      </c>
      <c r="X168" s="136">
        <v>0</v>
      </c>
      <c r="Y168" s="136">
        <v>4.6140639269406387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0</v>
      </c>
      <c r="AG168" s="138">
        <v>0</v>
      </c>
      <c r="AH168" s="138">
        <v>0</v>
      </c>
      <c r="AI168" s="138">
        <v>0</v>
      </c>
      <c r="AJ168" s="138">
        <v>0</v>
      </c>
      <c r="AK168" s="138">
        <v>0</v>
      </c>
      <c r="AL168" s="138">
        <v>0</v>
      </c>
      <c r="AM168" s="138">
        <v>22.721461187214611</v>
      </c>
      <c r="AN168" s="138">
        <v>0</v>
      </c>
      <c r="AO168" s="138" t="e">
        <v>#N/A</v>
      </c>
      <c r="AQ168" s="127"/>
      <c r="AR168" s="127"/>
      <c r="AS168" s="127"/>
      <c r="AT168" s="127"/>
      <c r="AU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J168" s="127"/>
      <c r="CK168" s="127"/>
      <c r="CM168" s="127"/>
      <c r="CN168" s="127"/>
      <c r="CO168" s="127"/>
      <c r="CP168" s="127"/>
      <c r="CQ168" s="127"/>
    </row>
    <row r="169" spans="2:95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0" t="s">
        <v>387</v>
      </c>
      <c r="S169" s="136">
        <v>1.9178082191780821</v>
      </c>
      <c r="T169" s="136">
        <v>0</v>
      </c>
      <c r="U169" s="285">
        <v>0</v>
      </c>
      <c r="V169" s="286">
        <v>16.392465753424659</v>
      </c>
      <c r="W169" s="136">
        <v>0</v>
      </c>
      <c r="X169" s="136">
        <v>0</v>
      </c>
      <c r="Y169" s="136">
        <v>10.991780821917809</v>
      </c>
      <c r="Z169" s="138">
        <v>12.226027397260273</v>
      </c>
      <c r="AA169" s="138">
        <v>2.4931506849315066</v>
      </c>
      <c r="AB169" s="138">
        <v>0</v>
      </c>
      <c r="AC169" s="138">
        <v>52.171689497716898</v>
      </c>
      <c r="AD169" s="138">
        <v>0</v>
      </c>
      <c r="AE169" s="138">
        <v>8.0684931506849328E-2</v>
      </c>
      <c r="AF169" s="138">
        <v>0</v>
      </c>
      <c r="AG169" s="138">
        <v>0</v>
      </c>
      <c r="AH169" s="138">
        <v>0</v>
      </c>
      <c r="AI169" s="138">
        <v>0</v>
      </c>
      <c r="AJ169" s="138">
        <v>0</v>
      </c>
      <c r="AK169" s="138">
        <v>14.56255707762557</v>
      </c>
      <c r="AL169" s="138">
        <v>0</v>
      </c>
      <c r="AM169" s="138">
        <v>78.115068493150687</v>
      </c>
      <c r="AN169" s="138">
        <v>0</v>
      </c>
      <c r="AO169" s="138" t="e">
        <v>#N/A</v>
      </c>
      <c r="AQ169" s="127"/>
      <c r="AR169" s="127"/>
      <c r="AS169" s="127"/>
      <c r="AT169" s="127"/>
      <c r="AU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J169" s="127"/>
      <c r="CK169" s="127"/>
      <c r="CM169" s="127"/>
      <c r="CN169" s="127"/>
      <c r="CO169" s="127"/>
      <c r="CP169" s="127"/>
      <c r="CQ169" s="127"/>
    </row>
    <row r="170" spans="2:95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Q170" s="127"/>
      <c r="AR170" s="127"/>
      <c r="AS170" s="127"/>
      <c r="AT170" s="127"/>
      <c r="AU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J170" s="127"/>
      <c r="CK170" s="127"/>
      <c r="CM170" s="127"/>
      <c r="CN170" s="127"/>
      <c r="CO170" s="127"/>
      <c r="CP170" s="127"/>
      <c r="CQ170" s="127"/>
    </row>
    <row r="171" spans="2:95" ht="144.4"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" t="s">
        <v>245</v>
      </c>
      <c r="S171" s="102" t="s">
        <v>11</v>
      </c>
      <c r="T171" s="102" t="s">
        <v>243</v>
      </c>
      <c r="U171" s="102" t="s">
        <v>256</v>
      </c>
      <c r="V171" s="102" t="s">
        <v>171</v>
      </c>
      <c r="W171" s="102" t="s">
        <v>217</v>
      </c>
      <c r="X171" s="102" t="s">
        <v>230</v>
      </c>
      <c r="Y171" s="102" t="s">
        <v>7</v>
      </c>
      <c r="Z171" s="102" t="s">
        <v>10</v>
      </c>
      <c r="AA171" s="102" t="s">
        <v>14</v>
      </c>
      <c r="AB171" s="102" t="s">
        <v>333</v>
      </c>
      <c r="AC171" s="102" t="s">
        <v>255</v>
      </c>
      <c r="AD171" s="102" t="s">
        <v>32</v>
      </c>
      <c r="AE171" s="102" t="s">
        <v>503</v>
      </c>
      <c r="AF171" s="102" t="s">
        <v>160</v>
      </c>
      <c r="AG171" s="102" t="s">
        <v>229</v>
      </c>
      <c r="AH171" s="102" t="s">
        <v>9</v>
      </c>
      <c r="AI171" s="102" t="s">
        <v>12</v>
      </c>
      <c r="AJ171" s="102" t="s">
        <v>221</v>
      </c>
      <c r="AK171" s="102" t="s">
        <v>158</v>
      </c>
      <c r="AL171" s="102" t="s">
        <v>326</v>
      </c>
      <c r="AM171" s="102" t="s">
        <v>269</v>
      </c>
      <c r="AN171" s="102" t="s">
        <v>8</v>
      </c>
      <c r="AO171" s="102" t="s">
        <v>228</v>
      </c>
      <c r="AQ171" s="127"/>
      <c r="AR171" s="127"/>
      <c r="AS171" s="127"/>
      <c r="AT171" s="127"/>
      <c r="AU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J171" s="127"/>
      <c r="CK171" s="127"/>
      <c r="CM171" s="127"/>
      <c r="CN171" s="127"/>
      <c r="CO171" s="127"/>
      <c r="CP171" s="127"/>
      <c r="CQ171" s="127"/>
    </row>
    <row r="172" spans="2:95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03" t="s">
        <v>385</v>
      </c>
      <c r="S172" s="284" cm="1">
        <f t="array" ref="S172:AO181">S4:AO13*TRANSPOSE(AT4:AT25)</f>
        <v>2.9108447488584476E-3</v>
      </c>
      <c r="T172" s="284">
        <v>0</v>
      </c>
      <c r="U172" s="284">
        <v>0</v>
      </c>
      <c r="V172" s="284">
        <v>0.32521738421395963</v>
      </c>
      <c r="W172" s="284">
        <v>0</v>
      </c>
      <c r="X172" s="284">
        <v>0</v>
      </c>
      <c r="Y172" s="284">
        <v>1.3574425146771039</v>
      </c>
      <c r="Z172" s="284">
        <v>2.0638176777560337E-2</v>
      </c>
      <c r="AA172" s="284">
        <v>3.7340998043052832E-4</v>
      </c>
      <c r="AB172" s="284">
        <v>0</v>
      </c>
      <c r="AC172" s="284">
        <v>2.4198630136986301E-4</v>
      </c>
      <c r="AD172" s="136">
        <v>0</v>
      </c>
      <c r="AE172" s="136">
        <v>1.4732550554468364E-2</v>
      </c>
      <c r="AF172" s="136">
        <v>0</v>
      </c>
      <c r="AG172" s="136">
        <v>1.0110893672537508E-6</v>
      </c>
      <c r="AH172" s="136">
        <v>1.045743639921722E-4</v>
      </c>
      <c r="AI172" s="136">
        <v>0</v>
      </c>
      <c r="AJ172" s="136">
        <v>1.4537671232876714E-4</v>
      </c>
      <c r="AK172" s="136">
        <v>0</v>
      </c>
      <c r="AL172" s="138">
        <v>0</v>
      </c>
      <c r="AM172" s="138">
        <v>1.162109589041096</v>
      </c>
      <c r="AN172" s="138">
        <v>0</v>
      </c>
      <c r="AO172" s="138" t="e">
        <v>#N/A</v>
      </c>
      <c r="AQ172" s="127"/>
      <c r="AR172" s="127"/>
      <c r="AS172" s="127"/>
      <c r="AT172" s="127"/>
      <c r="AU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J172" s="127"/>
      <c r="CK172" s="127"/>
      <c r="CM172" s="127"/>
      <c r="CN172" s="127"/>
      <c r="CO172" s="127"/>
      <c r="CP172" s="127"/>
      <c r="CQ172" s="127"/>
    </row>
    <row r="173" spans="2:95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03" t="s">
        <v>330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6">
        <v>1.6622272957889396E-4</v>
      </c>
      <c r="Y173" s="136">
        <v>3.0695078640284122E-2</v>
      </c>
      <c r="Z173" s="136">
        <v>0</v>
      </c>
      <c r="AA173" s="136">
        <v>0</v>
      </c>
      <c r="AB173" s="136">
        <v>0</v>
      </c>
      <c r="AC173" s="136">
        <v>0</v>
      </c>
      <c r="AD173" s="136">
        <v>9.4063926940639267E-2</v>
      </c>
      <c r="AE173" s="136">
        <v>0</v>
      </c>
      <c r="AF173" s="136">
        <v>2.985873287671233E-2</v>
      </c>
      <c r="AG173" s="136">
        <v>0</v>
      </c>
      <c r="AH173" s="136">
        <v>3.7813926940639264E-4</v>
      </c>
      <c r="AI173" s="136">
        <v>0</v>
      </c>
      <c r="AJ173" s="136">
        <v>0</v>
      </c>
      <c r="AK173" s="136">
        <v>0</v>
      </c>
      <c r="AL173" s="136">
        <v>0</v>
      </c>
      <c r="AM173" s="136">
        <v>0.88165905631659058</v>
      </c>
      <c r="AN173" s="136">
        <v>1.9358828006088253</v>
      </c>
      <c r="AO173" s="136" t="e">
        <v>#N/A</v>
      </c>
      <c r="AQ173" s="127"/>
      <c r="AR173" s="127"/>
      <c r="AS173" s="127"/>
      <c r="AT173" s="127"/>
      <c r="AU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M173" s="127"/>
      <c r="CN173" s="127"/>
      <c r="CO173" s="127"/>
      <c r="CP173" s="127"/>
      <c r="CQ173" s="127"/>
    </row>
    <row r="174" spans="2:95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03" t="s">
        <v>331</v>
      </c>
      <c r="S174" s="136">
        <v>0.40849999999999997</v>
      </c>
      <c r="T174" s="136">
        <v>0</v>
      </c>
      <c r="U174" s="285">
        <v>0</v>
      </c>
      <c r="V174" s="286">
        <v>0</v>
      </c>
      <c r="W174" s="136">
        <v>0</v>
      </c>
      <c r="X174" s="136">
        <v>0</v>
      </c>
      <c r="Y174" s="136">
        <v>0</v>
      </c>
      <c r="Z174" s="138">
        <v>8.6E-3</v>
      </c>
      <c r="AA174" s="138">
        <v>0</v>
      </c>
      <c r="AB174" s="138">
        <v>0</v>
      </c>
      <c r="AC174" s="138">
        <v>0</v>
      </c>
      <c r="AD174" s="138">
        <v>2.9951999999999999E-3</v>
      </c>
      <c r="AE174" s="138">
        <v>0</v>
      </c>
      <c r="AF174" s="138">
        <v>0</v>
      </c>
      <c r="AG174" s="138">
        <v>0</v>
      </c>
      <c r="AH174" s="138">
        <v>1.4999999999999999E-4</v>
      </c>
      <c r="AI174" s="138">
        <v>0</v>
      </c>
      <c r="AJ174" s="138">
        <v>0</v>
      </c>
      <c r="AK174" s="138">
        <v>0</v>
      </c>
      <c r="AL174" s="138">
        <v>5.7500000000000002E-5</v>
      </c>
      <c r="AM174" s="138">
        <v>5.2500000000000009</v>
      </c>
      <c r="AN174" s="138">
        <v>0</v>
      </c>
      <c r="AO174" s="138" t="e">
        <v>#N/A</v>
      </c>
      <c r="AQ174" s="127"/>
      <c r="AR174" s="127"/>
      <c r="AS174" s="127"/>
      <c r="AT174" s="127"/>
      <c r="AU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J174" s="127"/>
      <c r="CK174" s="127"/>
      <c r="CM174" s="127"/>
      <c r="CN174" s="127"/>
      <c r="CO174" s="127"/>
      <c r="CP174" s="127"/>
      <c r="CQ174" s="127"/>
    </row>
    <row r="175" spans="2:95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03" t="s">
        <v>332</v>
      </c>
      <c r="S175" s="136">
        <v>0</v>
      </c>
      <c r="T175" s="136">
        <v>0</v>
      </c>
      <c r="U175" s="285">
        <v>0</v>
      </c>
      <c r="V175" s="286">
        <v>0.24689875000000003</v>
      </c>
      <c r="W175" s="136">
        <v>1.1516666666666663E-2</v>
      </c>
      <c r="X175" s="136">
        <v>0</v>
      </c>
      <c r="Y175" s="136">
        <v>1.331</v>
      </c>
      <c r="Z175" s="138">
        <v>4.7869749999999996E-2</v>
      </c>
      <c r="AA175" s="138">
        <v>0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1.6266675000000001E-2</v>
      </c>
      <c r="AJ175" s="138">
        <v>0</v>
      </c>
      <c r="AK175" s="138">
        <v>5.9391749999999993E-2</v>
      </c>
      <c r="AL175" s="138">
        <v>0</v>
      </c>
      <c r="AM175" s="138">
        <v>0.3754240000000002</v>
      </c>
      <c r="AN175" s="138">
        <v>0</v>
      </c>
      <c r="AO175" s="138" t="e">
        <v>#N/A</v>
      </c>
      <c r="AQ175" s="127"/>
      <c r="AR175" s="127"/>
      <c r="AS175" s="127"/>
      <c r="AT175" s="127"/>
      <c r="AU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J175" s="127"/>
      <c r="CK175" s="127"/>
      <c r="CM175" s="127"/>
      <c r="CN175" s="127"/>
      <c r="CO175" s="127"/>
      <c r="CP175" s="127"/>
      <c r="CQ175" s="127"/>
    </row>
    <row r="176" spans="2:95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03" t="s">
        <v>290</v>
      </c>
      <c r="S176" s="136">
        <v>0.36335000000000001</v>
      </c>
      <c r="T176" s="136">
        <v>2.9724000000000004E-2</v>
      </c>
      <c r="U176" s="285">
        <v>0</v>
      </c>
      <c r="V176" s="286">
        <v>1.3205000000000001E-2</v>
      </c>
      <c r="W176" s="136">
        <v>1.1171750000000001E-2</v>
      </c>
      <c r="X176" s="136">
        <v>0</v>
      </c>
      <c r="Y176" s="136">
        <v>0.23080750000000003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0</v>
      </c>
      <c r="AG176" s="138">
        <v>0</v>
      </c>
      <c r="AH176" s="138">
        <v>0</v>
      </c>
      <c r="AI176" s="138">
        <v>0</v>
      </c>
      <c r="AJ176" s="138">
        <v>0</v>
      </c>
      <c r="AK176" s="138">
        <v>0</v>
      </c>
      <c r="AL176" s="138">
        <v>0</v>
      </c>
      <c r="AM176" s="138">
        <v>1.0017</v>
      </c>
      <c r="AN176" s="138">
        <v>0</v>
      </c>
      <c r="AO176" s="138" t="e">
        <v>#N/A</v>
      </c>
      <c r="AQ176" s="127"/>
      <c r="AR176" s="127"/>
      <c r="AS176" s="127"/>
      <c r="AT176" s="127"/>
      <c r="AU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J176" s="127"/>
      <c r="CK176" s="127"/>
      <c r="CM176" s="127"/>
      <c r="CN176" s="127"/>
      <c r="CO176" s="127"/>
      <c r="CP176" s="127"/>
      <c r="CQ176" s="127"/>
    </row>
    <row r="177" spans="2:95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03" t="s">
        <v>375</v>
      </c>
      <c r="S177" s="136">
        <v>4.4228571428571424E-3</v>
      </c>
      <c r="T177" s="136">
        <v>1.5673469387755102E-5</v>
      </c>
      <c r="U177" s="285">
        <v>0</v>
      </c>
      <c r="V177" s="286">
        <v>1.7020408163265306E-3</v>
      </c>
      <c r="W177" s="136">
        <v>4.1142857142857144E-3</v>
      </c>
      <c r="X177" s="136">
        <v>0</v>
      </c>
      <c r="Y177" s="136">
        <v>8.0643469387755101E-2</v>
      </c>
      <c r="Z177" s="138">
        <v>2.4571428571428571E-7</v>
      </c>
      <c r="AA177" s="138">
        <v>0</v>
      </c>
      <c r="AB177" s="138">
        <v>0</v>
      </c>
      <c r="AC177" s="138">
        <v>0</v>
      </c>
      <c r="AD177" s="138">
        <v>0</v>
      </c>
      <c r="AE177" s="138">
        <v>7.8367346938775509E-6</v>
      </c>
      <c r="AF177" s="138">
        <v>0</v>
      </c>
      <c r="AG177" s="138">
        <v>0</v>
      </c>
      <c r="AH177" s="138">
        <v>0</v>
      </c>
      <c r="AI177" s="138">
        <v>0</v>
      </c>
      <c r="AJ177" s="138">
        <v>0</v>
      </c>
      <c r="AK177" s="138">
        <v>2.7673469387755101E-2</v>
      </c>
      <c r="AL177" s="138">
        <v>0</v>
      </c>
      <c r="AM177" s="138">
        <v>0.77192228571428578</v>
      </c>
      <c r="AN177" s="138">
        <v>0</v>
      </c>
      <c r="AO177" s="138" t="e">
        <v>#N/A</v>
      </c>
      <c r="AQ177" s="127"/>
      <c r="AR177" s="127"/>
      <c r="AS177" s="127"/>
      <c r="AT177" s="127"/>
      <c r="AU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J177" s="127"/>
      <c r="CK177" s="127"/>
      <c r="CM177" s="127"/>
      <c r="CN177" s="127"/>
      <c r="CO177" s="127"/>
      <c r="CP177" s="127"/>
      <c r="CQ177" s="127"/>
    </row>
    <row r="178" spans="2:95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19" t="s">
        <v>370</v>
      </c>
      <c r="S178" s="136">
        <v>2.2907153729071535E-4</v>
      </c>
      <c r="T178" s="136">
        <v>0</v>
      </c>
      <c r="U178" s="285">
        <v>0</v>
      </c>
      <c r="V178" s="286">
        <v>5.4654997463216644E-4</v>
      </c>
      <c r="W178" s="136">
        <v>0</v>
      </c>
      <c r="X178" s="136">
        <v>0</v>
      </c>
      <c r="Y178" s="136">
        <v>2.6160578386605786E-2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</v>
      </c>
      <c r="AG178" s="138">
        <v>0</v>
      </c>
      <c r="AH178" s="138">
        <v>0</v>
      </c>
      <c r="AI178" s="138">
        <v>0</v>
      </c>
      <c r="AJ178" s="138">
        <v>0</v>
      </c>
      <c r="AK178" s="138">
        <v>0</v>
      </c>
      <c r="AL178" s="138">
        <v>0</v>
      </c>
      <c r="AM178" s="138">
        <v>2.6636225266362255E-2</v>
      </c>
      <c r="AN178" s="138">
        <v>0</v>
      </c>
      <c r="AO178" s="138" t="e">
        <v>#N/A</v>
      </c>
      <c r="AQ178" s="127"/>
      <c r="AR178" s="127"/>
      <c r="AS178" s="127"/>
      <c r="AT178" s="127"/>
      <c r="AU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M178" s="127"/>
      <c r="CN178" s="127"/>
      <c r="CO178" s="127"/>
      <c r="CP178" s="127"/>
      <c r="CQ178" s="127"/>
    </row>
    <row r="179" spans="2:95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0" t="s">
        <v>377</v>
      </c>
      <c r="S179" s="136">
        <v>5.2653061224489789E-4</v>
      </c>
      <c r="T179" s="136">
        <v>0</v>
      </c>
      <c r="U179" s="285">
        <v>0</v>
      </c>
      <c r="V179" s="286">
        <v>1.5290000000000004</v>
      </c>
      <c r="W179" s="136">
        <v>0</v>
      </c>
      <c r="X179" s="136">
        <v>0</v>
      </c>
      <c r="Y179" s="136">
        <v>1.3083125000000003E-2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0</v>
      </c>
      <c r="AG179" s="138">
        <v>0</v>
      </c>
      <c r="AH179" s="138">
        <v>0</v>
      </c>
      <c r="AI179" s="138">
        <v>0</v>
      </c>
      <c r="AJ179" s="138">
        <v>0</v>
      </c>
      <c r="AK179" s="138">
        <v>0</v>
      </c>
      <c r="AL179" s="138">
        <v>0</v>
      </c>
      <c r="AM179" s="138">
        <v>1.0332000000000001</v>
      </c>
      <c r="AN179" s="138">
        <v>0</v>
      </c>
      <c r="AO179" s="138" t="e">
        <v>#N/A</v>
      </c>
      <c r="AQ179" s="127"/>
      <c r="AR179" s="127"/>
      <c r="AS179" s="127"/>
      <c r="AT179" s="127"/>
      <c r="AU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J179" s="127"/>
      <c r="CK179" s="127"/>
      <c r="CM179" s="127"/>
      <c r="CN179" s="127"/>
      <c r="CO179" s="127"/>
      <c r="CP179" s="127"/>
      <c r="CQ179" s="127"/>
    </row>
    <row r="180" spans="2:95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0" t="s">
        <v>360</v>
      </c>
      <c r="S180" s="136">
        <v>2.0420091324200914E-3</v>
      </c>
      <c r="T180" s="136">
        <v>0</v>
      </c>
      <c r="U180" s="285">
        <v>0</v>
      </c>
      <c r="V180" s="286">
        <v>0</v>
      </c>
      <c r="W180" s="136">
        <v>0</v>
      </c>
      <c r="X180" s="136">
        <v>0</v>
      </c>
      <c r="Y180" s="136">
        <v>0.18659817351598174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</v>
      </c>
      <c r="AG180" s="138">
        <v>0</v>
      </c>
      <c r="AH180" s="138">
        <v>0</v>
      </c>
      <c r="AI180" s="138">
        <v>0</v>
      </c>
      <c r="AJ180" s="138">
        <v>0</v>
      </c>
      <c r="AK180" s="138">
        <v>0</v>
      </c>
      <c r="AL180" s="138">
        <v>0</v>
      </c>
      <c r="AM180" s="138">
        <v>0.19881278538812786</v>
      </c>
      <c r="AN180" s="138">
        <v>0</v>
      </c>
      <c r="AO180" s="138" t="e">
        <v>#N/A</v>
      </c>
      <c r="AQ180" s="127"/>
      <c r="AR180" s="127"/>
      <c r="AS180" s="127"/>
      <c r="AT180" s="127"/>
      <c r="AU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J180" s="127"/>
      <c r="CK180" s="127"/>
      <c r="CM180" s="127"/>
      <c r="CN180" s="127"/>
      <c r="CO180" s="127"/>
      <c r="CP180" s="127"/>
      <c r="CQ180" s="127"/>
    </row>
    <row r="181" spans="2:95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0" t="s">
        <v>387</v>
      </c>
      <c r="S181" s="136">
        <v>7.8538812785388127E-4</v>
      </c>
      <c r="T181" s="136">
        <v>0</v>
      </c>
      <c r="U181" s="285">
        <v>0</v>
      </c>
      <c r="V181" s="286">
        <v>0.25039041095890413</v>
      </c>
      <c r="W181" s="136">
        <v>0</v>
      </c>
      <c r="X181" s="136">
        <v>0</v>
      </c>
      <c r="Y181" s="136">
        <v>0.44452054794520551</v>
      </c>
      <c r="Z181" s="138">
        <v>1.6689497716894975E-2</v>
      </c>
      <c r="AA181" s="138">
        <v>6.6780821917808214E-4</v>
      </c>
      <c r="AB181" s="138">
        <v>0</v>
      </c>
      <c r="AC181" s="138">
        <v>2.6438356164383564E-4</v>
      </c>
      <c r="AD181" s="138">
        <v>0</v>
      </c>
      <c r="AE181" s="138">
        <v>8.6757990867579918E-5</v>
      </c>
      <c r="AF181" s="138">
        <v>0</v>
      </c>
      <c r="AG181" s="138">
        <v>0</v>
      </c>
      <c r="AH181" s="138">
        <v>0</v>
      </c>
      <c r="AI181" s="138">
        <v>0</v>
      </c>
      <c r="AJ181" s="138">
        <v>0</v>
      </c>
      <c r="AK181" s="138">
        <v>6.424657534246575E-2</v>
      </c>
      <c r="AL181" s="138">
        <v>0</v>
      </c>
      <c r="AM181" s="138">
        <v>0.68350684931506855</v>
      </c>
      <c r="AN181" s="138">
        <v>0</v>
      </c>
      <c r="AO181" s="138" t="e">
        <v>#N/A</v>
      </c>
      <c r="AQ181" s="127"/>
      <c r="AR181" s="127"/>
      <c r="AS181" s="127"/>
      <c r="AT181" s="127"/>
      <c r="AU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M181" s="127"/>
      <c r="CN181" s="127"/>
      <c r="CO181" s="127"/>
      <c r="CP181" s="127"/>
      <c r="CQ181" s="127"/>
    </row>
    <row r="182" spans="2:95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Q182" s="127"/>
      <c r="AR182" s="127"/>
      <c r="AS182" s="127"/>
      <c r="AT182" s="127"/>
      <c r="AU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J182" s="127"/>
      <c r="CK182" s="127"/>
      <c r="CM182" s="127"/>
      <c r="CN182" s="127"/>
      <c r="CO182" s="127"/>
      <c r="CP182" s="127"/>
      <c r="CQ182" s="127"/>
    </row>
    <row r="183" spans="2:95" ht="144.4"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" t="s">
        <v>441</v>
      </c>
      <c r="S183" s="102" t="s">
        <v>11</v>
      </c>
      <c r="T183" s="102" t="s">
        <v>243</v>
      </c>
      <c r="U183" s="102" t="s">
        <v>256</v>
      </c>
      <c r="V183" s="102" t="s">
        <v>171</v>
      </c>
      <c r="W183" s="102" t="s">
        <v>217</v>
      </c>
      <c r="X183" s="102" t="s">
        <v>230</v>
      </c>
      <c r="Y183" s="102" t="s">
        <v>7</v>
      </c>
      <c r="Z183" s="102" t="s">
        <v>10</v>
      </c>
      <c r="AA183" s="102" t="s">
        <v>14</v>
      </c>
      <c r="AB183" s="102" t="s">
        <v>333</v>
      </c>
      <c r="AC183" s="102" t="s">
        <v>255</v>
      </c>
      <c r="AD183" s="102" t="s">
        <v>32</v>
      </c>
      <c r="AE183" s="102" t="s">
        <v>503</v>
      </c>
      <c r="AF183" s="102" t="s">
        <v>160</v>
      </c>
      <c r="AG183" s="102" t="s">
        <v>229</v>
      </c>
      <c r="AH183" s="102" t="s">
        <v>9</v>
      </c>
      <c r="AI183" s="102" t="s">
        <v>12</v>
      </c>
      <c r="AJ183" s="102" t="s">
        <v>221</v>
      </c>
      <c r="AK183" s="102" t="s">
        <v>158</v>
      </c>
      <c r="AL183" s="102" t="s">
        <v>326</v>
      </c>
      <c r="AM183" s="102" t="s">
        <v>269</v>
      </c>
      <c r="AN183" s="102" t="s">
        <v>8</v>
      </c>
      <c r="AO183" s="102" t="s">
        <v>228</v>
      </c>
      <c r="AQ183" s="127"/>
      <c r="AR183" s="127"/>
      <c r="AS183" s="127"/>
      <c r="AT183" s="127"/>
      <c r="AU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J183" s="127"/>
      <c r="CK183" s="127"/>
      <c r="CM183" s="127"/>
      <c r="CN183" s="127"/>
      <c r="CO183" s="127"/>
      <c r="CP183" s="127"/>
      <c r="CQ183" s="127"/>
    </row>
    <row r="184" spans="2:95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03" t="s">
        <v>385</v>
      </c>
      <c r="S184" s="284" cm="1">
        <f t="array" ref="S184:AO193">S4:AO13*TRANSPOSE(AU4:AU25)</f>
        <v>1.4283447488584474E-2</v>
      </c>
      <c r="T184" s="284">
        <v>0</v>
      </c>
      <c r="U184" s="284">
        <v>0.40588796477495109</v>
      </c>
      <c r="V184" s="284">
        <v>0.15933312133072408</v>
      </c>
      <c r="W184" s="284">
        <v>0</v>
      </c>
      <c r="X184" s="284">
        <v>0</v>
      </c>
      <c r="Y184" s="284">
        <v>0.42253483365949124</v>
      </c>
      <c r="Z184" s="284">
        <v>0.25509746412263534</v>
      </c>
      <c r="AA184" s="284">
        <v>0.11003147423352901</v>
      </c>
      <c r="AB184" s="284">
        <v>0</v>
      </c>
      <c r="AC184" s="284">
        <v>2.7578372146118721</v>
      </c>
      <c r="AD184" s="136">
        <v>0</v>
      </c>
      <c r="AE184" s="136">
        <v>1.0460110893672538</v>
      </c>
      <c r="AF184" s="136">
        <v>0</v>
      </c>
      <c r="AG184" s="136">
        <v>4.1960208741030659E-3</v>
      </c>
      <c r="AH184" s="136">
        <v>3.9041095890410951E-2</v>
      </c>
      <c r="AI184" s="136">
        <v>0</v>
      </c>
      <c r="AJ184" s="136">
        <v>2.9269178082191781E-2</v>
      </c>
      <c r="AK184" s="136">
        <v>0</v>
      </c>
      <c r="AL184" s="138">
        <v>0</v>
      </c>
      <c r="AM184" s="138">
        <v>1.7320966731898237</v>
      </c>
      <c r="AN184" s="138">
        <v>0</v>
      </c>
      <c r="AO184" s="138" t="e">
        <v>#N/A</v>
      </c>
      <c r="AQ184" s="127"/>
      <c r="AR184" s="127"/>
      <c r="AS184" s="127"/>
      <c r="AT184" s="127"/>
      <c r="AU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M184" s="127"/>
      <c r="CN184" s="127"/>
      <c r="CO184" s="127"/>
      <c r="CP184" s="127"/>
      <c r="CQ184" s="127"/>
    </row>
    <row r="185" spans="2:95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03" t="s">
        <v>330</v>
      </c>
      <c r="S185" s="136">
        <v>0</v>
      </c>
      <c r="T185" s="136">
        <v>0</v>
      </c>
      <c r="U185" s="136">
        <v>0</v>
      </c>
      <c r="V185" s="136">
        <v>0</v>
      </c>
      <c r="W185" s="136">
        <v>0</v>
      </c>
      <c r="X185" s="136">
        <v>2.0561751648909179</v>
      </c>
      <c r="Y185" s="136">
        <v>9.5545408422120764E-3</v>
      </c>
      <c r="Z185" s="136">
        <v>0</v>
      </c>
      <c r="AA185" s="136">
        <v>0</v>
      </c>
      <c r="AB185" s="136">
        <v>0</v>
      </c>
      <c r="AC185" s="136">
        <v>0</v>
      </c>
      <c r="AD185" s="136">
        <v>0.4977549467275495</v>
      </c>
      <c r="AE185" s="136">
        <v>0</v>
      </c>
      <c r="AF185" s="136">
        <v>0.88337614155251143</v>
      </c>
      <c r="AG185" s="136">
        <v>0</v>
      </c>
      <c r="AH185" s="136">
        <v>0.14117199391171992</v>
      </c>
      <c r="AI185" s="136">
        <v>0</v>
      </c>
      <c r="AJ185" s="136">
        <v>0</v>
      </c>
      <c r="AK185" s="136">
        <v>0</v>
      </c>
      <c r="AL185" s="136">
        <v>0</v>
      </c>
      <c r="AM185" s="136">
        <v>1.3140918315575849</v>
      </c>
      <c r="AN185" s="136">
        <v>13.860920852359188</v>
      </c>
      <c r="AO185" s="136" t="e">
        <v>#N/A</v>
      </c>
      <c r="AQ185" s="127"/>
      <c r="AR185" s="127"/>
      <c r="AS185" s="127"/>
      <c r="AT185" s="127"/>
      <c r="AU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M185" s="127"/>
      <c r="CN185" s="127"/>
      <c r="CO185" s="127"/>
      <c r="CP185" s="127"/>
      <c r="CQ185" s="127"/>
    </row>
    <row r="186" spans="2:95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03" t="s">
        <v>331</v>
      </c>
      <c r="S186" s="136">
        <v>2.0044999999999997</v>
      </c>
      <c r="T186" s="136">
        <v>0</v>
      </c>
      <c r="U186" s="285">
        <v>0</v>
      </c>
      <c r="V186" s="286">
        <v>0</v>
      </c>
      <c r="W186" s="136">
        <v>0</v>
      </c>
      <c r="X186" s="136">
        <v>0</v>
      </c>
      <c r="Y186" s="136">
        <v>0</v>
      </c>
      <c r="Z186" s="138">
        <v>0.10630000000000001</v>
      </c>
      <c r="AA186" s="138">
        <v>0</v>
      </c>
      <c r="AB186" s="138">
        <v>0</v>
      </c>
      <c r="AC186" s="138">
        <v>0</v>
      </c>
      <c r="AD186" s="138">
        <v>1.5849599999999998E-2</v>
      </c>
      <c r="AE186" s="138">
        <v>0</v>
      </c>
      <c r="AF186" s="138">
        <v>0</v>
      </c>
      <c r="AG186" s="138">
        <v>0</v>
      </c>
      <c r="AH186" s="138">
        <v>5.5999999999999994E-2</v>
      </c>
      <c r="AI186" s="138">
        <v>0</v>
      </c>
      <c r="AJ186" s="138">
        <v>0</v>
      </c>
      <c r="AK186" s="138">
        <v>0</v>
      </c>
      <c r="AL186" s="138">
        <v>11.80475</v>
      </c>
      <c r="AM186" s="138">
        <v>7.8250000000000002</v>
      </c>
      <c r="AN186" s="138">
        <v>0</v>
      </c>
      <c r="AO186" s="138" t="e">
        <v>#N/A</v>
      </c>
      <c r="AQ186" s="127"/>
      <c r="AR186" s="127"/>
      <c r="AS186" s="127"/>
      <c r="AT186" s="127"/>
      <c r="AU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M186" s="127"/>
      <c r="CN186" s="127"/>
      <c r="CO186" s="127"/>
      <c r="CP186" s="127"/>
      <c r="CQ186" s="127"/>
    </row>
    <row r="187" spans="2:95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03" t="s">
        <v>332</v>
      </c>
      <c r="S187" s="136">
        <v>0</v>
      </c>
      <c r="T187" s="136">
        <v>0</v>
      </c>
      <c r="U187" s="285">
        <v>0</v>
      </c>
      <c r="V187" s="286">
        <v>0.12096262500000002</v>
      </c>
      <c r="W187" s="136">
        <v>8.6743533333333303E-2</v>
      </c>
      <c r="X187" s="136">
        <v>0</v>
      </c>
      <c r="Y187" s="136">
        <v>0.41430400000000006</v>
      </c>
      <c r="Z187" s="138">
        <v>0.59169237500000005</v>
      </c>
      <c r="AA187" s="138">
        <v>0</v>
      </c>
      <c r="AB187" s="138">
        <v>0</v>
      </c>
      <c r="AC187" s="138">
        <v>0</v>
      </c>
      <c r="AD187" s="138">
        <v>0</v>
      </c>
      <c r="AE187" s="138">
        <v>0</v>
      </c>
      <c r="AF187" s="138">
        <v>0</v>
      </c>
      <c r="AG187" s="138">
        <v>0</v>
      </c>
      <c r="AH187" s="138">
        <v>0</v>
      </c>
      <c r="AI187" s="138">
        <v>4.7715580000000006</v>
      </c>
      <c r="AJ187" s="138">
        <v>0</v>
      </c>
      <c r="AK187" s="138">
        <v>1.1207223225</v>
      </c>
      <c r="AL187" s="138">
        <v>0</v>
      </c>
      <c r="AM187" s="138">
        <v>0.55956053333333355</v>
      </c>
      <c r="AN187" s="138">
        <v>0</v>
      </c>
      <c r="AO187" s="138" t="e">
        <v>#N/A</v>
      </c>
      <c r="AQ187" s="127"/>
      <c r="AR187" s="127"/>
      <c r="AS187" s="127"/>
      <c r="AT187" s="127"/>
      <c r="AU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M187" s="127"/>
      <c r="CN187" s="127"/>
      <c r="CO187" s="127"/>
      <c r="CP187" s="127"/>
      <c r="CQ187" s="127"/>
    </row>
    <row r="188" spans="2:95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03" t="s">
        <v>290</v>
      </c>
      <c r="S188" s="136">
        <v>1.7829499999999998</v>
      </c>
      <c r="T188" s="136">
        <v>0.21822369999999999</v>
      </c>
      <c r="U188" s="285">
        <v>0</v>
      </c>
      <c r="V188" s="286">
        <v>6.4695000000000004E-3</v>
      </c>
      <c r="W188" s="136">
        <v>8.414562099999999E-2</v>
      </c>
      <c r="X188" s="136">
        <v>0</v>
      </c>
      <c r="Y188" s="136">
        <v>7.1844080000000018E-2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0</v>
      </c>
      <c r="AG188" s="138">
        <v>0</v>
      </c>
      <c r="AH188" s="138">
        <v>0</v>
      </c>
      <c r="AI188" s="138">
        <v>0</v>
      </c>
      <c r="AJ188" s="138">
        <v>0</v>
      </c>
      <c r="AK188" s="138">
        <v>0</v>
      </c>
      <c r="AL188" s="138">
        <v>0</v>
      </c>
      <c r="AM188" s="138">
        <v>1.4930099999999999</v>
      </c>
      <c r="AN188" s="138">
        <v>0</v>
      </c>
      <c r="AO188" s="138" t="e">
        <v>#N/A</v>
      </c>
      <c r="AQ188" s="127"/>
      <c r="AR188" s="127"/>
      <c r="AS188" s="127"/>
      <c r="AT188" s="127"/>
      <c r="AU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M188" s="127"/>
      <c r="CN188" s="127"/>
      <c r="CO188" s="127"/>
      <c r="CP188" s="127"/>
      <c r="CQ188" s="127"/>
    </row>
    <row r="189" spans="2:95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03" t="s">
        <v>375</v>
      </c>
      <c r="S189" s="136">
        <v>2.1702857142857142E-2</v>
      </c>
      <c r="T189" s="136">
        <v>1.1506938775510203E-4</v>
      </c>
      <c r="U189" s="285">
        <v>0</v>
      </c>
      <c r="V189" s="286">
        <v>8.3387755102040813E-4</v>
      </c>
      <c r="W189" s="136">
        <v>3.0988799999999997E-2</v>
      </c>
      <c r="X189" s="136">
        <v>0</v>
      </c>
      <c r="Y189" s="136">
        <v>2.5102112653061226E-2</v>
      </c>
      <c r="Z189" s="138">
        <v>3.0371428571428572E-6</v>
      </c>
      <c r="AA189" s="138">
        <v>0</v>
      </c>
      <c r="AB189" s="138">
        <v>0</v>
      </c>
      <c r="AC189" s="138">
        <v>0</v>
      </c>
      <c r="AD189" s="138">
        <v>0</v>
      </c>
      <c r="AE189" s="138">
        <v>5.564081632653061E-4</v>
      </c>
      <c r="AF189" s="138">
        <v>0</v>
      </c>
      <c r="AG189" s="138">
        <v>0</v>
      </c>
      <c r="AH189" s="138">
        <v>0</v>
      </c>
      <c r="AI189" s="138">
        <v>0</v>
      </c>
      <c r="AJ189" s="138">
        <v>0</v>
      </c>
      <c r="AK189" s="138">
        <v>0.52219836734693881</v>
      </c>
      <c r="AL189" s="138">
        <v>0</v>
      </c>
      <c r="AM189" s="138">
        <v>1.150531787755102</v>
      </c>
      <c r="AN189" s="138">
        <v>0</v>
      </c>
      <c r="AO189" s="138" t="e">
        <v>#N/A</v>
      </c>
      <c r="AQ189" s="127"/>
      <c r="AR189" s="127"/>
      <c r="AS189" s="127"/>
      <c r="AT189" s="127"/>
      <c r="AU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M189" s="127"/>
      <c r="CN189" s="127"/>
      <c r="CO189" s="127"/>
      <c r="CP189" s="127"/>
      <c r="CQ189" s="127"/>
    </row>
    <row r="190" spans="2:95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19" t="s">
        <v>370</v>
      </c>
      <c r="S190" s="136">
        <v>1.124048706240487E-3</v>
      </c>
      <c r="T190" s="136">
        <v>0</v>
      </c>
      <c r="U190" s="285">
        <v>0</v>
      </c>
      <c r="V190" s="286">
        <v>2.6777016742770166E-4</v>
      </c>
      <c r="W190" s="136">
        <v>0</v>
      </c>
      <c r="X190" s="136">
        <v>0</v>
      </c>
      <c r="Y190" s="136">
        <v>8.1430745814307457E-3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</v>
      </c>
      <c r="AG190" s="138">
        <v>0</v>
      </c>
      <c r="AH190" s="138">
        <v>0</v>
      </c>
      <c r="AI190" s="138">
        <v>0</v>
      </c>
      <c r="AJ190" s="138">
        <v>0</v>
      </c>
      <c r="AK190" s="138">
        <v>0</v>
      </c>
      <c r="AL190" s="138">
        <v>0</v>
      </c>
      <c r="AM190" s="138">
        <v>3.970065956367326E-2</v>
      </c>
      <c r="AN190" s="138">
        <v>0</v>
      </c>
      <c r="AO190" s="138" t="e">
        <v>#N/A</v>
      </c>
      <c r="AQ190" s="127"/>
      <c r="AR190" s="127"/>
      <c r="AS190" s="127"/>
      <c r="AT190" s="127"/>
      <c r="AU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M190" s="127"/>
      <c r="CN190" s="127"/>
      <c r="CO190" s="127"/>
      <c r="CP190" s="127"/>
      <c r="CQ190" s="127"/>
    </row>
    <row r="191" spans="2:95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0" t="s">
        <v>377</v>
      </c>
      <c r="S191" s="136">
        <v>2.5836734693877547E-3</v>
      </c>
      <c r="T191" s="136">
        <v>0</v>
      </c>
      <c r="U191" s="285">
        <v>0</v>
      </c>
      <c r="V191" s="286">
        <v>0.7491000000000001</v>
      </c>
      <c r="W191" s="136">
        <v>0</v>
      </c>
      <c r="X191" s="136">
        <v>0</v>
      </c>
      <c r="Y191" s="136">
        <v>4.0724200000000011E-3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0</v>
      </c>
      <c r="AG191" s="138">
        <v>0</v>
      </c>
      <c r="AH191" s="138">
        <v>0</v>
      </c>
      <c r="AI191" s="138">
        <v>0</v>
      </c>
      <c r="AJ191" s="138">
        <v>0</v>
      </c>
      <c r="AK191" s="138">
        <v>0</v>
      </c>
      <c r="AL191" s="138">
        <v>0</v>
      </c>
      <c r="AM191" s="138">
        <v>1.53996</v>
      </c>
      <c r="AN191" s="138">
        <v>0</v>
      </c>
      <c r="AO191" s="138" t="e">
        <v>#N/A</v>
      </c>
      <c r="AQ191" s="127"/>
      <c r="AR191" s="127"/>
      <c r="AS191" s="127"/>
      <c r="AT191" s="127"/>
      <c r="AU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M191" s="127"/>
      <c r="CN191" s="127"/>
      <c r="CO191" s="127"/>
      <c r="CP191" s="127"/>
      <c r="CQ191" s="127"/>
    </row>
    <row r="192" spans="2:95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0" t="s">
        <v>360</v>
      </c>
      <c r="S192" s="136">
        <v>1.0020091324200913E-2</v>
      </c>
      <c r="T192" s="136">
        <v>0</v>
      </c>
      <c r="U192" s="285">
        <v>0</v>
      </c>
      <c r="V192" s="286">
        <v>0</v>
      </c>
      <c r="W192" s="136">
        <v>0</v>
      </c>
      <c r="X192" s="136">
        <v>0</v>
      </c>
      <c r="Y192" s="136">
        <v>5.8082922374429226E-2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</v>
      </c>
      <c r="AG192" s="138">
        <v>0</v>
      </c>
      <c r="AH192" s="138">
        <v>0</v>
      </c>
      <c r="AI192" s="138">
        <v>0</v>
      </c>
      <c r="AJ192" s="138">
        <v>0</v>
      </c>
      <c r="AK192" s="138">
        <v>0</v>
      </c>
      <c r="AL192" s="138">
        <v>0</v>
      </c>
      <c r="AM192" s="138">
        <v>0.29632572298325721</v>
      </c>
      <c r="AN192" s="138">
        <v>0</v>
      </c>
      <c r="AO192" s="138" t="e">
        <v>#N/A</v>
      </c>
      <c r="AQ192" s="127"/>
      <c r="AR192" s="127"/>
      <c r="AS192" s="127"/>
      <c r="AT192" s="127"/>
      <c r="AU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M192" s="127"/>
      <c r="CN192" s="127"/>
      <c r="CO192" s="127"/>
      <c r="CP192" s="127"/>
      <c r="CQ192" s="127"/>
    </row>
    <row r="193" spans="2:95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0" t="s">
        <v>387</v>
      </c>
      <c r="S193" s="136">
        <v>3.8538812785388126E-3</v>
      </c>
      <c r="T193" s="136">
        <v>0</v>
      </c>
      <c r="U193" s="285">
        <v>0</v>
      </c>
      <c r="V193" s="286">
        <v>0.12267328767123289</v>
      </c>
      <c r="W193" s="136">
        <v>0</v>
      </c>
      <c r="X193" s="136">
        <v>0</v>
      </c>
      <c r="Y193" s="136">
        <v>0.13836712328767126</v>
      </c>
      <c r="Z193" s="138">
        <v>0.20628995433789954</v>
      </c>
      <c r="AA193" s="138">
        <v>0.19678082191780821</v>
      </c>
      <c r="AB193" s="138">
        <v>0</v>
      </c>
      <c r="AC193" s="138">
        <v>3.013091324200913</v>
      </c>
      <c r="AD193" s="138">
        <v>0</v>
      </c>
      <c r="AE193" s="138">
        <v>6.159817351598173E-3</v>
      </c>
      <c r="AF193" s="138">
        <v>0</v>
      </c>
      <c r="AG193" s="138">
        <v>0</v>
      </c>
      <c r="AH193" s="138">
        <v>0</v>
      </c>
      <c r="AI193" s="138">
        <v>0</v>
      </c>
      <c r="AJ193" s="138">
        <v>0</v>
      </c>
      <c r="AK193" s="138">
        <v>1.2123328767123287</v>
      </c>
      <c r="AL193" s="138">
        <v>0</v>
      </c>
      <c r="AM193" s="138">
        <v>1.0187506849315069</v>
      </c>
      <c r="AN193" s="138">
        <v>0</v>
      </c>
      <c r="AO193" s="138" t="e">
        <v>#N/A</v>
      </c>
      <c r="AQ193" s="127"/>
      <c r="AR193" s="127"/>
      <c r="AS193" s="127"/>
      <c r="AT193" s="127"/>
      <c r="AU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M193" s="127"/>
      <c r="CN193" s="127"/>
      <c r="CO193" s="127"/>
      <c r="CP193" s="127"/>
      <c r="CQ193" s="127"/>
    </row>
    <row r="194" spans="2:95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Q194" s="127"/>
      <c r="AR194" s="127"/>
      <c r="AS194" s="127"/>
      <c r="AT194" s="127"/>
      <c r="AU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M194" s="127"/>
      <c r="CN194" s="127"/>
      <c r="CO194" s="127"/>
      <c r="CP194" s="127"/>
      <c r="CQ194" s="127"/>
    </row>
    <row r="195" spans="2:95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Q195" s="127"/>
      <c r="AR195" s="127"/>
      <c r="AS195" s="127"/>
      <c r="AT195" s="127"/>
      <c r="AU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M195" s="127"/>
      <c r="CN195" s="127"/>
      <c r="CO195" s="127"/>
      <c r="CP195" s="127"/>
      <c r="CQ195" s="127"/>
    </row>
    <row r="196" spans="2:95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 t="s">
        <v>436</v>
      </c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Q196" s="127"/>
      <c r="AR196" s="127"/>
      <c r="AS196" s="127"/>
      <c r="AT196" s="127"/>
      <c r="AU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M196" s="127"/>
      <c r="CN196" s="127"/>
      <c r="CO196" s="127"/>
      <c r="CP196" s="127"/>
      <c r="CQ196" s="127"/>
    </row>
    <row r="197" spans="2:95" ht="144.4"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" t="s">
        <v>437</v>
      </c>
      <c r="S197" s="102" t="s">
        <v>11</v>
      </c>
      <c r="T197" s="102" t="s">
        <v>243</v>
      </c>
      <c r="U197" s="102" t="s">
        <v>256</v>
      </c>
      <c r="V197" s="102" t="s">
        <v>171</v>
      </c>
      <c r="W197" s="102" t="s">
        <v>217</v>
      </c>
      <c r="X197" s="102" t="s">
        <v>230</v>
      </c>
      <c r="Y197" s="102" t="s">
        <v>7</v>
      </c>
      <c r="Z197" s="102" t="s">
        <v>10</v>
      </c>
      <c r="AA197" s="102" t="s">
        <v>14</v>
      </c>
      <c r="AB197" s="102" t="s">
        <v>333</v>
      </c>
      <c r="AC197" s="102" t="s">
        <v>255</v>
      </c>
      <c r="AD197" s="102" t="s">
        <v>32</v>
      </c>
      <c r="AE197" s="102" t="s">
        <v>503</v>
      </c>
      <c r="AF197" s="102" t="s">
        <v>160</v>
      </c>
      <c r="AG197" s="102" t="s">
        <v>229</v>
      </c>
      <c r="AH197" s="102" t="s">
        <v>9</v>
      </c>
      <c r="AI197" s="102" t="s">
        <v>12</v>
      </c>
      <c r="AJ197" s="102" t="s">
        <v>221</v>
      </c>
      <c r="AK197" s="102" t="s">
        <v>158</v>
      </c>
      <c r="AL197" s="102" t="s">
        <v>326</v>
      </c>
      <c r="AM197" s="102" t="s">
        <v>269</v>
      </c>
      <c r="AN197" s="102" t="s">
        <v>8</v>
      </c>
      <c r="AO197" s="102" t="s">
        <v>228</v>
      </c>
      <c r="AQ197" s="127"/>
      <c r="AR197" s="127"/>
      <c r="AS197" s="127"/>
      <c r="AT197" s="127"/>
      <c r="AU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M197" s="127"/>
      <c r="CN197" s="127"/>
      <c r="CO197" s="127"/>
      <c r="CP197" s="127"/>
      <c r="CQ197" s="127"/>
    </row>
    <row r="198" spans="2:95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03" t="s">
        <v>385</v>
      </c>
      <c r="S198" s="284" t="e" cm="1" vm="1">
        <f t="array" aca="1" ref="S198" ca="1">TRANSPOSE(C4:P4)*S4:AO10</f>
        <v>#VALUE!</v>
      </c>
      <c r="T198" s="284"/>
      <c r="U198" s="284"/>
      <c r="V198" s="284"/>
      <c r="W198" s="284"/>
      <c r="X198" s="284"/>
      <c r="Y198" s="284"/>
      <c r="Z198" s="284"/>
      <c r="AA198" s="284"/>
      <c r="AB198" s="284"/>
      <c r="AC198" s="284"/>
      <c r="AD198" s="136"/>
      <c r="AE198" s="136"/>
      <c r="AF198" s="136"/>
      <c r="AG198" s="136"/>
      <c r="AH198" s="136"/>
      <c r="AI198" s="136"/>
      <c r="AJ198" s="136"/>
      <c r="AK198" s="136"/>
      <c r="AL198" s="138"/>
      <c r="AM198" s="138"/>
      <c r="AN198" s="138"/>
      <c r="AO198" s="138"/>
      <c r="AQ198" s="127"/>
      <c r="AR198" s="127"/>
      <c r="AS198" s="127"/>
      <c r="AT198" s="127"/>
      <c r="AU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M198" s="127"/>
      <c r="CN198" s="127"/>
      <c r="CO198" s="127"/>
      <c r="CP198" s="127"/>
      <c r="CQ198" s="127"/>
    </row>
    <row r="199" spans="2:95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03" t="s">
        <v>330</v>
      </c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Q199" s="127"/>
      <c r="AR199" s="127"/>
      <c r="AS199" s="127"/>
      <c r="AT199" s="127"/>
      <c r="AU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M199" s="127"/>
      <c r="CN199" s="127"/>
      <c r="CO199" s="127"/>
      <c r="CP199" s="127"/>
      <c r="CQ199" s="127"/>
    </row>
    <row r="200" spans="2:95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03" t="s">
        <v>331</v>
      </c>
      <c r="S200" s="136"/>
      <c r="T200" s="136"/>
      <c r="U200" s="285"/>
      <c r="V200" s="286"/>
      <c r="W200" s="136"/>
      <c r="X200" s="136"/>
      <c r="Y200" s="136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Q200" s="127"/>
      <c r="AR200" s="127"/>
      <c r="AS200" s="127"/>
      <c r="AT200" s="127"/>
      <c r="AU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M200" s="127"/>
      <c r="CN200" s="127"/>
      <c r="CO200" s="127"/>
      <c r="CP200" s="127"/>
      <c r="CQ200" s="127"/>
    </row>
    <row r="201" spans="2:95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03" t="s">
        <v>332</v>
      </c>
      <c r="S201" s="136"/>
      <c r="T201" s="136"/>
      <c r="U201" s="285"/>
      <c r="V201" s="286"/>
      <c r="W201" s="136"/>
      <c r="X201" s="136"/>
      <c r="Y201" s="136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Q201" s="127"/>
      <c r="AR201" s="127"/>
      <c r="AS201" s="127"/>
      <c r="AT201" s="127"/>
      <c r="AU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M201" s="127"/>
      <c r="CN201" s="127"/>
      <c r="CO201" s="127"/>
      <c r="CP201" s="127"/>
      <c r="CQ201" s="127"/>
    </row>
    <row r="202" spans="2:95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03" t="s">
        <v>290</v>
      </c>
      <c r="S202" s="136"/>
      <c r="T202" s="136"/>
      <c r="U202" s="285"/>
      <c r="V202" s="286"/>
      <c r="W202" s="136"/>
      <c r="X202" s="136"/>
      <c r="Y202" s="136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Q202" s="127"/>
      <c r="AR202" s="127"/>
      <c r="AS202" s="127"/>
      <c r="AT202" s="127"/>
      <c r="AU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M202" s="127"/>
      <c r="CN202" s="127"/>
      <c r="CO202" s="127"/>
      <c r="CP202" s="127"/>
      <c r="CQ202" s="127"/>
    </row>
    <row r="203" spans="2:95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03" t="s">
        <v>375</v>
      </c>
      <c r="S203" s="136"/>
      <c r="T203" s="136"/>
      <c r="U203" s="285"/>
      <c r="V203" s="286"/>
      <c r="W203" s="136"/>
      <c r="X203" s="136"/>
      <c r="Y203" s="136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Q203" s="127"/>
      <c r="AR203" s="127"/>
      <c r="AS203" s="127"/>
      <c r="AT203" s="127"/>
      <c r="AU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M203" s="127"/>
      <c r="CN203" s="127"/>
      <c r="CO203" s="127"/>
      <c r="CP203" s="127"/>
      <c r="CQ203" s="127"/>
    </row>
    <row r="204" spans="2:95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19" t="s">
        <v>370</v>
      </c>
      <c r="S204" s="136"/>
      <c r="T204" s="136"/>
      <c r="U204" s="285"/>
      <c r="V204" s="286"/>
      <c r="W204" s="136"/>
      <c r="X204" s="136"/>
      <c r="Y204" s="136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Q204" s="127"/>
      <c r="AR204" s="127"/>
      <c r="AS204" s="127"/>
      <c r="AT204" s="127"/>
      <c r="AU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M204" s="127"/>
      <c r="CN204" s="127"/>
      <c r="CO204" s="127"/>
      <c r="CP204" s="127"/>
      <c r="CQ204" s="127"/>
    </row>
    <row r="205" spans="2:95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35"/>
      <c r="S205" s="136"/>
      <c r="T205" s="136"/>
      <c r="U205" s="285"/>
      <c r="V205" s="286"/>
      <c r="W205" s="136"/>
      <c r="X205" s="136"/>
      <c r="Y205" s="136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Q205" s="127"/>
      <c r="AR205" s="127"/>
      <c r="AS205" s="127"/>
      <c r="AT205" s="127"/>
      <c r="AU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M205" s="127"/>
      <c r="CN205" s="127"/>
      <c r="CO205" s="127"/>
      <c r="CP205" s="127"/>
      <c r="CQ205" s="127"/>
    </row>
    <row r="206" spans="2:95" ht="144.4"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" t="s">
        <v>438</v>
      </c>
      <c r="S206" s="102" t="s">
        <v>11</v>
      </c>
      <c r="T206" s="102" t="s">
        <v>243</v>
      </c>
      <c r="U206" s="102" t="s">
        <v>256</v>
      </c>
      <c r="V206" s="102" t="s">
        <v>171</v>
      </c>
      <c r="W206" s="102" t="s">
        <v>217</v>
      </c>
      <c r="X206" s="102" t="s">
        <v>230</v>
      </c>
      <c r="Y206" s="102" t="s">
        <v>7</v>
      </c>
      <c r="Z206" s="102" t="s">
        <v>10</v>
      </c>
      <c r="AA206" s="102" t="s">
        <v>14</v>
      </c>
      <c r="AB206" s="102" t="s">
        <v>333</v>
      </c>
      <c r="AC206" s="102" t="s">
        <v>255</v>
      </c>
      <c r="AD206" s="102" t="s">
        <v>32</v>
      </c>
      <c r="AE206" s="102" t="s">
        <v>503</v>
      </c>
      <c r="AF206" s="102" t="s">
        <v>160</v>
      </c>
      <c r="AG206" s="102" t="s">
        <v>229</v>
      </c>
      <c r="AH206" s="102" t="s">
        <v>9</v>
      </c>
      <c r="AI206" s="102" t="s">
        <v>12</v>
      </c>
      <c r="AJ206" s="102" t="s">
        <v>221</v>
      </c>
      <c r="AK206" s="102" t="s">
        <v>158</v>
      </c>
      <c r="AL206" s="102" t="s">
        <v>326</v>
      </c>
      <c r="AM206" s="102" t="s">
        <v>269</v>
      </c>
      <c r="AN206" s="102" t="s">
        <v>8</v>
      </c>
      <c r="AO206" s="102" t="s">
        <v>228</v>
      </c>
      <c r="AQ206" s="127"/>
      <c r="AR206" s="127"/>
      <c r="AS206" s="127"/>
      <c r="AT206" s="127"/>
      <c r="AU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M206" s="127"/>
      <c r="CN206" s="127"/>
      <c r="CO206" s="127"/>
      <c r="CP206" s="127"/>
      <c r="CQ206" s="127"/>
    </row>
    <row r="207" spans="2:95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03" t="s">
        <v>385</v>
      </c>
      <c r="S207" s="284" t="e" cm="1" vm="1">
        <f t="array" aca="1" ref="S207" ca="1">TRANSPOSE(C4:P4)*S148:AO154</f>
        <v>#VALUE!</v>
      </c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136"/>
      <c r="AE207" s="136"/>
      <c r="AF207" s="136"/>
      <c r="AG207" s="136"/>
      <c r="AH207" s="136"/>
      <c r="AI207" s="136"/>
      <c r="AJ207" s="136"/>
      <c r="AK207" s="136"/>
      <c r="AL207" s="138"/>
      <c r="AM207" s="138"/>
      <c r="AN207" s="138"/>
      <c r="AO207" s="138"/>
      <c r="AQ207" s="127"/>
      <c r="AR207" s="127"/>
      <c r="AS207" s="127"/>
      <c r="AT207" s="127"/>
      <c r="AU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M207" s="127"/>
      <c r="CN207" s="127"/>
      <c r="CO207" s="127"/>
      <c r="CP207" s="127"/>
      <c r="CQ207" s="127"/>
    </row>
    <row r="208" spans="2:95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03" t="s">
        <v>330</v>
      </c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Q208" s="127"/>
      <c r="AR208" s="127"/>
      <c r="AS208" s="127"/>
      <c r="AT208" s="127"/>
      <c r="AU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M208" s="127"/>
      <c r="CN208" s="127"/>
      <c r="CO208" s="127"/>
      <c r="CP208" s="127"/>
      <c r="CQ208" s="127"/>
    </row>
    <row r="209" spans="2:95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03" t="s">
        <v>331</v>
      </c>
      <c r="S209" s="136"/>
      <c r="T209" s="136"/>
      <c r="U209" s="285"/>
      <c r="V209" s="286"/>
      <c r="W209" s="136"/>
      <c r="X209" s="136"/>
      <c r="Y209" s="136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Q209" s="127"/>
      <c r="AR209" s="127"/>
      <c r="AS209" s="127"/>
      <c r="AT209" s="127"/>
      <c r="AU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M209" s="127"/>
      <c r="CN209" s="127"/>
      <c r="CO209" s="127"/>
      <c r="CP209" s="127"/>
      <c r="CQ209" s="127"/>
    </row>
    <row r="210" spans="2:95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03" t="s">
        <v>332</v>
      </c>
      <c r="S210" s="136"/>
      <c r="T210" s="136"/>
      <c r="U210" s="285"/>
      <c r="V210" s="286"/>
      <c r="W210" s="136"/>
      <c r="X210" s="136"/>
      <c r="Y210" s="136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Q210" s="127"/>
      <c r="AR210" s="127"/>
      <c r="AS210" s="127"/>
      <c r="AT210" s="127"/>
      <c r="AU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M210" s="127"/>
      <c r="CN210" s="127"/>
      <c r="CO210" s="127"/>
      <c r="CP210" s="127"/>
      <c r="CQ210" s="127"/>
    </row>
    <row r="211" spans="2:95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03" t="s">
        <v>290</v>
      </c>
      <c r="S211" s="136"/>
      <c r="T211" s="136"/>
      <c r="U211" s="285"/>
      <c r="V211" s="286"/>
      <c r="W211" s="136"/>
      <c r="X211" s="136"/>
      <c r="Y211" s="136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Q211" s="127"/>
      <c r="AR211" s="127"/>
      <c r="AS211" s="127"/>
      <c r="AT211" s="127"/>
      <c r="AU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M211" s="127"/>
      <c r="CN211" s="127"/>
      <c r="CO211" s="127"/>
      <c r="CP211" s="127"/>
      <c r="CQ211" s="127"/>
    </row>
    <row r="212" spans="2:95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03" t="s">
        <v>375</v>
      </c>
      <c r="S212" s="136"/>
      <c r="T212" s="136"/>
      <c r="U212" s="285"/>
      <c r="V212" s="286"/>
      <c r="W212" s="136"/>
      <c r="X212" s="136"/>
      <c r="Y212" s="136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Q212" s="127"/>
      <c r="AR212" s="127"/>
      <c r="AS212" s="127"/>
      <c r="AT212" s="127"/>
      <c r="AU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M212" s="127"/>
      <c r="CN212" s="127"/>
      <c r="CO212" s="127"/>
      <c r="CP212" s="127"/>
      <c r="CQ212" s="127"/>
    </row>
    <row r="213" spans="2:95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19" t="s">
        <v>370</v>
      </c>
      <c r="S213" s="136"/>
      <c r="T213" s="136"/>
      <c r="U213" s="285"/>
      <c r="V213" s="286"/>
      <c r="W213" s="136"/>
      <c r="X213" s="136"/>
      <c r="Y213" s="136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27" t="e" vm="2">
        <f ca="1">SUM(_xlfn.ANCHORARRAY(S207))</f>
        <v>#VALUE!</v>
      </c>
      <c r="AQ213" s="127"/>
      <c r="AR213" s="127"/>
      <c r="AS213" s="127"/>
      <c r="AT213" s="127"/>
      <c r="AU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M213" s="127"/>
      <c r="CN213" s="127"/>
      <c r="CO213" s="127"/>
      <c r="CP213" s="127"/>
      <c r="CQ213" s="127"/>
    </row>
    <row r="214" spans="2:95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Q214" s="127"/>
      <c r="AR214" s="127"/>
      <c r="AS214" s="127"/>
      <c r="AT214" s="127"/>
      <c r="AU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M214" s="127"/>
      <c r="CN214" s="127"/>
      <c r="CO214" s="127"/>
      <c r="CP214" s="127"/>
      <c r="CQ214" s="127"/>
    </row>
    <row r="215" spans="2:95" ht="144.4"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" t="s">
        <v>439</v>
      </c>
      <c r="S215" s="102" t="s">
        <v>11</v>
      </c>
      <c r="T215" s="102" t="s">
        <v>243</v>
      </c>
      <c r="U215" s="102" t="s">
        <v>256</v>
      </c>
      <c r="V215" s="102" t="s">
        <v>171</v>
      </c>
      <c r="W215" s="102" t="s">
        <v>217</v>
      </c>
      <c r="X215" s="102" t="s">
        <v>230</v>
      </c>
      <c r="Y215" s="102" t="s">
        <v>7</v>
      </c>
      <c r="Z215" s="102" t="s">
        <v>10</v>
      </c>
      <c r="AA215" s="102" t="s">
        <v>14</v>
      </c>
      <c r="AB215" s="102" t="s">
        <v>333</v>
      </c>
      <c r="AC215" s="102" t="s">
        <v>255</v>
      </c>
      <c r="AD215" s="102" t="s">
        <v>32</v>
      </c>
      <c r="AE215" s="102"/>
      <c r="AF215" s="102" t="s">
        <v>160</v>
      </c>
      <c r="AG215" s="102" t="s">
        <v>229</v>
      </c>
      <c r="AH215" s="102" t="s">
        <v>9</v>
      </c>
      <c r="AI215" s="102" t="s">
        <v>12</v>
      </c>
      <c r="AJ215" s="102" t="s">
        <v>221</v>
      </c>
      <c r="AK215" s="102" t="s">
        <v>158</v>
      </c>
      <c r="AL215" s="102" t="s">
        <v>326</v>
      </c>
      <c r="AM215" s="102" t="s">
        <v>269</v>
      </c>
      <c r="AN215" s="102" t="s">
        <v>8</v>
      </c>
      <c r="AO215" s="102" t="s">
        <v>228</v>
      </c>
      <c r="AQ215" s="127"/>
      <c r="AR215" s="127"/>
      <c r="AS215" s="127"/>
      <c r="AT215" s="127"/>
      <c r="AU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M215" s="127"/>
      <c r="CN215" s="127"/>
      <c r="CO215" s="127"/>
      <c r="CP215" s="127"/>
      <c r="CQ215" s="127"/>
    </row>
    <row r="216" spans="2:95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03" t="s">
        <v>385</v>
      </c>
      <c r="S216" s="284" t="e" cm="1" vm="1">
        <f t="array" aca="1" ref="S216" ca="1">TRANSPOSE(C4:P4)*S160:AO166</f>
        <v>#VALUE!</v>
      </c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136"/>
      <c r="AE216" s="136"/>
      <c r="AF216" s="136"/>
      <c r="AG216" s="136"/>
      <c r="AH216" s="136"/>
      <c r="AI216" s="136"/>
      <c r="AJ216" s="136"/>
      <c r="AK216" s="136"/>
      <c r="AL216" s="138"/>
      <c r="AM216" s="138"/>
      <c r="AN216" s="138"/>
      <c r="AO216" s="138"/>
      <c r="AQ216" s="127"/>
      <c r="AR216" s="127"/>
      <c r="AS216" s="127"/>
      <c r="AT216" s="127"/>
      <c r="AU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M216" s="127"/>
      <c r="CN216" s="127"/>
      <c r="CO216" s="127"/>
      <c r="CP216" s="127"/>
      <c r="CQ216" s="127"/>
    </row>
    <row r="217" spans="2:95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03" t="s">
        <v>330</v>
      </c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Q217" s="127"/>
      <c r="AR217" s="127"/>
      <c r="AS217" s="127"/>
      <c r="AT217" s="127"/>
      <c r="AU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M217" s="127"/>
      <c r="CN217" s="127"/>
      <c r="CO217" s="127"/>
      <c r="CP217" s="127"/>
      <c r="CQ217" s="127"/>
    </row>
    <row r="218" spans="2:95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03" t="s">
        <v>331</v>
      </c>
      <c r="S218" s="136"/>
      <c r="T218" s="136"/>
      <c r="U218" s="285"/>
      <c r="V218" s="286"/>
      <c r="W218" s="136"/>
      <c r="X218" s="136"/>
      <c r="Y218" s="136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Q218" s="127"/>
      <c r="AR218" s="127"/>
      <c r="AS218" s="127"/>
      <c r="AT218" s="127"/>
      <c r="AU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M218" s="127"/>
      <c r="CN218" s="127"/>
      <c r="CO218" s="127"/>
      <c r="CP218" s="127"/>
      <c r="CQ218" s="127"/>
    </row>
    <row r="219" spans="2:95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03" t="s">
        <v>332</v>
      </c>
      <c r="S219" s="136"/>
      <c r="T219" s="136"/>
      <c r="U219" s="285"/>
      <c r="V219" s="286"/>
      <c r="W219" s="136"/>
      <c r="X219" s="136"/>
      <c r="Y219" s="136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Q219" s="127"/>
      <c r="AR219" s="127"/>
      <c r="AS219" s="127"/>
      <c r="AT219" s="127"/>
      <c r="AU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M219" s="127"/>
      <c r="CN219" s="127"/>
      <c r="CO219" s="127"/>
      <c r="CP219" s="127"/>
      <c r="CQ219" s="127"/>
    </row>
    <row r="220" spans="2:95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03" t="s">
        <v>290</v>
      </c>
      <c r="S220" s="136"/>
      <c r="T220" s="136"/>
      <c r="U220" s="285"/>
      <c r="V220" s="286"/>
      <c r="W220" s="136"/>
      <c r="X220" s="136"/>
      <c r="Y220" s="136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Q220" s="127"/>
      <c r="AR220" s="127"/>
      <c r="AS220" s="127"/>
      <c r="AT220" s="127"/>
      <c r="AU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M220" s="127"/>
      <c r="CN220" s="127"/>
      <c r="CO220" s="127"/>
      <c r="CP220" s="127"/>
      <c r="CQ220" s="127"/>
    </row>
    <row r="221" spans="2:95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03" t="s">
        <v>375</v>
      </c>
      <c r="S221" s="136"/>
      <c r="T221" s="136"/>
      <c r="U221" s="285"/>
      <c r="V221" s="286"/>
      <c r="W221" s="136"/>
      <c r="X221" s="136"/>
      <c r="Y221" s="136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O221" s="138"/>
      <c r="AQ221" s="127"/>
      <c r="AR221" s="127"/>
      <c r="AS221" s="127"/>
      <c r="AT221" s="127"/>
      <c r="AU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M221" s="127"/>
      <c r="CN221" s="127"/>
      <c r="CO221" s="127"/>
      <c r="CP221" s="127"/>
      <c r="CQ221" s="127"/>
    </row>
    <row r="222" spans="2:95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19" t="s">
        <v>370</v>
      </c>
      <c r="S222" s="136"/>
      <c r="T222" s="136"/>
      <c r="U222" s="285"/>
      <c r="V222" s="286"/>
      <c r="W222" s="136"/>
      <c r="X222" s="136"/>
      <c r="Y222" s="136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Q222" s="127"/>
      <c r="AR222" s="127"/>
      <c r="AS222" s="127"/>
      <c r="AT222" s="127"/>
      <c r="AU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M222" s="127"/>
      <c r="CN222" s="127"/>
      <c r="CO222" s="127"/>
      <c r="CP222" s="127"/>
      <c r="CQ222" s="127"/>
    </row>
    <row r="223" spans="2:95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Q223" s="127"/>
      <c r="AR223" s="127"/>
      <c r="AS223" s="127"/>
      <c r="AT223" s="127"/>
      <c r="AU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M223" s="127"/>
      <c r="CN223" s="127"/>
      <c r="CO223" s="127"/>
      <c r="CP223" s="127"/>
      <c r="CQ223" s="127"/>
    </row>
    <row r="224" spans="2:95" ht="144.4"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" t="s">
        <v>437</v>
      </c>
      <c r="S224" s="102" t="s">
        <v>11</v>
      </c>
      <c r="T224" s="102" t="s">
        <v>243</v>
      </c>
      <c r="U224" s="102" t="s">
        <v>256</v>
      </c>
      <c r="V224" s="102" t="s">
        <v>171</v>
      </c>
      <c r="W224" s="102" t="s">
        <v>217</v>
      </c>
      <c r="X224" s="102" t="s">
        <v>230</v>
      </c>
      <c r="Y224" s="102" t="s">
        <v>7</v>
      </c>
      <c r="Z224" s="102" t="s">
        <v>10</v>
      </c>
      <c r="AA224" s="102" t="s">
        <v>14</v>
      </c>
      <c r="AB224" s="102" t="s">
        <v>333</v>
      </c>
      <c r="AC224" s="102" t="s">
        <v>255</v>
      </c>
      <c r="AD224" s="102" t="s">
        <v>32</v>
      </c>
      <c r="AE224" s="102"/>
      <c r="AF224" s="102" t="s">
        <v>160</v>
      </c>
      <c r="AG224" s="102" t="s">
        <v>229</v>
      </c>
      <c r="AH224" s="102" t="s">
        <v>9</v>
      </c>
      <c r="AI224" s="102" t="s">
        <v>12</v>
      </c>
      <c r="AJ224" s="102" t="s">
        <v>221</v>
      </c>
      <c r="AK224" s="102" t="s">
        <v>158</v>
      </c>
      <c r="AL224" s="102" t="s">
        <v>326</v>
      </c>
      <c r="AM224" s="102" t="s">
        <v>269</v>
      </c>
      <c r="AN224" s="102" t="s">
        <v>8</v>
      </c>
      <c r="AO224" s="102" t="s">
        <v>228</v>
      </c>
      <c r="AQ224" s="127"/>
      <c r="AR224" s="127"/>
      <c r="AS224" s="127"/>
      <c r="AT224" s="127"/>
      <c r="AU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M224" s="127"/>
      <c r="CN224" s="127"/>
      <c r="CO224" s="127"/>
      <c r="CP224" s="127"/>
      <c r="CQ224" s="127"/>
    </row>
    <row r="225" spans="2:95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03" t="s">
        <v>385</v>
      </c>
      <c r="S225" s="284" t="e" cm="1" vm="1">
        <f t="array" aca="1" ref="S225" ca="1">TRANSPOSE(C4:P4)*S172:AO178</f>
        <v>#VALUE!</v>
      </c>
      <c r="T225" s="28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136"/>
      <c r="AE225" s="136"/>
      <c r="AF225" s="136"/>
      <c r="AG225" s="136"/>
      <c r="AH225" s="136"/>
      <c r="AI225" s="136"/>
      <c r="AJ225" s="136"/>
      <c r="AK225" s="136"/>
      <c r="AL225" s="138"/>
      <c r="AM225" s="138"/>
      <c r="AN225" s="138"/>
      <c r="AO225" s="138"/>
      <c r="AQ225" s="127"/>
      <c r="AR225" s="127"/>
      <c r="AS225" s="127"/>
      <c r="AT225" s="127"/>
      <c r="AU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M225" s="127"/>
      <c r="CN225" s="127"/>
      <c r="CO225" s="127"/>
      <c r="CP225" s="127"/>
      <c r="CQ225" s="127"/>
    </row>
    <row r="226" spans="2:95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03" t="s">
        <v>330</v>
      </c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Q226" s="127"/>
      <c r="AR226" s="127"/>
      <c r="AS226" s="127"/>
      <c r="AT226" s="127"/>
      <c r="AU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M226" s="127"/>
      <c r="CN226" s="127"/>
      <c r="CO226" s="127"/>
      <c r="CP226" s="127"/>
      <c r="CQ226" s="127"/>
    </row>
    <row r="227" spans="2:95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03" t="s">
        <v>331</v>
      </c>
      <c r="S227" s="136"/>
      <c r="T227" s="136"/>
      <c r="U227" s="285"/>
      <c r="V227" s="286"/>
      <c r="W227" s="136"/>
      <c r="X227" s="136"/>
      <c r="Y227" s="136"/>
      <c r="Z227" s="138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O227" s="138"/>
      <c r="AQ227" s="127"/>
      <c r="AR227" s="127"/>
      <c r="AS227" s="127"/>
      <c r="AT227" s="127"/>
      <c r="AU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M227" s="127"/>
      <c r="CN227" s="127"/>
      <c r="CO227" s="127"/>
      <c r="CP227" s="127"/>
      <c r="CQ227" s="127"/>
    </row>
    <row r="228" spans="2:95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03" t="s">
        <v>332</v>
      </c>
      <c r="S228" s="136"/>
      <c r="T228" s="136"/>
      <c r="U228" s="285"/>
      <c r="V228" s="286"/>
      <c r="W228" s="136"/>
      <c r="X228" s="136"/>
      <c r="Y228" s="136"/>
      <c r="Z228" s="138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O228" s="138"/>
      <c r="AQ228" s="127"/>
      <c r="AR228" s="127"/>
      <c r="AS228" s="127"/>
      <c r="AT228" s="127"/>
      <c r="AU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M228" s="127"/>
      <c r="CN228" s="127"/>
      <c r="CO228" s="127"/>
      <c r="CP228" s="127"/>
      <c r="CQ228" s="127"/>
    </row>
    <row r="229" spans="2:95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03" t="s">
        <v>290</v>
      </c>
      <c r="S229" s="136"/>
      <c r="T229" s="136"/>
      <c r="U229" s="285"/>
      <c r="V229" s="286"/>
      <c r="W229" s="136"/>
      <c r="X229" s="136"/>
      <c r="Y229" s="136"/>
      <c r="Z229" s="138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O229" s="138"/>
      <c r="AQ229" s="127"/>
      <c r="AR229" s="127"/>
      <c r="AS229" s="127"/>
      <c r="AT229" s="127"/>
      <c r="AU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M229" s="127"/>
      <c r="CN229" s="127"/>
      <c r="CO229" s="127"/>
      <c r="CP229" s="127"/>
      <c r="CQ229" s="127"/>
    </row>
    <row r="230" spans="2:95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03" t="s">
        <v>375</v>
      </c>
      <c r="S230" s="136"/>
      <c r="T230" s="136"/>
      <c r="U230" s="285"/>
      <c r="V230" s="286"/>
      <c r="W230" s="136"/>
      <c r="X230" s="136"/>
      <c r="Y230" s="136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O230" s="138"/>
      <c r="AQ230" s="127"/>
      <c r="AR230" s="127"/>
      <c r="AS230" s="127"/>
      <c r="AT230" s="127"/>
      <c r="AU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M230" s="127"/>
      <c r="CN230" s="127"/>
      <c r="CO230" s="127"/>
      <c r="CP230" s="127"/>
      <c r="CQ230" s="127"/>
    </row>
    <row r="231" spans="2:95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19" t="s">
        <v>370</v>
      </c>
      <c r="S231" s="136"/>
      <c r="T231" s="136"/>
      <c r="U231" s="285"/>
      <c r="V231" s="286"/>
      <c r="W231" s="136"/>
      <c r="X231" s="136"/>
      <c r="Y231" s="136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O231" s="138"/>
      <c r="AQ231" s="127"/>
      <c r="AR231" s="127"/>
      <c r="AS231" s="127"/>
      <c r="AT231" s="127"/>
      <c r="AU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M231" s="127"/>
      <c r="CN231" s="127"/>
      <c r="CO231" s="127"/>
      <c r="CP231" s="127"/>
      <c r="CQ231" s="127"/>
    </row>
    <row r="232" spans="2:95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Q232" s="127"/>
      <c r="AR232" s="127"/>
      <c r="AS232" s="127"/>
      <c r="AT232" s="127"/>
      <c r="AU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M232" s="127"/>
      <c r="CN232" s="127"/>
      <c r="CO232" s="127"/>
      <c r="CP232" s="127"/>
      <c r="CQ232" s="127"/>
    </row>
    <row r="233" spans="2:95" ht="144.4"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" t="s">
        <v>440</v>
      </c>
      <c r="S233" s="102" t="s">
        <v>11</v>
      </c>
      <c r="T233" s="102" t="s">
        <v>243</v>
      </c>
      <c r="U233" s="102" t="s">
        <v>256</v>
      </c>
      <c r="V233" s="102" t="s">
        <v>171</v>
      </c>
      <c r="W233" s="102" t="s">
        <v>217</v>
      </c>
      <c r="X233" s="102" t="s">
        <v>230</v>
      </c>
      <c r="Y233" s="102" t="s">
        <v>7</v>
      </c>
      <c r="Z233" s="102" t="s">
        <v>10</v>
      </c>
      <c r="AA233" s="102" t="s">
        <v>14</v>
      </c>
      <c r="AB233" s="102" t="s">
        <v>333</v>
      </c>
      <c r="AC233" s="102" t="s">
        <v>255</v>
      </c>
      <c r="AD233" s="102" t="s">
        <v>32</v>
      </c>
      <c r="AE233" s="102" t="s">
        <v>503</v>
      </c>
      <c r="AF233" s="102" t="s">
        <v>160</v>
      </c>
      <c r="AG233" s="102" t="s">
        <v>229</v>
      </c>
      <c r="AH233" s="102" t="s">
        <v>9</v>
      </c>
      <c r="AI233" s="102" t="s">
        <v>12</v>
      </c>
      <c r="AJ233" s="102" t="s">
        <v>221</v>
      </c>
      <c r="AK233" s="102" t="s">
        <v>158</v>
      </c>
      <c r="AL233" s="102" t="s">
        <v>326</v>
      </c>
      <c r="AM233" s="102" t="s">
        <v>269</v>
      </c>
      <c r="AN233" s="102" t="s">
        <v>8</v>
      </c>
      <c r="AO233" s="102" t="s">
        <v>228</v>
      </c>
      <c r="AQ233" s="127"/>
      <c r="AR233" s="127"/>
      <c r="AS233" s="127"/>
      <c r="AT233" s="127"/>
      <c r="AU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M233" s="127"/>
      <c r="CN233" s="127"/>
      <c r="CO233" s="127"/>
      <c r="CP233" s="127"/>
      <c r="CQ233" s="127"/>
    </row>
    <row r="234" spans="2:95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03" t="s">
        <v>385</v>
      </c>
      <c r="S234" s="284" cm="1">
        <f t="array" ref="S234:AO247">TRANSPOSE(C4:P4)*S184:AO190</f>
        <v>1542453515.3195436</v>
      </c>
      <c r="T234" s="284">
        <v>0</v>
      </c>
      <c r="U234" s="284">
        <v>43831387246.907776</v>
      </c>
      <c r="V234" s="284">
        <v>17206205525.649784</v>
      </c>
      <c r="W234" s="284">
        <v>0</v>
      </c>
      <c r="X234" s="284">
        <v>0</v>
      </c>
      <c r="Y234" s="284">
        <v>45629063994.803818</v>
      </c>
      <c r="Z234" s="284">
        <v>27547689771.641712</v>
      </c>
      <c r="AA234" s="284">
        <v>11882175809.65239</v>
      </c>
      <c r="AB234" s="284">
        <v>0</v>
      </c>
      <c r="AC234" s="284">
        <v>297815755598</v>
      </c>
      <c r="AD234" s="136">
        <v>0</v>
      </c>
      <c r="AE234" s="136">
        <v>112957567362.30634</v>
      </c>
      <c r="AF234" s="136">
        <v>0</v>
      </c>
      <c r="AG234" s="136">
        <v>453123600.08234024</v>
      </c>
      <c r="AH234" s="136">
        <v>4216004269.7128735</v>
      </c>
      <c r="AI234" s="136">
        <v>0</v>
      </c>
      <c r="AJ234" s="136">
        <v>3160745797.5024605</v>
      </c>
      <c r="AK234" s="136">
        <v>0</v>
      </c>
      <c r="AL234" s="138">
        <v>0</v>
      </c>
      <c r="AM234" s="138">
        <v>187047182031.5209</v>
      </c>
      <c r="AN234" s="138">
        <v>0</v>
      </c>
      <c r="AO234" s="138" t="e">
        <v>#N/A</v>
      </c>
      <c r="AQ234" s="127"/>
      <c r="AR234" s="127"/>
      <c r="AS234" s="127"/>
      <c r="AT234" s="127"/>
      <c r="AU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M234" s="127"/>
      <c r="CN234" s="127"/>
      <c r="CO234" s="127"/>
      <c r="CP234" s="127"/>
      <c r="CQ234" s="127"/>
    </row>
    <row r="235" spans="2:95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03" t="s">
        <v>330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6">
        <v>634109177813.11987</v>
      </c>
      <c r="Y235" s="136">
        <v>2946549565.0796804</v>
      </c>
      <c r="Z235" s="136">
        <v>0</v>
      </c>
      <c r="AA235" s="136">
        <v>0</v>
      </c>
      <c r="AB235" s="136">
        <v>0</v>
      </c>
      <c r="AC235" s="136">
        <v>0</v>
      </c>
      <c r="AD235" s="136">
        <v>153503935565.02481</v>
      </c>
      <c r="AE235" s="136">
        <v>0</v>
      </c>
      <c r="AF235" s="136">
        <v>272426653324.21042</v>
      </c>
      <c r="AG235" s="136">
        <v>0</v>
      </c>
      <c r="AH235" s="136">
        <v>43536396372.314186</v>
      </c>
      <c r="AI235" s="136">
        <v>0</v>
      </c>
      <c r="AJ235" s="136">
        <v>0</v>
      </c>
      <c r="AK235" s="136">
        <v>0</v>
      </c>
      <c r="AL235" s="136">
        <v>0</v>
      </c>
      <c r="AM235" s="136">
        <v>405256179098.01141</v>
      </c>
      <c r="AN235" s="136">
        <v>4274605235730.7295</v>
      </c>
      <c r="AO235" s="136" t="e">
        <v>#N/A</v>
      </c>
      <c r="AQ235" s="127"/>
      <c r="AR235" s="127"/>
      <c r="AS235" s="127"/>
      <c r="AT235" s="127"/>
      <c r="AU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M235" s="127"/>
      <c r="CN235" s="127"/>
      <c r="CO235" s="127"/>
      <c r="CP235" s="127"/>
      <c r="CQ235" s="127"/>
    </row>
    <row r="236" spans="2:95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03" t="s">
        <v>331</v>
      </c>
      <c r="S236" s="136" t="e">
        <v>#N/A</v>
      </c>
      <c r="T236" s="136" t="e">
        <v>#N/A</v>
      </c>
      <c r="U236" s="285" t="e">
        <v>#N/A</v>
      </c>
      <c r="V236" s="286" t="e">
        <v>#N/A</v>
      </c>
      <c r="W236" s="136" t="e">
        <v>#N/A</v>
      </c>
      <c r="X236" s="136" t="e">
        <v>#N/A</v>
      </c>
      <c r="Y236" s="136" t="e">
        <v>#N/A</v>
      </c>
      <c r="Z236" s="138" t="e">
        <v>#N/A</v>
      </c>
      <c r="AA236" s="138" t="e">
        <v>#N/A</v>
      </c>
      <c r="AB236" s="138" t="e">
        <v>#N/A</v>
      </c>
      <c r="AC236" s="138" t="e">
        <v>#N/A</v>
      </c>
      <c r="AD236" s="138" t="e">
        <v>#N/A</v>
      </c>
      <c r="AE236" s="138" t="e">
        <v>#N/A</v>
      </c>
      <c r="AF236" s="138" t="e">
        <v>#N/A</v>
      </c>
      <c r="AG236" s="138" t="e">
        <v>#N/A</v>
      </c>
      <c r="AH236" s="138" t="e">
        <v>#N/A</v>
      </c>
      <c r="AI236" s="138" t="e">
        <v>#N/A</v>
      </c>
      <c r="AJ236" s="138" t="e">
        <v>#N/A</v>
      </c>
      <c r="AK236" s="138" t="e">
        <v>#N/A</v>
      </c>
      <c r="AL236" s="138" t="e">
        <v>#N/A</v>
      </c>
      <c r="AM236" s="138" t="e">
        <v>#N/A</v>
      </c>
      <c r="AN236" s="138" t="e">
        <v>#N/A</v>
      </c>
      <c r="AO236" s="138" t="e">
        <v>#N/A</v>
      </c>
      <c r="AQ236" s="127"/>
      <c r="AR236" s="127"/>
      <c r="AS236" s="127"/>
      <c r="AT236" s="127"/>
      <c r="AU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M236" s="127"/>
      <c r="CN236" s="127"/>
      <c r="CO236" s="127"/>
      <c r="CP236" s="127"/>
      <c r="CQ236" s="127"/>
    </row>
    <row r="237" spans="2:95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03" t="s">
        <v>332</v>
      </c>
      <c r="S237" s="136" t="e">
        <v>#N/A</v>
      </c>
      <c r="T237" s="136" t="e">
        <v>#N/A</v>
      </c>
      <c r="U237" s="285" t="e">
        <v>#N/A</v>
      </c>
      <c r="V237" s="286" t="e">
        <v>#N/A</v>
      </c>
      <c r="W237" s="136" t="e">
        <v>#N/A</v>
      </c>
      <c r="X237" s="136" t="e">
        <v>#N/A</v>
      </c>
      <c r="Y237" s="136" t="e">
        <v>#N/A</v>
      </c>
      <c r="Z237" s="138" t="e">
        <v>#N/A</v>
      </c>
      <c r="AA237" s="138" t="e">
        <v>#N/A</v>
      </c>
      <c r="AB237" s="138" t="e">
        <v>#N/A</v>
      </c>
      <c r="AC237" s="138" t="e">
        <v>#N/A</v>
      </c>
      <c r="AD237" s="138" t="e">
        <v>#N/A</v>
      </c>
      <c r="AE237" s="138" t="e">
        <v>#N/A</v>
      </c>
      <c r="AF237" s="138" t="e">
        <v>#N/A</v>
      </c>
      <c r="AG237" s="138" t="e">
        <v>#N/A</v>
      </c>
      <c r="AH237" s="138" t="e">
        <v>#N/A</v>
      </c>
      <c r="AI237" s="138" t="e">
        <v>#N/A</v>
      </c>
      <c r="AJ237" s="138" t="e">
        <v>#N/A</v>
      </c>
      <c r="AK237" s="138" t="e">
        <v>#N/A</v>
      </c>
      <c r="AL237" s="138" t="e">
        <v>#N/A</v>
      </c>
      <c r="AM237" s="138" t="e">
        <v>#N/A</v>
      </c>
      <c r="AN237" s="138" t="e">
        <v>#N/A</v>
      </c>
      <c r="AO237" s="138" t="e">
        <v>#N/A</v>
      </c>
      <c r="AQ237" s="127"/>
      <c r="AR237" s="127"/>
      <c r="AS237" s="127"/>
      <c r="AT237" s="127"/>
      <c r="AU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M237" s="127"/>
      <c r="CN237" s="127"/>
      <c r="CO237" s="127"/>
      <c r="CP237" s="127"/>
      <c r="CQ237" s="127"/>
    </row>
    <row r="238" spans="2:95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03" t="s">
        <v>290</v>
      </c>
      <c r="S238" s="136">
        <v>0</v>
      </c>
      <c r="T238" s="136">
        <v>0</v>
      </c>
      <c r="U238" s="285">
        <v>0</v>
      </c>
      <c r="V238" s="286">
        <v>0</v>
      </c>
      <c r="W238" s="136">
        <v>0</v>
      </c>
      <c r="X238" s="136">
        <v>0</v>
      </c>
      <c r="Y238" s="136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0</v>
      </c>
      <c r="AG238" s="138">
        <v>0</v>
      </c>
      <c r="AH238" s="138">
        <v>0</v>
      </c>
      <c r="AI238" s="138">
        <v>0</v>
      </c>
      <c r="AJ238" s="138">
        <v>0</v>
      </c>
      <c r="AK238" s="138">
        <v>0</v>
      </c>
      <c r="AL238" s="138">
        <v>0</v>
      </c>
      <c r="AM238" s="138">
        <v>0</v>
      </c>
      <c r="AN238" s="138">
        <v>0</v>
      </c>
      <c r="AO238" s="138" t="e">
        <v>#N/A</v>
      </c>
      <c r="AQ238" s="127"/>
      <c r="AR238" s="127"/>
      <c r="AS238" s="127"/>
      <c r="AT238" s="127"/>
      <c r="AU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M238" s="127"/>
      <c r="CN238" s="127"/>
      <c r="CO238" s="127"/>
      <c r="CP238" s="127"/>
      <c r="CQ238" s="127"/>
    </row>
    <row r="239" spans="2:95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03" t="s">
        <v>375</v>
      </c>
      <c r="S239" s="136">
        <v>0</v>
      </c>
      <c r="T239" s="136">
        <v>0</v>
      </c>
      <c r="U239" s="285">
        <v>0</v>
      </c>
      <c r="V239" s="286">
        <v>0</v>
      </c>
      <c r="W239" s="136">
        <v>0</v>
      </c>
      <c r="X239" s="136">
        <v>0</v>
      </c>
      <c r="Y239" s="136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0</v>
      </c>
      <c r="AE239" s="138">
        <v>0</v>
      </c>
      <c r="AF239" s="138">
        <v>0</v>
      </c>
      <c r="AG239" s="138">
        <v>0</v>
      </c>
      <c r="AH239" s="138">
        <v>0</v>
      </c>
      <c r="AI239" s="138">
        <v>0</v>
      </c>
      <c r="AJ239" s="138">
        <v>0</v>
      </c>
      <c r="AK239" s="138">
        <v>0</v>
      </c>
      <c r="AL239" s="138">
        <v>0</v>
      </c>
      <c r="AM239" s="138">
        <v>0</v>
      </c>
      <c r="AN239" s="138">
        <v>0</v>
      </c>
      <c r="AO239" s="138" t="e">
        <v>#N/A</v>
      </c>
      <c r="AQ239" s="127"/>
      <c r="AR239" s="127"/>
      <c r="AS239" s="127"/>
      <c r="AT239" s="127"/>
      <c r="AU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M239" s="127"/>
      <c r="CN239" s="127"/>
      <c r="CO239" s="127"/>
      <c r="CP239" s="127"/>
      <c r="CQ239" s="127"/>
    </row>
    <row r="240" spans="2:95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19" t="s">
        <v>370</v>
      </c>
      <c r="S240" s="136">
        <v>0</v>
      </c>
      <c r="T240" s="136">
        <v>0</v>
      </c>
      <c r="U240" s="285">
        <v>0</v>
      </c>
      <c r="V240" s="286">
        <v>0</v>
      </c>
      <c r="W240" s="136">
        <v>0</v>
      </c>
      <c r="X240" s="136">
        <v>0</v>
      </c>
      <c r="Y240" s="136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0</v>
      </c>
      <c r="AG240" s="138">
        <v>0</v>
      </c>
      <c r="AH240" s="138">
        <v>0</v>
      </c>
      <c r="AI240" s="138">
        <v>0</v>
      </c>
      <c r="AJ240" s="138">
        <v>0</v>
      </c>
      <c r="AK240" s="138">
        <v>0</v>
      </c>
      <c r="AL240" s="138">
        <v>0</v>
      </c>
      <c r="AM240" s="138">
        <v>0</v>
      </c>
      <c r="AN240" s="138">
        <v>0</v>
      </c>
      <c r="AO240" s="138" t="e">
        <v>#N/A</v>
      </c>
      <c r="AQ240" s="127"/>
      <c r="AR240" s="127"/>
      <c r="AS240" s="127"/>
      <c r="AT240" s="127"/>
      <c r="AU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M240" s="127"/>
      <c r="CN240" s="127"/>
      <c r="CO240" s="127"/>
      <c r="CP240" s="127"/>
      <c r="CQ240" s="127"/>
    </row>
    <row r="241" spans="2:95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 t="e">
        <v>#N/A</v>
      </c>
      <c r="T241" s="127" t="e">
        <v>#N/A</v>
      </c>
      <c r="U241" s="127" t="e">
        <v>#N/A</v>
      </c>
      <c r="V241" s="127" t="e">
        <v>#N/A</v>
      </c>
      <c r="W241" s="127" t="e">
        <v>#N/A</v>
      </c>
      <c r="X241" s="127" t="e">
        <v>#N/A</v>
      </c>
      <c r="Y241" s="127" t="e">
        <v>#N/A</v>
      </c>
      <c r="Z241" s="127" t="e">
        <v>#N/A</v>
      </c>
      <c r="AA241" s="127" t="e">
        <v>#N/A</v>
      </c>
      <c r="AB241" s="127" t="e">
        <v>#N/A</v>
      </c>
      <c r="AC241" s="127" t="e">
        <v>#N/A</v>
      </c>
      <c r="AD241" s="127" t="e">
        <v>#N/A</v>
      </c>
      <c r="AE241" s="127" t="e">
        <v>#N/A</v>
      </c>
      <c r="AF241" s="127" t="e">
        <v>#N/A</v>
      </c>
      <c r="AG241" s="127" t="e">
        <v>#N/A</v>
      </c>
      <c r="AH241" s="127" t="e">
        <v>#N/A</v>
      </c>
      <c r="AI241" s="127" t="e">
        <v>#N/A</v>
      </c>
      <c r="AJ241" s="127" t="e">
        <v>#N/A</v>
      </c>
      <c r="AK241" s="127" t="e">
        <v>#N/A</v>
      </c>
      <c r="AL241" s="127" t="e">
        <v>#N/A</v>
      </c>
      <c r="AM241" s="127" t="e">
        <v>#N/A</v>
      </c>
      <c r="AN241" s="127" t="e">
        <v>#N/A</v>
      </c>
      <c r="AO241" s="127" t="e">
        <v>#N/A</v>
      </c>
      <c r="AQ241" s="127"/>
      <c r="AR241" s="127"/>
      <c r="AS241" s="127"/>
      <c r="AT241" s="127"/>
      <c r="AU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M241" s="127"/>
      <c r="CN241" s="127"/>
      <c r="CO241" s="127"/>
      <c r="CP241" s="127"/>
      <c r="CQ241" s="127"/>
    </row>
    <row r="242" spans="2:95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 t="e">
        <v>#N/A</v>
      </c>
      <c r="T242" s="127" t="e">
        <v>#N/A</v>
      </c>
      <c r="U242" s="127" t="e">
        <v>#N/A</v>
      </c>
      <c r="V242" s="127" t="e">
        <v>#N/A</v>
      </c>
      <c r="W242" s="127" t="e">
        <v>#N/A</v>
      </c>
      <c r="X242" s="127" t="e">
        <v>#N/A</v>
      </c>
      <c r="Y242" s="127" t="e">
        <v>#N/A</v>
      </c>
      <c r="Z242" s="127" t="e">
        <v>#N/A</v>
      </c>
      <c r="AA242" s="127" t="e">
        <v>#N/A</v>
      </c>
      <c r="AB242" s="127" t="e">
        <v>#N/A</v>
      </c>
      <c r="AC242" s="127" t="e">
        <v>#N/A</v>
      </c>
      <c r="AD242" s="127" t="e">
        <v>#N/A</v>
      </c>
      <c r="AE242" s="127" t="e">
        <v>#N/A</v>
      </c>
      <c r="AF242" s="127" t="e">
        <v>#N/A</v>
      </c>
      <c r="AG242" s="127" t="e">
        <v>#N/A</v>
      </c>
      <c r="AH242" s="127" t="e">
        <v>#N/A</v>
      </c>
      <c r="AI242" s="127" t="e">
        <v>#N/A</v>
      </c>
      <c r="AJ242" s="127" t="e">
        <v>#N/A</v>
      </c>
      <c r="AK242" s="127" t="e">
        <v>#N/A</v>
      </c>
      <c r="AL242" s="127" t="e">
        <v>#N/A</v>
      </c>
      <c r="AM242" s="127" t="e">
        <v>#N/A</v>
      </c>
      <c r="AN242" s="127" t="e">
        <v>#N/A</v>
      </c>
      <c r="AO242" s="127" t="e">
        <v>#N/A</v>
      </c>
      <c r="AQ242" s="127"/>
      <c r="AR242" s="127"/>
      <c r="AS242" s="127"/>
      <c r="AT242" s="127"/>
      <c r="AU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M242" s="127"/>
      <c r="CN242" s="127"/>
      <c r="CO242" s="127"/>
      <c r="CP242" s="127"/>
      <c r="CQ242" s="127"/>
    </row>
    <row r="243" spans="2:95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 t="e">
        <v>#N/A</v>
      </c>
      <c r="T243" s="127" t="e">
        <v>#N/A</v>
      </c>
      <c r="U243" s="127" t="e">
        <v>#N/A</v>
      </c>
      <c r="V243" s="127" t="e">
        <v>#N/A</v>
      </c>
      <c r="W243" s="127" t="e">
        <v>#N/A</v>
      </c>
      <c r="X243" s="127" t="e">
        <v>#N/A</v>
      </c>
      <c r="Y243" s="127" t="e">
        <v>#N/A</v>
      </c>
      <c r="Z243" s="127" t="e">
        <v>#N/A</v>
      </c>
      <c r="AA243" s="127" t="e">
        <v>#N/A</v>
      </c>
      <c r="AB243" s="127" t="e">
        <v>#N/A</v>
      </c>
      <c r="AC243" s="127" t="e">
        <v>#N/A</v>
      </c>
      <c r="AD243" s="127" t="e">
        <v>#N/A</v>
      </c>
      <c r="AE243" s="127" t="e">
        <v>#N/A</v>
      </c>
      <c r="AF243" s="127" t="e">
        <v>#N/A</v>
      </c>
      <c r="AG243" s="127" t="e">
        <v>#N/A</v>
      </c>
      <c r="AH243" s="127" t="e">
        <v>#N/A</v>
      </c>
      <c r="AI243" s="127" t="e">
        <v>#N/A</v>
      </c>
      <c r="AJ243" s="127" t="e">
        <v>#N/A</v>
      </c>
      <c r="AK243" s="127" t="e">
        <v>#N/A</v>
      </c>
      <c r="AL243" s="127" t="e">
        <v>#N/A</v>
      </c>
      <c r="AM243" s="127" t="e">
        <v>#N/A</v>
      </c>
      <c r="AN243" s="127" t="e">
        <v>#N/A</v>
      </c>
      <c r="AO243" s="127" t="e">
        <v>#N/A</v>
      </c>
      <c r="AQ243" s="127"/>
      <c r="AR243" s="127"/>
      <c r="AS243" s="127"/>
      <c r="AT243" s="127"/>
      <c r="AU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M243" s="127"/>
      <c r="CN243" s="127"/>
      <c r="CO243" s="127"/>
      <c r="CP243" s="127"/>
      <c r="CQ243" s="127"/>
    </row>
    <row r="244" spans="2:95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 t="e">
        <v>#N/A</v>
      </c>
      <c r="T244" s="127" t="e">
        <v>#N/A</v>
      </c>
      <c r="U244" s="127" t="e">
        <v>#N/A</v>
      </c>
      <c r="V244" s="127" t="e">
        <v>#N/A</v>
      </c>
      <c r="W244" s="127" t="e">
        <v>#N/A</v>
      </c>
      <c r="X244" s="127" t="e">
        <v>#N/A</v>
      </c>
      <c r="Y244" s="127" t="e">
        <v>#N/A</v>
      </c>
      <c r="Z244" s="127" t="e">
        <v>#N/A</v>
      </c>
      <c r="AA244" s="127" t="e">
        <v>#N/A</v>
      </c>
      <c r="AB244" s="127" t="e">
        <v>#N/A</v>
      </c>
      <c r="AC244" s="127" t="e">
        <v>#N/A</v>
      </c>
      <c r="AD244" s="127" t="e">
        <v>#N/A</v>
      </c>
      <c r="AE244" s="127" t="e">
        <v>#N/A</v>
      </c>
      <c r="AF244" s="127" t="e">
        <v>#N/A</v>
      </c>
      <c r="AG244" s="127" t="e">
        <v>#N/A</v>
      </c>
      <c r="AH244" s="127" t="e">
        <v>#N/A</v>
      </c>
      <c r="AI244" s="127" t="e">
        <v>#N/A</v>
      </c>
      <c r="AJ244" s="127" t="e">
        <v>#N/A</v>
      </c>
      <c r="AK244" s="127" t="e">
        <v>#N/A</v>
      </c>
      <c r="AL244" s="127" t="e">
        <v>#N/A</v>
      </c>
      <c r="AM244" s="127" t="e">
        <v>#N/A</v>
      </c>
      <c r="AN244" s="127" t="e">
        <v>#N/A</v>
      </c>
      <c r="AO244" s="127" t="e">
        <v>#N/A</v>
      </c>
      <c r="AQ244" s="127"/>
      <c r="AR244" s="127"/>
      <c r="AS244" s="127"/>
      <c r="AT244" s="127"/>
      <c r="AU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J244" s="127"/>
      <c r="CK244" s="127"/>
      <c r="CM244" s="127"/>
      <c r="CN244" s="127"/>
      <c r="CO244" s="127"/>
      <c r="CP244" s="127"/>
      <c r="CQ244" s="127"/>
    </row>
    <row r="245" spans="2:95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 t="e">
        <v>#N/A</v>
      </c>
      <c r="T245" s="127" t="e">
        <v>#N/A</v>
      </c>
      <c r="U245" s="127" t="e">
        <v>#N/A</v>
      </c>
      <c r="V245" s="127" t="e">
        <v>#N/A</v>
      </c>
      <c r="W245" s="127" t="e">
        <v>#N/A</v>
      </c>
      <c r="X245" s="127" t="e">
        <v>#N/A</v>
      </c>
      <c r="Y245" s="127" t="e">
        <v>#N/A</v>
      </c>
      <c r="Z245" s="127" t="e">
        <v>#N/A</v>
      </c>
      <c r="AA245" s="127" t="e">
        <v>#N/A</v>
      </c>
      <c r="AB245" s="127" t="e">
        <v>#N/A</v>
      </c>
      <c r="AC245" s="127" t="e">
        <v>#N/A</v>
      </c>
      <c r="AD245" s="127" t="e">
        <v>#N/A</v>
      </c>
      <c r="AE245" s="127" t="e">
        <v>#N/A</v>
      </c>
      <c r="AF245" s="127" t="e">
        <v>#N/A</v>
      </c>
      <c r="AG245" s="127" t="e">
        <v>#N/A</v>
      </c>
      <c r="AH245" s="127" t="e">
        <v>#N/A</v>
      </c>
      <c r="AI245" s="127" t="e">
        <v>#N/A</v>
      </c>
      <c r="AJ245" s="127" t="e">
        <v>#N/A</v>
      </c>
      <c r="AK245" s="127" t="e">
        <v>#N/A</v>
      </c>
      <c r="AL245" s="127" t="e">
        <v>#N/A</v>
      </c>
      <c r="AM245" s="127" t="e">
        <v>#N/A</v>
      </c>
      <c r="AN245" s="127" t="e">
        <v>#N/A</v>
      </c>
      <c r="AO245" s="127" t="e">
        <v>#N/A</v>
      </c>
      <c r="AQ245" s="127"/>
      <c r="AR245" s="127"/>
      <c r="AS245" s="127"/>
      <c r="AT245" s="127"/>
      <c r="AU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J245" s="127"/>
      <c r="CK245" s="127"/>
      <c r="CM245" s="127"/>
      <c r="CN245" s="127"/>
      <c r="CO245" s="127"/>
      <c r="CP245" s="127"/>
      <c r="CQ245" s="127"/>
    </row>
    <row r="246" spans="2:95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 t="e">
        <v>#N/A</v>
      </c>
      <c r="T246" s="127" t="e">
        <v>#N/A</v>
      </c>
      <c r="U246" s="127" t="e">
        <v>#N/A</v>
      </c>
      <c r="V246" s="127" t="e">
        <v>#N/A</v>
      </c>
      <c r="W246" s="127" t="e">
        <v>#N/A</v>
      </c>
      <c r="X246" s="127" t="e">
        <v>#N/A</v>
      </c>
      <c r="Y246" s="127" t="e">
        <v>#N/A</v>
      </c>
      <c r="Z246" s="127" t="e">
        <v>#N/A</v>
      </c>
      <c r="AA246" s="127" t="e">
        <v>#N/A</v>
      </c>
      <c r="AB246" s="127" t="e">
        <v>#N/A</v>
      </c>
      <c r="AC246" s="127" t="e">
        <v>#N/A</v>
      </c>
      <c r="AD246" s="127" t="e">
        <v>#N/A</v>
      </c>
      <c r="AE246" s="127" t="e">
        <v>#N/A</v>
      </c>
      <c r="AF246" s="127" t="e">
        <v>#N/A</v>
      </c>
      <c r="AG246" s="127" t="e">
        <v>#N/A</v>
      </c>
      <c r="AH246" s="127" t="e">
        <v>#N/A</v>
      </c>
      <c r="AI246" s="127" t="e">
        <v>#N/A</v>
      </c>
      <c r="AJ246" s="127" t="e">
        <v>#N/A</v>
      </c>
      <c r="AK246" s="127" t="e">
        <v>#N/A</v>
      </c>
      <c r="AL246" s="127" t="e">
        <v>#N/A</v>
      </c>
      <c r="AM246" s="127" t="e">
        <v>#N/A</v>
      </c>
      <c r="AN246" s="127" t="e">
        <v>#N/A</v>
      </c>
      <c r="AO246" s="127" t="e">
        <v>#N/A</v>
      </c>
      <c r="AQ246" s="127"/>
      <c r="AR246" s="127"/>
      <c r="AS246" s="127"/>
      <c r="AT246" s="127"/>
      <c r="AU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J246" s="127"/>
      <c r="CK246" s="127"/>
      <c r="CM246" s="127"/>
      <c r="CN246" s="127"/>
      <c r="CO246" s="127"/>
      <c r="CP246" s="127"/>
      <c r="CQ246" s="127"/>
    </row>
    <row r="247" spans="2:95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 t="e">
        <v>#N/A</v>
      </c>
      <c r="T247" s="127" t="e">
        <v>#N/A</v>
      </c>
      <c r="U247" s="127" t="e">
        <v>#N/A</v>
      </c>
      <c r="V247" s="127" t="e">
        <v>#N/A</v>
      </c>
      <c r="W247" s="127" t="e">
        <v>#N/A</v>
      </c>
      <c r="X247" s="127" t="e">
        <v>#N/A</v>
      </c>
      <c r="Y247" s="127" t="e">
        <v>#N/A</v>
      </c>
      <c r="Z247" s="127" t="e">
        <v>#N/A</v>
      </c>
      <c r="AA247" s="127" t="e">
        <v>#N/A</v>
      </c>
      <c r="AB247" s="127" t="e">
        <v>#N/A</v>
      </c>
      <c r="AC247" s="127" t="e">
        <v>#N/A</v>
      </c>
      <c r="AD247" s="127" t="e">
        <v>#N/A</v>
      </c>
      <c r="AE247" s="127" t="e">
        <v>#N/A</v>
      </c>
      <c r="AF247" s="127" t="e">
        <v>#N/A</v>
      </c>
      <c r="AG247" s="127" t="e">
        <v>#N/A</v>
      </c>
      <c r="AH247" s="127" t="e">
        <v>#N/A</v>
      </c>
      <c r="AI247" s="127" t="e">
        <v>#N/A</v>
      </c>
      <c r="AJ247" s="127" t="e">
        <v>#N/A</v>
      </c>
      <c r="AK247" s="127" t="e">
        <v>#N/A</v>
      </c>
      <c r="AL247" s="127" t="e">
        <v>#N/A</v>
      </c>
      <c r="AM247" s="127" t="e">
        <v>#N/A</v>
      </c>
      <c r="AN247" s="127" t="e">
        <v>#N/A</v>
      </c>
      <c r="AO247" s="127" t="e">
        <v>#N/A</v>
      </c>
      <c r="AQ247" s="127"/>
      <c r="AR247" s="127"/>
      <c r="AS247" s="127"/>
      <c r="AT247" s="127"/>
      <c r="AU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J247" s="127"/>
      <c r="CK247" s="127"/>
      <c r="CM247" s="127"/>
      <c r="CN247" s="127"/>
      <c r="CO247" s="127"/>
      <c r="CP247" s="127"/>
      <c r="CQ247" s="127"/>
    </row>
    <row r="248" spans="2:95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Q248" s="127"/>
      <c r="AR248" s="127"/>
      <c r="AS248" s="127"/>
      <c r="AT248" s="127"/>
      <c r="AU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J248" s="127"/>
      <c r="CK248" s="127"/>
      <c r="CM248" s="127"/>
      <c r="CN248" s="127"/>
      <c r="CO248" s="127"/>
      <c r="CP248" s="127"/>
      <c r="CQ248" s="127"/>
    </row>
    <row r="249" spans="2:95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Q249" s="127"/>
      <c r="AR249" s="127"/>
      <c r="AS249" s="127"/>
      <c r="AT249" s="127"/>
      <c r="AU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J249" s="127"/>
      <c r="CK249" s="127"/>
      <c r="CM249" s="127"/>
      <c r="CN249" s="127"/>
      <c r="CO249" s="127"/>
      <c r="CP249" s="127"/>
      <c r="CQ249" s="127"/>
    </row>
    <row r="250" spans="2:95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Q250" s="127"/>
      <c r="AR250" s="127"/>
      <c r="AS250" s="127"/>
      <c r="AT250" s="127"/>
      <c r="AU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J250" s="127"/>
      <c r="CK250" s="127"/>
      <c r="CM250" s="127"/>
      <c r="CN250" s="127"/>
      <c r="CO250" s="127"/>
      <c r="CP250" s="127"/>
      <c r="CQ250" s="127"/>
    </row>
    <row r="251" spans="2:95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Q251" s="127"/>
      <c r="AR251" s="127"/>
      <c r="AS251" s="127"/>
      <c r="AT251" s="127"/>
      <c r="AU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J251" s="127"/>
      <c r="CK251" s="127"/>
      <c r="CM251" s="127"/>
      <c r="CN251" s="127"/>
      <c r="CO251" s="127"/>
      <c r="CP251" s="127"/>
      <c r="CQ251" s="127"/>
    </row>
    <row r="252" spans="2:95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Q252" s="127"/>
      <c r="AR252" s="127"/>
      <c r="AS252" s="127"/>
      <c r="AT252" s="127"/>
      <c r="AU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J252" s="127"/>
      <c r="CK252" s="127"/>
      <c r="CM252" s="127"/>
      <c r="CN252" s="127"/>
      <c r="CO252" s="127"/>
      <c r="CP252" s="127"/>
      <c r="CQ252" s="127"/>
    </row>
    <row r="253" spans="2:95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Q253" s="127"/>
      <c r="AR253" s="127"/>
      <c r="AS253" s="127"/>
      <c r="AT253" s="127"/>
      <c r="AU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M253" s="127"/>
      <c r="CN253" s="127"/>
      <c r="CO253" s="127"/>
      <c r="CP253" s="127"/>
      <c r="CQ253" s="127"/>
    </row>
    <row r="254" spans="2:95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Q254" s="127"/>
      <c r="AR254" s="127"/>
      <c r="AS254" s="127"/>
      <c r="AT254" s="127"/>
      <c r="AU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M254" s="127"/>
      <c r="CN254" s="127"/>
      <c r="CO254" s="127"/>
      <c r="CP254" s="127"/>
      <c r="CQ254" s="127"/>
    </row>
    <row r="255" spans="2:95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Q255" s="127"/>
      <c r="AR255" s="127"/>
      <c r="AS255" s="127"/>
      <c r="AT255" s="127"/>
      <c r="AU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J255" s="127"/>
      <c r="CK255" s="127"/>
      <c r="CM255" s="127"/>
      <c r="CN255" s="127"/>
      <c r="CO255" s="127"/>
      <c r="CP255" s="127"/>
      <c r="CQ255" s="127"/>
    </row>
    <row r="256" spans="2:95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Q256" s="127"/>
      <c r="AR256" s="127"/>
      <c r="AS256" s="127"/>
      <c r="AT256" s="127"/>
      <c r="AU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J256" s="127"/>
      <c r="CK256" s="127"/>
      <c r="CM256" s="127"/>
      <c r="CN256" s="127"/>
      <c r="CO256" s="127"/>
      <c r="CP256" s="127"/>
      <c r="CQ256" s="127"/>
    </row>
    <row r="257" spans="2:95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Q257" s="127"/>
      <c r="AR257" s="127"/>
      <c r="AS257" s="127"/>
      <c r="AT257" s="127"/>
      <c r="AU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J257" s="127"/>
      <c r="CK257" s="127"/>
      <c r="CM257" s="127"/>
      <c r="CN257" s="127"/>
      <c r="CO257" s="127"/>
      <c r="CP257" s="127"/>
      <c r="CQ257" s="127"/>
    </row>
    <row r="258" spans="2:95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Q258" s="127"/>
      <c r="AR258" s="127"/>
      <c r="AS258" s="127"/>
      <c r="AT258" s="127"/>
      <c r="AU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J258" s="127"/>
      <c r="CK258" s="127"/>
      <c r="CM258" s="127"/>
      <c r="CN258" s="127"/>
      <c r="CO258" s="127"/>
      <c r="CP258" s="127"/>
      <c r="CQ258" s="127"/>
    </row>
    <row r="259" spans="2:95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Q259" s="127"/>
      <c r="AR259" s="127"/>
      <c r="AS259" s="127"/>
      <c r="AT259" s="127"/>
      <c r="AU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J259" s="127"/>
      <c r="CK259" s="127"/>
      <c r="CM259" s="127"/>
      <c r="CN259" s="127"/>
      <c r="CO259" s="127"/>
      <c r="CP259" s="127"/>
      <c r="CQ259" s="127"/>
    </row>
    <row r="260" spans="2:95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Q260" s="127"/>
      <c r="AR260" s="127"/>
      <c r="AS260" s="127"/>
      <c r="AT260" s="127"/>
      <c r="AU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M260" s="127"/>
      <c r="CN260" s="127"/>
      <c r="CO260" s="127"/>
      <c r="CP260" s="127"/>
      <c r="CQ260" s="127"/>
    </row>
    <row r="261" spans="2:95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Q261" s="127"/>
      <c r="AR261" s="127"/>
      <c r="AS261" s="127"/>
      <c r="AT261" s="127"/>
      <c r="AU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J261" s="127"/>
      <c r="CK261" s="127"/>
      <c r="CM261" s="127"/>
      <c r="CN261" s="127"/>
      <c r="CO261" s="127"/>
      <c r="CP261" s="127"/>
      <c r="CQ261" s="127"/>
    </row>
    <row r="262" spans="2:95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Q262" s="127"/>
      <c r="AR262" s="127"/>
      <c r="AS262" s="127"/>
      <c r="AT262" s="127"/>
      <c r="AU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J262" s="127"/>
      <c r="CK262" s="127"/>
      <c r="CM262" s="127"/>
      <c r="CN262" s="127"/>
      <c r="CO262" s="127"/>
      <c r="CP262" s="127"/>
      <c r="CQ262" s="127"/>
    </row>
    <row r="263" spans="2:95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Q263" s="127"/>
      <c r="AR263" s="127"/>
      <c r="AS263" s="127"/>
      <c r="AT263" s="127"/>
      <c r="AU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J263" s="127"/>
      <c r="CK263" s="127"/>
      <c r="CM263" s="127"/>
      <c r="CN263" s="127"/>
      <c r="CO263" s="127"/>
      <c r="CP263" s="127"/>
      <c r="CQ263" s="127"/>
    </row>
    <row r="264" spans="2:95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Q264" s="127"/>
      <c r="AR264" s="127"/>
      <c r="AS264" s="127"/>
      <c r="AT264" s="127"/>
      <c r="AU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J264" s="127"/>
      <c r="CK264" s="127"/>
      <c r="CM264" s="127"/>
      <c r="CN264" s="127"/>
      <c r="CO264" s="127"/>
      <c r="CP264" s="127"/>
      <c r="CQ264" s="127"/>
    </row>
    <row r="265" spans="2:95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Q265" s="127"/>
      <c r="AR265" s="127"/>
      <c r="AS265" s="127"/>
      <c r="AT265" s="127"/>
      <c r="AU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M265" s="127"/>
      <c r="CN265" s="127"/>
      <c r="CO265" s="127"/>
      <c r="CP265" s="127"/>
      <c r="CQ265" s="127"/>
    </row>
    <row r="266" spans="2:95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Q266" s="127"/>
      <c r="AR266" s="127"/>
      <c r="AS266" s="127"/>
      <c r="AT266" s="127"/>
      <c r="AU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M266" s="127"/>
      <c r="CN266" s="127"/>
      <c r="CO266" s="127"/>
      <c r="CP266" s="127"/>
      <c r="CQ266" s="127"/>
    </row>
    <row r="267" spans="2:95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Q267" s="127"/>
      <c r="AR267" s="127"/>
      <c r="AS267" s="127"/>
      <c r="AT267" s="127"/>
      <c r="AU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J267" s="127"/>
      <c r="CK267" s="127"/>
      <c r="CM267" s="127"/>
      <c r="CN267" s="127"/>
      <c r="CO267" s="127"/>
      <c r="CP267" s="127"/>
      <c r="CQ267" s="127"/>
    </row>
    <row r="268" spans="2:95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Q268" s="127"/>
      <c r="AR268" s="127"/>
      <c r="AS268" s="127"/>
      <c r="AT268" s="127"/>
      <c r="AU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J268" s="127"/>
      <c r="CK268" s="127"/>
      <c r="CM268" s="127"/>
      <c r="CN268" s="127"/>
      <c r="CO268" s="127"/>
      <c r="CP268" s="127"/>
      <c r="CQ268" s="127"/>
    </row>
    <row r="269" spans="2:95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Q269" s="127"/>
      <c r="AR269" s="127"/>
      <c r="AS269" s="127"/>
      <c r="AT269" s="127"/>
      <c r="AU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J269" s="127"/>
      <c r="CK269" s="127"/>
      <c r="CM269" s="127"/>
      <c r="CN269" s="127"/>
      <c r="CO269" s="127"/>
      <c r="CP269" s="127"/>
      <c r="CQ269" s="127"/>
    </row>
    <row r="270" spans="2:95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Q270" s="127"/>
      <c r="AR270" s="127"/>
      <c r="AS270" s="127"/>
      <c r="AT270" s="127"/>
      <c r="AU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J270" s="127"/>
      <c r="CK270" s="127"/>
      <c r="CM270" s="127"/>
      <c r="CN270" s="127"/>
      <c r="CO270" s="127"/>
      <c r="CP270" s="127"/>
      <c r="CQ270" s="127"/>
    </row>
    <row r="271" spans="2:95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Q271" s="127"/>
      <c r="AR271" s="127"/>
      <c r="AS271" s="127"/>
      <c r="AT271" s="127"/>
      <c r="AU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M271" s="127"/>
      <c r="CN271" s="127"/>
      <c r="CO271" s="127"/>
      <c r="CP271" s="127"/>
      <c r="CQ271" s="127"/>
    </row>
    <row r="272" spans="2:95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Q272" s="127"/>
      <c r="AR272" s="127"/>
      <c r="AS272" s="127"/>
      <c r="AT272" s="127"/>
      <c r="AU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M272" s="127"/>
      <c r="CN272" s="127"/>
      <c r="CO272" s="127"/>
      <c r="CP272" s="127"/>
      <c r="CQ272" s="127"/>
    </row>
    <row r="273" spans="2:95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Q273" s="127"/>
      <c r="AR273" s="127"/>
      <c r="AS273" s="127"/>
      <c r="AT273" s="127"/>
      <c r="AU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J273" s="127"/>
      <c r="CK273" s="127"/>
      <c r="CM273" s="127"/>
      <c r="CN273" s="127"/>
      <c r="CO273" s="127"/>
      <c r="CP273" s="127"/>
      <c r="CQ273" s="127"/>
    </row>
    <row r="274" spans="2:95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Q274" s="127"/>
      <c r="AR274" s="127"/>
      <c r="AS274" s="127"/>
      <c r="AT274" s="127"/>
      <c r="AU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J274" s="127"/>
      <c r="CK274" s="127"/>
      <c r="CM274" s="127"/>
      <c r="CN274" s="127"/>
      <c r="CO274" s="127"/>
      <c r="CP274" s="127"/>
      <c r="CQ274" s="127"/>
    </row>
    <row r="275" spans="2:95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Q275" s="127"/>
      <c r="AR275" s="127"/>
      <c r="AS275" s="127"/>
      <c r="AT275" s="127"/>
      <c r="AU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J275" s="127"/>
      <c r="CK275" s="127"/>
      <c r="CM275" s="127"/>
      <c r="CN275" s="127"/>
      <c r="CO275" s="127"/>
      <c r="CP275" s="127"/>
      <c r="CQ275" s="127"/>
    </row>
    <row r="276" spans="2:95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Q276" s="127"/>
      <c r="AR276" s="127"/>
      <c r="AS276" s="127"/>
      <c r="AT276" s="127"/>
      <c r="AU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M276" s="127"/>
      <c r="CN276" s="127"/>
      <c r="CO276" s="127"/>
      <c r="CP276" s="127"/>
      <c r="CQ276" s="127"/>
    </row>
    <row r="277" spans="2:95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Q277" s="127"/>
      <c r="AR277" s="127"/>
      <c r="AS277" s="127"/>
      <c r="AT277" s="127"/>
      <c r="AU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M277" s="127"/>
      <c r="CN277" s="127"/>
      <c r="CO277" s="127"/>
      <c r="CP277" s="127"/>
      <c r="CQ277" s="127"/>
    </row>
    <row r="278" spans="2:95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Q278" s="127"/>
      <c r="AR278" s="127"/>
      <c r="AS278" s="127"/>
      <c r="AT278" s="127"/>
      <c r="AU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J278" s="127"/>
      <c r="CK278" s="127"/>
      <c r="CM278" s="127"/>
      <c r="CN278" s="127"/>
      <c r="CO278" s="127"/>
      <c r="CP278" s="127"/>
      <c r="CQ278" s="127"/>
    </row>
    <row r="279" spans="2:95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Q279" s="127"/>
      <c r="AR279" s="127"/>
      <c r="AS279" s="127"/>
      <c r="AT279" s="127"/>
      <c r="AU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J279" s="127"/>
      <c r="CK279" s="127"/>
      <c r="CM279" s="127"/>
      <c r="CN279" s="127"/>
      <c r="CO279" s="127"/>
      <c r="CP279" s="127"/>
      <c r="CQ279" s="127"/>
    </row>
    <row r="280" spans="2:95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Q280" s="127"/>
      <c r="AR280" s="127"/>
      <c r="AS280" s="127"/>
      <c r="AT280" s="127"/>
      <c r="AU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J280" s="127"/>
      <c r="CK280" s="127"/>
      <c r="CM280" s="127"/>
      <c r="CN280" s="127"/>
      <c r="CO280" s="127"/>
      <c r="CP280" s="127"/>
      <c r="CQ280" s="127"/>
    </row>
    <row r="281" spans="2:95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Q281" s="127"/>
      <c r="AR281" s="127"/>
      <c r="AS281" s="127"/>
      <c r="AT281" s="127"/>
      <c r="AU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J281" s="127"/>
      <c r="CK281" s="127"/>
      <c r="CM281" s="127"/>
      <c r="CN281" s="127"/>
      <c r="CO281" s="127"/>
      <c r="CP281" s="127"/>
      <c r="CQ281" s="127"/>
    </row>
    <row r="282" spans="2:95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Q282" s="127"/>
      <c r="AR282" s="127"/>
      <c r="AS282" s="127"/>
      <c r="AT282" s="127"/>
      <c r="AU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J282" s="127"/>
      <c r="CK282" s="127"/>
      <c r="CM282" s="127"/>
      <c r="CN282" s="127"/>
      <c r="CO282" s="127"/>
      <c r="CP282" s="127"/>
      <c r="CQ282" s="127"/>
    </row>
    <row r="283" spans="2:95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Q283" s="127"/>
      <c r="AR283" s="127"/>
      <c r="AS283" s="127"/>
      <c r="AT283" s="127"/>
      <c r="AU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J283" s="127"/>
      <c r="CK283" s="127"/>
      <c r="CM283" s="127"/>
      <c r="CN283" s="127"/>
      <c r="CO283" s="127"/>
      <c r="CP283" s="127"/>
      <c r="CQ283" s="127"/>
    </row>
    <row r="284" spans="2:95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Q284" s="127"/>
      <c r="AR284" s="127"/>
      <c r="AS284" s="127"/>
      <c r="AT284" s="127"/>
      <c r="AU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J284" s="127"/>
      <c r="CK284" s="127"/>
      <c r="CM284" s="127"/>
      <c r="CN284" s="127"/>
      <c r="CO284" s="127"/>
      <c r="CP284" s="127"/>
      <c r="CQ284" s="127"/>
    </row>
    <row r="285" spans="2:95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Q285" s="127"/>
      <c r="AR285" s="127"/>
      <c r="AS285" s="127"/>
      <c r="AT285" s="127"/>
      <c r="AU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J285" s="127"/>
      <c r="CK285" s="127"/>
      <c r="CM285" s="127"/>
      <c r="CN285" s="127"/>
      <c r="CO285" s="127"/>
      <c r="CP285" s="127"/>
      <c r="CQ285" s="127"/>
    </row>
    <row r="286" spans="2:95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Q286" s="127"/>
      <c r="AR286" s="127"/>
      <c r="AS286" s="127"/>
      <c r="AT286" s="127"/>
      <c r="AU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J286" s="127"/>
      <c r="CK286" s="127"/>
      <c r="CM286" s="127"/>
      <c r="CN286" s="127"/>
      <c r="CO286" s="127"/>
      <c r="CP286" s="127"/>
      <c r="CQ286" s="127"/>
    </row>
    <row r="287" spans="2:95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Q287" s="127"/>
      <c r="AR287" s="127"/>
      <c r="AS287" s="127"/>
      <c r="AT287" s="127"/>
      <c r="AU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J287" s="127"/>
      <c r="CK287" s="127"/>
      <c r="CM287" s="127"/>
      <c r="CN287" s="127"/>
      <c r="CO287" s="127"/>
      <c r="CP287" s="127"/>
      <c r="CQ287" s="127"/>
    </row>
    <row r="288" spans="2:95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Q288" s="127"/>
      <c r="AR288" s="127"/>
      <c r="AS288" s="127"/>
      <c r="AT288" s="127"/>
      <c r="AU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J288" s="127"/>
      <c r="CK288" s="127"/>
      <c r="CM288" s="127"/>
      <c r="CN288" s="127"/>
      <c r="CO288" s="127"/>
      <c r="CP288" s="127"/>
      <c r="CQ288" s="127"/>
    </row>
    <row r="289" spans="2:95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Q289" s="127"/>
      <c r="AR289" s="127"/>
      <c r="AS289" s="127"/>
      <c r="AT289" s="127"/>
      <c r="AU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J289" s="127"/>
      <c r="CK289" s="127"/>
      <c r="CM289" s="127"/>
      <c r="CN289" s="127"/>
      <c r="CO289" s="127"/>
      <c r="CP289" s="127"/>
      <c r="CQ289" s="127"/>
    </row>
    <row r="290" spans="2:95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Q290" s="127"/>
      <c r="AR290" s="127"/>
      <c r="AS290" s="127"/>
      <c r="AT290" s="127"/>
      <c r="AU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J290" s="127"/>
      <c r="CK290" s="127"/>
      <c r="CM290" s="127"/>
      <c r="CN290" s="127"/>
      <c r="CO290" s="127"/>
      <c r="CP290" s="127"/>
      <c r="CQ290" s="127"/>
    </row>
    <row r="291" spans="2:95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Q291" s="127"/>
      <c r="AR291" s="127"/>
      <c r="AS291" s="127"/>
      <c r="AT291" s="127"/>
      <c r="AU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J291" s="127"/>
      <c r="CK291" s="127"/>
      <c r="CM291" s="127"/>
      <c r="CN291" s="127"/>
      <c r="CO291" s="127"/>
      <c r="CP291" s="127"/>
      <c r="CQ291" s="127"/>
    </row>
    <row r="292" spans="2:95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Q292" s="127"/>
      <c r="AR292" s="127"/>
      <c r="AS292" s="127"/>
      <c r="AT292" s="127"/>
      <c r="AU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J292" s="127"/>
      <c r="CK292" s="127"/>
      <c r="CM292" s="127"/>
      <c r="CN292" s="127"/>
      <c r="CO292" s="127"/>
      <c r="CP292" s="127"/>
      <c r="CQ292" s="127"/>
    </row>
    <row r="293" spans="2:95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Q293" s="127"/>
      <c r="AR293" s="127"/>
      <c r="AS293" s="127"/>
      <c r="AT293" s="127"/>
      <c r="AU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J293" s="127"/>
      <c r="CK293" s="127"/>
      <c r="CM293" s="127"/>
      <c r="CN293" s="127"/>
      <c r="CO293" s="127"/>
      <c r="CP293" s="127"/>
      <c r="CQ293" s="127"/>
    </row>
    <row r="294" spans="2:95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Q294" s="127"/>
      <c r="AR294" s="127"/>
      <c r="AS294" s="127"/>
      <c r="AT294" s="127"/>
      <c r="AU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J294" s="127"/>
      <c r="CK294" s="127"/>
      <c r="CM294" s="127"/>
      <c r="CN294" s="127"/>
      <c r="CO294" s="127"/>
      <c r="CP294" s="127"/>
      <c r="CQ294" s="127"/>
    </row>
    <row r="295" spans="2:95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Q295" s="127"/>
      <c r="AR295" s="127"/>
      <c r="AS295" s="127"/>
      <c r="AT295" s="127"/>
      <c r="AU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M295" s="127"/>
      <c r="CN295" s="127"/>
      <c r="CO295" s="127"/>
      <c r="CP295" s="127"/>
      <c r="CQ295" s="127"/>
    </row>
    <row r="296" spans="2:95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Q296" s="127"/>
      <c r="AR296" s="127"/>
      <c r="AS296" s="127"/>
      <c r="AT296" s="127"/>
      <c r="AU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M296" s="127"/>
      <c r="CN296" s="127"/>
      <c r="CO296" s="127"/>
      <c r="CP296" s="127"/>
      <c r="CQ296" s="127"/>
    </row>
    <row r="297" spans="2:95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Q297" s="127"/>
      <c r="AR297" s="127"/>
      <c r="AS297" s="127"/>
      <c r="AT297" s="127"/>
      <c r="AU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J297" s="127"/>
      <c r="CK297" s="127"/>
      <c r="CM297" s="127"/>
      <c r="CN297" s="127"/>
      <c r="CO297" s="127"/>
      <c r="CP297" s="127"/>
      <c r="CQ297" s="127"/>
    </row>
    <row r="298" spans="2:95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Q298" s="127"/>
      <c r="AR298" s="127"/>
      <c r="AS298" s="127"/>
      <c r="AT298" s="127"/>
      <c r="AU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J298" s="127"/>
      <c r="CK298" s="127"/>
      <c r="CM298" s="127"/>
      <c r="CN298" s="127"/>
      <c r="CO298" s="127"/>
      <c r="CP298" s="127"/>
      <c r="CQ298" s="127"/>
    </row>
    <row r="299" spans="2:95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Q299" s="127"/>
      <c r="AR299" s="127"/>
      <c r="AS299" s="127"/>
      <c r="AT299" s="127"/>
      <c r="AU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J299" s="127"/>
      <c r="CK299" s="127"/>
      <c r="CM299" s="127"/>
      <c r="CN299" s="127"/>
      <c r="CO299" s="127"/>
      <c r="CP299" s="127"/>
      <c r="CQ299" s="127"/>
    </row>
    <row r="300" spans="2:95"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Q300" s="127"/>
      <c r="AR300" s="127"/>
      <c r="AS300" s="127"/>
      <c r="AT300" s="127"/>
      <c r="AU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J300" s="127"/>
      <c r="CK300" s="127"/>
      <c r="CM300" s="127"/>
      <c r="CN300" s="127"/>
      <c r="CO300" s="127"/>
      <c r="CP300" s="127"/>
      <c r="CQ300" s="127"/>
    </row>
    <row r="301" spans="2:95">
      <c r="AU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J301" s="127"/>
      <c r="CK301" s="127"/>
      <c r="CM301" s="127"/>
      <c r="CN301" s="127"/>
      <c r="CO301" s="127"/>
      <c r="CP301" s="127"/>
      <c r="CQ301" s="127"/>
    </row>
    <row r="302" spans="2:95"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J302" s="127"/>
      <c r="CK302" s="127"/>
      <c r="CM302" s="127"/>
      <c r="CN302" s="127"/>
      <c r="CO302" s="127"/>
      <c r="CP302" s="127"/>
      <c r="CQ302" s="127"/>
    </row>
    <row r="303" spans="2:95"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J303" s="127"/>
      <c r="CK303" s="127"/>
      <c r="CM303" s="127"/>
      <c r="CN303" s="127"/>
      <c r="CO303" s="127"/>
      <c r="CP303" s="127"/>
      <c r="CQ303" s="127"/>
    </row>
    <row r="304" spans="2:95"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J304" s="127"/>
      <c r="CK304" s="127"/>
      <c r="CM304" s="127"/>
      <c r="CN304" s="127"/>
      <c r="CO304" s="127"/>
      <c r="CP304" s="127"/>
      <c r="CQ304" s="127"/>
    </row>
    <row r="305" spans="50:95"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J305" s="127"/>
      <c r="CK305" s="127"/>
      <c r="CM305" s="127"/>
      <c r="CN305" s="127"/>
      <c r="CO305" s="127"/>
      <c r="CP305" s="127"/>
      <c r="CQ305" s="127"/>
    </row>
    <row r="306" spans="50:95"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J306" s="127"/>
      <c r="CK306" s="127"/>
      <c r="CM306" s="127"/>
      <c r="CN306" s="127"/>
      <c r="CO306" s="127"/>
      <c r="CP306" s="127"/>
      <c r="CQ306" s="127"/>
    </row>
    <row r="307" spans="50:95"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J307" s="127"/>
      <c r="CK307" s="127"/>
      <c r="CM307" s="127"/>
      <c r="CN307" s="127"/>
      <c r="CO307" s="127"/>
      <c r="CP307" s="127"/>
      <c r="CQ307" s="127"/>
    </row>
    <row r="308" spans="50:95"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J308" s="127"/>
      <c r="CK308" s="127"/>
      <c r="CM308" s="127"/>
      <c r="CN308" s="127"/>
      <c r="CO308" s="127"/>
      <c r="CP308" s="127"/>
      <c r="CQ308" s="127"/>
    </row>
    <row r="309" spans="50:95"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J309" s="127"/>
      <c r="CK309" s="127"/>
      <c r="CM309" s="127"/>
      <c r="CN309" s="127"/>
      <c r="CO309" s="127"/>
      <c r="CP309" s="127"/>
      <c r="CQ309" s="127"/>
    </row>
    <row r="310" spans="50:95"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J310" s="127"/>
      <c r="CK310" s="127"/>
      <c r="CM310" s="127"/>
      <c r="CN310" s="127"/>
      <c r="CO310" s="127"/>
      <c r="CP310" s="127"/>
      <c r="CQ310" s="127"/>
    </row>
    <row r="311" spans="50:95"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J311" s="127"/>
      <c r="CK311" s="127"/>
      <c r="CM311" s="127"/>
      <c r="CN311" s="127"/>
      <c r="CO311" s="127"/>
      <c r="CP311" s="127"/>
      <c r="CQ311" s="127"/>
    </row>
    <row r="312" spans="50:95"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J312" s="127"/>
      <c r="CK312" s="127"/>
      <c r="CM312" s="127"/>
      <c r="CN312" s="127"/>
      <c r="CO312" s="127"/>
      <c r="CP312" s="127"/>
      <c r="CQ312" s="127"/>
    </row>
    <row r="313" spans="50:95"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J313" s="127"/>
      <c r="CK313" s="127"/>
      <c r="CM313" s="127"/>
      <c r="CN313" s="127"/>
      <c r="CO313" s="127"/>
      <c r="CP313" s="127"/>
      <c r="CQ313" s="127"/>
    </row>
    <row r="314" spans="50:95"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J314" s="127"/>
      <c r="CK314" s="127"/>
      <c r="CM314" s="127"/>
      <c r="CN314" s="127"/>
      <c r="CO314" s="127"/>
      <c r="CP314" s="127"/>
      <c r="CQ314" s="127"/>
    </row>
    <row r="315" spans="50:95"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J315" s="127"/>
      <c r="CK315" s="127"/>
      <c r="CM315" s="127"/>
      <c r="CN315" s="127"/>
      <c r="CO315" s="127"/>
      <c r="CP315" s="127"/>
      <c r="CQ315" s="127"/>
    </row>
    <row r="316" spans="50:95"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J316" s="127"/>
      <c r="CK316" s="127"/>
      <c r="CM316" s="127"/>
      <c r="CN316" s="127"/>
      <c r="CO316" s="127"/>
      <c r="CP316" s="127"/>
      <c r="CQ316" s="127"/>
    </row>
    <row r="317" spans="50:95"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J317" s="127"/>
      <c r="CK317" s="127"/>
      <c r="CM317" s="127"/>
      <c r="CN317" s="127"/>
      <c r="CO317" s="127"/>
      <c r="CP317" s="127"/>
      <c r="CQ317" s="127"/>
    </row>
    <row r="318" spans="50:95"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J318" s="127"/>
      <c r="CK318" s="127"/>
      <c r="CM318" s="127"/>
      <c r="CN318" s="127"/>
      <c r="CO318" s="127"/>
      <c r="CP318" s="127"/>
      <c r="CQ318" s="127"/>
    </row>
    <row r="319" spans="50:95"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J319" s="127"/>
      <c r="CK319" s="127"/>
      <c r="CM319" s="127"/>
      <c r="CN319" s="127"/>
      <c r="CO319" s="127"/>
      <c r="CP319" s="127"/>
      <c r="CQ319" s="127"/>
    </row>
    <row r="320" spans="50:95"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J320" s="127"/>
      <c r="CK320" s="127"/>
      <c r="CM320" s="127"/>
      <c r="CN320" s="127"/>
      <c r="CO320" s="127"/>
      <c r="CP320" s="127"/>
      <c r="CQ320" s="127"/>
    </row>
    <row r="321" spans="50:95"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J321" s="127"/>
      <c r="CK321" s="127"/>
      <c r="CM321" s="127"/>
      <c r="CN321" s="127"/>
      <c r="CO321" s="127"/>
      <c r="CP321" s="127"/>
      <c r="CQ321" s="127"/>
    </row>
    <row r="322" spans="50:95"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J322" s="127"/>
      <c r="CK322" s="127"/>
      <c r="CM322" s="127"/>
      <c r="CN322" s="127"/>
      <c r="CO322" s="127"/>
      <c r="CP322" s="127"/>
      <c r="CQ322" s="127"/>
    </row>
    <row r="323" spans="50:95"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J323" s="127"/>
      <c r="CK323" s="127"/>
      <c r="CM323" s="127"/>
      <c r="CN323" s="127"/>
      <c r="CO323" s="127"/>
      <c r="CP323" s="127"/>
      <c r="CQ323" s="127"/>
    </row>
    <row r="324" spans="50:95"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J324" s="127"/>
      <c r="CK324" s="127"/>
      <c r="CM324" s="127"/>
      <c r="CN324" s="127"/>
      <c r="CO324" s="127"/>
      <c r="CP324" s="127"/>
      <c r="CQ324" s="127"/>
    </row>
    <row r="325" spans="50:95"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J325" s="127"/>
      <c r="CK325" s="127"/>
      <c r="CM325" s="127"/>
      <c r="CN325" s="127"/>
      <c r="CO325" s="127"/>
      <c r="CP325" s="127"/>
      <c r="CQ325" s="127"/>
    </row>
    <row r="326" spans="50:95"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J326" s="127"/>
      <c r="CK326" s="127"/>
      <c r="CM326" s="127"/>
      <c r="CN326" s="127"/>
      <c r="CO326" s="127"/>
      <c r="CP326" s="127"/>
      <c r="CQ326" s="127"/>
    </row>
    <row r="327" spans="50:95"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J327" s="127"/>
      <c r="CK327" s="127"/>
      <c r="CM327" s="127"/>
      <c r="CN327" s="127"/>
      <c r="CO327" s="127"/>
      <c r="CP327" s="127"/>
      <c r="CQ327" s="127"/>
    </row>
    <row r="328" spans="50:95"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J328" s="127"/>
      <c r="CK328" s="127"/>
      <c r="CM328" s="127"/>
      <c r="CN328" s="127"/>
      <c r="CO328" s="127"/>
      <c r="CP328" s="127"/>
      <c r="CQ328" s="127"/>
    </row>
    <row r="329" spans="50:95"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J329" s="127"/>
      <c r="CK329" s="127"/>
      <c r="CM329" s="127"/>
      <c r="CN329" s="127"/>
      <c r="CO329" s="127"/>
      <c r="CP329" s="127"/>
      <c r="CQ329" s="127"/>
    </row>
    <row r="330" spans="50:95"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J330" s="127"/>
      <c r="CK330" s="127"/>
      <c r="CM330" s="127"/>
      <c r="CN330" s="127"/>
      <c r="CO330" s="127"/>
      <c r="CP330" s="127"/>
      <c r="CQ330" s="127"/>
    </row>
    <row r="331" spans="50:95"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J331" s="127"/>
      <c r="CK331" s="127"/>
      <c r="CM331" s="127"/>
      <c r="CN331" s="127"/>
      <c r="CO331" s="127"/>
      <c r="CP331" s="127"/>
      <c r="CQ331" s="127"/>
    </row>
    <row r="332" spans="50:95"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J332" s="127"/>
      <c r="CK332" s="127"/>
      <c r="CM332" s="127"/>
      <c r="CN332" s="127"/>
      <c r="CO332" s="127"/>
      <c r="CP332" s="127"/>
      <c r="CQ332" s="127"/>
    </row>
    <row r="333" spans="50:95"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J333" s="127"/>
      <c r="CK333" s="127"/>
      <c r="CM333" s="127"/>
      <c r="CN333" s="127"/>
      <c r="CO333" s="127"/>
      <c r="CP333" s="127"/>
      <c r="CQ333" s="127"/>
    </row>
    <row r="334" spans="50:95"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J334" s="127"/>
      <c r="CK334" s="127"/>
      <c r="CM334" s="127"/>
      <c r="CN334" s="127"/>
      <c r="CO334" s="127"/>
      <c r="CP334" s="127"/>
      <c r="CQ334" s="127"/>
    </row>
    <row r="335" spans="50:95"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J335" s="127"/>
      <c r="CK335" s="127"/>
      <c r="CM335" s="127"/>
      <c r="CN335" s="127"/>
      <c r="CO335" s="127"/>
      <c r="CP335" s="127"/>
      <c r="CQ335" s="127"/>
    </row>
    <row r="336" spans="50:95"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J336" s="127"/>
      <c r="CK336" s="127"/>
      <c r="CM336" s="127"/>
      <c r="CN336" s="127"/>
      <c r="CO336" s="127"/>
      <c r="CP336" s="127"/>
      <c r="CQ336" s="127"/>
    </row>
    <row r="337" spans="66:95"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J337" s="127"/>
      <c r="CK337" s="127"/>
      <c r="CM337" s="127"/>
      <c r="CN337" s="127"/>
      <c r="CO337" s="127"/>
      <c r="CP337" s="127"/>
      <c r="CQ337" s="127"/>
    </row>
    <row r="338" spans="66:95"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J338" s="127"/>
      <c r="CK338" s="127"/>
      <c r="CM338" s="127"/>
      <c r="CN338" s="127"/>
      <c r="CO338" s="127"/>
      <c r="CP338" s="127"/>
      <c r="CQ338" s="127"/>
    </row>
    <row r="339" spans="66:95"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J339" s="127"/>
      <c r="CK339" s="127"/>
      <c r="CM339" s="127"/>
      <c r="CN339" s="127"/>
      <c r="CO339" s="127"/>
      <c r="CP339" s="127"/>
      <c r="CQ339" s="127"/>
    </row>
    <row r="340" spans="66:95"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J340" s="127"/>
      <c r="CK340" s="127"/>
      <c r="CM340" s="127"/>
      <c r="CN340" s="127"/>
      <c r="CO340" s="127"/>
      <c r="CP340" s="127"/>
      <c r="CQ340" s="127"/>
    </row>
    <row r="341" spans="66:95">
      <c r="BN341" s="127"/>
      <c r="BO341" s="127"/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J341" s="127"/>
      <c r="CK341" s="127"/>
      <c r="CM341" s="127"/>
      <c r="CN341" s="127"/>
      <c r="CO341" s="127"/>
      <c r="CP341" s="127"/>
      <c r="CQ341" s="127"/>
    </row>
    <row r="342" spans="66:95"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J342" s="127"/>
      <c r="CK342" s="127"/>
      <c r="CM342" s="127"/>
      <c r="CN342" s="127"/>
      <c r="CO342" s="127"/>
      <c r="CP342" s="127"/>
      <c r="CQ342" s="127"/>
    </row>
    <row r="343" spans="66:95"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J343" s="127"/>
      <c r="CK343" s="127"/>
      <c r="CM343" s="127"/>
      <c r="CN343" s="127"/>
      <c r="CO343" s="127"/>
      <c r="CP343" s="127"/>
      <c r="CQ343" s="127"/>
    </row>
    <row r="344" spans="66:95"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J344" s="127"/>
      <c r="CK344" s="127"/>
      <c r="CM344" s="127"/>
      <c r="CN344" s="127"/>
      <c r="CO344" s="127"/>
      <c r="CP344" s="127"/>
      <c r="CQ344" s="127"/>
    </row>
    <row r="345" spans="66:95"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J345" s="127"/>
      <c r="CK345" s="127"/>
      <c r="CM345" s="127"/>
      <c r="CN345" s="127"/>
      <c r="CO345" s="127"/>
      <c r="CP345" s="127"/>
      <c r="CQ345" s="127"/>
    </row>
    <row r="346" spans="66:95"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J346" s="127"/>
      <c r="CK346" s="127"/>
      <c r="CM346" s="127"/>
      <c r="CN346" s="127"/>
      <c r="CO346" s="127"/>
      <c r="CP346" s="127"/>
      <c r="CQ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A18-D461-5C4F-9753-36533F934963}">
  <sheetPr codeName="Sheet8">
    <tabColor theme="9" tint="0.39997558519241921"/>
  </sheetPr>
  <dimension ref="B22:AQ88"/>
  <sheetViews>
    <sheetView topLeftCell="A28" zoomScale="75" zoomScaleNormal="100" workbookViewId="0">
      <selection activeCell="C58" sqref="C58"/>
    </sheetView>
  </sheetViews>
  <sheetFormatPr defaultColWidth="10.8125" defaultRowHeight="17.25"/>
  <cols>
    <col min="1" max="2" width="10.8125" style="23"/>
    <col min="3" max="3" width="25.3125" style="23" customWidth="1"/>
    <col min="4" max="4" width="16" style="23" customWidth="1"/>
    <col min="5" max="5" width="14.5" style="23" customWidth="1"/>
    <col min="6" max="6" width="13.1875" style="23" customWidth="1"/>
    <col min="7" max="7" width="10.8125" style="23"/>
    <col min="8" max="10" width="10.8125" style="26"/>
    <col min="11" max="11" width="10.8125" style="23"/>
    <col min="12" max="12" width="17.8125" style="23" customWidth="1"/>
    <col min="13" max="13" width="24.1875" style="23" customWidth="1"/>
    <col min="14" max="17" width="13.3125" style="23" customWidth="1"/>
    <col min="18" max="18" width="10.8125" style="23"/>
    <col min="19" max="19" width="13.6875" style="23" customWidth="1"/>
    <col min="20" max="20" width="15.8125" style="23" customWidth="1"/>
    <col min="21" max="23" width="12.1875" style="23" customWidth="1"/>
    <col min="24" max="27" width="10.8125" style="23"/>
    <col min="28" max="28" width="19.1875" style="23" customWidth="1"/>
    <col min="29" max="29" width="25.3125" style="23" customWidth="1"/>
    <col min="30" max="30" width="11.5" style="23" customWidth="1"/>
    <col min="31" max="36" width="10.8125" style="23"/>
    <col min="37" max="37" width="17.3125" style="23" customWidth="1"/>
    <col min="38" max="38" width="23.6875" style="23" customWidth="1"/>
    <col min="39" max="39" width="11.1875" style="23" customWidth="1"/>
    <col min="40" max="16384" width="10.8125" style="23"/>
  </cols>
  <sheetData>
    <row r="22" spans="3:43" ht="17.649999999999999">
      <c r="C22" s="24" t="s">
        <v>215</v>
      </c>
      <c r="D22" s="24" t="s">
        <v>251</v>
      </c>
      <c r="L22" s="24" t="s">
        <v>215</v>
      </c>
      <c r="M22" s="24" t="s">
        <v>251</v>
      </c>
      <c r="S22" s="24" t="s">
        <v>215</v>
      </c>
      <c r="T22" s="24" t="s">
        <v>251</v>
      </c>
      <c r="AB22" s="24" t="s">
        <v>215</v>
      </c>
      <c r="AC22" s="24" t="s">
        <v>251</v>
      </c>
      <c r="AK22" s="24" t="s">
        <v>215</v>
      </c>
      <c r="AL22" s="24" t="s">
        <v>251</v>
      </c>
    </row>
    <row r="23" spans="3:43" s="28" customFormat="1" ht="17.649999999999999">
      <c r="D23" s="30" t="s">
        <v>252</v>
      </c>
      <c r="E23" s="30" t="s">
        <v>253</v>
      </c>
      <c r="F23" s="28" t="s">
        <v>27</v>
      </c>
      <c r="G23" s="30" t="s">
        <v>263</v>
      </c>
      <c r="H23" s="29" t="s">
        <v>264</v>
      </c>
      <c r="J23" s="29"/>
      <c r="M23" s="30" t="s">
        <v>252</v>
      </c>
      <c r="N23" s="30" t="s">
        <v>253</v>
      </c>
      <c r="O23" s="28" t="s">
        <v>27</v>
      </c>
      <c r="P23" s="30" t="s">
        <v>263</v>
      </c>
      <c r="Q23" s="29" t="s">
        <v>264</v>
      </c>
      <c r="T23" s="30" t="s">
        <v>252</v>
      </c>
      <c r="U23" s="30" t="s">
        <v>253</v>
      </c>
      <c r="V23" s="28" t="s">
        <v>27</v>
      </c>
      <c r="W23" s="30" t="s">
        <v>263</v>
      </c>
      <c r="X23" s="29" t="s">
        <v>264</v>
      </c>
      <c r="AC23" s="30" t="s">
        <v>252</v>
      </c>
      <c r="AD23" s="30" t="s">
        <v>253</v>
      </c>
      <c r="AE23" s="28" t="s">
        <v>27</v>
      </c>
      <c r="AF23" s="30" t="s">
        <v>263</v>
      </c>
      <c r="AG23" s="29" t="s">
        <v>264</v>
      </c>
      <c r="AH23" s="29"/>
      <c r="AK23" s="33"/>
      <c r="AL23" s="30" t="s">
        <v>252</v>
      </c>
      <c r="AM23" s="30" t="s">
        <v>253</v>
      </c>
      <c r="AN23" s="28" t="s">
        <v>27</v>
      </c>
      <c r="AO23" s="30" t="s">
        <v>263</v>
      </c>
      <c r="AP23" s="29" t="s">
        <v>264</v>
      </c>
    </row>
    <row r="24" spans="3:43">
      <c r="C24" s="26" t="str">
        <f>C48</f>
        <v>Concrete</v>
      </c>
      <c r="D24" s="88">
        <f t="shared" ref="D24:H24" si="0">D48</f>
        <v>9.0300000000000005E-2</v>
      </c>
      <c r="E24" s="88">
        <f t="shared" si="0"/>
        <v>0.1</v>
      </c>
      <c r="F24" s="26">
        <f t="shared" si="0"/>
        <v>9.5150000000000012E-2</v>
      </c>
      <c r="G24" s="88">
        <f t="shared" si="0"/>
        <v>4.8499999999999993E-3</v>
      </c>
      <c r="H24" s="32">
        <f t="shared" si="0"/>
        <v>5.0972149238045175E-2</v>
      </c>
      <c r="I24" s="23"/>
      <c r="L24" s="23" t="str">
        <f>C63</f>
        <v>Stainless Steel</v>
      </c>
      <c r="M24" s="31">
        <f t="shared" ref="M24:Q24" si="1">D63</f>
        <v>5.18</v>
      </c>
      <c r="N24" s="31">
        <f t="shared" si="1"/>
        <v>6.15</v>
      </c>
      <c r="O24" s="23">
        <f t="shared" si="1"/>
        <v>5.665</v>
      </c>
      <c r="P24" s="31">
        <f t="shared" si="1"/>
        <v>0.48500000000000032</v>
      </c>
      <c r="Q24" s="35">
        <f t="shared" si="1"/>
        <v>8.5613415710503141E-2</v>
      </c>
      <c r="S24" s="26" t="str">
        <f>C49</f>
        <v>Copper</v>
      </c>
      <c r="T24" s="88">
        <f t="shared" ref="T24:W24" si="2">D49</f>
        <v>3.45</v>
      </c>
      <c r="U24" s="88">
        <f t="shared" si="2"/>
        <v>3.8</v>
      </c>
      <c r="V24" s="26">
        <f t="shared" si="2"/>
        <v>3.625</v>
      </c>
      <c r="W24" s="88">
        <f t="shared" si="2"/>
        <v>0.17499999999999979</v>
      </c>
      <c r="X24" s="32">
        <f>H49</f>
        <v>4.8275862068965461E-2</v>
      </c>
      <c r="AB24" s="23" t="str">
        <f>C62</f>
        <v>Steel</v>
      </c>
      <c r="AC24" s="31">
        <f t="shared" ref="AC24:AG24" si="3">D62</f>
        <v>2.21</v>
      </c>
      <c r="AD24" s="31">
        <f t="shared" si="3"/>
        <v>2.71</v>
      </c>
      <c r="AE24" s="23">
        <f t="shared" si="3"/>
        <v>2.46</v>
      </c>
      <c r="AF24" s="31">
        <f t="shared" si="3"/>
        <v>0.25000000000000178</v>
      </c>
      <c r="AG24" s="35">
        <f t="shared" si="3"/>
        <v>0.10162601626016332</v>
      </c>
      <c r="AH24" s="35"/>
      <c r="AK24" s="34" t="str">
        <f>C42</f>
        <v>Aluminium</v>
      </c>
      <c r="AL24" s="92">
        <f t="shared" ref="AL24:AO24" si="4">D42</f>
        <v>11.46</v>
      </c>
      <c r="AM24" s="92">
        <f t="shared" si="4"/>
        <v>13.7</v>
      </c>
      <c r="AN24" s="91">
        <f t="shared" si="4"/>
        <v>12.58</v>
      </c>
      <c r="AO24" s="92">
        <f t="shared" si="4"/>
        <v>1.119999999999999</v>
      </c>
      <c r="AP24" s="90">
        <f>H42</f>
        <v>8.9030206677265425E-2</v>
      </c>
    </row>
    <row r="25" spans="3:43">
      <c r="C25" s="26" t="str">
        <f>C62</f>
        <v>Steel</v>
      </c>
      <c r="D25" s="88">
        <f t="shared" ref="D25:H25" si="5">D62</f>
        <v>2.21</v>
      </c>
      <c r="E25" s="88">
        <f t="shared" si="5"/>
        <v>2.71</v>
      </c>
      <c r="F25" s="26">
        <f t="shared" si="5"/>
        <v>2.46</v>
      </c>
      <c r="G25" s="88">
        <f t="shared" si="5"/>
        <v>0.25000000000000178</v>
      </c>
      <c r="H25" s="32">
        <f t="shared" si="5"/>
        <v>0.10162601626016332</v>
      </c>
      <c r="I25" s="23"/>
      <c r="L25" s="23" t="str">
        <f>C62</f>
        <v>Steel</v>
      </c>
      <c r="M25" s="31">
        <f t="shared" ref="M25:Q25" si="6">D62</f>
        <v>2.21</v>
      </c>
      <c r="N25" s="31">
        <f t="shared" si="6"/>
        <v>2.71</v>
      </c>
      <c r="O25" s="23">
        <f t="shared" si="6"/>
        <v>2.46</v>
      </c>
      <c r="P25" s="31">
        <f t="shared" si="6"/>
        <v>0.25000000000000178</v>
      </c>
      <c r="Q25" s="35">
        <f t="shared" si="6"/>
        <v>0.10162601626016332</v>
      </c>
      <c r="S25" s="26" t="str">
        <f>C57</f>
        <v>Plastic</v>
      </c>
      <c r="T25" s="88">
        <f t="shared" ref="T25:X25" si="7">D57</f>
        <v>2.7</v>
      </c>
      <c r="U25" s="88">
        <f t="shared" si="7"/>
        <v>2.73</v>
      </c>
      <c r="V25" s="26">
        <f t="shared" si="7"/>
        <v>2.7149999999999999</v>
      </c>
      <c r="W25" s="88">
        <f t="shared" si="7"/>
        <v>1.4999999999999902E-2</v>
      </c>
      <c r="X25" s="32">
        <f t="shared" si="7"/>
        <v>5.5248618784530029E-3</v>
      </c>
      <c r="AB25" s="23" t="str">
        <f>C46</f>
        <v>Cement</v>
      </c>
      <c r="AC25" s="31">
        <f t="shared" ref="AC25:AG25" si="8">D46</f>
        <v>0.73</v>
      </c>
      <c r="AD25" s="31">
        <f t="shared" si="8"/>
        <v>1</v>
      </c>
      <c r="AE25" s="23">
        <f t="shared" si="8"/>
        <v>0.86499999999999999</v>
      </c>
      <c r="AF25" s="31">
        <f t="shared" si="8"/>
        <v>0.13499999999999976</v>
      </c>
      <c r="AG25" s="35">
        <f t="shared" si="8"/>
        <v>0.15606936416184944</v>
      </c>
      <c r="AH25" s="35"/>
      <c r="AK25" s="23" t="str">
        <f>C48</f>
        <v>Concrete</v>
      </c>
      <c r="AL25" s="31">
        <f t="shared" ref="AL25:AP25" si="9">D48</f>
        <v>9.0300000000000005E-2</v>
      </c>
      <c r="AM25" s="31">
        <f t="shared" si="9"/>
        <v>0.1</v>
      </c>
      <c r="AN25" s="23">
        <f t="shared" si="9"/>
        <v>9.5150000000000012E-2</v>
      </c>
      <c r="AO25" s="31">
        <f t="shared" si="9"/>
        <v>4.8499999999999993E-3</v>
      </c>
      <c r="AP25" s="23">
        <f t="shared" si="9"/>
        <v>5.0972149238045175E-2</v>
      </c>
    </row>
    <row r="26" spans="3:43">
      <c r="C26" s="26" t="str">
        <f>C45</f>
        <v>Cast Iron</v>
      </c>
      <c r="D26" s="88">
        <f t="shared" ref="D26:H26" si="10">D45</f>
        <v>1.91</v>
      </c>
      <c r="E26" s="88">
        <f t="shared" si="10"/>
        <v>2.4900000000000002</v>
      </c>
      <c r="F26" s="26">
        <f t="shared" si="10"/>
        <v>2.2000000000000002</v>
      </c>
      <c r="G26" s="88">
        <f t="shared" si="10"/>
        <v>0.28999999999999893</v>
      </c>
      <c r="H26" s="32">
        <f t="shared" si="10"/>
        <v>0.13181818181818131</v>
      </c>
      <c r="I26" s="23"/>
      <c r="L26" s="23" t="str">
        <f>C48</f>
        <v>Concrete</v>
      </c>
      <c r="M26" s="31">
        <f t="shared" ref="M26:Q26" si="11">D48</f>
        <v>9.0300000000000005E-2</v>
      </c>
      <c r="N26" s="31">
        <f t="shared" si="11"/>
        <v>0.1</v>
      </c>
      <c r="O26" s="23">
        <f t="shared" si="11"/>
        <v>9.5150000000000012E-2</v>
      </c>
      <c r="P26" s="31">
        <f t="shared" si="11"/>
        <v>4.8499999999999993E-3</v>
      </c>
      <c r="Q26" s="35">
        <f t="shared" si="11"/>
        <v>5.0972149238045175E-2</v>
      </c>
      <c r="S26" s="23" t="str">
        <f>C53</f>
        <v>Glass</v>
      </c>
      <c r="T26" s="31">
        <f t="shared" ref="T26:W26" si="12">D53</f>
        <v>0.72</v>
      </c>
      <c r="U26" s="31">
        <f t="shared" si="12"/>
        <v>0.86</v>
      </c>
      <c r="V26" s="23">
        <f t="shared" si="12"/>
        <v>0.79</v>
      </c>
      <c r="W26" s="31">
        <f t="shared" si="12"/>
        <v>7.0000000000000007E-2</v>
      </c>
      <c r="X26" s="35">
        <f>H53</f>
        <v>8.8607594936708861E-2</v>
      </c>
      <c r="AB26" s="26" t="str">
        <f>C48</f>
        <v>Concrete</v>
      </c>
      <c r="AC26" s="88">
        <f t="shared" ref="AC26:AG26" si="13">D48</f>
        <v>9.0300000000000005E-2</v>
      </c>
      <c r="AD26" s="88">
        <f t="shared" si="13"/>
        <v>0.1</v>
      </c>
      <c r="AE26" s="26">
        <f t="shared" si="13"/>
        <v>9.5150000000000012E-2</v>
      </c>
      <c r="AF26" s="88">
        <f t="shared" si="13"/>
        <v>4.8499999999999993E-3</v>
      </c>
      <c r="AG26" s="32">
        <f t="shared" si="13"/>
        <v>5.0972149238045175E-2</v>
      </c>
      <c r="AH26" s="35"/>
      <c r="AK26" s="23" t="str">
        <f>C46</f>
        <v>Cement</v>
      </c>
      <c r="AL26" s="31">
        <f t="shared" ref="AL26:AP26" si="14">D46</f>
        <v>0.73</v>
      </c>
      <c r="AM26" s="31">
        <f t="shared" si="14"/>
        <v>1</v>
      </c>
      <c r="AN26" s="23">
        <f t="shared" si="14"/>
        <v>0.86499999999999999</v>
      </c>
      <c r="AO26" s="31">
        <f t="shared" si="14"/>
        <v>0.13499999999999976</v>
      </c>
      <c r="AP26" s="23">
        <f t="shared" si="14"/>
        <v>0.15606936416184944</v>
      </c>
    </row>
    <row r="27" spans="3:43">
      <c r="C27" s="26" t="str">
        <f>C56</f>
        <v>Paint [1]</v>
      </c>
      <c r="D27" s="88">
        <f t="shared" ref="D27:H27" si="15">D56</f>
        <v>2.42</v>
      </c>
      <c r="E27" s="88">
        <f t="shared" si="15"/>
        <v>2.42</v>
      </c>
      <c r="F27" s="26">
        <f t="shared" si="15"/>
        <v>2.42</v>
      </c>
      <c r="G27" s="88">
        <f t="shared" si="15"/>
        <v>0.48399999999999999</v>
      </c>
      <c r="H27" s="89">
        <f t="shared" si="15"/>
        <v>0.2</v>
      </c>
      <c r="L27" s="26" t="str">
        <f>C55</f>
        <v>Non-Ferrous Metal</v>
      </c>
      <c r="M27" s="88">
        <f t="shared" ref="M27:Q27" si="16">D55</f>
        <v>3.45</v>
      </c>
      <c r="N27" s="88">
        <f t="shared" si="16"/>
        <v>13.8</v>
      </c>
      <c r="O27" s="26">
        <f t="shared" si="16"/>
        <v>8.625</v>
      </c>
      <c r="P27" s="88">
        <f t="shared" si="16"/>
        <v>5.1750000000000016</v>
      </c>
      <c r="Q27" s="32">
        <f t="shared" si="16"/>
        <v>0.6000000000000002</v>
      </c>
      <c r="S27" s="23" t="str">
        <f>C51</f>
        <v>EVA</v>
      </c>
      <c r="T27" s="31">
        <f t="shared" ref="T27:X27" si="17">D51</f>
        <v>2</v>
      </c>
      <c r="U27" s="31">
        <f t="shared" si="17"/>
        <v>2.21</v>
      </c>
      <c r="V27" s="23">
        <f t="shared" si="17"/>
        <v>2.105</v>
      </c>
      <c r="W27" s="31">
        <f t="shared" si="17"/>
        <v>0.10499999999999997</v>
      </c>
      <c r="X27" s="35">
        <f t="shared" si="17"/>
        <v>4.9881235154394285E-2</v>
      </c>
      <c r="AB27" s="26" t="str">
        <f>C49</f>
        <v>Copper</v>
      </c>
      <c r="AC27" s="88">
        <f t="shared" ref="AC27:AG27" si="18">D49</f>
        <v>3.45</v>
      </c>
      <c r="AD27" s="88">
        <f t="shared" si="18"/>
        <v>3.8</v>
      </c>
      <c r="AE27" s="26">
        <f t="shared" si="18"/>
        <v>3.625</v>
      </c>
      <c r="AF27" s="88">
        <f t="shared" si="18"/>
        <v>0.17499999999999979</v>
      </c>
      <c r="AG27" s="32">
        <f t="shared" si="18"/>
        <v>4.8275862068965461E-2</v>
      </c>
      <c r="AH27" s="35"/>
      <c r="AK27" s="26" t="str">
        <f>C43</f>
        <v>Bentonite [3]</v>
      </c>
      <c r="AL27" s="88">
        <f t="shared" ref="AL27:AP27" si="19">D43</f>
        <v>1.6E-2</v>
      </c>
      <c r="AM27" s="88">
        <f t="shared" si="19"/>
        <v>0.05</v>
      </c>
      <c r="AN27" s="26">
        <f t="shared" si="19"/>
        <v>3.3000000000000002E-2</v>
      </c>
      <c r="AO27" s="88">
        <f t="shared" si="19"/>
        <v>1.7000000000000005E-2</v>
      </c>
      <c r="AP27" s="26">
        <f t="shared" si="19"/>
        <v>0.51515151515151525</v>
      </c>
      <c r="AQ27" s="26"/>
    </row>
    <row r="28" spans="3:43">
      <c r="C28" s="26" t="str">
        <f>C49</f>
        <v>Copper</v>
      </c>
      <c r="D28" s="88">
        <f t="shared" ref="D28:H28" si="20">D49</f>
        <v>3.45</v>
      </c>
      <c r="E28" s="88">
        <f t="shared" si="20"/>
        <v>3.8</v>
      </c>
      <c r="F28" s="26">
        <f t="shared" si="20"/>
        <v>3.625</v>
      </c>
      <c r="G28" s="88">
        <f t="shared" si="20"/>
        <v>0.17499999999999979</v>
      </c>
      <c r="H28" s="32">
        <f t="shared" si="20"/>
        <v>4.8275862068965461E-2</v>
      </c>
      <c r="I28" s="23"/>
      <c r="L28" s="23" t="str">
        <f>C47</f>
        <v>Ceramics</v>
      </c>
      <c r="M28" s="31">
        <f t="shared" ref="M28:P28" si="21">D47</f>
        <v>0.66</v>
      </c>
      <c r="N28" s="31">
        <f t="shared" si="21"/>
        <v>2.4300000000000002</v>
      </c>
      <c r="O28" s="23">
        <f t="shared" si="21"/>
        <v>1.5450000000000002</v>
      </c>
      <c r="P28" s="31">
        <f t="shared" si="21"/>
        <v>0.88499999999999979</v>
      </c>
      <c r="Q28" s="35">
        <f>H47</f>
        <v>0.57281553398058238</v>
      </c>
      <c r="S28" s="23" t="str">
        <f>C61</f>
        <v>Silicon</v>
      </c>
      <c r="T28" s="31">
        <f t="shared" ref="T28:X28" si="22">D61</f>
        <v>3.78</v>
      </c>
      <c r="U28" s="31">
        <f t="shared" si="22"/>
        <v>6.9</v>
      </c>
      <c r="V28" s="23">
        <f t="shared" si="22"/>
        <v>5.34</v>
      </c>
      <c r="W28" s="31">
        <f t="shared" si="22"/>
        <v>1.5600000000000016</v>
      </c>
      <c r="X28" s="35">
        <f t="shared" si="22"/>
        <v>0.29213483146067448</v>
      </c>
      <c r="AB28" s="23" t="str">
        <f>C45</f>
        <v>Cast Iron</v>
      </c>
      <c r="AC28" s="31">
        <f t="shared" ref="AC28:AF28" si="23">D45</f>
        <v>1.91</v>
      </c>
      <c r="AD28" s="31">
        <f t="shared" si="23"/>
        <v>2.4900000000000002</v>
      </c>
      <c r="AE28" s="23">
        <f t="shared" si="23"/>
        <v>2.2000000000000002</v>
      </c>
      <c r="AF28" s="31">
        <f t="shared" si="23"/>
        <v>0.28999999999999893</v>
      </c>
      <c r="AG28" s="35">
        <f>H45</f>
        <v>0.13181818181818131</v>
      </c>
      <c r="AH28" s="35"/>
      <c r="AK28" s="23" t="str">
        <f>C45</f>
        <v>Cast Iron</v>
      </c>
      <c r="AL28" s="31">
        <f t="shared" ref="AL28:AP28" si="24">D45</f>
        <v>1.91</v>
      </c>
      <c r="AM28" s="31">
        <f t="shared" si="24"/>
        <v>2.4900000000000002</v>
      </c>
      <c r="AN28" s="23">
        <f t="shared" si="24"/>
        <v>2.2000000000000002</v>
      </c>
      <c r="AO28" s="31">
        <f t="shared" si="24"/>
        <v>0.28999999999999893</v>
      </c>
      <c r="AP28" s="23">
        <f t="shared" si="24"/>
        <v>0.13181818181818131</v>
      </c>
    </row>
    <row r="29" spans="3:43">
      <c r="C29" s="26" t="str">
        <f>C42</f>
        <v>Aluminium</v>
      </c>
      <c r="D29" s="88">
        <f t="shared" ref="D29:H29" si="25">D42</f>
        <v>11.46</v>
      </c>
      <c r="E29" s="88">
        <f t="shared" si="25"/>
        <v>13.7</v>
      </c>
      <c r="F29" s="26">
        <f t="shared" si="25"/>
        <v>12.58</v>
      </c>
      <c r="G29" s="88">
        <f t="shared" si="25"/>
        <v>1.119999999999999</v>
      </c>
      <c r="H29" s="32">
        <f t="shared" si="25"/>
        <v>8.9030206677265425E-2</v>
      </c>
      <c r="I29" s="23"/>
      <c r="L29" s="23" t="str">
        <f>C53</f>
        <v>Glass</v>
      </c>
      <c r="M29" s="31">
        <f t="shared" ref="M29:Q29" si="26">D53</f>
        <v>0.72</v>
      </c>
      <c r="N29" s="31">
        <f t="shared" si="26"/>
        <v>0.86</v>
      </c>
      <c r="O29" s="23">
        <f t="shared" si="26"/>
        <v>0.79</v>
      </c>
      <c r="P29" s="31">
        <f t="shared" si="26"/>
        <v>7.0000000000000007E-2</v>
      </c>
      <c r="Q29" s="35">
        <f t="shared" si="26"/>
        <v>8.8607594936708861E-2</v>
      </c>
      <c r="S29" s="26" t="str">
        <f>C42</f>
        <v>Aluminium</v>
      </c>
      <c r="T29" s="88">
        <f t="shared" ref="T29:X29" si="27">D42</f>
        <v>11.46</v>
      </c>
      <c r="U29" s="88">
        <f t="shared" si="27"/>
        <v>13.7</v>
      </c>
      <c r="V29" s="26">
        <f t="shared" si="27"/>
        <v>12.58</v>
      </c>
      <c r="W29" s="88">
        <f t="shared" si="27"/>
        <v>1.119999999999999</v>
      </c>
      <c r="X29" s="32">
        <f t="shared" si="27"/>
        <v>8.9030206677265425E-2</v>
      </c>
      <c r="AB29" s="23" t="str">
        <f>C58</f>
        <v>PVC</v>
      </c>
      <c r="AC29" s="31">
        <f t="shared" ref="AC29:AG29" si="28">D58</f>
        <v>2.37</v>
      </c>
      <c r="AD29" s="31">
        <f t="shared" si="28"/>
        <v>2.62</v>
      </c>
      <c r="AE29" s="23">
        <f t="shared" si="28"/>
        <v>2.4950000000000001</v>
      </c>
      <c r="AF29" s="31">
        <f t="shared" si="28"/>
        <v>0.125</v>
      </c>
      <c r="AG29" s="35">
        <f t="shared" si="28"/>
        <v>5.0100200400801598E-2</v>
      </c>
      <c r="AH29" s="35"/>
      <c r="AK29" s="23" t="str">
        <f>C62</f>
        <v>Steel</v>
      </c>
      <c r="AL29" s="31">
        <f t="shared" ref="AL29:AP29" si="29">D62</f>
        <v>2.21</v>
      </c>
      <c r="AM29" s="31">
        <f t="shared" si="29"/>
        <v>2.71</v>
      </c>
      <c r="AN29" s="23">
        <f t="shared" si="29"/>
        <v>2.46</v>
      </c>
      <c r="AO29" s="31">
        <f t="shared" si="29"/>
        <v>0.25000000000000178</v>
      </c>
      <c r="AP29" s="23">
        <f t="shared" si="29"/>
        <v>0.10162601626016332</v>
      </c>
    </row>
    <row r="30" spans="3:43">
      <c r="C30" s="26" t="str">
        <f>C57</f>
        <v>Plastic</v>
      </c>
      <c r="D30" s="88">
        <f t="shared" ref="D30:H30" si="30">D57</f>
        <v>2.7</v>
      </c>
      <c r="E30" s="88">
        <f t="shared" si="30"/>
        <v>2.73</v>
      </c>
      <c r="F30" s="26">
        <f t="shared" si="30"/>
        <v>2.7149999999999999</v>
      </c>
      <c r="G30" s="88">
        <f t="shared" si="30"/>
        <v>1.4999999999999902E-2</v>
      </c>
      <c r="H30" s="32">
        <f t="shared" si="30"/>
        <v>5.5248618784530029E-3</v>
      </c>
      <c r="I30" s="23"/>
      <c r="L30" s="23" t="str">
        <f>C57</f>
        <v>Plastic</v>
      </c>
      <c r="M30" s="31">
        <f t="shared" ref="M30:Q30" si="31">D57</f>
        <v>2.7</v>
      </c>
      <c r="N30" s="31">
        <f t="shared" si="31"/>
        <v>2.73</v>
      </c>
      <c r="O30" s="23">
        <f t="shared" si="31"/>
        <v>2.7149999999999999</v>
      </c>
      <c r="P30" s="31">
        <f t="shared" si="31"/>
        <v>1.4999999999999902E-2</v>
      </c>
      <c r="Q30" s="35">
        <f t="shared" si="31"/>
        <v>5.5248618784530029E-3</v>
      </c>
      <c r="S30" s="26" t="str">
        <f>C62</f>
        <v>Steel</v>
      </c>
      <c r="T30" s="88">
        <f t="shared" ref="T30:X30" si="32">D62</f>
        <v>2.21</v>
      </c>
      <c r="U30" s="88">
        <f t="shared" si="32"/>
        <v>2.71</v>
      </c>
      <c r="V30" s="26">
        <f t="shared" si="32"/>
        <v>2.46</v>
      </c>
      <c r="W30" s="88">
        <f t="shared" si="32"/>
        <v>0.25000000000000178</v>
      </c>
      <c r="X30" s="32">
        <f t="shared" si="32"/>
        <v>0.10162601626016332</v>
      </c>
      <c r="AB30" s="23" t="str">
        <f>C60</f>
        <v>Sand</v>
      </c>
      <c r="AC30" s="31">
        <f>D60</f>
        <v>4.7999999999999996E-3</v>
      </c>
      <c r="AD30" s="31">
        <f>E60</f>
        <v>2.69E-2</v>
      </c>
      <c r="AE30" s="23">
        <f t="shared" ref="AE30:AG30" si="33">F60</f>
        <v>1.585E-2</v>
      </c>
      <c r="AF30" s="31">
        <f t="shared" si="33"/>
        <v>1.1049999999999999E-2</v>
      </c>
      <c r="AG30" s="35">
        <f t="shared" si="33"/>
        <v>0.69716088328075709</v>
      </c>
    </row>
    <row r="31" spans="3:43">
      <c r="C31" s="26" t="str">
        <f>C52</f>
        <v>Fibre Glass</v>
      </c>
      <c r="D31" s="88">
        <f t="shared" ref="D31:H31" si="34">D52</f>
        <v>2.85</v>
      </c>
      <c r="E31" s="88">
        <f t="shared" si="34"/>
        <v>3.14</v>
      </c>
      <c r="F31" s="26">
        <f t="shared" si="34"/>
        <v>2.9950000000000001</v>
      </c>
      <c r="G31" s="88">
        <f t="shared" si="34"/>
        <v>0.14500000000000002</v>
      </c>
      <c r="H31" s="32">
        <f t="shared" si="34"/>
        <v>4.8414023372287146E-2</v>
      </c>
      <c r="I31" s="23"/>
    </row>
    <row r="32" spans="3:43">
      <c r="C32" s="26" t="str">
        <f>C50</f>
        <v>Epoxy</v>
      </c>
      <c r="D32" s="88">
        <f t="shared" ref="D32:H32" si="35">D50</f>
        <v>6.83</v>
      </c>
      <c r="E32" s="88">
        <f t="shared" si="35"/>
        <v>7.55</v>
      </c>
      <c r="F32" s="26">
        <f t="shared" si="35"/>
        <v>7.1899999999999995</v>
      </c>
      <c r="G32" s="88">
        <f t="shared" si="35"/>
        <v>0.35999999999999988</v>
      </c>
      <c r="H32" s="32">
        <f t="shared" si="35"/>
        <v>5.0069541029207215E-2</v>
      </c>
      <c r="I32" s="23"/>
      <c r="AC32" s="36"/>
      <c r="AD32" s="36"/>
      <c r="AF32" s="36"/>
      <c r="AG32" s="35"/>
    </row>
    <row r="33" spans="2:33">
      <c r="C33" s="26" t="str">
        <f>C59</f>
        <v>Resin</v>
      </c>
      <c r="D33" s="88">
        <f t="shared" ref="D33:H33" si="36">D59</f>
        <v>3.44</v>
      </c>
      <c r="E33" s="88">
        <f t="shared" si="36"/>
        <v>3.81</v>
      </c>
      <c r="F33" s="26">
        <f t="shared" si="36"/>
        <v>3.625</v>
      </c>
      <c r="G33" s="88">
        <f t="shared" si="36"/>
        <v>0.18500000000000003</v>
      </c>
      <c r="H33" s="32">
        <f t="shared" si="36"/>
        <v>5.10344827586207E-2</v>
      </c>
      <c r="I33" s="23"/>
      <c r="AC33" s="36"/>
      <c r="AD33" s="36"/>
      <c r="AF33" s="36"/>
      <c r="AG33" s="35"/>
    </row>
    <row r="34" spans="2:33">
      <c r="C34" s="26" t="str">
        <f>C44</f>
        <v>Carbon Fiber</v>
      </c>
      <c r="D34" s="88">
        <f t="shared" ref="D34:H34" si="37">D44</f>
        <v>19.3</v>
      </c>
      <c r="E34" s="88">
        <f t="shared" si="37"/>
        <v>21.3</v>
      </c>
      <c r="F34" s="26">
        <f t="shared" si="37"/>
        <v>20.3</v>
      </c>
      <c r="G34" s="88">
        <f t="shared" si="37"/>
        <v>1</v>
      </c>
      <c r="H34" s="32">
        <f t="shared" si="37"/>
        <v>4.926108374384236E-2</v>
      </c>
      <c r="I34" s="23"/>
      <c r="S34" s="26"/>
      <c r="AC34" s="36"/>
      <c r="AD34" s="36"/>
      <c r="AF34" s="36"/>
      <c r="AG34" s="35"/>
    </row>
    <row r="35" spans="2:33">
      <c r="C35" s="26" t="str">
        <f>C54</f>
        <v>Lubricant [2]</v>
      </c>
      <c r="D35" s="88">
        <f t="shared" ref="D35:H35" si="38">D54</f>
        <v>1.07</v>
      </c>
      <c r="E35" s="88">
        <f t="shared" si="38"/>
        <v>1.07</v>
      </c>
      <c r="F35" s="26">
        <f t="shared" si="38"/>
        <v>1.07</v>
      </c>
      <c r="G35" s="88">
        <f t="shared" si="38"/>
        <v>0.21400000000000002</v>
      </c>
      <c r="H35" s="89">
        <f t="shared" si="38"/>
        <v>0.2</v>
      </c>
    </row>
    <row r="36" spans="2:33">
      <c r="I36" s="23"/>
    </row>
    <row r="37" spans="2:33">
      <c r="I37" s="23"/>
    </row>
    <row r="38" spans="2:33" s="228" customFormat="1">
      <c r="C38" s="228" t="s">
        <v>342</v>
      </c>
    </row>
    <row r="39" spans="2:33">
      <c r="I39" s="23"/>
    </row>
    <row r="40" spans="2:33" ht="17.649999999999999">
      <c r="C40" s="268" t="s">
        <v>215</v>
      </c>
      <c r="D40" s="229" t="s">
        <v>251</v>
      </c>
      <c r="E40" s="230"/>
      <c r="F40" s="230"/>
      <c r="G40" s="230"/>
      <c r="H40" s="231"/>
      <c r="I40" s="23"/>
      <c r="J40" s="229" t="s">
        <v>364</v>
      </c>
      <c r="K40" s="230"/>
      <c r="L40" s="230"/>
      <c r="M40" s="230"/>
      <c r="N40" s="231"/>
      <c r="P40" s="229" t="s">
        <v>362</v>
      </c>
      <c r="Q40" s="230"/>
      <c r="R40" s="230"/>
      <c r="S40" s="230"/>
      <c r="T40" s="231"/>
      <c r="V40" s="229" t="s">
        <v>363</v>
      </c>
      <c r="W40" s="230"/>
      <c r="X40" s="230"/>
      <c r="Y40" s="230"/>
      <c r="Z40" s="231"/>
    </row>
    <row r="41" spans="2:33" ht="17.649999999999999">
      <c r="C41" s="269"/>
      <c r="D41" s="261" t="s">
        <v>252</v>
      </c>
      <c r="E41" s="232" t="s">
        <v>253</v>
      </c>
      <c r="F41" s="233" t="s">
        <v>27</v>
      </c>
      <c r="G41" s="234" t="s">
        <v>263</v>
      </c>
      <c r="H41" s="235" t="s">
        <v>264</v>
      </c>
      <c r="I41" s="23"/>
      <c r="J41" s="246" t="s">
        <v>252</v>
      </c>
      <c r="K41" s="247" t="s">
        <v>253</v>
      </c>
      <c r="L41" s="233" t="s">
        <v>27</v>
      </c>
      <c r="M41" s="234" t="s">
        <v>263</v>
      </c>
      <c r="N41" s="248" t="s">
        <v>264</v>
      </c>
      <c r="P41" s="246" t="s">
        <v>252</v>
      </c>
      <c r="Q41" s="247" t="s">
        <v>253</v>
      </c>
      <c r="R41" s="233" t="s">
        <v>27</v>
      </c>
      <c r="S41" s="234" t="s">
        <v>263</v>
      </c>
      <c r="T41" s="248" t="s">
        <v>264</v>
      </c>
      <c r="V41" s="261" t="s">
        <v>252</v>
      </c>
      <c r="W41" s="232" t="s">
        <v>253</v>
      </c>
      <c r="X41" s="233" t="s">
        <v>27</v>
      </c>
      <c r="Y41" s="233" t="s">
        <v>263</v>
      </c>
      <c r="Z41" s="262" t="s">
        <v>264</v>
      </c>
    </row>
    <row r="42" spans="2:33" ht="17.649999999999999">
      <c r="B42" s="297" t="s">
        <v>11</v>
      </c>
      <c r="C42" s="270" t="s">
        <v>11</v>
      </c>
      <c r="D42" s="271">
        <v>11.46</v>
      </c>
      <c r="E42" s="236">
        <v>13.7</v>
      </c>
      <c r="F42" s="237">
        <f>AVERAGE(D42:E42)</f>
        <v>12.58</v>
      </c>
      <c r="G42" s="238">
        <f>STDEV(D42:E42)/SQRT(2)</f>
        <v>1.119999999999999</v>
      </c>
      <c r="H42" s="239">
        <f>G42/F42</f>
        <v>8.9030206677265425E-2</v>
      </c>
      <c r="I42" s="23"/>
      <c r="J42" s="249">
        <f>1000</f>
        <v>1000</v>
      </c>
      <c r="K42" s="241">
        <f>1100</f>
        <v>1100</v>
      </c>
      <c r="L42" s="238">
        <f>AVERAGE(J42:K42)</f>
        <v>1050</v>
      </c>
      <c r="M42" s="238">
        <f>STDEV(J42:K42)/SQRT(2)</f>
        <v>50</v>
      </c>
      <c r="N42" s="239">
        <f>M42/L42</f>
        <v>4.7619047619047616E-2</v>
      </c>
      <c r="P42" s="251">
        <v>0.41</v>
      </c>
      <c r="Q42" s="252">
        <v>0.45</v>
      </c>
      <c r="R42" s="253">
        <f>AVERAGE(P42:Q42)</f>
        <v>0.43</v>
      </c>
      <c r="S42" s="254">
        <f>STDEV(P42:Q42)/SQRT(2)</f>
        <v>2.0000000000000018E-2</v>
      </c>
      <c r="T42" s="255">
        <f>S42/R42</f>
        <v>4.6511627906976785E-2</v>
      </c>
      <c r="V42" s="249">
        <v>2.0299999999999998</v>
      </c>
      <c r="W42" s="241">
        <v>2.19</v>
      </c>
      <c r="X42" s="238">
        <f>AVERAGE(V42:W42)</f>
        <v>2.11</v>
      </c>
      <c r="Y42" s="238">
        <f>STDEV(V42:W42)/SQRT(2)</f>
        <v>8.0000000000000071E-2</v>
      </c>
      <c r="Z42" s="263">
        <f>Y42/X42</f>
        <v>3.7914691943128E-2</v>
      </c>
    </row>
    <row r="43" spans="2:33" ht="17.649999999999999">
      <c r="B43" s="297" t="s">
        <v>243</v>
      </c>
      <c r="C43" s="268" t="s">
        <v>274</v>
      </c>
      <c r="D43" s="272">
        <v>1.6E-2</v>
      </c>
      <c r="E43" s="240">
        <v>0.05</v>
      </c>
      <c r="F43" s="237">
        <f t="shared" ref="F43:F63" si="39">AVERAGE(D43:E43)</f>
        <v>3.3000000000000002E-2</v>
      </c>
      <c r="G43" s="238">
        <f t="shared" ref="G43:G63" si="40">STDEV(D43:E43)/SQRT(2)</f>
        <v>1.7000000000000005E-2</v>
      </c>
      <c r="H43" s="239">
        <f t="shared" ref="H43:H63" si="41">G43/F43</f>
        <v>0.51515151515151525</v>
      </c>
      <c r="I43" s="23"/>
      <c r="J43" s="249">
        <v>5.27</v>
      </c>
      <c r="K43" s="241">
        <v>9.84</v>
      </c>
      <c r="L43" s="238">
        <f>AVERAGE(J43:K43)</f>
        <v>7.5549999999999997</v>
      </c>
      <c r="M43" s="238">
        <f>N43*L43</f>
        <v>1.5110000000000001</v>
      </c>
      <c r="N43" s="239">
        <v>0.2</v>
      </c>
      <c r="P43" s="251">
        <v>0.02</v>
      </c>
      <c r="Q43" s="252">
        <v>0.1</v>
      </c>
      <c r="R43" s="253">
        <f t="shared" ref="R43:R63" si="42">AVERAGE(P43:Q43)</f>
        <v>6.0000000000000005E-2</v>
      </c>
      <c r="S43" s="254">
        <f t="shared" ref="S43:S63" si="43">STDEV(P43:Q43)/SQRT(2)</f>
        <v>0.04</v>
      </c>
      <c r="T43" s="255">
        <f t="shared" ref="T43:T63" si="44">S43/R43</f>
        <v>0.66666666666666663</v>
      </c>
      <c r="V43" s="249">
        <v>0.35099999999999998</v>
      </c>
      <c r="W43" s="241">
        <v>0.53</v>
      </c>
      <c r="X43" s="238">
        <f t="shared" ref="X43:X63" si="45">AVERAGE(V43:W43)</f>
        <v>0.4405</v>
      </c>
      <c r="Y43" s="238">
        <f t="shared" ref="Y43:Y63" si="46">STDEV(V43:W43)/SQRT(2)</f>
        <v>8.9500000000000135E-2</v>
      </c>
      <c r="Z43" s="263">
        <f t="shared" ref="Z43:Z63" si="47">Y43/X43</f>
        <v>0.20317820658342822</v>
      </c>
    </row>
    <row r="44" spans="2:33" ht="17.649999999999999">
      <c r="B44" s="297" t="s">
        <v>256</v>
      </c>
      <c r="C44" s="270" t="s">
        <v>256</v>
      </c>
      <c r="D44" s="271">
        <v>19.3</v>
      </c>
      <c r="E44" s="236">
        <v>21.3</v>
      </c>
      <c r="F44" s="237">
        <f t="shared" si="39"/>
        <v>20.3</v>
      </c>
      <c r="G44" s="238">
        <f t="shared" si="40"/>
        <v>1</v>
      </c>
      <c r="H44" s="239">
        <f t="shared" si="41"/>
        <v>4.926108374384236E-2</v>
      </c>
      <c r="I44" s="23"/>
      <c r="J44" s="249">
        <v>7.03</v>
      </c>
      <c r="K44" s="241">
        <v>21.3</v>
      </c>
      <c r="L44" s="238">
        <f t="shared" ref="L44:L61" si="48">AVERAGE(J44:K44)</f>
        <v>14.165000000000001</v>
      </c>
      <c r="M44" s="238">
        <f t="shared" ref="M44:M63" si="49">STDEV(J44:K44)/SQRT(2)</f>
        <v>7.1350000000000007</v>
      </c>
      <c r="N44" s="239">
        <f t="shared" ref="N44:N61" si="50">M44/L44</f>
        <v>0.50370631839039892</v>
      </c>
      <c r="P44" s="251">
        <v>0</v>
      </c>
      <c r="Q44" s="252">
        <v>0</v>
      </c>
      <c r="R44" s="253">
        <f t="shared" si="42"/>
        <v>0</v>
      </c>
      <c r="S44" s="254">
        <f t="shared" si="43"/>
        <v>0</v>
      </c>
      <c r="T44" s="255">
        <v>0</v>
      </c>
      <c r="V44" s="249">
        <v>45</v>
      </c>
      <c r="W44" s="241">
        <v>89.9</v>
      </c>
      <c r="X44" s="238">
        <f t="shared" si="45"/>
        <v>67.45</v>
      </c>
      <c r="Y44" s="238">
        <f t="shared" si="46"/>
        <v>22.45000000000001</v>
      </c>
      <c r="Z44" s="263">
        <f t="shared" si="47"/>
        <v>0.33283914010378068</v>
      </c>
    </row>
    <row r="45" spans="2:33" ht="17.649999999999999">
      <c r="B45" s="297" t="s">
        <v>171</v>
      </c>
      <c r="C45" s="270" t="s">
        <v>171</v>
      </c>
      <c r="D45" s="271">
        <v>1.91</v>
      </c>
      <c r="E45" s="236">
        <v>2.4900000000000002</v>
      </c>
      <c r="F45" s="237">
        <f t="shared" si="39"/>
        <v>2.2000000000000002</v>
      </c>
      <c r="G45" s="238">
        <f t="shared" si="40"/>
        <v>0.28999999999999893</v>
      </c>
      <c r="H45" s="239">
        <f t="shared" si="41"/>
        <v>0.13181818181818131</v>
      </c>
      <c r="I45" s="23"/>
      <c r="J45" s="249">
        <v>43</v>
      </c>
      <c r="K45" s="241">
        <v>48</v>
      </c>
      <c r="L45" s="238">
        <f t="shared" si="48"/>
        <v>45.5</v>
      </c>
      <c r="M45" s="238">
        <f t="shared" si="49"/>
        <v>2.5</v>
      </c>
      <c r="N45" s="239">
        <f t="shared" si="50"/>
        <v>5.4945054945054944E-2</v>
      </c>
      <c r="P45" s="251">
        <v>0.66</v>
      </c>
      <c r="Q45" s="252">
        <v>0.73</v>
      </c>
      <c r="R45" s="253">
        <f t="shared" si="42"/>
        <v>0.69500000000000006</v>
      </c>
      <c r="S45" s="254">
        <f t="shared" si="43"/>
        <v>3.4999999999999969E-2</v>
      </c>
      <c r="T45" s="255">
        <f t="shared" si="44"/>
        <v>5.0359712230215778E-2</v>
      </c>
      <c r="V45" s="249">
        <v>0.30399999999999999</v>
      </c>
      <c r="W45" s="241">
        <v>0.377</v>
      </c>
      <c r="X45" s="238">
        <f t="shared" si="45"/>
        <v>0.34050000000000002</v>
      </c>
      <c r="Y45" s="238">
        <f t="shared" si="46"/>
        <v>3.6499999999999713E-2</v>
      </c>
      <c r="Z45" s="263">
        <f t="shared" si="47"/>
        <v>0.1071953010278993</v>
      </c>
    </row>
    <row r="46" spans="2:33" ht="17.649999999999999">
      <c r="B46" s="297" t="s">
        <v>217</v>
      </c>
      <c r="C46" s="268" t="s">
        <v>217</v>
      </c>
      <c r="D46" s="272">
        <v>0.73</v>
      </c>
      <c r="E46" s="240">
        <v>1</v>
      </c>
      <c r="F46" s="237">
        <f t="shared" si="39"/>
        <v>0.86499999999999999</v>
      </c>
      <c r="G46" s="238">
        <f t="shared" si="40"/>
        <v>0.13499999999999976</v>
      </c>
      <c r="H46" s="239">
        <f t="shared" si="41"/>
        <v>0.15606936416184944</v>
      </c>
      <c r="I46" s="23"/>
      <c r="J46" s="249">
        <v>35.1</v>
      </c>
      <c r="K46" s="241">
        <v>38.799999999999997</v>
      </c>
      <c r="L46" s="238">
        <f t="shared" si="48"/>
        <v>36.950000000000003</v>
      </c>
      <c r="M46" s="238">
        <f t="shared" si="49"/>
        <v>1.8499999999999979</v>
      </c>
      <c r="N46" s="239">
        <f t="shared" si="50"/>
        <v>5.0067658998646757E-2</v>
      </c>
      <c r="P46" s="251">
        <v>0.01</v>
      </c>
      <c r="Q46" s="252">
        <v>1.4999999999999999E-2</v>
      </c>
      <c r="R46" s="253">
        <f t="shared" si="42"/>
        <v>1.2500000000000001E-2</v>
      </c>
      <c r="S46" s="254">
        <f t="shared" si="43"/>
        <v>2.4999999999999992E-3</v>
      </c>
      <c r="T46" s="255">
        <f t="shared" si="44"/>
        <v>0.19999999999999993</v>
      </c>
      <c r="V46" s="249">
        <v>8.5300000000000001E-2</v>
      </c>
      <c r="W46" s="241">
        <v>0.10299999999999999</v>
      </c>
      <c r="X46" s="238">
        <f t="shared" si="45"/>
        <v>9.4149999999999998E-2</v>
      </c>
      <c r="Y46" s="238">
        <f t="shared" si="46"/>
        <v>8.849999999999995E-3</v>
      </c>
      <c r="Z46" s="263">
        <f t="shared" si="47"/>
        <v>9.3998937865108823E-2</v>
      </c>
    </row>
    <row r="47" spans="2:33" ht="17.649999999999999">
      <c r="B47" s="297" t="s">
        <v>230</v>
      </c>
      <c r="C47" s="268" t="s">
        <v>230</v>
      </c>
      <c r="D47" s="249">
        <v>0.66</v>
      </c>
      <c r="E47" s="241">
        <v>2.4300000000000002</v>
      </c>
      <c r="F47" s="237">
        <f t="shared" si="39"/>
        <v>1.5450000000000002</v>
      </c>
      <c r="G47" s="238">
        <f t="shared" si="40"/>
        <v>0.88499999999999979</v>
      </c>
      <c r="H47" s="239">
        <f t="shared" si="41"/>
        <v>0.57281553398058238</v>
      </c>
      <c r="I47" s="23"/>
      <c r="J47" s="249">
        <v>6.34</v>
      </c>
      <c r="K47" s="241">
        <v>7.01</v>
      </c>
      <c r="L47" s="238">
        <f t="shared" si="48"/>
        <v>6.6749999999999998</v>
      </c>
      <c r="M47" s="238">
        <f t="shared" si="49"/>
        <v>0.33499999999999991</v>
      </c>
      <c r="N47" s="239">
        <f t="shared" si="50"/>
        <v>5.0187265917602981E-2</v>
      </c>
      <c r="P47" s="251">
        <v>0</v>
      </c>
      <c r="Q47" s="252">
        <v>1E-3</v>
      </c>
      <c r="R47" s="253">
        <f t="shared" si="42"/>
        <v>5.0000000000000001E-4</v>
      </c>
      <c r="S47" s="254">
        <f t="shared" si="43"/>
        <v>5.0000000000000001E-4</v>
      </c>
      <c r="T47" s="255">
        <v>0</v>
      </c>
      <c r="V47" s="249">
        <v>1.77</v>
      </c>
      <c r="W47" s="241">
        <v>10.6</v>
      </c>
      <c r="X47" s="238">
        <f t="shared" si="45"/>
        <v>6.1849999999999996</v>
      </c>
      <c r="Y47" s="238">
        <f t="shared" si="46"/>
        <v>4.415</v>
      </c>
      <c r="Z47" s="263">
        <f t="shared" si="47"/>
        <v>0.71382376717865814</v>
      </c>
    </row>
    <row r="48" spans="2:33" ht="17.649999999999999">
      <c r="B48" s="297" t="s">
        <v>7</v>
      </c>
      <c r="C48" s="270" t="s">
        <v>7</v>
      </c>
      <c r="D48" s="271">
        <v>9.0300000000000005E-2</v>
      </c>
      <c r="E48" s="236">
        <v>0.1</v>
      </c>
      <c r="F48" s="237">
        <f t="shared" si="39"/>
        <v>9.5150000000000012E-2</v>
      </c>
      <c r="G48" s="238">
        <f t="shared" si="40"/>
        <v>4.8499999999999993E-3</v>
      </c>
      <c r="H48" s="239">
        <f t="shared" si="41"/>
        <v>5.0972149238045175E-2</v>
      </c>
      <c r="I48" s="23"/>
      <c r="J48" s="249">
        <v>3.23</v>
      </c>
      <c r="K48" s="241">
        <v>3.57</v>
      </c>
      <c r="L48" s="238">
        <f t="shared" si="48"/>
        <v>3.4</v>
      </c>
      <c r="M48" s="238">
        <f t="shared" si="49"/>
        <v>0.16999999999999993</v>
      </c>
      <c r="N48" s="239">
        <f t="shared" si="50"/>
        <v>4.9999999999999982E-2</v>
      </c>
      <c r="P48" s="251">
        <v>0.125</v>
      </c>
      <c r="Q48" s="252">
        <v>0.15</v>
      </c>
      <c r="R48" s="253">
        <f t="shared" si="42"/>
        <v>0.13750000000000001</v>
      </c>
      <c r="S48" s="254">
        <f t="shared" si="43"/>
        <v>1.2499999999999997E-2</v>
      </c>
      <c r="T48" s="255">
        <f t="shared" si="44"/>
        <v>9.0909090909090884E-2</v>
      </c>
      <c r="V48" s="249">
        <v>3.44E-2</v>
      </c>
      <c r="W48" s="241">
        <v>5.1200000000000002E-2</v>
      </c>
      <c r="X48" s="238">
        <f t="shared" si="45"/>
        <v>4.2800000000000005E-2</v>
      </c>
      <c r="Y48" s="238">
        <f t="shared" si="46"/>
        <v>8.3999999999999804E-3</v>
      </c>
      <c r="Z48" s="263">
        <f t="shared" si="47"/>
        <v>0.19626168224299018</v>
      </c>
    </row>
    <row r="49" spans="2:26" ht="17.649999999999999">
      <c r="B49" s="297" t="s">
        <v>10</v>
      </c>
      <c r="C49" s="270" t="s">
        <v>10</v>
      </c>
      <c r="D49" s="271">
        <v>3.45</v>
      </c>
      <c r="E49" s="236">
        <v>3.8</v>
      </c>
      <c r="F49" s="237">
        <f t="shared" si="39"/>
        <v>3.625</v>
      </c>
      <c r="G49" s="238">
        <f t="shared" si="40"/>
        <v>0.17499999999999979</v>
      </c>
      <c r="H49" s="239">
        <f t="shared" si="41"/>
        <v>4.8275862068965461E-2</v>
      </c>
      <c r="I49" s="23"/>
      <c r="J49" s="249">
        <v>300</v>
      </c>
      <c r="K49" s="241">
        <v>330</v>
      </c>
      <c r="L49" s="238">
        <f t="shared" si="48"/>
        <v>315</v>
      </c>
      <c r="M49" s="238">
        <f t="shared" si="49"/>
        <v>15</v>
      </c>
      <c r="N49" s="239">
        <f t="shared" si="50"/>
        <v>4.7619047619047616E-2</v>
      </c>
      <c r="P49" s="251">
        <v>0.41</v>
      </c>
      <c r="Q49" s="252">
        <v>0.45</v>
      </c>
      <c r="R49" s="253">
        <f t="shared" si="42"/>
        <v>0.43</v>
      </c>
      <c r="S49" s="254">
        <f t="shared" si="43"/>
        <v>2.0000000000000018E-2</v>
      </c>
      <c r="T49" s="255">
        <f t="shared" si="44"/>
        <v>4.6511627906976785E-2</v>
      </c>
      <c r="V49" s="249">
        <v>5.15</v>
      </c>
      <c r="W49" s="241">
        <v>5.48</v>
      </c>
      <c r="X49" s="238">
        <f t="shared" si="45"/>
        <v>5.3150000000000004</v>
      </c>
      <c r="Y49" s="238">
        <f t="shared" si="46"/>
        <v>0.16500000000000004</v>
      </c>
      <c r="Z49" s="263">
        <f t="shared" si="47"/>
        <v>3.10442144873001E-2</v>
      </c>
    </row>
    <row r="50" spans="2:26" ht="17.649999999999999">
      <c r="B50" s="297" t="s">
        <v>14</v>
      </c>
      <c r="C50" s="270" t="s">
        <v>14</v>
      </c>
      <c r="D50" s="271">
        <v>6.83</v>
      </c>
      <c r="E50" s="236">
        <v>7.55</v>
      </c>
      <c r="F50" s="237">
        <f t="shared" si="39"/>
        <v>7.1899999999999995</v>
      </c>
      <c r="G50" s="238">
        <f t="shared" si="40"/>
        <v>0.35999999999999988</v>
      </c>
      <c r="H50" s="239">
        <f t="shared" si="41"/>
        <v>5.0069541029207215E-2</v>
      </c>
      <c r="I50" s="23"/>
      <c r="J50" s="249">
        <v>26.6</v>
      </c>
      <c r="K50" s="241">
        <v>29.4</v>
      </c>
      <c r="L50" s="238">
        <f t="shared" si="48"/>
        <v>28</v>
      </c>
      <c r="M50" s="238">
        <f t="shared" si="49"/>
        <v>1.3999999999999984</v>
      </c>
      <c r="N50" s="239">
        <f t="shared" si="50"/>
        <v>4.999999999999994E-2</v>
      </c>
      <c r="P50" s="251">
        <v>5.0000000000000001E-3</v>
      </c>
      <c r="Q50" s="252">
        <v>0.01</v>
      </c>
      <c r="R50" s="253">
        <f t="shared" si="42"/>
        <v>7.4999999999999997E-3</v>
      </c>
      <c r="S50" s="254">
        <f t="shared" si="43"/>
        <v>2.5000000000000005E-3</v>
      </c>
      <c r="T50" s="255">
        <f t="shared" si="44"/>
        <v>0.33333333333333343</v>
      </c>
      <c r="V50" s="249">
        <v>1.94</v>
      </c>
      <c r="W50" s="241">
        <v>2.48</v>
      </c>
      <c r="X50" s="238">
        <f t="shared" si="45"/>
        <v>2.21</v>
      </c>
      <c r="Y50" s="238">
        <f t="shared" si="46"/>
        <v>0.26999999999999952</v>
      </c>
      <c r="Z50" s="263">
        <f t="shared" si="47"/>
        <v>0.12217194570135725</v>
      </c>
    </row>
    <row r="51" spans="2:26" ht="17.649999999999999">
      <c r="B51" s="297" t="s">
        <v>111</v>
      </c>
      <c r="C51" s="268" t="s">
        <v>111</v>
      </c>
      <c r="D51" s="272">
        <v>2</v>
      </c>
      <c r="E51" s="240">
        <v>2.21</v>
      </c>
      <c r="F51" s="237">
        <f t="shared" si="39"/>
        <v>2.105</v>
      </c>
      <c r="G51" s="238">
        <f t="shared" si="40"/>
        <v>0.10499999999999997</v>
      </c>
      <c r="H51" s="239">
        <f t="shared" si="41"/>
        <v>4.9881235154394285E-2</v>
      </c>
      <c r="I51" s="23"/>
      <c r="J51" s="249">
        <v>2.66</v>
      </c>
      <c r="K51" s="241">
        <v>2.94</v>
      </c>
      <c r="L51" s="238">
        <f t="shared" si="48"/>
        <v>2.8</v>
      </c>
      <c r="M51" s="238">
        <f t="shared" si="49"/>
        <v>0.13999999999999987</v>
      </c>
      <c r="N51" s="239">
        <f t="shared" si="50"/>
        <v>4.9999999999999961E-2</v>
      </c>
      <c r="P51" s="251">
        <v>0</v>
      </c>
      <c r="Q51" s="252">
        <v>1E-3</v>
      </c>
      <c r="R51" s="253">
        <f t="shared" si="42"/>
        <v>5.0000000000000001E-4</v>
      </c>
      <c r="S51" s="254">
        <f t="shared" si="43"/>
        <v>5.0000000000000001E-4</v>
      </c>
      <c r="T51" s="255">
        <v>0</v>
      </c>
      <c r="V51" s="249">
        <v>1.97</v>
      </c>
      <c r="W51" s="241">
        <v>2.17</v>
      </c>
      <c r="X51" s="238">
        <f t="shared" si="45"/>
        <v>2.0699999999999998</v>
      </c>
      <c r="Y51" s="238">
        <f t="shared" si="46"/>
        <v>9.9999999999999978E-2</v>
      </c>
      <c r="Z51" s="263">
        <f t="shared" si="47"/>
        <v>4.8309178743961345E-2</v>
      </c>
    </row>
    <row r="52" spans="2:26" ht="17.649999999999999">
      <c r="B52" s="297" t="s">
        <v>255</v>
      </c>
      <c r="C52" s="270" t="s">
        <v>255</v>
      </c>
      <c r="D52" s="271">
        <v>2.85</v>
      </c>
      <c r="E52" s="236">
        <v>3.14</v>
      </c>
      <c r="F52" s="237">
        <f t="shared" si="39"/>
        <v>2.9950000000000001</v>
      </c>
      <c r="G52" s="238">
        <f t="shared" si="40"/>
        <v>0.14500000000000002</v>
      </c>
      <c r="H52" s="239">
        <f t="shared" si="41"/>
        <v>4.8414023372287146E-2</v>
      </c>
      <c r="I52" s="23"/>
      <c r="J52" s="249">
        <v>281</v>
      </c>
      <c r="K52" s="241">
        <v>311</v>
      </c>
      <c r="L52" s="238">
        <f t="shared" si="48"/>
        <v>296</v>
      </c>
      <c r="M52" s="238">
        <f t="shared" si="49"/>
        <v>15</v>
      </c>
      <c r="N52" s="239">
        <f t="shared" si="50"/>
        <v>5.0675675675675678E-2</v>
      </c>
      <c r="P52" s="251">
        <v>1E-3</v>
      </c>
      <c r="Q52" s="252">
        <v>2E-3</v>
      </c>
      <c r="R52" s="253">
        <f t="shared" si="42"/>
        <v>1.5E-3</v>
      </c>
      <c r="S52" s="254">
        <f t="shared" si="43"/>
        <v>5.0000000000000001E-4</v>
      </c>
      <c r="T52" s="255">
        <f t="shared" si="44"/>
        <v>0.33333333333333331</v>
      </c>
      <c r="V52" s="249">
        <v>7.19</v>
      </c>
      <c r="W52" s="241">
        <v>27</v>
      </c>
      <c r="X52" s="238">
        <f t="shared" si="45"/>
        <v>17.094999999999999</v>
      </c>
      <c r="Y52" s="238">
        <f t="shared" si="46"/>
        <v>9.9050000000000011</v>
      </c>
      <c r="Z52" s="263">
        <f t="shared" si="47"/>
        <v>0.57940918397192176</v>
      </c>
    </row>
    <row r="53" spans="2:26" ht="17.649999999999999">
      <c r="B53" s="297" t="s">
        <v>32</v>
      </c>
      <c r="C53" s="268" t="s">
        <v>32</v>
      </c>
      <c r="D53" s="249">
        <v>0.72</v>
      </c>
      <c r="E53" s="241">
        <v>0.86</v>
      </c>
      <c r="F53" s="237">
        <f t="shared" si="39"/>
        <v>0.79</v>
      </c>
      <c r="G53" s="238">
        <f t="shared" si="40"/>
        <v>7.0000000000000007E-2</v>
      </c>
      <c r="H53" s="239">
        <f t="shared" si="41"/>
        <v>8.8607594936708861E-2</v>
      </c>
      <c r="I53" s="23"/>
      <c r="J53" s="249">
        <v>13.6</v>
      </c>
      <c r="K53" s="241">
        <v>15.1</v>
      </c>
      <c r="L53" s="238">
        <f t="shared" si="48"/>
        <v>14.35</v>
      </c>
      <c r="M53" s="238">
        <f t="shared" si="49"/>
        <v>0.74999999999999989</v>
      </c>
      <c r="N53" s="239">
        <f t="shared" si="50"/>
        <v>5.2264808362369332E-2</v>
      </c>
      <c r="P53" s="251">
        <v>0.22</v>
      </c>
      <c r="Q53" s="252">
        <v>0.26</v>
      </c>
      <c r="R53" s="253">
        <f t="shared" si="42"/>
        <v>0.24</v>
      </c>
      <c r="S53" s="254">
        <f t="shared" si="43"/>
        <v>2.0000000000000004E-2</v>
      </c>
      <c r="T53" s="255">
        <f t="shared" si="44"/>
        <v>8.3333333333333356E-2</v>
      </c>
      <c r="V53" s="249">
        <v>1.2</v>
      </c>
      <c r="W53" s="241">
        <v>1.34</v>
      </c>
      <c r="X53" s="238">
        <f t="shared" si="45"/>
        <v>1.27</v>
      </c>
      <c r="Y53" s="238">
        <f t="shared" si="46"/>
        <v>7.0000000000000048E-2</v>
      </c>
      <c r="Z53" s="263">
        <f t="shared" si="47"/>
        <v>5.5118110236220506E-2</v>
      </c>
    </row>
    <row r="54" spans="2:26" ht="17.649999999999999">
      <c r="B54" s="297" t="s">
        <v>160</v>
      </c>
      <c r="C54" s="270" t="s">
        <v>273</v>
      </c>
      <c r="D54" s="271">
        <v>1.07</v>
      </c>
      <c r="E54" s="236">
        <v>1.07</v>
      </c>
      <c r="F54" s="237">
        <f t="shared" si="39"/>
        <v>1.07</v>
      </c>
      <c r="G54" s="238">
        <f>F54*H54</f>
        <v>0.21400000000000002</v>
      </c>
      <c r="H54" s="239">
        <v>0.2</v>
      </c>
      <c r="I54" s="23"/>
      <c r="J54" s="249">
        <v>8.4</v>
      </c>
      <c r="K54" s="241">
        <v>10.199999999999999</v>
      </c>
      <c r="L54" s="238">
        <f t="shared" si="48"/>
        <v>9.3000000000000007</v>
      </c>
      <c r="M54" s="238">
        <f>N54*L54</f>
        <v>1.8600000000000003</v>
      </c>
      <c r="N54" s="239">
        <v>0.2</v>
      </c>
      <c r="P54" s="251">
        <v>0</v>
      </c>
      <c r="Q54" s="252">
        <v>0.02</v>
      </c>
      <c r="R54" s="253">
        <f t="shared" si="42"/>
        <v>0.01</v>
      </c>
      <c r="S54" s="254">
        <f t="shared" si="43"/>
        <v>0.01</v>
      </c>
      <c r="T54" s="255">
        <v>0.2</v>
      </c>
      <c r="V54" s="249">
        <v>0.53</v>
      </c>
      <c r="W54" s="241">
        <v>0.89</v>
      </c>
      <c r="X54" s="238">
        <f t="shared" si="45"/>
        <v>0.71</v>
      </c>
      <c r="Y54" s="238">
        <f t="shared" si="46"/>
        <v>0.17999999999999994</v>
      </c>
      <c r="Z54" s="263">
        <f t="shared" si="47"/>
        <v>0.25352112676056332</v>
      </c>
    </row>
    <row r="55" spans="2:26" ht="17.649999999999999">
      <c r="B55" s="297" t="s">
        <v>229</v>
      </c>
      <c r="C55" s="268" t="s">
        <v>229</v>
      </c>
      <c r="D55" s="249">
        <v>3.45</v>
      </c>
      <c r="E55" s="241">
        <v>13.8</v>
      </c>
      <c r="F55" s="237">
        <f t="shared" si="39"/>
        <v>8.625</v>
      </c>
      <c r="G55" s="238">
        <f t="shared" si="40"/>
        <v>5.1750000000000016</v>
      </c>
      <c r="H55" s="239">
        <f t="shared" si="41"/>
        <v>0.6000000000000002</v>
      </c>
      <c r="I55" s="23"/>
      <c r="J55" s="249">
        <v>222</v>
      </c>
      <c r="K55" s="241">
        <f>11500</f>
        <v>11500</v>
      </c>
      <c r="L55" s="238">
        <f>AVERAGE(J55:K55)</f>
        <v>5861</v>
      </c>
      <c r="M55" s="238">
        <f>STDEV(J55:K55)/SQRT(2)</f>
        <v>5638.9999999999991</v>
      </c>
      <c r="N55" s="239">
        <f>M55/L55</f>
        <v>0.96212250469203187</v>
      </c>
      <c r="P55" s="251">
        <v>0.06</v>
      </c>
      <c r="Q55" s="252">
        <v>0.61499999999999999</v>
      </c>
      <c r="R55" s="253">
        <f t="shared" si="42"/>
        <v>0.33750000000000002</v>
      </c>
      <c r="S55" s="254">
        <f t="shared" si="43"/>
        <v>0.27749999999999991</v>
      </c>
      <c r="T55" s="255">
        <f t="shared" si="44"/>
        <v>0.82222222222222197</v>
      </c>
      <c r="V55" s="249">
        <v>4.57</v>
      </c>
      <c r="W55" s="241">
        <v>15.4</v>
      </c>
      <c r="X55" s="238">
        <f t="shared" si="45"/>
        <v>9.9849999999999994</v>
      </c>
      <c r="Y55" s="238">
        <f t="shared" si="46"/>
        <v>5.4150000000000027</v>
      </c>
      <c r="Z55" s="263">
        <f t="shared" si="47"/>
        <v>0.54231347020530829</v>
      </c>
    </row>
    <row r="56" spans="2:26" ht="17.649999999999999">
      <c r="B56" s="297" t="s">
        <v>9</v>
      </c>
      <c r="C56" s="270" t="s">
        <v>272</v>
      </c>
      <c r="D56" s="271">
        <v>2.42</v>
      </c>
      <c r="E56" s="236">
        <v>2.42</v>
      </c>
      <c r="F56" s="237">
        <f t="shared" si="39"/>
        <v>2.42</v>
      </c>
      <c r="G56" s="238">
        <f>F56*H56</f>
        <v>0.48399999999999999</v>
      </c>
      <c r="H56" s="239">
        <v>0.2</v>
      </c>
      <c r="I56" s="23"/>
      <c r="J56" s="249">
        <v>163</v>
      </c>
      <c r="K56" s="241">
        <v>194</v>
      </c>
      <c r="L56" s="238">
        <f>AVERAGE(J56:K56)</f>
        <v>178.5</v>
      </c>
      <c r="M56" s="238">
        <f>N56*L56</f>
        <v>35.700000000000003</v>
      </c>
      <c r="N56" s="239">
        <v>0.2</v>
      </c>
      <c r="P56" s="251">
        <v>0</v>
      </c>
      <c r="Q56" s="252">
        <v>1E-3</v>
      </c>
      <c r="R56" s="253">
        <f t="shared" si="42"/>
        <v>5.0000000000000001E-4</v>
      </c>
      <c r="S56" s="254">
        <f t="shared" si="43"/>
        <v>5.0000000000000001E-4</v>
      </c>
      <c r="T56" s="255">
        <v>0</v>
      </c>
      <c r="V56" s="249">
        <v>1.48</v>
      </c>
      <c r="W56" s="241">
        <v>2.67</v>
      </c>
      <c r="X56" s="238">
        <f t="shared" si="45"/>
        <v>2.0750000000000002</v>
      </c>
      <c r="Y56" s="238">
        <f t="shared" si="46"/>
        <v>0.5949999999999992</v>
      </c>
      <c r="Z56" s="263">
        <f t="shared" si="47"/>
        <v>0.28674698795180681</v>
      </c>
    </row>
    <row r="57" spans="2:26" ht="17.649999999999999">
      <c r="B57" s="297" t="s">
        <v>12</v>
      </c>
      <c r="C57" s="270" t="s">
        <v>12</v>
      </c>
      <c r="D57" s="271">
        <v>2.7</v>
      </c>
      <c r="E57" s="236">
        <v>2.73</v>
      </c>
      <c r="F57" s="237">
        <f t="shared" si="39"/>
        <v>2.7149999999999999</v>
      </c>
      <c r="G57" s="238">
        <f t="shared" si="40"/>
        <v>1.4999999999999902E-2</v>
      </c>
      <c r="H57" s="239">
        <f t="shared" si="41"/>
        <v>5.5248618784530029E-3</v>
      </c>
      <c r="I57" s="23"/>
      <c r="J57" s="249">
        <v>19.8</v>
      </c>
      <c r="K57" s="241">
        <v>21.8</v>
      </c>
      <c r="L57" s="238">
        <f t="shared" si="48"/>
        <v>20.8</v>
      </c>
      <c r="M57" s="238">
        <f t="shared" si="49"/>
        <v>1</v>
      </c>
      <c r="N57" s="239">
        <f t="shared" si="50"/>
        <v>4.8076923076923073E-2</v>
      </c>
      <c r="P57" s="251">
        <v>5.0000000000000001E-3</v>
      </c>
      <c r="Q57" s="252">
        <v>0.01</v>
      </c>
      <c r="R57" s="253">
        <f t="shared" si="42"/>
        <v>7.4999999999999997E-3</v>
      </c>
      <c r="S57" s="254">
        <f t="shared" si="43"/>
        <v>2.5000000000000005E-3</v>
      </c>
      <c r="T57" s="255">
        <f t="shared" si="44"/>
        <v>0.33333333333333343</v>
      </c>
      <c r="V57" s="249">
        <v>2.42</v>
      </c>
      <c r="W57" s="241">
        <v>3.18</v>
      </c>
      <c r="X57" s="238">
        <f t="shared" si="45"/>
        <v>2.8</v>
      </c>
      <c r="Y57" s="238">
        <f t="shared" si="46"/>
        <v>0.38000000000000239</v>
      </c>
      <c r="Z57" s="263">
        <f t="shared" si="47"/>
        <v>0.13571428571428656</v>
      </c>
    </row>
    <row r="58" spans="2:26" ht="17.649999999999999">
      <c r="B58" s="297" t="s">
        <v>221</v>
      </c>
      <c r="C58" s="268" t="s">
        <v>221</v>
      </c>
      <c r="D58" s="272">
        <v>2.37</v>
      </c>
      <c r="E58" s="240">
        <v>2.62</v>
      </c>
      <c r="F58" s="237">
        <f t="shared" si="39"/>
        <v>2.4950000000000001</v>
      </c>
      <c r="G58" s="238">
        <f t="shared" si="40"/>
        <v>0.125</v>
      </c>
      <c r="H58" s="239">
        <f t="shared" si="41"/>
        <v>5.0100200400801598E-2</v>
      </c>
      <c r="J58" s="249">
        <v>197</v>
      </c>
      <c r="K58" s="241">
        <v>218</v>
      </c>
      <c r="L58" s="238">
        <f t="shared" si="48"/>
        <v>207.5</v>
      </c>
      <c r="M58" s="238">
        <f t="shared" si="49"/>
        <v>10.499999999999998</v>
      </c>
      <c r="N58" s="239">
        <f t="shared" si="50"/>
        <v>5.060240963855421E-2</v>
      </c>
      <c r="P58" s="251">
        <v>5.0000000000000001E-3</v>
      </c>
      <c r="Q58" s="252">
        <v>0.01</v>
      </c>
      <c r="R58" s="253">
        <f t="shared" si="42"/>
        <v>7.4999999999999997E-3</v>
      </c>
      <c r="S58" s="254">
        <f t="shared" si="43"/>
        <v>2.5000000000000005E-3</v>
      </c>
      <c r="T58" s="255">
        <f t="shared" si="44"/>
        <v>0.33333333333333343</v>
      </c>
      <c r="V58" s="249">
        <v>2.1800000000000002</v>
      </c>
      <c r="W58" s="241">
        <v>2.2200000000000002</v>
      </c>
      <c r="X58" s="238">
        <f t="shared" si="45"/>
        <v>2.2000000000000002</v>
      </c>
      <c r="Y58" s="238">
        <f t="shared" si="46"/>
        <v>2.0000000000000018E-2</v>
      </c>
      <c r="Z58" s="263">
        <f t="shared" si="47"/>
        <v>9.0909090909090974E-3</v>
      </c>
    </row>
    <row r="59" spans="2:26" ht="17.649999999999999">
      <c r="B59" s="297" t="s">
        <v>158</v>
      </c>
      <c r="C59" s="270" t="s">
        <v>158</v>
      </c>
      <c r="D59" s="271">
        <v>3.44</v>
      </c>
      <c r="E59" s="236">
        <v>3.81</v>
      </c>
      <c r="F59" s="237">
        <f t="shared" si="39"/>
        <v>3.625</v>
      </c>
      <c r="G59" s="238">
        <f t="shared" si="40"/>
        <v>0.18500000000000003</v>
      </c>
      <c r="H59" s="239">
        <f t="shared" si="41"/>
        <v>5.10344827586207E-2</v>
      </c>
      <c r="J59" s="249">
        <v>49.2</v>
      </c>
      <c r="K59" s="241">
        <v>54.4</v>
      </c>
      <c r="L59" s="238">
        <f t="shared" si="48"/>
        <v>51.8</v>
      </c>
      <c r="M59" s="238">
        <f t="shared" si="49"/>
        <v>2.5999999999999979</v>
      </c>
      <c r="N59" s="239">
        <f t="shared" si="50"/>
        <v>5.0193050193050155E-2</v>
      </c>
      <c r="P59" s="251">
        <v>5.0000000000000001E-3</v>
      </c>
      <c r="Q59" s="252">
        <v>0.01</v>
      </c>
      <c r="R59" s="253">
        <f t="shared" si="42"/>
        <v>7.4999999999999997E-3</v>
      </c>
      <c r="S59" s="254">
        <f t="shared" si="43"/>
        <v>2.5000000000000005E-3</v>
      </c>
      <c r="T59" s="255">
        <f t="shared" si="44"/>
        <v>0.33333333333333343</v>
      </c>
      <c r="V59" s="249">
        <v>1.42</v>
      </c>
      <c r="W59" s="241">
        <v>1.6</v>
      </c>
      <c r="X59" s="238">
        <f t="shared" si="45"/>
        <v>1.51</v>
      </c>
      <c r="Y59" s="238">
        <f t="shared" si="46"/>
        <v>9.0000000000000094E-2</v>
      </c>
      <c r="Z59" s="263">
        <f t="shared" si="47"/>
        <v>5.9602649006622578E-2</v>
      </c>
    </row>
    <row r="60" spans="2:26" ht="17.649999999999999">
      <c r="B60" s="297" t="s">
        <v>326</v>
      </c>
      <c r="C60" s="268" t="s">
        <v>326</v>
      </c>
      <c r="D60" s="272">
        <v>4.7999999999999996E-3</v>
      </c>
      <c r="E60" s="240">
        <v>2.69E-2</v>
      </c>
      <c r="F60" s="237">
        <f>AVERAGE(D60:E60)</f>
        <v>1.585E-2</v>
      </c>
      <c r="G60" s="238">
        <f t="shared" si="40"/>
        <v>1.1049999999999999E-2</v>
      </c>
      <c r="H60" s="239">
        <f t="shared" si="41"/>
        <v>0.69716088328075709</v>
      </c>
      <c r="J60" s="249">
        <v>3.23</v>
      </c>
      <c r="K60" s="241">
        <v>3.57</v>
      </c>
      <c r="L60" s="238">
        <f t="shared" si="48"/>
        <v>3.4</v>
      </c>
      <c r="M60" s="238">
        <f t="shared" si="49"/>
        <v>0.16999999999999993</v>
      </c>
      <c r="N60" s="239">
        <f t="shared" si="50"/>
        <v>4.9999999999999982E-2</v>
      </c>
      <c r="P60" s="251">
        <v>0.01</v>
      </c>
      <c r="Q60" s="252">
        <v>0.02</v>
      </c>
      <c r="R60" s="253">
        <f t="shared" si="42"/>
        <v>1.4999999999999999E-2</v>
      </c>
      <c r="S60" s="254">
        <f t="shared" si="43"/>
        <v>5.000000000000001E-3</v>
      </c>
      <c r="T60" s="255">
        <f t="shared" si="44"/>
        <v>0.33333333333333343</v>
      </c>
      <c r="V60" s="249">
        <v>3.5099999999999999E-2</v>
      </c>
      <c r="W60" s="241">
        <v>0.53100000000000003</v>
      </c>
      <c r="X60" s="238">
        <f t="shared" si="45"/>
        <v>0.28305000000000002</v>
      </c>
      <c r="Y60" s="238">
        <f t="shared" si="46"/>
        <v>0.24794999999999998</v>
      </c>
      <c r="Z60" s="263">
        <f t="shared" si="47"/>
        <v>0.8759936406995229</v>
      </c>
    </row>
    <row r="61" spans="2:26" ht="17.649999999999999">
      <c r="B61" s="297" t="s">
        <v>269</v>
      </c>
      <c r="C61" s="268" t="s">
        <v>269</v>
      </c>
      <c r="D61" s="272">
        <v>3.78</v>
      </c>
      <c r="E61" s="240">
        <v>6.9</v>
      </c>
      <c r="F61" s="237">
        <f t="shared" si="39"/>
        <v>5.34</v>
      </c>
      <c r="G61" s="238">
        <f t="shared" si="40"/>
        <v>1.5600000000000016</v>
      </c>
      <c r="H61" s="239">
        <f t="shared" si="41"/>
        <v>0.29213483146067448</v>
      </c>
      <c r="J61" s="249">
        <v>23.2</v>
      </c>
      <c r="K61" s="241">
        <v>25.7</v>
      </c>
      <c r="L61" s="238">
        <f t="shared" si="48"/>
        <v>24.45</v>
      </c>
      <c r="M61" s="238">
        <f t="shared" si="49"/>
        <v>1.25</v>
      </c>
      <c r="N61" s="239">
        <f t="shared" si="50"/>
        <v>5.112474437627812E-2</v>
      </c>
      <c r="P61" s="251">
        <v>0</v>
      </c>
      <c r="Q61" s="252">
        <v>1E-3</v>
      </c>
      <c r="R61" s="253">
        <f t="shared" si="42"/>
        <v>5.0000000000000001E-4</v>
      </c>
      <c r="S61" s="254">
        <f t="shared" si="43"/>
        <v>5.0000000000000001E-4</v>
      </c>
      <c r="T61" s="255">
        <v>0</v>
      </c>
      <c r="V61" s="249">
        <v>34.299999999999997</v>
      </c>
      <c r="W61" s="241">
        <v>171</v>
      </c>
      <c r="X61" s="238">
        <f t="shared" si="45"/>
        <v>102.65</v>
      </c>
      <c r="Y61" s="238">
        <f t="shared" si="46"/>
        <v>68.34999999999998</v>
      </c>
      <c r="Z61" s="263">
        <f t="shared" si="47"/>
        <v>0.66585484656600069</v>
      </c>
    </row>
    <row r="62" spans="2:26" ht="17.649999999999999">
      <c r="B62" s="297" t="s">
        <v>8</v>
      </c>
      <c r="C62" s="268" t="s">
        <v>8</v>
      </c>
      <c r="D62" s="249">
        <v>2.21</v>
      </c>
      <c r="E62" s="241">
        <v>2.71</v>
      </c>
      <c r="F62" s="237">
        <f t="shared" si="39"/>
        <v>2.46</v>
      </c>
      <c r="G62" s="238">
        <f t="shared" si="40"/>
        <v>0.25000000000000178</v>
      </c>
      <c r="H62" s="239">
        <f t="shared" si="41"/>
        <v>0.10162601626016332</v>
      </c>
      <c r="J62" s="249">
        <v>44</v>
      </c>
      <c r="K62" s="241">
        <v>52</v>
      </c>
      <c r="L62" s="238">
        <f>AVERAGE(J62:K62)</f>
        <v>48</v>
      </c>
      <c r="M62" s="238">
        <f t="shared" si="49"/>
        <v>4</v>
      </c>
      <c r="N62" s="239">
        <f>M62/L62</f>
        <v>8.3333333333333329E-2</v>
      </c>
      <c r="P62" s="251">
        <v>0.4</v>
      </c>
      <c r="Q62" s="252">
        <v>0.44</v>
      </c>
      <c r="R62" s="253">
        <f t="shared" si="42"/>
        <v>0.42000000000000004</v>
      </c>
      <c r="S62" s="254">
        <f t="shared" si="43"/>
        <v>1.999999999999999E-2</v>
      </c>
      <c r="T62" s="255">
        <f t="shared" si="44"/>
        <v>4.7619047619047589E-2</v>
      </c>
      <c r="V62" s="249">
        <v>0.58399999999999996</v>
      </c>
      <c r="W62" s="241">
        <v>0.66800000000000004</v>
      </c>
      <c r="X62" s="238">
        <f t="shared" si="45"/>
        <v>0.626</v>
      </c>
      <c r="Y62" s="238">
        <f t="shared" si="46"/>
        <v>4.2000000000000037E-2</v>
      </c>
      <c r="Z62" s="263">
        <f t="shared" si="47"/>
        <v>6.7092651757188551E-2</v>
      </c>
    </row>
    <row r="63" spans="2:26" ht="17.649999999999999">
      <c r="B63" s="297" t="s">
        <v>228</v>
      </c>
      <c r="C63" s="268" t="s">
        <v>228</v>
      </c>
      <c r="D63" s="249">
        <v>5.18</v>
      </c>
      <c r="E63" s="241">
        <v>6.15</v>
      </c>
      <c r="F63" s="237">
        <f t="shared" si="39"/>
        <v>5.665</v>
      </c>
      <c r="G63" s="238">
        <f t="shared" si="40"/>
        <v>0.48500000000000032</v>
      </c>
      <c r="H63" s="239">
        <f t="shared" si="41"/>
        <v>8.5613415710503141E-2</v>
      </c>
      <c r="J63" s="249">
        <v>130</v>
      </c>
      <c r="K63" s="241">
        <v>140</v>
      </c>
      <c r="L63" s="238">
        <f>AVERAGE(J63:K63)</f>
        <v>135</v>
      </c>
      <c r="M63" s="238">
        <f t="shared" si="49"/>
        <v>5</v>
      </c>
      <c r="N63" s="239">
        <f>M63/L63</f>
        <v>3.7037037037037035E-2</v>
      </c>
      <c r="P63" s="251">
        <v>0.36</v>
      </c>
      <c r="Q63" s="252">
        <v>0.39</v>
      </c>
      <c r="R63" s="253">
        <f t="shared" si="42"/>
        <v>0.375</v>
      </c>
      <c r="S63" s="254">
        <f t="shared" si="43"/>
        <v>1.5000000000000012E-2</v>
      </c>
      <c r="T63" s="255">
        <f t="shared" si="44"/>
        <v>4.0000000000000029E-2</v>
      </c>
      <c r="V63" s="249">
        <v>2.59</v>
      </c>
      <c r="W63" s="241">
        <v>2.78</v>
      </c>
      <c r="X63" s="238">
        <f t="shared" si="45"/>
        <v>2.6849999999999996</v>
      </c>
      <c r="Y63" s="238">
        <f t="shared" si="46"/>
        <v>9.4999999999999973E-2</v>
      </c>
      <c r="Z63" s="263">
        <f t="shared" si="47"/>
        <v>3.5381750465549346E-2</v>
      </c>
    </row>
    <row r="64" spans="2:26" ht="17.649999999999999">
      <c r="B64" s="297" t="s">
        <v>503</v>
      </c>
      <c r="C64" s="268" t="s">
        <v>503</v>
      </c>
      <c r="D64" s="250">
        <v>0.54</v>
      </c>
      <c r="E64" s="242">
        <v>3.18</v>
      </c>
      <c r="F64" s="243">
        <f t="shared" ref="F64" si="51">AVERAGE(D64:E64)</f>
        <v>1.86</v>
      </c>
      <c r="G64" s="244">
        <f t="shared" ref="G64" si="52">STDEV(D64:E64)/SQRT(2)</f>
        <v>1.32</v>
      </c>
      <c r="H64" s="245">
        <f t="shared" ref="H64" si="53">G64/F64</f>
        <v>0.70967741935483875</v>
      </c>
      <c r="J64" s="250"/>
      <c r="K64" s="242"/>
      <c r="L64" s="244"/>
      <c r="M64" s="244"/>
      <c r="N64" s="245"/>
      <c r="P64" s="256"/>
      <c r="Q64" s="257"/>
      <c r="R64" s="258">
        <v>0.61</v>
      </c>
      <c r="S64" s="259"/>
      <c r="T64" s="260"/>
      <c r="V64" s="250"/>
      <c r="W64" s="242"/>
      <c r="X64" s="244"/>
      <c r="Y64" s="244"/>
      <c r="Z64" s="264"/>
    </row>
    <row r="65" spans="2:8" ht="17.649999999999999">
      <c r="C65"/>
      <c r="D65"/>
      <c r="E65"/>
      <c r="F65"/>
      <c r="G65"/>
      <c r="H65"/>
    </row>
    <row r="66" spans="2:8" ht="17.649999999999999">
      <c r="C66"/>
      <c r="D66"/>
      <c r="E66"/>
      <c r="F66"/>
      <c r="G66"/>
      <c r="H66"/>
    </row>
    <row r="67" spans="2:8" ht="17.649999999999999">
      <c r="C67"/>
      <c r="D67"/>
      <c r="E67"/>
      <c r="F67"/>
      <c r="G67"/>
      <c r="H67"/>
    </row>
    <row r="68" spans="2:8" ht="17.649999999999999">
      <c r="C68"/>
      <c r="D68"/>
      <c r="E68"/>
      <c r="F68"/>
      <c r="G68"/>
      <c r="H68"/>
    </row>
    <row r="69" spans="2:8">
      <c r="D69" s="36"/>
      <c r="E69" s="36"/>
      <c r="F69" s="37"/>
      <c r="G69" s="36"/>
      <c r="H69" s="35"/>
    </row>
    <row r="70" spans="2:8">
      <c r="C70" s="26"/>
      <c r="D70" s="36"/>
      <c r="E70" s="36"/>
      <c r="G70" s="31"/>
      <c r="H70" s="35"/>
    </row>
    <row r="71" spans="2:8">
      <c r="C71" s="26"/>
      <c r="D71" s="36"/>
      <c r="E71" s="36"/>
      <c r="G71" s="31"/>
      <c r="H71" s="35"/>
    </row>
    <row r="74" spans="2:8" ht="17.649999999999999">
      <c r="C74" s="33"/>
    </row>
    <row r="75" spans="2:8">
      <c r="B75" s="23" t="s">
        <v>259</v>
      </c>
      <c r="C75" s="23" t="s">
        <v>260</v>
      </c>
    </row>
    <row r="76" spans="2:8">
      <c r="B76" s="23" t="s">
        <v>258</v>
      </c>
      <c r="C76" s="27" t="s">
        <v>162</v>
      </c>
    </row>
    <row r="77" spans="2:8" ht="17.649999999999999">
      <c r="B77" s="23" t="s">
        <v>261</v>
      </c>
      <c r="C77" s="20" t="s">
        <v>262</v>
      </c>
    </row>
    <row r="78" spans="2:8">
      <c r="B78" s="23" t="s">
        <v>338</v>
      </c>
      <c r="C78" s="23" t="s">
        <v>339</v>
      </c>
    </row>
    <row r="79" spans="2:8">
      <c r="B79" s="23" t="s">
        <v>340</v>
      </c>
      <c r="C79" s="23" t="s">
        <v>341</v>
      </c>
    </row>
    <row r="82" spans="3:8">
      <c r="D82" s="36"/>
      <c r="E82" s="36"/>
      <c r="G82" s="36"/>
      <c r="H82" s="35"/>
    </row>
    <row r="83" spans="3:8">
      <c r="D83" s="36"/>
      <c r="E83" s="36"/>
      <c r="G83" s="36"/>
      <c r="H83" s="35"/>
    </row>
    <row r="84" spans="3:8">
      <c r="C84" s="26"/>
      <c r="D84" s="31"/>
      <c r="E84" s="31"/>
      <c r="G84" s="31"/>
      <c r="H84" s="32"/>
    </row>
    <row r="85" spans="3:8">
      <c r="C85" s="26"/>
      <c r="D85" s="31"/>
      <c r="E85" s="31"/>
      <c r="G85" s="31"/>
      <c r="H85" s="32"/>
    </row>
    <row r="86" spans="3:8">
      <c r="D86" s="36"/>
      <c r="E86" s="36"/>
      <c r="F86" s="37"/>
      <c r="G86" s="36"/>
      <c r="H86" s="35"/>
    </row>
    <row r="87" spans="3:8">
      <c r="D87" s="36"/>
      <c r="E87" s="36"/>
      <c r="G87" s="36"/>
      <c r="H87" s="35"/>
    </row>
    <row r="88" spans="3:8">
      <c r="D88" s="36"/>
      <c r="E88" s="36"/>
      <c r="G88" s="36"/>
      <c r="H88" s="35"/>
    </row>
  </sheetData>
  <sortState xmlns:xlrd2="http://schemas.microsoft.com/office/spreadsheetml/2017/richdata2" ref="C42:H61">
    <sortCondition ref="C42"/>
  </sortState>
  <hyperlinks>
    <hyperlink ref="C77" r:id="rId1" xr:uid="{4AC023C8-8F80-4295-BDE3-323810E3E7AE}"/>
  </hyperlinks>
  <pageMargins left="0.7" right="0.7" top="0.75" bottom="0.75" header="0.3" footer="0.3"/>
  <pageSetup paperSize="9" orientation="portrait" r:id="rId2"/>
  <ignoredErrors>
    <ignoredError sqref="G54:G55" formula="1"/>
  </ignoredError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F8DE-C8AD-9A46-BDD2-50BB400EED43}">
  <sheetPr codeName="Sheet1">
    <tabColor theme="7" tint="0.39997558519241921"/>
  </sheetPr>
  <dimension ref="A1:Q162"/>
  <sheetViews>
    <sheetView tabSelected="1" topLeftCell="B1" zoomScale="68" zoomScaleNormal="100" workbookViewId="0">
      <pane ySplit="1" topLeftCell="A119" activePane="bottomLeft" state="frozen"/>
      <selection pane="bottomLeft" activeCell="H136" sqref="H136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20.125" style="1" customWidth="1"/>
    <col min="4" max="4" width="15.875" style="1" customWidth="1"/>
    <col min="5" max="5" width="16.875" style="1" customWidth="1"/>
    <col min="6" max="6" width="16.1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1" spans="1:17">
      <c r="A1" s="3" t="s">
        <v>0</v>
      </c>
      <c r="C1" s="4"/>
    </row>
    <row r="2" spans="1:17" ht="85.9">
      <c r="B2" s="1" t="s">
        <v>209</v>
      </c>
      <c r="C2" s="5" t="s">
        <v>7</v>
      </c>
      <c r="D2" s="5" t="s">
        <v>8</v>
      </c>
      <c r="E2" s="5" t="s">
        <v>170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158</v>
      </c>
      <c r="M2" s="5" t="s">
        <v>159</v>
      </c>
      <c r="N2" s="5" t="s">
        <v>160</v>
      </c>
      <c r="P2" s="5" t="s">
        <v>25</v>
      </c>
      <c r="Q2" s="5" t="s">
        <v>26</v>
      </c>
    </row>
    <row r="4" spans="1:17">
      <c r="B4" s="1" t="s">
        <v>1</v>
      </c>
      <c r="C4" s="1">
        <v>1140</v>
      </c>
      <c r="D4" s="1">
        <v>36</v>
      </c>
    </row>
    <row r="5" spans="1:17">
      <c r="B5" s="1" t="s">
        <v>2</v>
      </c>
      <c r="D5" s="1">
        <v>158.76</v>
      </c>
      <c r="F5" s="1">
        <v>1.24</v>
      </c>
    </row>
    <row r="6" spans="1:17">
      <c r="B6" s="1" t="s">
        <v>3</v>
      </c>
      <c r="D6" s="1">
        <f>13+9.33+5.71+1.02+23.58+3.87+1.02+3.47</f>
        <v>61</v>
      </c>
      <c r="G6" s="1">
        <f>1.43+0.241+0.94+1.38</f>
        <v>3.9909999999999997</v>
      </c>
      <c r="H6" s="1">
        <f>0.241+0.69+1.38</f>
        <v>2.3109999999999999</v>
      </c>
      <c r="I6" s="1">
        <v>0.7</v>
      </c>
    </row>
    <row r="7" spans="1:17">
      <c r="B7" s="1" t="s">
        <v>4</v>
      </c>
      <c r="D7" s="1">
        <f>19.2+0.73</f>
        <v>19.93</v>
      </c>
      <c r="J7" s="1">
        <v>12.04</v>
      </c>
      <c r="K7" s="1">
        <v>0.73</v>
      </c>
    </row>
    <row r="8" spans="1:17">
      <c r="B8" s="6" t="s">
        <v>15</v>
      </c>
      <c r="C8" s="6">
        <f>SUM(C4:C7)</f>
        <v>1140</v>
      </c>
      <c r="D8" s="6">
        <f t="shared" ref="D8:K8" si="0">SUM(D4:D7)</f>
        <v>275.69</v>
      </c>
      <c r="E8" s="6">
        <v>0</v>
      </c>
      <c r="F8" s="6">
        <f t="shared" si="0"/>
        <v>1.24</v>
      </c>
      <c r="G8" s="6">
        <f t="shared" si="0"/>
        <v>3.9909999999999997</v>
      </c>
      <c r="H8" s="6">
        <f t="shared" si="0"/>
        <v>2.3109999999999999</v>
      </c>
      <c r="I8" s="6">
        <f t="shared" si="0"/>
        <v>0.7</v>
      </c>
      <c r="J8" s="6">
        <f t="shared" si="0"/>
        <v>12.04</v>
      </c>
      <c r="K8" s="6">
        <f t="shared" si="0"/>
        <v>0.73</v>
      </c>
      <c r="L8" s="6">
        <v>0</v>
      </c>
      <c r="M8" s="6">
        <v>0</v>
      </c>
      <c r="N8" s="6">
        <v>0</v>
      </c>
      <c r="P8" s="1" t="s">
        <v>5</v>
      </c>
      <c r="Q8" s="1" t="s">
        <v>6</v>
      </c>
    </row>
    <row r="10" spans="1:17">
      <c r="B10" s="1" t="s">
        <v>1</v>
      </c>
      <c r="C10" s="1">
        <v>700</v>
      </c>
      <c r="D10" s="1">
        <v>15</v>
      </c>
      <c r="E10" s="1">
        <v>25</v>
      </c>
    </row>
    <row r="11" spans="1:17">
      <c r="B11" s="1" t="s">
        <v>2</v>
      </c>
      <c r="D11" s="1">
        <v>143</v>
      </c>
    </row>
    <row r="12" spans="1:17">
      <c r="B12" s="1" t="s">
        <v>3</v>
      </c>
      <c r="D12" s="1">
        <f>6.1+3.3+4.29+8</f>
        <v>21.689999999999998</v>
      </c>
      <c r="E12" s="1">
        <f>10.5+8</f>
        <v>18.5</v>
      </c>
      <c r="G12" s="1">
        <f>2+1.5</f>
        <v>3.5</v>
      </c>
      <c r="J12" s="1">
        <v>0.8</v>
      </c>
    </row>
    <row r="13" spans="1:17">
      <c r="B13" s="1" t="s">
        <v>4</v>
      </c>
      <c r="E13" s="1">
        <v>14</v>
      </c>
      <c r="J13" s="1">
        <f>7.8+0.124</f>
        <v>7.9239999999999995</v>
      </c>
      <c r="L13" s="1">
        <f>11.7+0.186</f>
        <v>11.885999999999999</v>
      </c>
    </row>
    <row r="14" spans="1:17">
      <c r="B14" s="6" t="s">
        <v>15</v>
      </c>
      <c r="C14" s="6">
        <f>SUM(C10:C13)</f>
        <v>700</v>
      </c>
      <c r="D14" s="6">
        <f t="shared" ref="D14:L14" si="1">SUM(D10:D13)</f>
        <v>179.69</v>
      </c>
      <c r="E14" s="6">
        <f t="shared" si="1"/>
        <v>57.5</v>
      </c>
      <c r="F14" s="6">
        <f t="shared" si="1"/>
        <v>0</v>
      </c>
      <c r="G14" s="6">
        <f t="shared" si="1"/>
        <v>3.5</v>
      </c>
      <c r="H14" s="6">
        <f t="shared" si="1"/>
        <v>0</v>
      </c>
      <c r="I14" s="6">
        <f t="shared" si="1"/>
        <v>0</v>
      </c>
      <c r="J14" s="6">
        <f t="shared" si="1"/>
        <v>8.7240000000000002</v>
      </c>
      <c r="K14" s="6">
        <f t="shared" si="1"/>
        <v>0</v>
      </c>
      <c r="L14" s="6">
        <f t="shared" si="1"/>
        <v>11.885999999999999</v>
      </c>
      <c r="M14" s="6">
        <v>0</v>
      </c>
      <c r="N14" s="6">
        <v>0</v>
      </c>
      <c r="P14" s="1" t="s">
        <v>17</v>
      </c>
      <c r="Q14" s="1" t="s">
        <v>16</v>
      </c>
    </row>
    <row r="16" spans="1:17">
      <c r="B16" s="1" t="s">
        <v>1</v>
      </c>
      <c r="C16" s="1">
        <v>775</v>
      </c>
      <c r="D16" s="1">
        <v>35</v>
      </c>
    </row>
    <row r="17" spans="2:17">
      <c r="B17" s="1" t="s">
        <v>2</v>
      </c>
      <c r="D17" s="1">
        <v>200</v>
      </c>
    </row>
    <row r="18" spans="2:17">
      <c r="B18" s="1" t="s">
        <v>3</v>
      </c>
      <c r="D18" s="1">
        <v>12.27</v>
      </c>
      <c r="E18" s="1">
        <v>35.92</v>
      </c>
      <c r="G18" s="1">
        <v>2.5</v>
      </c>
      <c r="J18" s="1">
        <v>2</v>
      </c>
      <c r="N18" s="1">
        <v>300.8</v>
      </c>
    </row>
    <row r="19" spans="2:17">
      <c r="B19" s="1" t="s">
        <v>4</v>
      </c>
      <c r="D19" s="1">
        <v>5</v>
      </c>
      <c r="E19" s="1">
        <v>8.5</v>
      </c>
      <c r="J19" s="1">
        <v>7.5</v>
      </c>
      <c r="K19" s="1">
        <v>5</v>
      </c>
    </row>
    <row r="20" spans="2:17">
      <c r="B20" s="6" t="s">
        <v>15</v>
      </c>
      <c r="C20" s="6">
        <f>SUM(C16:C19)</f>
        <v>775</v>
      </c>
      <c r="D20" s="6">
        <f t="shared" ref="D20:N20" si="2">SUM(D16:D19)</f>
        <v>252.27</v>
      </c>
      <c r="E20" s="6">
        <f t="shared" si="2"/>
        <v>44.42</v>
      </c>
      <c r="F20" s="6">
        <f t="shared" si="2"/>
        <v>0</v>
      </c>
      <c r="G20" s="6">
        <f t="shared" si="2"/>
        <v>2.5</v>
      </c>
      <c r="H20" s="6">
        <f t="shared" si="2"/>
        <v>0</v>
      </c>
      <c r="I20" s="6">
        <f t="shared" si="2"/>
        <v>0</v>
      </c>
      <c r="J20" s="6">
        <f t="shared" si="2"/>
        <v>9.5</v>
      </c>
      <c r="K20" s="6">
        <f t="shared" si="2"/>
        <v>5</v>
      </c>
      <c r="L20" s="6">
        <f t="shared" si="2"/>
        <v>0</v>
      </c>
      <c r="M20" s="6">
        <f t="shared" si="2"/>
        <v>0</v>
      </c>
      <c r="N20" s="6">
        <f t="shared" si="2"/>
        <v>300.8</v>
      </c>
      <c r="P20" s="1" t="s">
        <v>17</v>
      </c>
      <c r="Q20" s="1" t="s">
        <v>18</v>
      </c>
    </row>
    <row r="22" spans="2:17">
      <c r="B22" s="1" t="s">
        <v>1</v>
      </c>
      <c r="C22" s="1">
        <v>750</v>
      </c>
      <c r="D22" s="1">
        <v>38</v>
      </c>
    </row>
    <row r="23" spans="2:17">
      <c r="B23" s="1" t="s">
        <v>2</v>
      </c>
      <c r="D23" s="1">
        <v>165</v>
      </c>
    </row>
    <row r="24" spans="2:17">
      <c r="B24" s="1" t="s">
        <v>3</v>
      </c>
      <c r="D24" s="1">
        <v>25.63</v>
      </c>
      <c r="E24" s="1">
        <v>16.47</v>
      </c>
      <c r="G24" s="1">
        <v>2.34</v>
      </c>
      <c r="H24" s="1">
        <v>0.54</v>
      </c>
      <c r="J24" s="1">
        <v>6.4</v>
      </c>
      <c r="N24" s="1">
        <v>601.6</v>
      </c>
    </row>
    <row r="25" spans="2:17">
      <c r="B25" s="1" t="s">
        <v>4</v>
      </c>
      <c r="D25" s="1">
        <v>5.4</v>
      </c>
      <c r="E25" s="1">
        <v>8.5</v>
      </c>
      <c r="J25" s="1">
        <v>7.96</v>
      </c>
      <c r="M25" s="1">
        <v>3.69</v>
      </c>
    </row>
    <row r="26" spans="2:17">
      <c r="B26" s="6" t="s">
        <v>15</v>
      </c>
      <c r="C26" s="6">
        <f>SUM(C22:C25)</f>
        <v>750</v>
      </c>
      <c r="D26" s="6">
        <f t="shared" ref="D26:N26" si="3">SUM(D22:D25)</f>
        <v>234.03</v>
      </c>
      <c r="E26" s="6">
        <f t="shared" si="3"/>
        <v>24.97</v>
      </c>
      <c r="F26" s="6">
        <f t="shared" si="3"/>
        <v>0</v>
      </c>
      <c r="G26" s="6">
        <f t="shared" si="3"/>
        <v>2.34</v>
      </c>
      <c r="H26" s="6">
        <f t="shared" si="3"/>
        <v>0.54</v>
      </c>
      <c r="I26" s="6">
        <f t="shared" si="3"/>
        <v>0</v>
      </c>
      <c r="J26" s="6">
        <f t="shared" si="3"/>
        <v>14.36</v>
      </c>
      <c r="K26" s="6">
        <f t="shared" si="3"/>
        <v>0</v>
      </c>
      <c r="L26" s="6">
        <f t="shared" si="3"/>
        <v>0</v>
      </c>
      <c r="M26" s="6">
        <f t="shared" si="3"/>
        <v>3.69</v>
      </c>
      <c r="N26" s="6">
        <f t="shared" si="3"/>
        <v>601.6</v>
      </c>
      <c r="P26" s="1" t="s">
        <v>17</v>
      </c>
      <c r="Q26" s="1" t="s">
        <v>18</v>
      </c>
    </row>
    <row r="28" spans="2:17">
      <c r="B28" s="6" t="s">
        <v>15</v>
      </c>
      <c r="C28" s="6">
        <v>1164</v>
      </c>
      <c r="D28" s="6">
        <v>296.39999999999998</v>
      </c>
      <c r="E28" s="6">
        <v>39.35</v>
      </c>
      <c r="F28" s="6">
        <v>0</v>
      </c>
      <c r="G28" s="6">
        <v>2.4</v>
      </c>
      <c r="H28" s="6">
        <v>0</v>
      </c>
      <c r="I28" s="6">
        <v>2.4</v>
      </c>
      <c r="J28" s="6">
        <v>24.3</v>
      </c>
      <c r="K28" s="6">
        <v>10</v>
      </c>
      <c r="L28" s="6">
        <v>0</v>
      </c>
      <c r="M28" s="6">
        <v>0</v>
      </c>
      <c r="N28" s="6">
        <v>0</v>
      </c>
      <c r="P28" s="1" t="s">
        <v>17</v>
      </c>
      <c r="Q28" s="1" t="s">
        <v>19</v>
      </c>
    </row>
    <row r="30" spans="2:17">
      <c r="B30" s="6" t="s">
        <v>15</v>
      </c>
      <c r="C30" s="6">
        <v>360</v>
      </c>
      <c r="D30" s="6">
        <v>178.4</v>
      </c>
      <c r="E30" s="6">
        <v>44.1</v>
      </c>
      <c r="F30" s="6">
        <v>0</v>
      </c>
      <c r="G30" s="6">
        <v>9.9</v>
      </c>
      <c r="H30" s="6">
        <v>0</v>
      </c>
      <c r="I30" s="6">
        <v>1.85</v>
      </c>
      <c r="J30" s="6">
        <v>10.199999999999999</v>
      </c>
      <c r="K30" s="6">
        <v>4.8</v>
      </c>
      <c r="L30" s="6">
        <v>0</v>
      </c>
      <c r="M30" s="6">
        <v>0</v>
      </c>
      <c r="N30" s="6">
        <v>0</v>
      </c>
      <c r="P30" s="1" t="s">
        <v>20</v>
      </c>
      <c r="Q30" s="1" t="s">
        <v>19</v>
      </c>
    </row>
    <row r="32" spans="2:17">
      <c r="B32" s="1" t="s">
        <v>22</v>
      </c>
      <c r="D32" s="1">
        <v>265.10000000000002</v>
      </c>
      <c r="E32" s="1">
        <v>40.6</v>
      </c>
      <c r="G32" s="1">
        <v>4.4000000000000004</v>
      </c>
      <c r="H32" s="1">
        <v>0.2</v>
      </c>
      <c r="I32" s="1">
        <v>1.9</v>
      </c>
      <c r="J32" s="1">
        <v>19.8</v>
      </c>
      <c r="K32" s="1">
        <v>10</v>
      </c>
      <c r="N32" s="1">
        <v>1</v>
      </c>
    </row>
    <row r="33" spans="2:17">
      <c r="B33" s="1" t="s">
        <v>23</v>
      </c>
      <c r="C33" s="1">
        <v>1164.7</v>
      </c>
      <c r="D33" s="1">
        <v>15.1</v>
      </c>
      <c r="E33" s="1">
        <v>36</v>
      </c>
      <c r="G33" s="1">
        <v>0.4</v>
      </c>
      <c r="H33" s="1">
        <v>1.1000000000000001</v>
      </c>
      <c r="I33" s="1">
        <v>1.7</v>
      </c>
    </row>
    <row r="34" spans="2:17">
      <c r="B34" s="6" t="s">
        <v>15</v>
      </c>
      <c r="C34" s="6">
        <f>SUM(C32:C33)</f>
        <v>1164.7</v>
      </c>
      <c r="D34" s="6">
        <f t="shared" ref="D34:N34" si="4">SUM(D32:D33)</f>
        <v>280.20000000000005</v>
      </c>
      <c r="E34" s="6">
        <f t="shared" si="4"/>
        <v>76.599999999999994</v>
      </c>
      <c r="F34" s="6">
        <f t="shared" si="4"/>
        <v>0</v>
      </c>
      <c r="G34" s="6">
        <f t="shared" si="4"/>
        <v>4.8000000000000007</v>
      </c>
      <c r="H34" s="6">
        <f t="shared" si="4"/>
        <v>1.3</v>
      </c>
      <c r="I34" s="6">
        <f t="shared" si="4"/>
        <v>3.5999999999999996</v>
      </c>
      <c r="J34" s="6">
        <f t="shared" si="4"/>
        <v>19.8</v>
      </c>
      <c r="K34" s="6">
        <f t="shared" si="4"/>
        <v>10</v>
      </c>
      <c r="L34" s="6">
        <f t="shared" si="4"/>
        <v>0</v>
      </c>
      <c r="M34" s="6">
        <f t="shared" si="4"/>
        <v>0</v>
      </c>
      <c r="N34" s="6">
        <f t="shared" si="4"/>
        <v>1</v>
      </c>
      <c r="P34" s="1" t="s">
        <v>24</v>
      </c>
      <c r="Q34" s="1" t="s">
        <v>21</v>
      </c>
    </row>
    <row r="35" spans="2:17" s="4" customFormat="1"/>
    <row r="37" spans="2:17">
      <c r="B37" s="3" t="s">
        <v>27</v>
      </c>
      <c r="C37" s="3">
        <f>AVERAGE(C8,C14,C20,C26,C28,C30,C34)</f>
        <v>864.81428571428569</v>
      </c>
      <c r="D37" s="3">
        <f t="shared" ref="D37:M37" si="5">AVERAGE(D8,D14,D20,D26,D28,D30,D34)</f>
        <v>242.38285714285715</v>
      </c>
      <c r="E37" s="3">
        <f t="shared" si="5"/>
        <v>40.991428571428571</v>
      </c>
      <c r="F37" s="3">
        <f t="shared" si="5"/>
        <v>0.17714285714285713</v>
      </c>
      <c r="G37" s="3">
        <f t="shared" si="5"/>
        <v>4.2044285714285712</v>
      </c>
      <c r="H37" s="3">
        <f t="shared" si="5"/>
        <v>0.59299999999999997</v>
      </c>
      <c r="I37" s="3">
        <f t="shared" si="5"/>
        <v>1.2214285714285713</v>
      </c>
      <c r="J37" s="3">
        <f t="shared" si="5"/>
        <v>14.132</v>
      </c>
      <c r="K37" s="3">
        <f t="shared" si="5"/>
        <v>4.3614285714285712</v>
      </c>
      <c r="L37" s="3">
        <f t="shared" si="5"/>
        <v>1.698</v>
      </c>
      <c r="M37" s="3">
        <f t="shared" si="5"/>
        <v>0.52714285714285714</v>
      </c>
      <c r="N37" s="3">
        <f>AVERAGE(N8,N14,N20,N26,N28,N30,N34)</f>
        <v>129.05714285714288</v>
      </c>
      <c r="O37" s="1">
        <f>SUM(C37:N37)</f>
        <v>1304.1602857142859</v>
      </c>
    </row>
    <row r="38" spans="2:17">
      <c r="C38" s="1">
        <f t="shared" ref="C38:N38" si="6">(C37/$O$37)*100</f>
        <v>66.311962968618431</v>
      </c>
      <c r="D38" s="1">
        <f t="shared" si="6"/>
        <v>18.585357934749911</v>
      </c>
      <c r="E38" s="1">
        <f t="shared" si="6"/>
        <v>3.1431281124296504</v>
      </c>
      <c r="F38" s="1">
        <f t="shared" si="6"/>
        <v>1.358290534401884E-2</v>
      </c>
      <c r="G38" s="1">
        <f t="shared" si="6"/>
        <v>0.32238587675791819</v>
      </c>
      <c r="H38" s="1">
        <f t="shared" si="6"/>
        <v>4.5469871034695332E-2</v>
      </c>
      <c r="I38" s="1">
        <f t="shared" si="6"/>
        <v>9.3656323138194428E-2</v>
      </c>
      <c r="J38" s="1">
        <f t="shared" si="6"/>
        <v>1.0836091356868709</v>
      </c>
      <c r="K38" s="1">
        <f t="shared" si="6"/>
        <v>0.33442427431685101</v>
      </c>
      <c r="L38" s="1">
        <f t="shared" si="6"/>
        <v>0.13019872009597416</v>
      </c>
      <c r="M38" s="1">
        <f t="shared" si="6"/>
        <v>4.0420097354378653E-2</v>
      </c>
      <c r="N38" s="1">
        <f t="shared" si="6"/>
        <v>9.8958037804730843</v>
      </c>
    </row>
    <row r="39" spans="2:17">
      <c r="B39" s="1" t="s">
        <v>155</v>
      </c>
      <c r="C39" s="1">
        <f t="shared" ref="C39:N39" si="7">_xlfn.STDEV.P(C8,C14,C20,C26,C28,C30,C34)</f>
        <v>282.44363497656565</v>
      </c>
      <c r="D39" s="1">
        <f t="shared" si="7"/>
        <v>44.157316078599159</v>
      </c>
      <c r="E39" s="1">
        <f t="shared" si="7"/>
        <v>22.365787922354876</v>
      </c>
      <c r="F39" s="1">
        <f t="shared" si="7"/>
        <v>0.43390961157873442</v>
      </c>
      <c r="G39" s="1">
        <f t="shared" si="7"/>
        <v>2.477704689952426</v>
      </c>
      <c r="H39" s="1">
        <f t="shared" si="7"/>
        <v>0.8333047804632211</v>
      </c>
      <c r="I39" s="1">
        <f t="shared" si="7"/>
        <v>1.3195933201605126</v>
      </c>
      <c r="J39" s="1">
        <f t="shared" si="7"/>
        <v>5.4261984588002043</v>
      </c>
      <c r="K39" s="1">
        <f t="shared" si="7"/>
        <v>4.0605855614727311</v>
      </c>
      <c r="L39" s="1">
        <f t="shared" si="7"/>
        <v>4.159233583245836</v>
      </c>
      <c r="M39" s="1">
        <f t="shared" si="7"/>
        <v>1.2912310215528466</v>
      </c>
      <c r="N39" s="1">
        <f t="shared" si="7"/>
        <v>219.02836644170648</v>
      </c>
    </row>
    <row r="40" spans="2:17">
      <c r="B40" s="1" t="s">
        <v>156</v>
      </c>
      <c r="C40" s="1">
        <f t="shared" ref="C40:N40" si="8">C39/SQRT(COUNT(C8,C14,C20,C26,C28,C30,C34))</f>
        <v>106.75365964872817</v>
      </c>
      <c r="D40" s="1">
        <f t="shared" si="8"/>
        <v>16.689896701149607</v>
      </c>
      <c r="E40" s="1">
        <f t="shared" si="8"/>
        <v>8.4534732455089987</v>
      </c>
      <c r="F40" s="1">
        <f t="shared" si="8"/>
        <v>0.16400241767399482</v>
      </c>
      <c r="G40" s="1">
        <f t="shared" si="8"/>
        <v>0.93648434741035935</v>
      </c>
      <c r="H40" s="1">
        <f t="shared" si="8"/>
        <v>0.31495960220385111</v>
      </c>
      <c r="I40" s="1">
        <f t="shared" si="8"/>
        <v>0.49875939384096457</v>
      </c>
      <c r="J40" s="1">
        <f t="shared" si="8"/>
        <v>2.0509102409239</v>
      </c>
      <c r="K40" s="1">
        <f t="shared" si="8"/>
        <v>1.5347570818509177</v>
      </c>
      <c r="L40" s="1">
        <f t="shared" si="8"/>
        <v>1.5720425294137921</v>
      </c>
      <c r="M40" s="1">
        <f t="shared" si="8"/>
        <v>0.4880394525943878</v>
      </c>
      <c r="N40" s="1">
        <f t="shared" si="8"/>
        <v>82.784941096211497</v>
      </c>
    </row>
    <row r="41" spans="2:17">
      <c r="B41" s="1" t="s">
        <v>157</v>
      </c>
      <c r="C41" s="1">
        <f t="shared" ref="C41:N41" si="9">(C40/C37)*100</f>
        <v>12.344113807111308</v>
      </c>
      <c r="D41" s="1">
        <f t="shared" si="9"/>
        <v>6.8857578864634021</v>
      </c>
      <c r="E41" s="1">
        <f t="shared" si="9"/>
        <v>20.622538760215722</v>
      </c>
      <c r="F41" s="1">
        <f t="shared" si="9"/>
        <v>92.58200997725514</v>
      </c>
      <c r="G41" s="1">
        <f t="shared" si="9"/>
        <v>22.273760429045957</v>
      </c>
      <c r="H41" s="1">
        <f t="shared" si="9"/>
        <v>53.112917740952966</v>
      </c>
      <c r="I41" s="1">
        <f t="shared" si="9"/>
        <v>40.834102419728097</v>
      </c>
      <c r="J41" s="1">
        <f t="shared" si="9"/>
        <v>14.51252647129847</v>
      </c>
      <c r="K41" s="1">
        <f t="shared" si="9"/>
        <v>35.189320579614886</v>
      </c>
      <c r="L41" s="1">
        <f t="shared" si="9"/>
        <v>92.582009977255126</v>
      </c>
      <c r="M41" s="1">
        <f t="shared" si="9"/>
        <v>92.58200997725514</v>
      </c>
      <c r="N41" s="1">
        <f t="shared" si="9"/>
        <v>64.145958343311975</v>
      </c>
    </row>
    <row r="76" spans="11:11">
      <c r="K76" s="1" t="s">
        <v>183</v>
      </c>
    </row>
    <row r="96" spans="1:1">
      <c r="A96" s="1" t="s">
        <v>570</v>
      </c>
    </row>
    <row r="97" spans="2:14" ht="61.15">
      <c r="B97" s="7"/>
      <c r="C97" s="314" t="s">
        <v>579</v>
      </c>
      <c r="D97" s="314" t="s">
        <v>578</v>
      </c>
      <c r="E97" s="314" t="s">
        <v>577</v>
      </c>
      <c r="F97" s="314" t="s">
        <v>581</v>
      </c>
    </row>
    <row r="98" spans="2:14">
      <c r="B98" s="1" t="s">
        <v>171</v>
      </c>
      <c r="D98" s="1">
        <v>6.4000000000000001E-2</v>
      </c>
      <c r="E98" s="1">
        <f t="shared" ref="E98:E109" si="10">D98*$E$110</f>
        <v>9088</v>
      </c>
      <c r="F98" s="1">
        <f>E98/$F$110*$F$112</f>
        <v>7.9297306730265835E-3</v>
      </c>
    </row>
    <row r="99" spans="2:14">
      <c r="B99" s="1" t="s">
        <v>7</v>
      </c>
      <c r="C99" s="1">
        <v>509</v>
      </c>
      <c r="D99" s="1">
        <v>4.7E-2</v>
      </c>
      <c r="E99" s="1">
        <f t="shared" si="10"/>
        <v>6674</v>
      </c>
      <c r="F99" s="1">
        <f t="shared" ref="F99:F109" si="11">E99/$F$110*$F$112</f>
        <v>5.8233959630038974E-3</v>
      </c>
    </row>
    <row r="100" spans="2:14">
      <c r="B100" s="1" t="s">
        <v>8</v>
      </c>
      <c r="C100" s="1">
        <v>158</v>
      </c>
      <c r="D100" s="1">
        <v>0.73</v>
      </c>
      <c r="E100" s="1">
        <f t="shared" si="10"/>
        <v>103660</v>
      </c>
      <c r="F100" s="1">
        <f t="shared" si="11"/>
        <v>9.0448490489209471E-2</v>
      </c>
    </row>
    <row r="101" spans="2:14">
      <c r="B101" s="1" t="s">
        <v>11</v>
      </c>
      <c r="C101" s="1">
        <v>1.44</v>
      </c>
      <c r="D101" s="1">
        <v>0.02</v>
      </c>
      <c r="E101" s="1">
        <f t="shared" si="10"/>
        <v>2840</v>
      </c>
      <c r="F101" s="1">
        <f t="shared" si="11"/>
        <v>2.4780408353208072E-3</v>
      </c>
    </row>
    <row r="102" spans="2:14">
      <c r="B102" s="1" t="s">
        <v>503</v>
      </c>
      <c r="D102" s="1">
        <v>0.01</v>
      </c>
      <c r="E102" s="1">
        <f t="shared" si="10"/>
        <v>1420</v>
      </c>
      <c r="F102" s="1">
        <f t="shared" si="11"/>
        <v>1.2390204176604036E-3</v>
      </c>
      <c r="H102" s="1" t="s">
        <v>582</v>
      </c>
    </row>
    <row r="103" spans="2:14">
      <c r="B103" s="1" t="s">
        <v>32</v>
      </c>
      <c r="E103" s="1">
        <f t="shared" si="10"/>
        <v>0</v>
      </c>
      <c r="F103" s="1">
        <f t="shared" si="11"/>
        <v>0</v>
      </c>
    </row>
    <row r="104" spans="2:14">
      <c r="B104" s="1" t="s">
        <v>10</v>
      </c>
      <c r="C104" s="1">
        <v>5.57</v>
      </c>
      <c r="D104" s="1">
        <v>1.4E-2</v>
      </c>
      <c r="E104" s="1">
        <f t="shared" si="10"/>
        <v>1988</v>
      </c>
      <c r="F104" s="1">
        <f t="shared" si="11"/>
        <v>1.7346285847245652E-3</v>
      </c>
    </row>
    <row r="105" spans="2:14">
      <c r="B105" s="1" t="s">
        <v>571</v>
      </c>
      <c r="E105" s="1">
        <f t="shared" si="10"/>
        <v>0</v>
      </c>
      <c r="F105" s="1">
        <f t="shared" si="11"/>
        <v>0</v>
      </c>
    </row>
    <row r="106" spans="2:14">
      <c r="B106" s="1" t="s">
        <v>572</v>
      </c>
      <c r="C106" s="1">
        <v>0.16</v>
      </c>
      <c r="E106" s="1">
        <f t="shared" si="10"/>
        <v>0</v>
      </c>
      <c r="F106" s="1">
        <f t="shared" si="11"/>
        <v>0</v>
      </c>
    </row>
    <row r="107" spans="2:14">
      <c r="B107" s="1" t="s">
        <v>12</v>
      </c>
      <c r="D107" s="1">
        <v>3.5999999999999997E-2</v>
      </c>
      <c r="E107" s="1">
        <f t="shared" si="10"/>
        <v>5112</v>
      </c>
      <c r="F107" s="1">
        <f t="shared" si="11"/>
        <v>4.4604735035774527E-3</v>
      </c>
    </row>
    <row r="108" spans="2:14">
      <c r="B108" s="1" t="s">
        <v>14</v>
      </c>
      <c r="D108" s="1">
        <v>2.4E-2</v>
      </c>
      <c r="E108" s="1">
        <f t="shared" si="10"/>
        <v>3408</v>
      </c>
      <c r="F108" s="1">
        <f t="shared" si="11"/>
        <v>2.973649002384969E-3</v>
      </c>
    </row>
    <row r="109" spans="2:14">
      <c r="B109" s="1" t="s">
        <v>255</v>
      </c>
      <c r="D109" s="1">
        <v>2.3E-2</v>
      </c>
      <c r="E109" s="1">
        <f t="shared" si="10"/>
        <v>3266</v>
      </c>
      <c r="F109" s="1">
        <f t="shared" si="11"/>
        <v>2.8497469606189284E-3</v>
      </c>
    </row>
    <row r="110" spans="2:14" ht="20.65">
      <c r="B110" s="7" t="s">
        <v>576</v>
      </c>
      <c r="E110" s="7">
        <v>142000</v>
      </c>
      <c r="F110" s="7">
        <f>+(20528+31045)/2*1000</f>
        <v>25786500</v>
      </c>
    </row>
    <row r="111" spans="2:14">
      <c r="M111" s="1" t="s">
        <v>575</v>
      </c>
      <c r="N111" s="1" t="s">
        <v>573</v>
      </c>
    </row>
    <row r="112" spans="2:14">
      <c r="E112" s="1" t="s">
        <v>580</v>
      </c>
      <c r="F112" s="1">
        <f>+(20+25)/2</f>
        <v>22.5</v>
      </c>
    </row>
    <row r="128" spans="4:6">
      <c r="D128" s="1" t="s">
        <v>587</v>
      </c>
      <c r="E128" s="1" t="s">
        <v>588</v>
      </c>
      <c r="F128" s="1" t="s">
        <v>589</v>
      </c>
    </row>
    <row r="129" spans="3:13">
      <c r="C129" s="1" t="s">
        <v>8</v>
      </c>
      <c r="D129" s="1">
        <f>168.4+0.8</f>
        <v>169.20000000000002</v>
      </c>
      <c r="E129" s="1">
        <f>186.1+1.1</f>
        <v>187.2</v>
      </c>
      <c r="F129" s="1">
        <f>AVERAGE(D129:E129)*1000000</f>
        <v>178200000</v>
      </c>
    </row>
    <row r="130" spans="3:13">
      <c r="C130" s="1" t="s">
        <v>171</v>
      </c>
      <c r="D130" s="1">
        <v>38.299999999999997</v>
      </c>
      <c r="E130" s="1">
        <v>40.6</v>
      </c>
      <c r="F130" s="1">
        <f t="shared" ref="F130:F145" si="12">AVERAGE(D130:E130)*1000000</f>
        <v>39450000</v>
      </c>
    </row>
    <row r="131" spans="3:13">
      <c r="C131" s="1" t="s">
        <v>255</v>
      </c>
      <c r="D131" s="1">
        <v>18.8</v>
      </c>
      <c r="E131" s="1">
        <v>19.8</v>
      </c>
      <c r="F131" s="1">
        <f t="shared" si="12"/>
        <v>19300000</v>
      </c>
    </row>
    <row r="132" spans="3:13">
      <c r="C132" s="1" t="s">
        <v>14</v>
      </c>
      <c r="D132" s="1">
        <v>9.5</v>
      </c>
      <c r="E132" s="1">
        <v>10</v>
      </c>
      <c r="F132" s="1">
        <f t="shared" si="12"/>
        <v>9750000</v>
      </c>
    </row>
    <row r="133" spans="3:13">
      <c r="C133" s="1" t="s">
        <v>10</v>
      </c>
      <c r="D133" s="1">
        <v>4.0999999999999996</v>
      </c>
      <c r="E133" s="1">
        <v>4.4000000000000004</v>
      </c>
      <c r="F133" s="1">
        <f t="shared" si="12"/>
        <v>4250000</v>
      </c>
    </row>
    <row r="134" spans="3:13">
      <c r="C134" s="1" t="s">
        <v>160</v>
      </c>
      <c r="D134" s="1">
        <v>0.9</v>
      </c>
      <c r="E134" s="1">
        <v>1</v>
      </c>
      <c r="F134" s="1">
        <f t="shared" si="12"/>
        <v>950000</v>
      </c>
    </row>
    <row r="135" spans="3:13">
      <c r="C135" s="1" t="s">
        <v>11</v>
      </c>
      <c r="D135" s="1">
        <v>0.2</v>
      </c>
      <c r="E135" s="1">
        <v>0.2</v>
      </c>
      <c r="F135" s="1">
        <f t="shared" si="12"/>
        <v>200000</v>
      </c>
    </row>
    <row r="136" spans="3:13">
      <c r="C136" s="1" t="s">
        <v>119</v>
      </c>
      <c r="D136" s="1">
        <v>1.8</v>
      </c>
      <c r="E136" s="1">
        <v>1.9</v>
      </c>
      <c r="F136" s="1">
        <f t="shared" si="12"/>
        <v>1850000</v>
      </c>
      <c r="M136" s="1" t="s">
        <v>574</v>
      </c>
    </row>
    <row r="137" spans="3:13">
      <c r="C137" s="1" t="s">
        <v>584</v>
      </c>
      <c r="D137" s="1">
        <v>192</v>
      </c>
      <c r="E137" s="1">
        <v>192</v>
      </c>
      <c r="F137" s="1">
        <f t="shared" si="12"/>
        <v>192000000</v>
      </c>
    </row>
    <row r="138" spans="3:13">
      <c r="C138" s="1" t="s">
        <v>326</v>
      </c>
      <c r="D138" s="1">
        <v>469</v>
      </c>
      <c r="E138" s="1">
        <v>469</v>
      </c>
      <c r="F138" s="1">
        <f t="shared" si="12"/>
        <v>469000000</v>
      </c>
    </row>
    <row r="139" spans="3:13">
      <c r="C139" s="1" t="s">
        <v>506</v>
      </c>
      <c r="D139" s="1">
        <v>0</v>
      </c>
      <c r="E139" s="1">
        <v>0</v>
      </c>
      <c r="F139" s="1">
        <f t="shared" si="12"/>
        <v>0</v>
      </c>
    </row>
    <row r="140" spans="3:13">
      <c r="C140" s="1" t="s">
        <v>7</v>
      </c>
      <c r="D140" s="1">
        <v>304</v>
      </c>
      <c r="E140" s="1">
        <v>404</v>
      </c>
      <c r="F140" s="1">
        <f t="shared" si="12"/>
        <v>354000000</v>
      </c>
    </row>
    <row r="141" spans="3:13">
      <c r="C141" s="1" t="s">
        <v>244</v>
      </c>
      <c r="D141" s="1">
        <v>9</v>
      </c>
      <c r="E141" s="1">
        <v>12</v>
      </c>
      <c r="F141" s="1">
        <f t="shared" si="12"/>
        <v>10500000</v>
      </c>
    </row>
    <row r="142" spans="3:13">
      <c r="C142" s="1" t="s">
        <v>585</v>
      </c>
      <c r="D142" s="1">
        <v>0.5</v>
      </c>
      <c r="E142" s="1">
        <v>0.7</v>
      </c>
      <c r="F142" s="1">
        <f t="shared" si="12"/>
        <v>600000</v>
      </c>
    </row>
    <row r="143" spans="3:13">
      <c r="C143" s="1" t="s">
        <v>221</v>
      </c>
      <c r="D143" s="1">
        <v>0</v>
      </c>
      <c r="E143" s="1">
        <v>0</v>
      </c>
      <c r="F143" s="1">
        <f t="shared" si="12"/>
        <v>0</v>
      </c>
    </row>
    <row r="144" spans="3:13">
      <c r="C144" s="1" t="s">
        <v>503</v>
      </c>
      <c r="D144" s="1">
        <v>3.4</v>
      </c>
      <c r="E144" s="1">
        <v>5</v>
      </c>
      <c r="F144" s="1">
        <f t="shared" si="12"/>
        <v>4200000</v>
      </c>
    </row>
    <row r="145" spans="3:6">
      <c r="C145" s="1" t="s">
        <v>586</v>
      </c>
      <c r="D145" s="1">
        <v>0.5</v>
      </c>
      <c r="E145" s="1">
        <v>0.8</v>
      </c>
      <c r="F145" s="1">
        <f t="shared" si="12"/>
        <v>650000</v>
      </c>
    </row>
    <row r="147" spans="3:6">
      <c r="C147" s="1" t="s">
        <v>590</v>
      </c>
      <c r="D147" s="1">
        <v>2</v>
      </c>
      <c r="E147" s="1">
        <v>3</v>
      </c>
      <c r="F147" s="1">
        <f>(D147+E147)/2</f>
        <v>2.5</v>
      </c>
    </row>
    <row r="162" spans="10:10">
      <c r="J162" s="1" t="s">
        <v>583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7B7B-F44C-FB41-9717-0D81B852F90C}">
  <sheetPr codeName="Sheet4">
    <tabColor theme="7" tint="0.39997558519241921"/>
  </sheetPr>
  <dimension ref="A9:Y64"/>
  <sheetViews>
    <sheetView zoomScale="65" zoomScaleNormal="65" workbookViewId="0">
      <selection activeCell="L5" sqref="L5"/>
    </sheetView>
  </sheetViews>
  <sheetFormatPr defaultColWidth="10.8125" defaultRowHeight="27.4"/>
  <cols>
    <col min="1" max="1" width="33.1875" style="63" customWidth="1"/>
    <col min="2" max="2" width="38" style="63" customWidth="1"/>
    <col min="3" max="16" width="10.8125" style="63"/>
    <col min="17" max="17" width="18" style="63" customWidth="1"/>
    <col min="18" max="18" width="12.3125" style="63" customWidth="1"/>
    <col min="19" max="19" width="10.8125" style="63"/>
    <col min="20" max="20" width="13.3125" style="63" customWidth="1"/>
    <col min="21" max="21" width="10.8125" style="63"/>
    <col min="22" max="22" width="13.6875" style="63" customWidth="1"/>
    <col min="23" max="23" width="10.8125" style="63"/>
    <col min="24" max="24" width="12.5625" style="63" customWidth="1"/>
    <col min="25" max="16384" width="10.8125" style="63"/>
  </cols>
  <sheetData>
    <row r="9" spans="16:25">
      <c r="P9" s="63" t="s">
        <v>226</v>
      </c>
    </row>
    <row r="12" spans="16:25">
      <c r="Q12" s="289" t="s">
        <v>227</v>
      </c>
      <c r="R12" s="289"/>
      <c r="S12" s="289"/>
      <c r="T12" s="289" t="s">
        <v>231</v>
      </c>
      <c r="U12" s="289"/>
      <c r="V12" s="289" t="s">
        <v>232</v>
      </c>
      <c r="W12" s="289"/>
      <c r="X12" s="289" t="s">
        <v>233</v>
      </c>
      <c r="Y12" s="289"/>
    </row>
    <row r="13" spans="16:25">
      <c r="Q13" s="289" t="s">
        <v>215</v>
      </c>
      <c r="R13" s="289" t="s">
        <v>161</v>
      </c>
      <c r="S13" s="289"/>
      <c r="T13" s="289" t="s">
        <v>161</v>
      </c>
      <c r="U13" s="289"/>
      <c r="V13" s="289" t="s">
        <v>161</v>
      </c>
      <c r="W13" s="289"/>
      <c r="X13" s="289" t="s">
        <v>161</v>
      </c>
      <c r="Y13" s="289"/>
    </row>
    <row r="14" spans="16:25">
      <c r="Q14" s="289" t="s">
        <v>228</v>
      </c>
      <c r="R14" s="289">
        <v>27400</v>
      </c>
      <c r="S14" s="289"/>
      <c r="T14" s="289">
        <v>33000</v>
      </c>
      <c r="U14" s="289"/>
      <c r="V14" s="289">
        <v>21000</v>
      </c>
      <c r="W14" s="289"/>
      <c r="X14" s="289">
        <f>AVERAGE(R14:V14)</f>
        <v>27133.333333333332</v>
      </c>
      <c r="Y14" s="289"/>
    </row>
    <row r="15" spans="16:25">
      <c r="Q15" s="289" t="s">
        <v>8</v>
      </c>
      <c r="R15" s="289">
        <v>9200</v>
      </c>
      <c r="S15" s="289"/>
      <c r="T15" s="289">
        <v>10100</v>
      </c>
      <c r="U15" s="289"/>
      <c r="V15" s="289">
        <v>13800</v>
      </c>
      <c r="W15" s="289"/>
      <c r="X15" s="289">
        <f t="shared" ref="X15:X20" si="0">AVERAGE(R15:V15)</f>
        <v>11033.333333333334</v>
      </c>
      <c r="Y15" s="289"/>
    </row>
    <row r="16" spans="16:25">
      <c r="Q16" s="289" t="s">
        <v>7</v>
      </c>
      <c r="R16" s="289">
        <v>1240</v>
      </c>
      <c r="S16" s="289"/>
      <c r="T16" s="289">
        <v>1800</v>
      </c>
      <c r="U16" s="289"/>
      <c r="V16" s="289">
        <v>480</v>
      </c>
      <c r="W16" s="289"/>
      <c r="X16" s="289">
        <f t="shared" si="0"/>
        <v>1173.3333333333333</v>
      </c>
      <c r="Y16" s="289"/>
    </row>
    <row r="17" spans="17:25">
      <c r="Q17" s="289" t="s">
        <v>229</v>
      </c>
      <c r="R17" s="289">
        <v>375</v>
      </c>
      <c r="S17" s="289"/>
      <c r="T17" s="289">
        <v>410</v>
      </c>
      <c r="U17" s="289"/>
      <c r="V17" s="289">
        <v>610</v>
      </c>
      <c r="W17" s="289"/>
      <c r="X17" s="289">
        <f t="shared" si="0"/>
        <v>465</v>
      </c>
      <c r="Y17" s="289"/>
    </row>
    <row r="18" spans="17:25">
      <c r="Q18" s="289" t="s">
        <v>230</v>
      </c>
      <c r="R18" s="289">
        <v>152</v>
      </c>
      <c r="S18" s="289"/>
      <c r="T18" s="289">
        <v>5000</v>
      </c>
      <c r="U18" s="289"/>
      <c r="V18" s="289">
        <v>90</v>
      </c>
      <c r="W18" s="289"/>
      <c r="X18" s="289">
        <f t="shared" si="0"/>
        <v>1747.3333333333333</v>
      </c>
      <c r="Y18" s="289"/>
    </row>
    <row r="19" spans="17:25">
      <c r="Q19" s="289" t="s">
        <v>32</v>
      </c>
      <c r="R19" s="289">
        <v>410</v>
      </c>
      <c r="S19" s="289"/>
      <c r="T19" s="289">
        <v>720</v>
      </c>
      <c r="U19" s="289"/>
      <c r="V19" s="289">
        <v>5050</v>
      </c>
      <c r="W19" s="289"/>
      <c r="X19" s="289">
        <f t="shared" si="0"/>
        <v>2060</v>
      </c>
      <c r="Y19" s="289"/>
    </row>
    <row r="20" spans="17:25">
      <c r="Q20" s="289" t="s">
        <v>12</v>
      </c>
      <c r="R20" s="289">
        <v>165</v>
      </c>
      <c r="S20" s="289"/>
      <c r="T20" s="289">
        <v>240</v>
      </c>
      <c r="U20" s="289"/>
      <c r="V20" s="289">
        <v>390</v>
      </c>
      <c r="W20" s="289"/>
      <c r="X20" s="289">
        <f t="shared" si="0"/>
        <v>265</v>
      </c>
      <c r="Y20" s="289"/>
    </row>
    <row r="56" spans="1:2" s="64" customFormat="1">
      <c r="A56" s="64" t="s">
        <v>293</v>
      </c>
    </row>
    <row r="57" spans="1:2">
      <c r="A57" s="63" t="s">
        <v>294</v>
      </c>
      <c r="B57" s="63" t="s">
        <v>26</v>
      </c>
    </row>
    <row r="59" spans="1:2">
      <c r="A59" s="63" t="s">
        <v>297</v>
      </c>
      <c r="B59" s="63" t="s">
        <v>296</v>
      </c>
    </row>
    <row r="60" spans="1:2">
      <c r="A60" s="63" t="s">
        <v>299</v>
      </c>
    </row>
    <row r="61" spans="1:2">
      <c r="A61" s="63" t="s">
        <v>300</v>
      </c>
      <c r="B61" s="63" t="s">
        <v>301</v>
      </c>
    </row>
    <row r="62" spans="1:2">
      <c r="A62" s="63">
        <f>AVERAGE(370,500,495)</f>
        <v>455</v>
      </c>
    </row>
    <row r="63" spans="1:2">
      <c r="A63" s="63" t="s">
        <v>302</v>
      </c>
    </row>
    <row r="64" spans="1:2">
      <c r="A64" s="63">
        <f>455*30</f>
        <v>13650</v>
      </c>
      <c r="B64" s="63" t="s">
        <v>303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AC1F-1E71-B746-81CF-92FC62E777FA}">
  <sheetPr codeName="Sheet5">
    <tabColor theme="7" tint="0.39997558519241921"/>
  </sheetPr>
  <dimension ref="A1:AA445"/>
  <sheetViews>
    <sheetView zoomScale="75" workbookViewId="0">
      <selection activeCell="D12" sqref="D12"/>
    </sheetView>
  </sheetViews>
  <sheetFormatPr defaultColWidth="10.8125" defaultRowHeight="20.25"/>
  <cols>
    <col min="1" max="1" width="31.1875" style="1" customWidth="1"/>
    <col min="2" max="2" width="42" style="1" customWidth="1"/>
    <col min="3" max="3" width="36.1875" style="1" customWidth="1"/>
    <col min="4" max="4" width="30.5" style="1" customWidth="1"/>
    <col min="5" max="5" width="31.3125" style="1" customWidth="1"/>
    <col min="6" max="6" width="24.5" style="1" customWidth="1"/>
    <col min="7" max="7" width="25.6875" style="1" customWidth="1"/>
    <col min="8" max="8" width="16.8125" style="1" customWidth="1"/>
    <col min="9" max="9" width="16" style="1" customWidth="1"/>
    <col min="10" max="16384" width="10.8125" style="1"/>
  </cols>
  <sheetData>
    <row r="1" spans="1:15">
      <c r="A1" s="3" t="s">
        <v>28</v>
      </c>
    </row>
    <row r="2" spans="1:15" ht="106.15">
      <c r="C2" s="5" t="s">
        <v>29</v>
      </c>
      <c r="D2" s="5" t="s">
        <v>30</v>
      </c>
      <c r="E2" s="5" t="s">
        <v>11</v>
      </c>
      <c r="F2" s="5" t="s">
        <v>32</v>
      </c>
      <c r="G2" s="5" t="s">
        <v>33</v>
      </c>
      <c r="H2" s="5" t="s">
        <v>31</v>
      </c>
    </row>
    <row r="6" spans="1:15">
      <c r="A6" s="9" t="s">
        <v>49</v>
      </c>
    </row>
    <row r="7" spans="1:15" ht="151.5">
      <c r="A7" s="5"/>
      <c r="B7" s="5" t="s">
        <v>63</v>
      </c>
      <c r="C7" s="5" t="s">
        <v>64</v>
      </c>
      <c r="D7" s="5" t="s">
        <v>65</v>
      </c>
      <c r="E7" s="5" t="s">
        <v>66</v>
      </c>
      <c r="F7" s="5" t="s">
        <v>67</v>
      </c>
      <c r="G7" s="5" t="s">
        <v>68</v>
      </c>
      <c r="H7" s="5" t="s">
        <v>69</v>
      </c>
      <c r="I7" s="5" t="s">
        <v>70</v>
      </c>
      <c r="J7" s="5" t="s">
        <v>34</v>
      </c>
      <c r="O7" s="1" t="s">
        <v>59</v>
      </c>
    </row>
    <row r="8" spans="1:15">
      <c r="A8" s="1" t="s">
        <v>35</v>
      </c>
      <c r="B8" s="1">
        <v>298</v>
      </c>
      <c r="C8" s="1">
        <v>797</v>
      </c>
      <c r="D8" s="1">
        <v>9808</v>
      </c>
      <c r="E8" s="1">
        <v>261</v>
      </c>
      <c r="F8" s="1">
        <v>509</v>
      </c>
      <c r="G8" s="1" t="s">
        <v>36</v>
      </c>
      <c r="H8" s="1">
        <v>11673</v>
      </c>
      <c r="I8" s="1" t="s">
        <v>60</v>
      </c>
    </row>
    <row r="9" spans="1:15">
      <c r="A9" s="1" t="s">
        <v>37</v>
      </c>
      <c r="B9" s="1">
        <v>500</v>
      </c>
      <c r="C9" s="1">
        <v>1900</v>
      </c>
      <c r="D9" s="1">
        <v>2400</v>
      </c>
      <c r="E9" s="1">
        <v>250</v>
      </c>
      <c r="F9" s="1">
        <v>600</v>
      </c>
      <c r="G9" s="1">
        <v>350</v>
      </c>
      <c r="H9" s="1" t="s">
        <v>38</v>
      </c>
      <c r="I9" s="1">
        <v>6000</v>
      </c>
      <c r="J9" s="1" t="s">
        <v>39</v>
      </c>
    </row>
    <row r="10" spans="1:15">
      <c r="A10" s="1" t="s">
        <v>40</v>
      </c>
      <c r="B10" s="1">
        <v>450</v>
      </c>
      <c r="C10" s="1">
        <v>1800</v>
      </c>
      <c r="D10" s="1">
        <v>2300</v>
      </c>
      <c r="E10" s="1">
        <v>250</v>
      </c>
      <c r="F10" s="1">
        <v>550</v>
      </c>
      <c r="G10" s="1">
        <v>350</v>
      </c>
      <c r="H10" s="1" t="s">
        <v>38</v>
      </c>
      <c r="I10" s="1">
        <v>5700</v>
      </c>
    </row>
    <row r="11" spans="1:15">
      <c r="A11" s="1" t="s">
        <v>41</v>
      </c>
      <c r="B11" s="1" t="s">
        <v>61</v>
      </c>
      <c r="C11" s="1" t="s">
        <v>62</v>
      </c>
      <c r="D11" s="1" t="s">
        <v>36</v>
      </c>
      <c r="E11" s="1">
        <v>8050</v>
      </c>
    </row>
    <row r="12" spans="1:15">
      <c r="A12" s="1" t="s">
        <v>42</v>
      </c>
      <c r="B12" s="1">
        <v>1759</v>
      </c>
      <c r="C12" s="1">
        <v>2391</v>
      </c>
      <c r="D12" s="1">
        <v>473</v>
      </c>
      <c r="E12" s="1">
        <v>394</v>
      </c>
      <c r="F12" s="1" t="s">
        <v>43</v>
      </c>
      <c r="G12" s="1">
        <v>5253</v>
      </c>
      <c r="H12" s="1" t="s">
        <v>44</v>
      </c>
    </row>
    <row r="13" spans="1:15">
      <c r="A13" s="1" t="s">
        <v>45</v>
      </c>
      <c r="B13" s="1">
        <v>141</v>
      </c>
      <c r="C13" s="1">
        <v>888</v>
      </c>
      <c r="D13" s="1">
        <v>1208</v>
      </c>
      <c r="E13" s="1">
        <v>562</v>
      </c>
      <c r="F13" s="1">
        <v>595</v>
      </c>
      <c r="G13" s="1">
        <v>466</v>
      </c>
      <c r="H13" s="1" t="s">
        <v>46</v>
      </c>
      <c r="I13" s="1">
        <v>3860</v>
      </c>
    </row>
    <row r="14" spans="1:15">
      <c r="A14" s="1" t="s">
        <v>47</v>
      </c>
      <c r="B14" s="1">
        <v>728</v>
      </c>
      <c r="C14" s="1">
        <v>1266</v>
      </c>
      <c r="D14" s="1">
        <v>389</v>
      </c>
      <c r="E14" s="1">
        <v>477</v>
      </c>
      <c r="F14" s="1" t="s">
        <v>38</v>
      </c>
      <c r="G14" s="1">
        <v>2860</v>
      </c>
    </row>
    <row r="15" spans="1:15">
      <c r="A15" s="1" t="s">
        <v>48</v>
      </c>
      <c r="B15" s="1">
        <v>2397</v>
      </c>
      <c r="C15" s="1">
        <v>432</v>
      </c>
      <c r="E15" s="1">
        <v>684</v>
      </c>
      <c r="G15" s="1">
        <v>3513</v>
      </c>
    </row>
    <row r="17" spans="1:9">
      <c r="A17" s="9" t="s">
        <v>58</v>
      </c>
    </row>
    <row r="18" spans="1:9" ht="219.4">
      <c r="A18" s="5"/>
      <c r="B18" s="5" t="s">
        <v>71</v>
      </c>
      <c r="C18" s="5" t="s">
        <v>72</v>
      </c>
      <c r="D18" s="5" t="s">
        <v>73</v>
      </c>
      <c r="E18" s="5" t="s">
        <v>74</v>
      </c>
      <c r="F18" s="5" t="s">
        <v>69</v>
      </c>
      <c r="G18" s="5" t="s">
        <v>75</v>
      </c>
      <c r="H18" s="5" t="s">
        <v>70</v>
      </c>
      <c r="I18" s="5" t="s">
        <v>34</v>
      </c>
    </row>
    <row r="19" spans="1:9">
      <c r="A19" s="1" t="s">
        <v>35</v>
      </c>
      <c r="B19" s="1">
        <v>1562</v>
      </c>
      <c r="C19" s="1">
        <v>717</v>
      </c>
      <c r="D19" s="1">
        <v>353</v>
      </c>
      <c r="E19" s="1">
        <v>709</v>
      </c>
      <c r="F19" s="1" t="s">
        <v>36</v>
      </c>
      <c r="G19" s="1">
        <v>39</v>
      </c>
      <c r="H19" s="1">
        <v>3380</v>
      </c>
      <c r="I19" s="1" t="s">
        <v>50</v>
      </c>
    </row>
    <row r="20" spans="1:9">
      <c r="A20" s="1" t="s">
        <v>37</v>
      </c>
      <c r="B20" s="1">
        <v>2250</v>
      </c>
      <c r="C20" s="1">
        <v>1000</v>
      </c>
      <c r="D20" s="1">
        <v>600</v>
      </c>
      <c r="E20" s="1">
        <v>350</v>
      </c>
      <c r="F20" s="1" t="s">
        <v>38</v>
      </c>
      <c r="G20" s="1" t="s">
        <v>36</v>
      </c>
      <c r="H20" s="1">
        <v>4200</v>
      </c>
      <c r="I20" s="1" t="s">
        <v>39</v>
      </c>
    </row>
    <row r="21" spans="1:9">
      <c r="A21" s="1" t="s">
        <v>51</v>
      </c>
      <c r="B21" s="1">
        <v>2200</v>
      </c>
      <c r="C21" s="1">
        <v>1000</v>
      </c>
      <c r="D21" s="1">
        <v>300</v>
      </c>
      <c r="E21" s="1">
        <v>200</v>
      </c>
      <c r="F21" s="1" t="s">
        <v>52</v>
      </c>
      <c r="G21" s="1">
        <v>500</v>
      </c>
      <c r="H21" s="1">
        <v>4600</v>
      </c>
    </row>
    <row r="22" spans="1:9">
      <c r="A22" s="1" t="s">
        <v>53</v>
      </c>
      <c r="B22" s="1">
        <v>3904</v>
      </c>
      <c r="C22" s="1">
        <v>535</v>
      </c>
      <c r="D22" s="1">
        <v>115</v>
      </c>
      <c r="E22" s="1">
        <v>556</v>
      </c>
      <c r="F22" s="1" t="s">
        <v>36</v>
      </c>
      <c r="G22" s="1">
        <v>40</v>
      </c>
      <c r="H22" s="1">
        <v>5150</v>
      </c>
      <c r="I22" s="1" t="s">
        <v>54</v>
      </c>
    </row>
    <row r="23" spans="1:9">
      <c r="A23" s="1" t="s">
        <v>42</v>
      </c>
      <c r="B23" s="1">
        <v>1759</v>
      </c>
      <c r="C23" s="1">
        <v>1078</v>
      </c>
      <c r="D23" s="1">
        <v>473</v>
      </c>
      <c r="E23" s="1">
        <v>276</v>
      </c>
      <c r="F23" s="1" t="s">
        <v>43</v>
      </c>
      <c r="G23" s="1">
        <v>118</v>
      </c>
      <c r="H23" s="1">
        <v>3940</v>
      </c>
    </row>
    <row r="24" spans="1:9">
      <c r="A24" s="1" t="s">
        <v>55</v>
      </c>
      <c r="B24" s="1">
        <v>1075</v>
      </c>
      <c r="C24" s="1">
        <v>3247</v>
      </c>
      <c r="D24" s="1" t="s">
        <v>36</v>
      </c>
      <c r="E24" s="1" t="s">
        <v>36</v>
      </c>
      <c r="F24" s="1">
        <v>4322</v>
      </c>
    </row>
    <row r="25" spans="1:9">
      <c r="A25" s="1" t="s">
        <v>56</v>
      </c>
      <c r="B25" s="1">
        <v>1400</v>
      </c>
      <c r="C25" s="1">
        <v>550</v>
      </c>
      <c r="D25" s="1">
        <v>400</v>
      </c>
      <c r="E25" s="1">
        <v>500</v>
      </c>
      <c r="F25" s="1" t="s">
        <v>57</v>
      </c>
      <c r="G25" s="1" t="s">
        <v>36</v>
      </c>
      <c r="H25" s="1">
        <v>3120</v>
      </c>
    </row>
    <row r="26" spans="1:9">
      <c r="A26" s="1" t="s">
        <v>45</v>
      </c>
      <c r="B26" s="1">
        <v>1030</v>
      </c>
      <c r="C26" s="1">
        <v>968</v>
      </c>
      <c r="D26" s="1">
        <v>544</v>
      </c>
      <c r="E26" s="1">
        <v>523</v>
      </c>
      <c r="F26" s="1" t="s">
        <v>46</v>
      </c>
      <c r="G26" s="1" t="s">
        <v>36</v>
      </c>
      <c r="H26" s="1">
        <v>3065</v>
      </c>
    </row>
    <row r="27" spans="1:9">
      <c r="A27" s="1" t="s">
        <v>47</v>
      </c>
      <c r="B27" s="1">
        <v>1110</v>
      </c>
      <c r="C27" s="1">
        <v>744</v>
      </c>
      <c r="D27" s="1">
        <v>378</v>
      </c>
      <c r="E27" s="1">
        <v>467</v>
      </c>
      <c r="F27" s="1" t="s">
        <v>38</v>
      </c>
      <c r="G27" s="1" t="s">
        <v>36</v>
      </c>
      <c r="H27" s="1">
        <v>2699</v>
      </c>
    </row>
    <row r="30" spans="1:9" ht="20.65">
      <c r="A30" s="10" t="s">
        <v>76</v>
      </c>
      <c r="B30" s="10" t="s">
        <v>77</v>
      </c>
      <c r="C30" s="1" t="s">
        <v>59</v>
      </c>
    </row>
    <row r="31" spans="1:9">
      <c r="A31" s="11" t="s">
        <v>78</v>
      </c>
      <c r="B31" s="11" t="s">
        <v>125</v>
      </c>
    </row>
    <row r="32" spans="1:9">
      <c r="A32" s="11" t="s">
        <v>79</v>
      </c>
      <c r="B32" s="11" t="s">
        <v>80</v>
      </c>
    </row>
    <row r="33" spans="1:2">
      <c r="A33" s="11" t="s">
        <v>81</v>
      </c>
      <c r="B33" s="11" t="s">
        <v>82</v>
      </c>
    </row>
    <row r="34" spans="1:2">
      <c r="A34" s="11" t="s">
        <v>83</v>
      </c>
      <c r="B34" s="11" t="s">
        <v>80</v>
      </c>
    </row>
    <row r="35" spans="1:2">
      <c r="A35" s="11" t="s">
        <v>84</v>
      </c>
      <c r="B35" s="11" t="s">
        <v>85</v>
      </c>
    </row>
    <row r="36" spans="1:2">
      <c r="A36" s="11" t="s">
        <v>86</v>
      </c>
      <c r="B36" s="11" t="s">
        <v>87</v>
      </c>
    </row>
    <row r="37" spans="1:2">
      <c r="A37" s="11" t="s">
        <v>126</v>
      </c>
      <c r="B37" s="11" t="s">
        <v>88</v>
      </c>
    </row>
    <row r="38" spans="1:2">
      <c r="A38" s="11" t="s">
        <v>89</v>
      </c>
      <c r="B38" s="11" t="s">
        <v>90</v>
      </c>
    </row>
    <row r="39" spans="1:2">
      <c r="A39" s="11" t="s">
        <v>91</v>
      </c>
      <c r="B39" s="11" t="s">
        <v>92</v>
      </c>
    </row>
    <row r="40" spans="1:2">
      <c r="A40" s="11" t="s">
        <v>93</v>
      </c>
      <c r="B40" s="11" t="s">
        <v>94</v>
      </c>
    </row>
    <row r="41" spans="1:2">
      <c r="A41" s="11" t="s">
        <v>95</v>
      </c>
      <c r="B41" s="11" t="s">
        <v>96</v>
      </c>
    </row>
    <row r="42" spans="1:2">
      <c r="A42" s="11" t="s">
        <v>127</v>
      </c>
      <c r="B42" s="11" t="s">
        <v>97</v>
      </c>
    </row>
    <row r="43" spans="1:2">
      <c r="A43" s="11" t="s">
        <v>128</v>
      </c>
      <c r="B43" s="11" t="s">
        <v>98</v>
      </c>
    </row>
    <row r="44" spans="1:2">
      <c r="A44" s="11" t="s">
        <v>99</v>
      </c>
      <c r="B44" s="11" t="s">
        <v>100</v>
      </c>
    </row>
    <row r="45" spans="1:2">
      <c r="A45" s="11" t="s">
        <v>129</v>
      </c>
      <c r="B45" s="11" t="s">
        <v>101</v>
      </c>
    </row>
    <row r="46" spans="1:2">
      <c r="A46" s="11" t="s">
        <v>102</v>
      </c>
      <c r="B46" s="11" t="s">
        <v>103</v>
      </c>
    </row>
    <row r="47" spans="1:2">
      <c r="A47" s="11" t="s">
        <v>104</v>
      </c>
      <c r="B47" s="11" t="s">
        <v>105</v>
      </c>
    </row>
    <row r="48" spans="1:2">
      <c r="A48" s="11" t="s">
        <v>130</v>
      </c>
      <c r="B48" s="11" t="s">
        <v>106</v>
      </c>
    </row>
    <row r="49" spans="1:5">
      <c r="A49" s="11" t="s">
        <v>131</v>
      </c>
      <c r="B49" s="11" t="s">
        <v>107</v>
      </c>
    </row>
    <row r="50" spans="1:5">
      <c r="A50" s="11" t="s">
        <v>132</v>
      </c>
      <c r="B50" s="11" t="s">
        <v>108</v>
      </c>
    </row>
    <row r="51" spans="1:5">
      <c r="A51" s="11" t="s">
        <v>109</v>
      </c>
      <c r="B51" s="11" t="s">
        <v>110</v>
      </c>
    </row>
    <row r="52" spans="1:5">
      <c r="A52" s="11" t="s">
        <v>111</v>
      </c>
      <c r="B52" s="11" t="s">
        <v>112</v>
      </c>
    </row>
    <row r="53" spans="1:5">
      <c r="A53" s="11" t="s">
        <v>113</v>
      </c>
      <c r="B53" s="11" t="s">
        <v>114</v>
      </c>
    </row>
    <row r="54" spans="1:5">
      <c r="A54" s="11" t="s">
        <v>115</v>
      </c>
      <c r="B54" s="11" t="s">
        <v>116</v>
      </c>
    </row>
    <row r="55" spans="1:5">
      <c r="A55" s="11" t="s">
        <v>117</v>
      </c>
      <c r="B55" s="11" t="s">
        <v>118</v>
      </c>
    </row>
    <row r="56" spans="1:5">
      <c r="A56" s="11" t="s">
        <v>119</v>
      </c>
      <c r="B56" s="11" t="s">
        <v>120</v>
      </c>
    </row>
    <row r="57" spans="1:5">
      <c r="A57" s="11" t="s">
        <v>121</v>
      </c>
      <c r="B57" s="11" t="s">
        <v>122</v>
      </c>
    </row>
    <row r="58" spans="1:5">
      <c r="A58" s="11" t="s">
        <v>123</v>
      </c>
      <c r="B58" s="11" t="s">
        <v>124</v>
      </c>
    </row>
    <row r="60" spans="1:5" ht="20.65">
      <c r="A60" s="7" t="s">
        <v>133</v>
      </c>
      <c r="B60" s="7" t="s">
        <v>134</v>
      </c>
      <c r="C60" s="7" t="s">
        <v>135</v>
      </c>
      <c r="E60" s="1" t="s">
        <v>154</v>
      </c>
    </row>
    <row r="61" spans="1:5">
      <c r="A61" s="1" t="s">
        <v>142</v>
      </c>
      <c r="B61" s="1" t="s">
        <v>144</v>
      </c>
      <c r="C61" s="1" t="s">
        <v>136</v>
      </c>
    </row>
    <row r="62" spans="1:5">
      <c r="A62" s="8" t="s">
        <v>137</v>
      </c>
      <c r="B62" s="1" t="s">
        <v>145</v>
      </c>
      <c r="C62" s="1" t="s">
        <v>146</v>
      </c>
    </row>
    <row r="63" spans="1:5">
      <c r="A63" s="8" t="s">
        <v>138</v>
      </c>
      <c r="B63" s="1" t="s">
        <v>147</v>
      </c>
      <c r="C63" s="1" t="s">
        <v>136</v>
      </c>
    </row>
    <row r="64" spans="1:5">
      <c r="A64" s="1" t="s">
        <v>143</v>
      </c>
      <c r="B64" s="1" t="s">
        <v>147</v>
      </c>
      <c r="C64" s="1" t="s">
        <v>136</v>
      </c>
    </row>
    <row r="65" spans="1:8">
      <c r="A65" s="8" t="s">
        <v>139</v>
      </c>
      <c r="B65" s="1" t="s">
        <v>148</v>
      </c>
      <c r="C65" s="1" t="s">
        <v>149</v>
      </c>
    </row>
    <row r="66" spans="1:8">
      <c r="A66" s="8" t="s">
        <v>140</v>
      </c>
      <c r="B66" s="1" t="s">
        <v>150</v>
      </c>
      <c r="C66" s="1" t="s">
        <v>151</v>
      </c>
    </row>
    <row r="67" spans="1:8">
      <c r="A67" s="8" t="s">
        <v>141</v>
      </c>
      <c r="B67" s="1" t="s">
        <v>152</v>
      </c>
      <c r="C67" s="1" t="s">
        <v>153</v>
      </c>
    </row>
    <row r="70" spans="1:8">
      <c r="A70" s="16" t="s">
        <v>168</v>
      </c>
    </row>
    <row r="71" spans="1:8">
      <c r="A71" s="16" t="s">
        <v>169</v>
      </c>
    </row>
    <row r="76" spans="1:8" ht="21">
      <c r="H76" s="18" t="s">
        <v>175</v>
      </c>
    </row>
    <row r="78" spans="1:8">
      <c r="H78" s="1" t="s">
        <v>184</v>
      </c>
    </row>
    <row r="79" spans="1:8">
      <c r="H79" s="1">
        <v>1545</v>
      </c>
    </row>
    <row r="81" spans="8:8">
      <c r="H81" s="1" t="s">
        <v>185</v>
      </c>
    </row>
    <row r="82" spans="8:8">
      <c r="H82" s="1">
        <f>AVERAGE(27.23,47.88,38.64)</f>
        <v>37.916666666666664</v>
      </c>
    </row>
    <row r="99" spans="6:7" ht="21">
      <c r="F99" s="18" t="s">
        <v>176</v>
      </c>
    </row>
    <row r="101" spans="6:7">
      <c r="F101" s="1" t="s">
        <v>186</v>
      </c>
    </row>
    <row r="102" spans="6:7">
      <c r="F102" s="1">
        <v>15</v>
      </c>
      <c r="G102" s="1" t="s">
        <v>187</v>
      </c>
    </row>
    <row r="116" spans="6:27">
      <c r="F116" s="1" t="s">
        <v>177</v>
      </c>
      <c r="Z116" s="1" t="s">
        <v>271</v>
      </c>
    </row>
    <row r="117" spans="6:27">
      <c r="F117" s="1" t="s">
        <v>178</v>
      </c>
      <c r="Z117" s="1" t="s">
        <v>270</v>
      </c>
    </row>
    <row r="119" spans="6:27">
      <c r="F119" s="1" t="s">
        <v>188</v>
      </c>
      <c r="Y119" s="23" t="s">
        <v>218</v>
      </c>
      <c r="Z119" s="23">
        <v>3.78</v>
      </c>
      <c r="AA119" s="23">
        <v>4.18</v>
      </c>
    </row>
    <row r="120" spans="6:27">
      <c r="F120" s="1" t="s">
        <v>11</v>
      </c>
      <c r="G120" s="12">
        <v>0.38</v>
      </c>
      <c r="Y120" s="25" t="s">
        <v>257</v>
      </c>
      <c r="Z120" s="23" t="s">
        <v>254</v>
      </c>
      <c r="AA120" s="23"/>
    </row>
    <row r="121" spans="6:27">
      <c r="F121" s="1" t="s">
        <v>8</v>
      </c>
      <c r="G121" s="14">
        <v>0.36199999999999999</v>
      </c>
      <c r="Y121" s="23" t="s">
        <v>32</v>
      </c>
      <c r="Z121" s="23">
        <v>0.72</v>
      </c>
      <c r="AA121" s="23">
        <v>0.79600000000000004</v>
      </c>
    </row>
    <row r="122" spans="6:27">
      <c r="F122" s="1" t="s">
        <v>111</v>
      </c>
      <c r="G122" s="14">
        <v>0.252</v>
      </c>
      <c r="Y122" s="23" t="s">
        <v>8</v>
      </c>
      <c r="Z122" s="23">
        <v>2.21</v>
      </c>
      <c r="AA122" s="23">
        <v>6.57</v>
      </c>
    </row>
    <row r="123" spans="6:27">
      <c r="F123" s="1" t="s">
        <v>10</v>
      </c>
      <c r="G123" s="12">
        <v>5.0000000000000001E-4</v>
      </c>
      <c r="Y123" s="23" t="s">
        <v>220</v>
      </c>
      <c r="Z123" s="23">
        <v>6.24</v>
      </c>
      <c r="AA123" s="23">
        <v>6.9</v>
      </c>
    </row>
    <row r="124" spans="6:27">
      <c r="F124" s="1" t="s">
        <v>216</v>
      </c>
      <c r="G124" s="14">
        <v>5.0000000000000001E-4</v>
      </c>
    </row>
    <row r="133" spans="6:8">
      <c r="F133" s="1" t="s">
        <v>179</v>
      </c>
    </row>
    <row r="136" spans="6:8">
      <c r="F136" s="1" t="s">
        <v>189</v>
      </c>
      <c r="H136" s="1" t="s">
        <v>192</v>
      </c>
    </row>
    <row r="137" spans="6:8">
      <c r="F137" s="1" t="s">
        <v>190</v>
      </c>
      <c r="G137" s="1" t="s">
        <v>191</v>
      </c>
    </row>
    <row r="138" spans="6:8">
      <c r="F138" s="1">
        <v>33893.199999999997</v>
      </c>
      <c r="G138" s="1">
        <f>AVERAGE(4340.4,3362)</f>
        <v>3851.2</v>
      </c>
    </row>
    <row r="152" spans="2:7">
      <c r="B152" s="1" t="s">
        <v>180</v>
      </c>
    </row>
    <row r="155" spans="2:7">
      <c r="F155" s="1" t="s">
        <v>181</v>
      </c>
    </row>
    <row r="158" spans="2:7">
      <c r="G158" s="1" t="s">
        <v>199</v>
      </c>
    </row>
    <row r="159" spans="2:7">
      <c r="F159" s="1" t="s">
        <v>193</v>
      </c>
      <c r="G159" s="1">
        <v>38.1</v>
      </c>
    </row>
    <row r="160" spans="2:7">
      <c r="F160" s="1" t="s">
        <v>194</v>
      </c>
      <c r="G160" s="1">
        <v>27.2</v>
      </c>
    </row>
    <row r="161" spans="6:8">
      <c r="F161" s="1" t="s">
        <v>195</v>
      </c>
      <c r="G161" s="1">
        <v>34.799999999999997</v>
      </c>
    </row>
    <row r="175" spans="6:8">
      <c r="H175" s="1" t="s">
        <v>182</v>
      </c>
    </row>
    <row r="206" spans="8:9">
      <c r="I206" s="1" t="s">
        <v>198</v>
      </c>
    </row>
    <row r="207" spans="8:9">
      <c r="H207" s="1" t="s">
        <v>196</v>
      </c>
      <c r="I207" s="1">
        <f>AVERAGE(45,29)</f>
        <v>37</v>
      </c>
    </row>
    <row r="208" spans="8:9">
      <c r="H208" s="1" t="s">
        <v>197</v>
      </c>
      <c r="I208" s="1">
        <f>AVERAGE(44,23)</f>
        <v>33.5</v>
      </c>
    </row>
    <row r="209" spans="8:9">
      <c r="H209" s="1" t="s">
        <v>195</v>
      </c>
      <c r="I209" s="1">
        <f>AVERAGE(50,18)</f>
        <v>34</v>
      </c>
    </row>
    <row r="228" spans="2:7">
      <c r="C228" s="1" t="s">
        <v>199</v>
      </c>
      <c r="E228" s="1" t="s">
        <v>27</v>
      </c>
    </row>
    <row r="229" spans="2:7">
      <c r="B229" s="1" t="s">
        <v>193</v>
      </c>
      <c r="C229" s="1">
        <v>38.1</v>
      </c>
      <c r="D229" s="1">
        <f>AVERAGE(45,29)</f>
        <v>37</v>
      </c>
      <c r="E229" s="1">
        <f>AVERAGE(C229:D231)</f>
        <v>34.1</v>
      </c>
      <c r="F229" s="19">
        <v>10</v>
      </c>
    </row>
    <row r="230" spans="2:7">
      <c r="B230" s="1" t="s">
        <v>194</v>
      </c>
      <c r="C230" s="1">
        <v>27.2</v>
      </c>
      <c r="D230" s="1">
        <f>AVERAGE(44,23)</f>
        <v>33.5</v>
      </c>
    </row>
    <row r="231" spans="2:7">
      <c r="B231" s="1" t="s">
        <v>195</v>
      </c>
      <c r="C231" s="1">
        <v>34.799999999999997</v>
      </c>
      <c r="D231" s="1">
        <f>AVERAGE(50,18)</f>
        <v>34</v>
      </c>
    </row>
    <row r="237" spans="2:7">
      <c r="G237" s="20" t="s">
        <v>210</v>
      </c>
    </row>
    <row r="239" spans="2:7">
      <c r="G239" s="1" t="s">
        <v>211</v>
      </c>
    </row>
    <row r="267" spans="7:8">
      <c r="G267" s="1" t="s">
        <v>213</v>
      </c>
    </row>
    <row r="271" spans="7:8">
      <c r="G271" s="1" t="s">
        <v>215</v>
      </c>
      <c r="H271" s="1" t="s">
        <v>214</v>
      </c>
    </row>
    <row r="272" spans="7:8">
      <c r="G272" s="1" t="s">
        <v>218</v>
      </c>
      <c r="H272" s="1">
        <v>1.1499999999999999</v>
      </c>
    </row>
    <row r="273" spans="7:8">
      <c r="G273" s="1" t="s">
        <v>219</v>
      </c>
      <c r="H273" s="1">
        <v>0.36</v>
      </c>
    </row>
    <row r="274" spans="7:8">
      <c r="G274" s="1" t="s">
        <v>32</v>
      </c>
      <c r="H274" s="1">
        <v>0.1</v>
      </c>
    </row>
    <row r="275" spans="7:8">
      <c r="G275" s="1" t="s">
        <v>8</v>
      </c>
      <c r="H275" s="1">
        <v>1.49</v>
      </c>
    </row>
    <row r="276" spans="7:8">
      <c r="G276" s="1" t="s">
        <v>220</v>
      </c>
      <c r="H276" s="1">
        <v>2.15</v>
      </c>
    </row>
    <row r="304" spans="7:7">
      <c r="G304" s="1" t="s">
        <v>241</v>
      </c>
    </row>
    <row r="307" spans="7:8">
      <c r="G307" s="1" t="s">
        <v>240</v>
      </c>
    </row>
    <row r="317" spans="7:8">
      <c r="H317" s="1" t="s">
        <v>242</v>
      </c>
    </row>
    <row r="340" spans="4:6">
      <c r="D340" s="1" t="s">
        <v>246</v>
      </c>
    </row>
    <row r="342" spans="4:6">
      <c r="D342" s="6" t="s">
        <v>247</v>
      </c>
    </row>
    <row r="344" spans="4:6">
      <c r="E344" s="1" t="s">
        <v>215</v>
      </c>
      <c r="F344" s="1" t="s">
        <v>266</v>
      </c>
    </row>
    <row r="345" spans="4:6">
      <c r="D345" s="9" t="s">
        <v>265</v>
      </c>
      <c r="E345" s="1" t="s">
        <v>32</v>
      </c>
      <c r="F345" s="1">
        <v>24.96</v>
      </c>
    </row>
    <row r="346" spans="4:6">
      <c r="E346" s="1" t="s">
        <v>111</v>
      </c>
      <c r="F346" s="1">
        <v>630</v>
      </c>
    </row>
    <row r="347" spans="4:6">
      <c r="E347" s="1" t="s">
        <v>267</v>
      </c>
      <c r="F347" s="1">
        <v>230</v>
      </c>
    </row>
    <row r="348" spans="4:6">
      <c r="D348" s="9" t="s">
        <v>268</v>
      </c>
      <c r="E348" s="1" t="s">
        <v>11</v>
      </c>
      <c r="F348" s="1">
        <v>1900</v>
      </c>
    </row>
    <row r="349" spans="4:6">
      <c r="E349" s="1" t="s">
        <v>8</v>
      </c>
      <c r="F349" s="1">
        <v>25000</v>
      </c>
    </row>
    <row r="350" spans="4:6">
      <c r="E350" s="1" t="s">
        <v>10</v>
      </c>
      <c r="F350" s="1">
        <v>40</v>
      </c>
    </row>
    <row r="351" spans="4:6">
      <c r="E351" s="1" t="s">
        <v>12</v>
      </c>
      <c r="F351" s="1">
        <v>40</v>
      </c>
    </row>
    <row r="360" spans="4:4">
      <c r="D360" s="1" t="s">
        <v>248</v>
      </c>
    </row>
    <row r="386" spans="6:6">
      <c r="F386" s="1" t="s">
        <v>249</v>
      </c>
    </row>
    <row r="412" spans="5:5">
      <c r="E412" s="1" t="s">
        <v>250</v>
      </c>
    </row>
    <row r="429" spans="1:4" s="17" customFormat="1">
      <c r="A429" s="17" t="s">
        <v>293</v>
      </c>
    </row>
    <row r="432" spans="1:4" ht="27.4">
      <c r="A432" s="65" t="s">
        <v>298</v>
      </c>
      <c r="D432" s="63" t="s">
        <v>226</v>
      </c>
    </row>
    <row r="434" spans="1:2">
      <c r="A434" s="1">
        <f>AVERAGE(1050,1260)</f>
        <v>1155</v>
      </c>
    </row>
    <row r="435" spans="1:2">
      <c r="A435" s="1">
        <f>1155*25</f>
        <v>28875</v>
      </c>
    </row>
    <row r="437" spans="1:2">
      <c r="A437" s="67" t="s">
        <v>304</v>
      </c>
      <c r="B437" s="1" t="s">
        <v>306</v>
      </c>
    </row>
    <row r="438" spans="1:2">
      <c r="A438" s="67" t="s">
        <v>305</v>
      </c>
    </row>
    <row r="439" spans="1:2">
      <c r="A439" s="1">
        <f>3000/25</f>
        <v>120</v>
      </c>
      <c r="B439" s="1" t="s">
        <v>307</v>
      </c>
    </row>
    <row r="441" spans="1:2" ht="22.15">
      <c r="A441" s="68" t="s">
        <v>308</v>
      </c>
      <c r="B441" s="1" t="s">
        <v>309</v>
      </c>
    </row>
    <row r="443" spans="1:2">
      <c r="A443" s="1">
        <v>150</v>
      </c>
      <c r="B443" s="1" t="s">
        <v>307</v>
      </c>
    </row>
    <row r="444" spans="1:2">
      <c r="A444" s="1" t="s">
        <v>295</v>
      </c>
    </row>
    <row r="445" spans="1:2">
      <c r="A445" s="1">
        <f>20*150</f>
        <v>3000</v>
      </c>
      <c r="B445" s="1" t="s">
        <v>310</v>
      </c>
    </row>
  </sheetData>
  <hyperlinks>
    <hyperlink ref="A62" r:id="rId1" location="tblfn9" display="https://www.sciencedirect.com/science/article/pii/S0038092X09000590?casa_token=Nch93rXBGuEAAAAA:odF4e4hhX4FoztkUkgxjuMGrvd8pOiYlOWsNQJayNxMKNopo6Y1ZhJ88DMObzVVDeCbb1QvNKTo - tblfn9" xr:uid="{85A3329B-B738-8640-BD06-2F97AE26198E}"/>
    <hyperlink ref="A63" r:id="rId2" location="tblfn10" display="https://www.sciencedirect.com/science/article/pii/S0038092X09000590?casa_token=Nch93rXBGuEAAAAA:odF4e4hhX4FoztkUkgxjuMGrvd8pOiYlOWsNQJayNxMKNopo6Y1ZhJ88DMObzVVDeCbb1QvNKTo - tblfn10" xr:uid="{404452F6-DC6B-5441-BAF7-D1FCB20A50A6}"/>
    <hyperlink ref="A65" r:id="rId3" location="tblfn10" display="https://www.sciencedirect.com/science/article/pii/S0038092X09000590?casa_token=Nch93rXBGuEAAAAA:odF4e4hhX4FoztkUkgxjuMGrvd8pOiYlOWsNQJayNxMKNopo6Y1ZhJ88DMObzVVDeCbb1QvNKTo - tblfn10" xr:uid="{AA214C7D-CAC8-2D45-BA71-0B0EA0B32DE2}"/>
    <hyperlink ref="A66" r:id="rId4" location="tblfn11" display="https://www.sciencedirect.com/science/article/pii/S0038092X09000590?casa_token=Nch93rXBGuEAAAAA:odF4e4hhX4FoztkUkgxjuMGrvd8pOiYlOWsNQJayNxMKNopo6Y1ZhJ88DMObzVVDeCbb1QvNKTo - tblfn11" xr:uid="{A363EF3B-81C4-0B49-814A-5A2679EA165C}"/>
    <hyperlink ref="A67" r:id="rId5" location="tblfn11" display="https://www.sciencedirect.com/science/article/pii/S0038092X09000590?casa_token=Nch93rXBGuEAAAAA:odF4e4hhX4FoztkUkgxjuMGrvd8pOiYlOWsNQJayNxMKNopo6Y1ZhJ88DMObzVVDeCbb1QvNKTo - tblfn11" xr:uid="{AB6ED7BE-42D6-C649-8C46-EEC43E9590EF}"/>
    <hyperlink ref="G237" r:id="rId6" xr:uid="{369F1317-477A-2948-BDD0-F01990D987AA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B782-2656-3C48-9E77-36BDF8DBF224}">
  <sheetPr codeName="Sheet6">
    <tabColor theme="7" tint="0.39997558519241921"/>
  </sheetPr>
  <dimension ref="A1:Z172"/>
  <sheetViews>
    <sheetView zoomScale="74" workbookViewId="0">
      <selection activeCell="J19" sqref="J19"/>
    </sheetView>
  </sheetViews>
  <sheetFormatPr defaultColWidth="10.8125" defaultRowHeight="22.15"/>
  <cols>
    <col min="1" max="1" width="19.6875" style="2" customWidth="1"/>
    <col min="2" max="14" width="10.8125" style="2"/>
    <col min="15" max="15" width="29.6875" style="2" customWidth="1"/>
    <col min="16" max="18" width="14.6875" style="2" customWidth="1"/>
    <col min="19" max="19" width="16" style="2" customWidth="1"/>
    <col min="20" max="16384" width="10.8125" style="2"/>
  </cols>
  <sheetData>
    <row r="1" spans="1:9">
      <c r="A1" s="2" t="s">
        <v>172</v>
      </c>
    </row>
    <row r="5" spans="1:9">
      <c r="B5" s="2" t="s">
        <v>173</v>
      </c>
    </row>
    <row r="6" spans="1:9">
      <c r="B6" s="2" t="s">
        <v>174</v>
      </c>
    </row>
    <row r="9" spans="1:9">
      <c r="A9" s="2" t="s">
        <v>200</v>
      </c>
    </row>
    <row r="11" spans="1:9">
      <c r="I11" s="2" t="s">
        <v>201</v>
      </c>
    </row>
    <row r="21" spans="2:15">
      <c r="B21" s="2" t="s">
        <v>202</v>
      </c>
    </row>
    <row r="22" spans="2:15">
      <c r="B22" s="2" t="s">
        <v>203</v>
      </c>
    </row>
    <row r="23" spans="2:15">
      <c r="B23" s="2" t="s">
        <v>204</v>
      </c>
    </row>
    <row r="24" spans="2:15">
      <c r="B24" s="2" t="s">
        <v>205</v>
      </c>
    </row>
    <row r="25" spans="2:15">
      <c r="B25" s="2" t="s">
        <v>206</v>
      </c>
    </row>
    <row r="30" spans="2:15">
      <c r="O30" s="20" t="s">
        <v>207</v>
      </c>
    </row>
    <row r="34" spans="15:16">
      <c r="O34" s="2" t="s">
        <v>215</v>
      </c>
      <c r="P34" s="2" t="s">
        <v>214</v>
      </c>
    </row>
    <row r="35" spans="15:16">
      <c r="O35" s="2" t="s">
        <v>217</v>
      </c>
      <c r="P35" s="2">
        <v>2098.6999999999998</v>
      </c>
    </row>
    <row r="36" spans="15:16">
      <c r="O36" s="2" t="s">
        <v>221</v>
      </c>
      <c r="P36" s="2">
        <v>694</v>
      </c>
    </row>
    <row r="37" spans="15:16">
      <c r="O37" s="2" t="s">
        <v>11</v>
      </c>
      <c r="P37" s="2">
        <v>223</v>
      </c>
    </row>
    <row r="38" spans="15:16">
      <c r="O38" s="2" t="s">
        <v>222</v>
      </c>
      <c r="P38" s="2">
        <v>66.7</v>
      </c>
    </row>
    <row r="39" spans="15:16">
      <c r="O39" s="2" t="s">
        <v>223</v>
      </c>
      <c r="P39" s="2">
        <v>69.900000000000006</v>
      </c>
    </row>
    <row r="40" spans="15:16">
      <c r="O40" s="2" t="s">
        <v>8</v>
      </c>
      <c r="P40" s="2">
        <v>102.7</v>
      </c>
    </row>
    <row r="51" spans="13:20">
      <c r="M51" s="2" t="s">
        <v>208</v>
      </c>
    </row>
    <row r="53" spans="13:20">
      <c r="O53" s="2" t="s">
        <v>215</v>
      </c>
      <c r="P53" s="2" t="s">
        <v>321</v>
      </c>
      <c r="S53" s="2" t="s">
        <v>270</v>
      </c>
      <c r="T53" s="2" t="s">
        <v>322</v>
      </c>
    </row>
    <row r="54" spans="13:20">
      <c r="O54" s="2" t="s">
        <v>320</v>
      </c>
      <c r="P54" s="2">
        <v>88</v>
      </c>
      <c r="Q54" s="2">
        <v>2.69E-2</v>
      </c>
      <c r="R54" s="2">
        <v>2.9700000000000001E-2</v>
      </c>
      <c r="S54" s="2">
        <f>AVERAGE(Q54:R54)</f>
        <v>2.8299999999999999E-2</v>
      </c>
      <c r="T54" s="2">
        <f>S54*P54</f>
        <v>2.4903999999999997</v>
      </c>
    </row>
    <row r="55" spans="13:20">
      <c r="O55" s="2" t="s">
        <v>217</v>
      </c>
      <c r="P55" s="2">
        <v>27</v>
      </c>
      <c r="S55" s="2">
        <v>0.95300000000000007</v>
      </c>
      <c r="T55" s="2">
        <f>S55*P55</f>
        <v>25.731000000000002</v>
      </c>
    </row>
    <row r="56" spans="13:20">
      <c r="O56" s="2" t="s">
        <v>8</v>
      </c>
      <c r="P56" s="2">
        <f>1.3+0.22+0.16+2.5*10^-2+2.5*10^-3+5.5*10^-2+6.8*10^-2+9.4*10^-2+3.5*10^-1</f>
        <v>2.2744999999999997</v>
      </c>
      <c r="S56" s="2">
        <v>4.3900000000000006</v>
      </c>
      <c r="T56" s="2">
        <f t="shared" ref="T56:T60" si="0">S56*P56</f>
        <v>9.9850550000000009</v>
      </c>
    </row>
    <row r="57" spans="13:20">
      <c r="O57" s="2" t="s">
        <v>228</v>
      </c>
      <c r="P57" s="2">
        <v>7.1000000000000004E-3</v>
      </c>
      <c r="S57" s="2">
        <v>5.4450000000000003</v>
      </c>
      <c r="T57" s="2">
        <f t="shared" si="0"/>
        <v>3.8659500000000006E-2</v>
      </c>
    </row>
    <row r="58" spans="13:20">
      <c r="O58" s="2" t="s">
        <v>244</v>
      </c>
      <c r="P58" s="2">
        <f>3.8*10^-3</f>
        <v>3.8E-3</v>
      </c>
      <c r="S58" s="2">
        <v>2.375</v>
      </c>
      <c r="T58" s="2">
        <f t="shared" si="0"/>
        <v>9.025E-3</v>
      </c>
    </row>
    <row r="59" spans="13:20">
      <c r="O59" s="2" t="s">
        <v>11</v>
      </c>
      <c r="P59" s="2">
        <f>2.8*10^-4</f>
        <v>2.7999999999999998E-4</v>
      </c>
      <c r="S59" s="2">
        <v>12.75</v>
      </c>
      <c r="T59" s="2">
        <f t="shared" si="0"/>
        <v>3.5699999999999998E-3</v>
      </c>
    </row>
    <row r="60" spans="13:20">
      <c r="O60" s="2" t="s">
        <v>10</v>
      </c>
      <c r="P60" s="2">
        <v>0.11</v>
      </c>
      <c r="S60" s="2">
        <v>3.625</v>
      </c>
      <c r="T60" s="2">
        <f t="shared" si="0"/>
        <v>0.39874999999999999</v>
      </c>
    </row>
    <row r="61" spans="13:20">
      <c r="T61" s="2">
        <f>SUM(T54:T60)</f>
        <v>38.656459500000011</v>
      </c>
    </row>
    <row r="86" spans="15:15">
      <c r="O86" s="2" t="s">
        <v>212</v>
      </c>
    </row>
    <row r="103" spans="15:15">
      <c r="O103" s="2" t="s">
        <v>225</v>
      </c>
    </row>
    <row r="123" spans="1:5">
      <c r="E123" s="22" t="s">
        <v>238</v>
      </c>
    </row>
    <row r="125" spans="1:5">
      <c r="E125" s="2" t="s">
        <v>239</v>
      </c>
    </row>
    <row r="128" spans="1:5" s="59" customFormat="1">
      <c r="A128" s="59" t="s">
        <v>293</v>
      </c>
    </row>
    <row r="130" spans="1:4">
      <c r="A130" s="69" t="s">
        <v>311</v>
      </c>
      <c r="D130" s="2" t="s">
        <v>312</v>
      </c>
    </row>
    <row r="131" spans="1:4">
      <c r="A131" s="2" t="s">
        <v>302</v>
      </c>
      <c r="C131" s="2" t="s">
        <v>212</v>
      </c>
    </row>
    <row r="132" spans="1:4">
      <c r="A132" s="2" t="s">
        <v>313</v>
      </c>
      <c r="C132" s="2" t="s">
        <v>314</v>
      </c>
    </row>
    <row r="134" spans="1:4">
      <c r="A134" s="2" t="s">
        <v>315</v>
      </c>
      <c r="C134" s="2" t="s">
        <v>201</v>
      </c>
    </row>
    <row r="135" spans="1:4">
      <c r="A135" s="2" t="s">
        <v>316</v>
      </c>
      <c r="C135" s="2" t="s">
        <v>317</v>
      </c>
    </row>
    <row r="138" spans="1:4">
      <c r="A138" s="2" t="s">
        <v>319</v>
      </c>
      <c r="C138" s="2" t="s">
        <v>318</v>
      </c>
    </row>
    <row r="139" spans="1:4">
      <c r="A139" s="2">
        <f>132*50</f>
        <v>6600</v>
      </c>
    </row>
    <row r="157" spans="5:16">
      <c r="E157" s="2" t="s">
        <v>325</v>
      </c>
    </row>
    <row r="160" spans="5:16">
      <c r="P160" s="2" t="s">
        <v>324</v>
      </c>
    </row>
    <row r="162" spans="15:26">
      <c r="O162" s="38"/>
      <c r="P162" s="38" t="s">
        <v>321</v>
      </c>
      <c r="Q162" s="38"/>
      <c r="R162" s="38"/>
      <c r="S162" s="38"/>
      <c r="T162" s="38"/>
      <c r="U162" s="38"/>
      <c r="V162" s="38" t="s">
        <v>233</v>
      </c>
      <c r="W162" s="38"/>
      <c r="X162" s="38" t="s">
        <v>270</v>
      </c>
      <c r="Y162" s="38"/>
    </row>
    <row r="163" spans="15:26">
      <c r="O163" s="38" t="s">
        <v>8</v>
      </c>
      <c r="P163" s="38">
        <f>0.142+0.054</f>
        <v>0.19599999999999998</v>
      </c>
      <c r="Q163" s="38">
        <v>5.5599999999999997E-2</v>
      </c>
      <c r="R163" s="38">
        <f>0.866+0.111</f>
        <v>0.97699999999999998</v>
      </c>
      <c r="S163" s="38">
        <f>0.3+0.0276</f>
        <v>0.3276</v>
      </c>
      <c r="T163" s="38">
        <v>0.08</v>
      </c>
      <c r="U163" s="38">
        <f>0.0995+0.0275</f>
        <v>0.127</v>
      </c>
      <c r="V163" s="38">
        <f>AVERAGE(P163:U163)</f>
        <v>0.29386666666666666</v>
      </c>
      <c r="W163" s="38"/>
      <c r="X163" s="38">
        <v>4.3900000000000006</v>
      </c>
      <c r="Y163" s="38"/>
      <c r="Z163" s="2">
        <f>X163*V163</f>
        <v>1.2900746666666669</v>
      </c>
    </row>
    <row r="164" spans="15:26">
      <c r="O164" s="38" t="s">
        <v>217</v>
      </c>
      <c r="P164" s="38">
        <v>0.27800000000000002</v>
      </c>
      <c r="Q164" s="38">
        <v>0.55600000000000005</v>
      </c>
      <c r="R164" s="38">
        <v>0.13</v>
      </c>
      <c r="S164" s="38"/>
      <c r="T164" s="38"/>
      <c r="U164" s="38"/>
      <c r="V164" s="38">
        <f t="shared" ref="V164:V169" si="1">AVERAGE(P164:U164)</f>
        <v>0.32133333333333336</v>
      </c>
      <c r="W164" s="38"/>
      <c r="X164" s="38">
        <v>0.95300000000000007</v>
      </c>
      <c r="Y164" s="38"/>
      <c r="Z164" s="2">
        <f t="shared" ref="Z164:Z169" si="2">X164*V164</f>
        <v>0.30623066666666671</v>
      </c>
    </row>
    <row r="165" spans="15:26">
      <c r="O165" s="38" t="s">
        <v>7</v>
      </c>
      <c r="P165" s="38">
        <f>0.0014*2400</f>
        <v>3.36</v>
      </c>
      <c r="Q165" s="38">
        <f>0.0018*2400</f>
        <v>4.32</v>
      </c>
      <c r="R165" s="38">
        <f>AVERAGE(0.0017,0.0044)*2400</f>
        <v>7.32</v>
      </c>
      <c r="S165" s="38">
        <f>0.0022*2400</f>
        <v>5.28</v>
      </c>
      <c r="T165" s="38">
        <f>AVERAGE(0.0087,0.0064)*2400</f>
        <v>18.119999999999997</v>
      </c>
      <c r="U165" s="38"/>
      <c r="V165" s="38">
        <f t="shared" si="1"/>
        <v>7.68</v>
      </c>
      <c r="W165" s="38"/>
      <c r="X165" s="38">
        <v>9.5049999999999996E-2</v>
      </c>
      <c r="Y165" s="38"/>
      <c r="Z165" s="2">
        <f t="shared" si="2"/>
        <v>0.72998399999999997</v>
      </c>
    </row>
    <row r="166" spans="15:26">
      <c r="O166" s="38" t="s">
        <v>10</v>
      </c>
      <c r="P166" s="38">
        <v>2.3999999999999998E-3</v>
      </c>
      <c r="Q166" s="38">
        <v>2.9999999999999997E-4</v>
      </c>
      <c r="R166" s="38">
        <v>1E-4</v>
      </c>
      <c r="S166" s="38">
        <v>2.5000000000000001E-3</v>
      </c>
      <c r="T166" s="38"/>
      <c r="U166" s="38"/>
      <c r="V166" s="38">
        <f t="shared" si="1"/>
        <v>1.3249999999999998E-3</v>
      </c>
      <c r="W166" s="38"/>
      <c r="X166" s="38">
        <v>3.625</v>
      </c>
      <c r="Y166" s="38"/>
      <c r="Z166" s="2">
        <f t="shared" si="2"/>
        <v>4.8031249999999992E-3</v>
      </c>
    </row>
    <row r="167" spans="15:26">
      <c r="O167" s="38" t="s">
        <v>171</v>
      </c>
      <c r="P167" s="38">
        <v>0.16600000000000001</v>
      </c>
      <c r="Q167" s="38">
        <v>0.06</v>
      </c>
      <c r="R167" s="38">
        <v>0.17</v>
      </c>
      <c r="S167" s="38">
        <v>0.22500000000000001</v>
      </c>
      <c r="T167" s="38"/>
      <c r="U167" s="38"/>
      <c r="V167" s="38">
        <f t="shared" si="1"/>
        <v>0.15525</v>
      </c>
      <c r="W167" s="38"/>
      <c r="X167" s="38">
        <v>2.375</v>
      </c>
      <c r="Y167" s="38"/>
      <c r="Z167" s="2">
        <f t="shared" si="2"/>
        <v>0.36871874999999998</v>
      </c>
    </row>
    <row r="168" spans="15:26">
      <c r="O168" s="38" t="s">
        <v>221</v>
      </c>
      <c r="P168" s="38">
        <v>2.1688900000000002</v>
      </c>
      <c r="Q168" s="38"/>
      <c r="R168" s="38"/>
      <c r="S168" s="38"/>
      <c r="T168" s="38"/>
      <c r="U168" s="38"/>
      <c r="V168" s="38">
        <v>2.1688900000000002</v>
      </c>
      <c r="W168" s="38"/>
      <c r="X168" s="38">
        <v>2.4950000000000001</v>
      </c>
      <c r="Y168" s="38"/>
      <c r="Z168" s="2">
        <f t="shared" si="2"/>
        <v>5.4113805500000005</v>
      </c>
    </row>
    <row r="169" spans="15:26">
      <c r="O169" s="38" t="s">
        <v>326</v>
      </c>
      <c r="P169" s="38">
        <v>0.41199999999999998</v>
      </c>
      <c r="Q169" s="38">
        <v>3.62</v>
      </c>
      <c r="R169" s="38">
        <f>AVERAGE(13.8,3.25)</f>
        <v>8.5250000000000004</v>
      </c>
      <c r="S169" s="38">
        <v>8.0799999999999997E-2</v>
      </c>
      <c r="T169" s="38"/>
      <c r="U169" s="38"/>
      <c r="V169" s="38">
        <f t="shared" si="1"/>
        <v>3.1594500000000001</v>
      </c>
      <c r="W169" s="38"/>
      <c r="X169" s="38">
        <f>AVERAGE(0.0269,0.0297)</f>
        <v>2.8299999999999999E-2</v>
      </c>
      <c r="Y169" s="38"/>
      <c r="Z169" s="2">
        <f t="shared" si="2"/>
        <v>8.9412434999999998E-2</v>
      </c>
    </row>
    <row r="172" spans="15:26">
      <c r="Z172" s="2">
        <f>SUM(Z163:Z169)</f>
        <v>8.2006041933333336</v>
      </c>
    </row>
  </sheetData>
  <hyperlinks>
    <hyperlink ref="O30" r:id="rId1" xr:uid="{7DB93A48-06F1-A84B-A534-06F5F25410B7}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2599-DF0A-3C4C-B4EA-9872B63CB71B}">
  <sheetPr codeName="Sheet7">
    <tabColor theme="7" tint="0.39997558519241921"/>
  </sheetPr>
  <dimension ref="N5:AA97"/>
  <sheetViews>
    <sheetView topLeftCell="A91" zoomScale="66" workbookViewId="0">
      <selection activeCell="O88" sqref="O88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5" spans="14:14">
      <c r="N5" s="2" t="s">
        <v>224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387-E316-8D44-9E67-06D27ED8EC88}">
  <sheetPr>
    <tabColor theme="7" tint="0.39997558519241921"/>
  </sheetPr>
  <dimension ref="B2:P131"/>
  <sheetViews>
    <sheetView topLeftCell="A166" zoomScale="82" workbookViewId="0">
      <selection activeCell="L20" sqref="L20"/>
    </sheetView>
  </sheetViews>
  <sheetFormatPr defaultColWidth="11" defaultRowHeight="15.75"/>
  <sheetData>
    <row r="2" spans="2:11" s="110" customFormat="1">
      <c r="B2" s="110" t="s">
        <v>360</v>
      </c>
    </row>
    <row r="6" spans="2:11">
      <c r="K6" t="s">
        <v>369</v>
      </c>
    </row>
    <row r="30" spans="13:13">
      <c r="M30" s="20" t="s">
        <v>372</v>
      </c>
    </row>
    <row r="46" spans="6:7">
      <c r="F46" t="s">
        <v>484</v>
      </c>
    </row>
    <row r="47" spans="6:7">
      <c r="F47">
        <v>1000</v>
      </c>
      <c r="G47" t="s">
        <v>350</v>
      </c>
    </row>
    <row r="63" spans="2:2" s="110" customFormat="1">
      <c r="B63" s="110" t="s">
        <v>370</v>
      </c>
    </row>
    <row r="67" spans="15:15">
      <c r="O67" t="s">
        <v>371</v>
      </c>
    </row>
    <row r="69" spans="15:15">
      <c r="O69" t="s">
        <v>488</v>
      </c>
    </row>
    <row r="88" spans="2:14" s="110" customFormat="1">
      <c r="B88" s="110" t="s">
        <v>376</v>
      </c>
    </row>
    <row r="89" spans="2:14">
      <c r="E89" t="s">
        <v>479</v>
      </c>
    </row>
    <row r="90" spans="2:14">
      <c r="E90">
        <v>367.5</v>
      </c>
      <c r="F90" t="s">
        <v>480</v>
      </c>
    </row>
    <row r="93" spans="2:14">
      <c r="N93" t="s">
        <v>378</v>
      </c>
    </row>
    <row r="124" spans="2:15" s="110" customFormat="1">
      <c r="B124" s="110" t="s">
        <v>380</v>
      </c>
    </row>
    <row r="128" spans="2:15">
      <c r="O128" s="20" t="s">
        <v>381</v>
      </c>
    </row>
    <row r="130" spans="15:16">
      <c r="O130" t="s">
        <v>479</v>
      </c>
    </row>
    <row r="131" spans="15:16">
      <c r="O131">
        <v>400</v>
      </c>
      <c r="P131" t="s">
        <v>481</v>
      </c>
    </row>
  </sheetData>
  <hyperlinks>
    <hyperlink ref="O128" r:id="rId1" xr:uid="{B05C9B4A-E9EA-4757-BC7A-C941BB2504BC}"/>
    <hyperlink ref="M30" r:id="rId2" xr:uid="{C4FD8180-8598-4418-A7F7-225756FFD67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D7B-40A4-496E-BACD-0963D65C1B01}">
  <sheetPr>
    <tabColor theme="7" tint="0.39997558519241921"/>
  </sheetPr>
  <dimension ref="B1:Z56"/>
  <sheetViews>
    <sheetView topLeftCell="E20" zoomScale="70" zoomScaleNormal="70" workbookViewId="0">
      <selection activeCell="Q37" sqref="Q37"/>
    </sheetView>
  </sheetViews>
  <sheetFormatPr defaultColWidth="10.8125" defaultRowHeight="22.15"/>
  <cols>
    <col min="1" max="15" width="10.8125" style="2"/>
    <col min="16" max="16" width="14.1875" style="2" customWidth="1"/>
    <col min="17" max="17" width="19.3125" style="2" customWidth="1"/>
    <col min="18" max="18" width="16.5" style="2" customWidth="1"/>
    <col min="19" max="19" width="19.75" style="2" bestFit="1" customWidth="1"/>
    <col min="20" max="20" width="12.875" style="2" bestFit="1" customWidth="1"/>
    <col min="21" max="21" width="20.9375" style="2" bestFit="1" customWidth="1"/>
    <col min="22" max="16384" width="10.8125" style="2"/>
  </cols>
  <sheetData>
    <row r="1" spans="2:17">
      <c r="B1" s="2" t="s">
        <v>472</v>
      </c>
    </row>
    <row r="5" spans="2:17">
      <c r="Q5" s="2" t="s">
        <v>498</v>
      </c>
    </row>
    <row r="20" spans="17:21">
      <c r="Q20" s="2" t="s">
        <v>499</v>
      </c>
    </row>
    <row r="25" spans="17:21">
      <c r="R25" s="2" t="s">
        <v>520</v>
      </c>
      <c r="S25" s="2" t="s">
        <v>521</v>
      </c>
    </row>
    <row r="26" spans="17:21">
      <c r="R26" s="2" t="s">
        <v>518</v>
      </c>
      <c r="S26" s="2" t="s">
        <v>519</v>
      </c>
    </row>
    <row r="27" spans="17:21">
      <c r="R27" s="2" t="s">
        <v>515</v>
      </c>
      <c r="S27" s="2" t="s">
        <v>516</v>
      </c>
      <c r="T27" s="2" t="s">
        <v>517</v>
      </c>
      <c r="U27" s="2" t="s">
        <v>500</v>
      </c>
    </row>
    <row r="28" spans="17:21">
      <c r="Q28" s="2" t="s">
        <v>7</v>
      </c>
      <c r="R28" s="2">
        <v>129000</v>
      </c>
      <c r="U28" s="302">
        <f>R28*T56</f>
        <v>310442.37</v>
      </c>
    </row>
    <row r="29" spans="17:21">
      <c r="Q29" s="2" t="s">
        <v>8</v>
      </c>
      <c r="S29" s="2">
        <f>(9.65+3.88+8.18)*10^6+(2.23*10^7)+(3.28*10^5)</f>
        <v>44338000</v>
      </c>
      <c r="U29" s="302">
        <f>(S29+T29)/1000</f>
        <v>44338</v>
      </c>
    </row>
    <row r="30" spans="17:21">
      <c r="Q30" s="2" t="s">
        <v>11</v>
      </c>
      <c r="S30" s="2">
        <f>(1.2*10^6)+(1.42*10^5)+(7.08*10^4)</f>
        <v>1412800</v>
      </c>
      <c r="U30" s="302">
        <f t="shared" ref="U30:U47" si="0">(S30+T30)/1000</f>
        <v>1412.8</v>
      </c>
    </row>
    <row r="31" spans="17:21">
      <c r="Q31" s="2" t="s">
        <v>10</v>
      </c>
      <c r="S31" s="2">
        <f>4.17*10^5</f>
        <v>417000</v>
      </c>
      <c r="U31" s="302">
        <f t="shared" si="0"/>
        <v>417</v>
      </c>
    </row>
    <row r="32" spans="17:21">
      <c r="Q32" s="2" t="s">
        <v>501</v>
      </c>
      <c r="T32" s="2">
        <f>1.46*10^5</f>
        <v>146000</v>
      </c>
      <c r="U32" s="302">
        <f>(S32+T32)/1000</f>
        <v>146</v>
      </c>
    </row>
    <row r="33" spans="17:26">
      <c r="Q33" s="2" t="s">
        <v>502</v>
      </c>
      <c r="S33" s="2">
        <f>6.25*10^4</f>
        <v>62500</v>
      </c>
      <c r="U33" s="302">
        <f t="shared" si="0"/>
        <v>62.5</v>
      </c>
    </row>
    <row r="34" spans="17:26">
      <c r="Q34" s="2" t="s">
        <v>503</v>
      </c>
      <c r="S34" s="2">
        <f>4.17*10^4</f>
        <v>41700</v>
      </c>
      <c r="U34" s="302">
        <f t="shared" si="0"/>
        <v>41.7</v>
      </c>
    </row>
    <row r="35" spans="17:26">
      <c r="Q35" s="2" t="s">
        <v>504</v>
      </c>
      <c r="T35" s="2">
        <f>2.34*10^6</f>
        <v>2340000</v>
      </c>
      <c r="U35" s="302">
        <f t="shared" si="0"/>
        <v>2340</v>
      </c>
    </row>
    <row r="36" spans="17:26">
      <c r="Q36" s="2" t="s">
        <v>221</v>
      </c>
      <c r="S36" s="2">
        <f>(7.66+3.28)*10^5</f>
        <v>1094000</v>
      </c>
      <c r="U36" s="302">
        <f t="shared" si="0"/>
        <v>1094</v>
      </c>
    </row>
    <row r="37" spans="17:26">
      <c r="Q37" s="2" t="s">
        <v>505</v>
      </c>
      <c r="S37" s="2">
        <f>3.28*10^5</f>
        <v>328000</v>
      </c>
      <c r="U37" s="302">
        <f t="shared" si="0"/>
        <v>328</v>
      </c>
    </row>
    <row r="38" spans="17:26">
      <c r="Q38" s="2" t="s">
        <v>506</v>
      </c>
      <c r="S38" s="2">
        <f>9.38*10^4</f>
        <v>93800.000000000015</v>
      </c>
      <c r="U38" s="302">
        <f t="shared" si="0"/>
        <v>93.800000000000011</v>
      </c>
    </row>
    <row r="39" spans="17:26">
      <c r="Q39" s="2" t="s">
        <v>507</v>
      </c>
      <c r="S39" s="2">
        <f>4.69*10^4</f>
        <v>46900.000000000007</v>
      </c>
      <c r="U39" s="302">
        <f t="shared" si="0"/>
        <v>46.900000000000006</v>
      </c>
    </row>
    <row r="40" spans="17:26">
      <c r="Q40" s="2" t="s">
        <v>508</v>
      </c>
      <c r="S40" s="2">
        <f>1.56*10^4</f>
        <v>15600</v>
      </c>
      <c r="U40" s="302">
        <f t="shared" si="0"/>
        <v>15.6</v>
      </c>
    </row>
    <row r="41" spans="17:26">
      <c r="Q41" s="2" t="s">
        <v>509</v>
      </c>
      <c r="S41" s="2">
        <f>1.58*10^4</f>
        <v>15800</v>
      </c>
      <c r="U41" s="302">
        <f t="shared" si="0"/>
        <v>15.8</v>
      </c>
    </row>
    <row r="42" spans="17:26">
      <c r="Q42" s="2" t="s">
        <v>510</v>
      </c>
      <c r="R42" s="2">
        <v>4.5599999999999996</v>
      </c>
      <c r="U42" s="302">
        <f>+R42/X42</f>
        <v>2.9610389610389607</v>
      </c>
      <c r="X42" s="2">
        <v>1.54</v>
      </c>
      <c r="Y42" s="2" t="s">
        <v>525</v>
      </c>
      <c r="Z42" s="20" t="s">
        <v>526</v>
      </c>
    </row>
    <row r="43" spans="17:26">
      <c r="Q43" s="2" t="s">
        <v>244</v>
      </c>
      <c r="S43" s="2">
        <f>5.88*10^5</f>
        <v>588000</v>
      </c>
      <c r="U43" s="302">
        <f t="shared" si="0"/>
        <v>588</v>
      </c>
    </row>
    <row r="44" spans="17:26">
      <c r="Q44" s="2" t="s">
        <v>511</v>
      </c>
      <c r="S44" s="2">
        <f>1.24*10^5</f>
        <v>124000</v>
      </c>
      <c r="U44" s="302">
        <f t="shared" si="0"/>
        <v>124</v>
      </c>
    </row>
    <row r="45" spans="17:26">
      <c r="Q45" s="2" t="s">
        <v>512</v>
      </c>
      <c r="S45" s="2">
        <f>5.21*10^5</f>
        <v>521000</v>
      </c>
      <c r="U45" s="302">
        <f t="shared" si="0"/>
        <v>521</v>
      </c>
    </row>
    <row r="46" spans="17:26">
      <c r="Q46" s="2" t="s">
        <v>513</v>
      </c>
      <c r="T46" s="2">
        <f>2.35*10^5</f>
        <v>235000</v>
      </c>
      <c r="U46" s="302">
        <f t="shared" si="0"/>
        <v>235</v>
      </c>
    </row>
    <row r="47" spans="17:26">
      <c r="Q47" s="2" t="s">
        <v>514</v>
      </c>
      <c r="S47" s="2">
        <f>7.11*10^4</f>
        <v>71100</v>
      </c>
      <c r="U47" s="302">
        <f t="shared" si="0"/>
        <v>71.099999999999994</v>
      </c>
    </row>
    <row r="49" spans="2:21">
      <c r="B49" s="2" t="s">
        <v>473</v>
      </c>
    </row>
    <row r="56" spans="2:21">
      <c r="R56" s="2">
        <v>1</v>
      </c>
      <c r="S56" s="2" t="s">
        <v>522</v>
      </c>
      <c r="T56" s="2">
        <v>2.4065300000000001</v>
      </c>
      <c r="U56" s="2" t="s">
        <v>523</v>
      </c>
    </row>
  </sheetData>
  <hyperlinks>
    <hyperlink ref="Z42" r:id="rId1" xr:uid="{FDE19704-AA3D-49D1-AD81-89C3682529B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B393-8E25-4A23-A31F-EA0ADA98D7CD}">
  <sheetPr>
    <tabColor theme="7" tint="0.39997558519241921"/>
  </sheetPr>
  <dimension ref="N3:AA97"/>
  <sheetViews>
    <sheetView zoomScale="66" workbookViewId="0">
      <selection activeCell="H19" sqref="H19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3" spans="20:20">
      <c r="T3" s="2" t="s">
        <v>494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6B5-0D94-4049-98B3-BD7339237690}">
  <sheetPr>
    <tabColor theme="7" tint="0.39997558519241921"/>
  </sheetPr>
  <dimension ref="N60:AA97"/>
  <sheetViews>
    <sheetView zoomScale="66" workbookViewId="0">
      <selection activeCell="N5" sqref="N5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F9B-C31C-2048-9065-59CB2C473022}">
  <sheetPr codeName="Sheet9">
    <tabColor theme="7" tint="0.39997558519241921"/>
  </sheetPr>
  <dimension ref="A2:BC319"/>
  <sheetViews>
    <sheetView topLeftCell="S1" zoomScale="61" zoomScaleNormal="65" workbookViewId="0">
      <selection activeCell="AB18" sqref="AB18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6.312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43" width="10.8125" style="2"/>
    <col min="44" max="44" width="16.3125" style="2" bestFit="1" customWidth="1"/>
    <col min="45" max="16384" width="10.8125" style="2"/>
  </cols>
  <sheetData>
    <row r="2" spans="1:55" s="38" customFormat="1">
      <c r="B2" s="38" t="s">
        <v>385</v>
      </c>
      <c r="AC2" s="38" t="s">
        <v>387</v>
      </c>
    </row>
    <row r="3" spans="1:55" s="47" customFormat="1">
      <c r="A3" s="55" t="s">
        <v>349</v>
      </c>
      <c r="B3" s="55">
        <v>2</v>
      </c>
      <c r="C3" s="55" t="s">
        <v>353</v>
      </c>
      <c r="D3" s="55">
        <v>0.5</v>
      </c>
      <c r="E3" s="96">
        <f>D3/B3</f>
        <v>0.25</v>
      </c>
      <c r="AC3" s="55" t="s">
        <v>349</v>
      </c>
      <c r="AD3" s="55">
        <v>2.5</v>
      </c>
      <c r="AE3" s="55" t="s">
        <v>353</v>
      </c>
      <c r="AF3" s="55">
        <v>0.5</v>
      </c>
      <c r="AG3" s="108">
        <f>AF3/AD3</f>
        <v>0.2</v>
      </c>
    </row>
    <row r="4" spans="1:55" s="47" customFormat="1">
      <c r="A4" s="55" t="s">
        <v>351</v>
      </c>
      <c r="B4" s="55">
        <v>0.25</v>
      </c>
      <c r="C4" s="55" t="s">
        <v>352</v>
      </c>
      <c r="D4" s="55">
        <v>0.05</v>
      </c>
      <c r="E4" s="96">
        <f>D4/B4</f>
        <v>0.2</v>
      </c>
      <c r="AC4" s="55" t="s">
        <v>351</v>
      </c>
      <c r="AD4" s="55">
        <v>0.25</v>
      </c>
      <c r="AE4" s="55" t="s">
        <v>352</v>
      </c>
      <c r="AF4" s="55">
        <v>0.05</v>
      </c>
      <c r="AG4" s="108">
        <f t="shared" ref="AG4:AG5" si="0">AF4/AD4</f>
        <v>0.2</v>
      </c>
      <c r="AK4" s="47" t="s">
        <v>591</v>
      </c>
    </row>
    <row r="5" spans="1:55" s="47" customFormat="1">
      <c r="A5" s="55" t="s">
        <v>354</v>
      </c>
      <c r="B5" s="55">
        <v>20</v>
      </c>
      <c r="C5" s="55" t="s">
        <v>355</v>
      </c>
      <c r="D5" s="55">
        <v>2</v>
      </c>
      <c r="E5" s="96">
        <f>D5/B5</f>
        <v>0.1</v>
      </c>
      <c r="AC5" s="55" t="s">
        <v>354</v>
      </c>
      <c r="AD5" s="55">
        <v>20</v>
      </c>
      <c r="AE5" s="55" t="s">
        <v>355</v>
      </c>
      <c r="AF5" s="55">
        <v>5</v>
      </c>
      <c r="AG5" s="108">
        <f t="shared" si="0"/>
        <v>0.25</v>
      </c>
    </row>
    <row r="6" spans="1:55" s="47" customFormat="1">
      <c r="A6" s="47" t="s">
        <v>356</v>
      </c>
      <c r="B6" s="47">
        <f>B3*B4*B5*1000*24*365</f>
        <v>87600000</v>
      </c>
      <c r="C6" s="47" t="s">
        <v>357</v>
      </c>
      <c r="D6" s="47">
        <f>B6*SQRT((D3/B3)^2+(D4/B4)^2+(D5/B5)^2)</f>
        <v>29381933.224347237</v>
      </c>
      <c r="E6" s="49">
        <f>D6/B6</f>
        <v>0.33541019662496846</v>
      </c>
      <c r="AC6" s="47" t="s">
        <v>356</v>
      </c>
      <c r="AD6" s="47">
        <f>AD3*AD4*AD5*1000*24*365</f>
        <v>109500000</v>
      </c>
      <c r="AE6" s="47" t="s">
        <v>357</v>
      </c>
      <c r="AF6" s="47">
        <f>AD6*SQRT((AF3/AD3)^2+(AF4/AD4)^2+(AF5/AD5)^2)</f>
        <v>41335343.533107355</v>
      </c>
      <c r="AG6" s="109">
        <f>AF6/AD6</f>
        <v>0.37749172176353751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s="47" customFormat="1" ht="22.5">
      <c r="A7" s="41"/>
      <c r="B7" s="42"/>
      <c r="C7" s="66"/>
      <c r="AC7" s="41"/>
    </row>
    <row r="8" spans="1:55" ht="94.1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1" t="s">
        <v>8</v>
      </c>
      <c r="AF8" s="1" t="s">
        <v>171</v>
      </c>
      <c r="AG8" s="1" t="s">
        <v>255</v>
      </c>
      <c r="AH8" s="1" t="s">
        <v>14</v>
      </c>
      <c r="AI8" s="1" t="s">
        <v>10</v>
      </c>
      <c r="AJ8" s="1" t="s">
        <v>160</v>
      </c>
      <c r="AK8" s="1" t="s">
        <v>11</v>
      </c>
      <c r="AL8" s="1" t="s">
        <v>326</v>
      </c>
      <c r="AM8" s="1" t="s">
        <v>7</v>
      </c>
      <c r="AN8" s="1"/>
      <c r="AO8" s="1"/>
      <c r="AP8" s="1"/>
      <c r="AQ8" s="51"/>
      <c r="AR8" s="51"/>
      <c r="AS8" s="51"/>
      <c r="AT8" s="51"/>
      <c r="AU8" s="2" t="s">
        <v>390</v>
      </c>
    </row>
    <row r="9" spans="1:55" ht="22.5">
      <c r="A9" s="39" t="s">
        <v>164</v>
      </c>
      <c r="B9" s="2" t="s">
        <v>276</v>
      </c>
      <c r="C9" s="2">
        <v>864.81428571428569</v>
      </c>
      <c r="D9" s="2">
        <v>242.38285714285715</v>
      </c>
      <c r="E9" s="2">
        <v>40.991428571428571</v>
      </c>
      <c r="F9" s="2">
        <v>0.17714285714285713</v>
      </c>
      <c r="G9" s="2">
        <v>4.2044285714285712</v>
      </c>
      <c r="H9" s="2">
        <v>0.59299999999999997</v>
      </c>
      <c r="I9" s="2">
        <v>1.2214285714285713</v>
      </c>
      <c r="J9" s="2">
        <v>14.132</v>
      </c>
      <c r="K9" s="2">
        <v>4.3614285714285712</v>
      </c>
      <c r="L9" s="2">
        <v>1.698</v>
      </c>
      <c r="M9" s="2">
        <v>0.52714285714285714</v>
      </c>
      <c r="N9" s="2">
        <v>129.05714285714288</v>
      </c>
      <c r="AC9" s="39" t="s">
        <v>164</v>
      </c>
      <c r="AD9" s="2" t="s">
        <v>388</v>
      </c>
    </row>
    <row r="10" spans="1:55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</row>
    <row r="11" spans="1:55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1">D10/D9</f>
        <v>6.885757886463402E-2</v>
      </c>
      <c r="E11" s="43">
        <f t="shared" si="1"/>
        <v>0.20622538760215722</v>
      </c>
      <c r="F11" s="43">
        <f t="shared" si="1"/>
        <v>0.92582009977255142</v>
      </c>
      <c r="G11" s="43">
        <f t="shared" si="1"/>
        <v>0.22273760429045958</v>
      </c>
      <c r="H11" s="43">
        <f t="shared" si="1"/>
        <v>0.5311291774095297</v>
      </c>
      <c r="I11" s="43">
        <f t="shared" si="1"/>
        <v>0.40834102419728097</v>
      </c>
      <c r="J11" s="43">
        <f t="shared" si="1"/>
        <v>0.1451252647129847</v>
      </c>
      <c r="K11" s="43">
        <f t="shared" si="1"/>
        <v>0.35189320579614886</v>
      </c>
      <c r="L11" s="43">
        <f t="shared" si="1"/>
        <v>0.92582009977255131</v>
      </c>
      <c r="M11" s="43">
        <f t="shared" si="1"/>
        <v>0.92582009977255142</v>
      </c>
      <c r="N11" s="43">
        <f t="shared" si="1"/>
        <v>0.64145958343311971</v>
      </c>
      <c r="AC11" s="41"/>
      <c r="AD11" s="42" t="s">
        <v>277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</row>
    <row r="12" spans="1:55" ht="22.5">
      <c r="A12" s="39"/>
      <c r="B12" s="47" t="s">
        <v>245</v>
      </c>
      <c r="C12" s="101">
        <f>(C9*10^6)/$B$6</f>
        <v>9.8723091976516635</v>
      </c>
      <c r="D12" s="101">
        <f t="shared" ref="D12:N12" si="2">(D9*10^6)/$B$6</f>
        <v>2.7669275929549899</v>
      </c>
      <c r="E12" s="101">
        <f t="shared" si="2"/>
        <v>0.467938682322244</v>
      </c>
      <c r="F12" s="101">
        <f t="shared" si="2"/>
        <v>2.0221787345075016E-3</v>
      </c>
      <c r="G12" s="101">
        <f t="shared" si="2"/>
        <v>4.7995759947814735E-2</v>
      </c>
      <c r="H12" s="101">
        <f t="shared" si="2"/>
        <v>6.7694063926940643E-3</v>
      </c>
      <c r="I12" s="101">
        <f t="shared" si="2"/>
        <v>1.3943248532289627E-2</v>
      </c>
      <c r="J12" s="101">
        <f t="shared" si="2"/>
        <v>0.16132420091324201</v>
      </c>
      <c r="K12" s="101">
        <f t="shared" si="2"/>
        <v>4.978799739073711E-2</v>
      </c>
      <c r="L12" s="101">
        <f t="shared" si="2"/>
        <v>1.9383561643835617E-2</v>
      </c>
      <c r="M12" s="101">
        <f t="shared" si="2"/>
        <v>6.0176125244618397E-3</v>
      </c>
      <c r="N12" s="101">
        <f t="shared" si="2"/>
        <v>1.4732550554468364</v>
      </c>
      <c r="AC12" s="39"/>
      <c r="AD12" s="47" t="s">
        <v>245</v>
      </c>
      <c r="AE12" s="2">
        <f>VLOOKUP(AE$8,Wind!$C$129:$F$145,4,FALSE)/$AD$6</f>
        <v>1.6273972602739726</v>
      </c>
      <c r="AF12" s="2">
        <f>VLOOKUP(AF$8,Wind!$C$129:$F$145,4,FALSE)/$AD$6</f>
        <v>0.36027397260273974</v>
      </c>
      <c r="AG12" s="2">
        <f>VLOOKUP(AG$8,Wind!$C$129:$F$145,4,FALSE)/$AD$6</f>
        <v>0.17625570776255708</v>
      </c>
      <c r="AH12" s="2">
        <f>VLOOKUP(AH$8,Wind!$C$129:$F$145,4,FALSE)/$AD$6</f>
        <v>8.9041095890410954E-2</v>
      </c>
      <c r="AI12" s="2">
        <f>VLOOKUP(AI$8,Wind!$C$129:$F$145,4,FALSE)/$AD$6</f>
        <v>3.8812785388127852E-2</v>
      </c>
      <c r="AJ12" s="2">
        <f>VLOOKUP(AJ$8,Wind!$C$129:$F$145,4,FALSE)/$AD$6</f>
        <v>8.6757990867579911E-3</v>
      </c>
      <c r="AK12" s="2">
        <f>VLOOKUP(AK$8,Wind!$C$129:$F$145,4,FALSE)/$AD$6</f>
        <v>1.8264840182648401E-3</v>
      </c>
      <c r="AL12" s="2">
        <f>VLOOKUP(AL$8,Wind!$C$129:$F$145,4,FALSE)/$AD$6</f>
        <v>4.2831050228310499</v>
      </c>
      <c r="AM12" s="2">
        <f>VLOOKUP(AM$8,Wind!$C$129:$F$145,4,FALSE)/$AD$6</f>
        <v>3.2328767123287672</v>
      </c>
    </row>
    <row r="13" spans="1:55" ht="22.5">
      <c r="A13" s="39"/>
      <c r="B13" s="55" t="s">
        <v>163</v>
      </c>
      <c r="C13" s="100">
        <f>C12*SQRT((C10/C9)^2+($D$6/$B$6)^2)</f>
        <v>3.5284041134005428</v>
      </c>
      <c r="D13" s="100">
        <f t="shared" ref="D13:N13" si="3">D12*SQRT((D10/D9)^2+($D$6/$B$6)^2)</f>
        <v>0.94741057839806253</v>
      </c>
      <c r="E13" s="100">
        <f t="shared" si="3"/>
        <v>0.18424482366257475</v>
      </c>
      <c r="F13" s="100">
        <f t="shared" si="3"/>
        <v>1.9912484019461965E-3</v>
      </c>
      <c r="G13" s="100">
        <f t="shared" si="3"/>
        <v>1.9324599789348376E-2</v>
      </c>
      <c r="H13" s="100">
        <f t="shared" si="3"/>
        <v>4.2523415386320701E-3</v>
      </c>
      <c r="I13" s="100">
        <f t="shared" si="3"/>
        <v>7.368085271476651E-3</v>
      </c>
      <c r="J13" s="100">
        <f t="shared" si="3"/>
        <v>5.8957615490669489E-2</v>
      </c>
      <c r="K13" s="100">
        <f t="shared" si="3"/>
        <v>2.4203769535218838E-2</v>
      </c>
      <c r="L13" s="100">
        <f t="shared" si="3"/>
        <v>1.9087079439945559E-2</v>
      </c>
      <c r="M13" s="100">
        <f t="shared" si="3"/>
        <v>5.9255698412753761E-3</v>
      </c>
      <c r="N13" s="100">
        <f t="shared" si="3"/>
        <v>1.0664274508165914</v>
      </c>
      <c r="AC13" s="39"/>
      <c r="AD13" s="55" t="s">
        <v>163</v>
      </c>
      <c r="AE13" s="55">
        <f>AE12*AE14</f>
        <v>0.16273972602739728</v>
      </c>
      <c r="AF13" s="55">
        <f t="shared" ref="AF13:AL13" si="4">AF12*AF14</f>
        <v>3.6027397260273979E-2</v>
      </c>
      <c r="AG13" s="55">
        <f t="shared" si="4"/>
        <v>1.7625570776255709E-2</v>
      </c>
      <c r="AH13" s="55">
        <f t="shared" si="4"/>
        <v>8.9041095890410957E-3</v>
      </c>
      <c r="AI13" s="55">
        <f t="shared" si="4"/>
        <v>3.8812785388127853E-3</v>
      </c>
      <c r="AJ13" s="55">
        <f t="shared" si="4"/>
        <v>8.6757990867579915E-4</v>
      </c>
      <c r="AK13" s="55">
        <f t="shared" si="4"/>
        <v>1.8264840182648402E-4</v>
      </c>
      <c r="AL13" s="55">
        <f t="shared" si="4"/>
        <v>0.42831050228310502</v>
      </c>
      <c r="AM13" s="55">
        <f>AM12*AM14</f>
        <v>0.32328767123287672</v>
      </c>
      <c r="AN13" s="55"/>
    </row>
    <row r="14" spans="1:55" ht="22.5">
      <c r="A14" s="39"/>
      <c r="B14" s="42" t="s">
        <v>277</v>
      </c>
      <c r="C14" s="117">
        <f>C13/C12</f>
        <v>0.35740413339564447</v>
      </c>
      <c r="D14" s="117">
        <f t="shared" ref="D14:N14" si="5">D13/D12</f>
        <v>0.34240526597454557</v>
      </c>
      <c r="E14" s="117">
        <f t="shared" si="5"/>
        <v>0.39373710834979725</v>
      </c>
      <c r="F14" s="117">
        <f t="shared" si="5"/>
        <v>0.98470445167210296</v>
      </c>
      <c r="G14" s="117">
        <f t="shared" si="5"/>
        <v>0.40263139515573465</v>
      </c>
      <c r="H14" s="117">
        <f t="shared" si="5"/>
        <v>0.628170520715294</v>
      </c>
      <c r="I14" s="117">
        <f t="shared" si="5"/>
        <v>0.52843390508415</v>
      </c>
      <c r="J14" s="117">
        <f t="shared" si="5"/>
        <v>0.36546045265940047</v>
      </c>
      <c r="K14" s="117">
        <f t="shared" si="5"/>
        <v>0.48613663540767094</v>
      </c>
      <c r="L14" s="117">
        <f t="shared" si="5"/>
        <v>0.98470445167210296</v>
      </c>
      <c r="M14" s="117">
        <f t="shared" si="5"/>
        <v>0.98470445167210308</v>
      </c>
      <c r="N14" s="117">
        <f t="shared" si="5"/>
        <v>0.72385799517460014</v>
      </c>
      <c r="AC14" s="39"/>
      <c r="AD14" s="42" t="s">
        <v>277</v>
      </c>
      <c r="AE14" s="108">
        <v>0.1</v>
      </c>
      <c r="AF14" s="108">
        <v>0.1</v>
      </c>
      <c r="AG14" s="108">
        <v>0.1</v>
      </c>
      <c r="AH14" s="108">
        <v>0.1</v>
      </c>
      <c r="AI14" s="108">
        <v>0.1</v>
      </c>
      <c r="AJ14" s="108">
        <v>0.1</v>
      </c>
      <c r="AK14" s="108">
        <v>0.1</v>
      </c>
      <c r="AL14" s="108">
        <v>0.1</v>
      </c>
      <c r="AM14" s="108">
        <v>0.1</v>
      </c>
      <c r="AN14" s="108"/>
    </row>
    <row r="15" spans="1:55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VLOOKUP(AE$8,'Material Breakdowns'!$B$42:$H$64,5,FALSE)</f>
        <v>2.46</v>
      </c>
      <c r="AF15" s="2">
        <f>VLOOKUP(AF$8,'Material Breakdowns'!$B$42:$H$64,5,FALSE)</f>
        <v>2.2000000000000002</v>
      </c>
      <c r="AG15" s="2">
        <f>VLOOKUP(AG$8,'Material Breakdowns'!$B$42:$H$64,5,FALSE)</f>
        <v>2.9950000000000001</v>
      </c>
      <c r="AH15" s="2">
        <f>VLOOKUP(AH$8,'Material Breakdowns'!$B$42:$H$64,5,FALSE)</f>
        <v>7.1899999999999995</v>
      </c>
      <c r="AI15" s="2">
        <f>VLOOKUP(AI$8,'Material Breakdowns'!$B$42:$H$64,5,FALSE)</f>
        <v>3.625</v>
      </c>
      <c r="AJ15" s="2">
        <f>VLOOKUP(AJ$8,'Material Breakdowns'!$B$42:$H$64,5,FALSE)</f>
        <v>1.07</v>
      </c>
      <c r="AK15" s="2">
        <f>VLOOKUP(AK$8,'Material Breakdowns'!$B$42:$H$64,5,FALSE)</f>
        <v>12.58</v>
      </c>
      <c r="AL15" s="2">
        <f>VLOOKUP(AL$8,'Material Breakdowns'!$B$42:$H$64,5,FALSE)</f>
        <v>1.585E-2</v>
      </c>
      <c r="AM15" s="2">
        <f>VLOOKUP(AM$8,'Material Breakdowns'!$B$42:$H$64,5,FALSE)</f>
        <v>9.5150000000000012E-2</v>
      </c>
    </row>
    <row r="16" spans="1:55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VLOOKUP(AE$8,'Material Breakdowns'!$B$42:$H$64,6,FALSE)</f>
        <v>0.25000000000000178</v>
      </c>
      <c r="AF16" s="42">
        <f>VLOOKUP(AF$8,'Material Breakdowns'!$B$42:$H$64,6,FALSE)</f>
        <v>0.28999999999999893</v>
      </c>
      <c r="AG16" s="42">
        <f>VLOOKUP(AG$8,'Material Breakdowns'!$B$42:$H$64,6,FALSE)</f>
        <v>0.14500000000000002</v>
      </c>
      <c r="AH16" s="42">
        <f>VLOOKUP(AH$8,'Material Breakdowns'!$B$42:$H$64,6,FALSE)</f>
        <v>0.35999999999999988</v>
      </c>
      <c r="AI16" s="42">
        <f>VLOOKUP(AI$8,'Material Breakdowns'!$B$42:$H$64,6,FALSE)</f>
        <v>0.17499999999999979</v>
      </c>
      <c r="AJ16" s="42">
        <f>VLOOKUP(AJ$8,'Material Breakdowns'!$B$42:$H$64,6,FALSE)</f>
        <v>0.21400000000000002</v>
      </c>
      <c r="AK16" s="42">
        <f>VLOOKUP(AK$8,'Material Breakdowns'!$B$42:$H$64,6,FALSE)</f>
        <v>1.119999999999999</v>
      </c>
      <c r="AL16" s="42">
        <f>VLOOKUP(AL$8,'Material Breakdowns'!$B$42:$H$64,6,FALSE)</f>
        <v>1.1049999999999999E-2</v>
      </c>
      <c r="AM16" s="42">
        <f>VLOOKUP(AM$8,'Material Breakdowns'!$B$42:$H$64,6,FALSE)</f>
        <v>4.8499999999999993E-3</v>
      </c>
    </row>
    <row r="17" spans="1:45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L17" si="6">AF16/AF15</f>
        <v>0.13181818181818131</v>
      </c>
      <c r="AG17" s="117">
        <f t="shared" si="6"/>
        <v>4.8414023372287146E-2</v>
      </c>
      <c r="AH17" s="117">
        <f t="shared" si="6"/>
        <v>5.0069541029207215E-2</v>
      </c>
      <c r="AI17" s="117">
        <f t="shared" si="6"/>
        <v>4.8275862068965461E-2</v>
      </c>
      <c r="AJ17" s="117">
        <f t="shared" si="6"/>
        <v>0.2</v>
      </c>
      <c r="AK17" s="117">
        <f t="shared" si="6"/>
        <v>8.9030206677265425E-2</v>
      </c>
      <c r="AL17" s="117">
        <f t="shared" si="6"/>
        <v>0.69716088328075709</v>
      </c>
      <c r="AM17" s="117">
        <f>AM16/AM15</f>
        <v>5.0972149238045175E-2</v>
      </c>
      <c r="AN17" s="117"/>
    </row>
    <row r="18" spans="1:45" ht="22.5">
      <c r="B18" s="2" t="s">
        <v>167</v>
      </c>
      <c r="C18" s="2">
        <f>C9*C15</f>
        <v>82.287079285714299</v>
      </c>
      <c r="D18" s="2">
        <f t="shared" ref="D18:N18" si="7">D9*D15</f>
        <v>596.26182857142862</v>
      </c>
      <c r="E18" s="2">
        <f t="shared" si="7"/>
        <v>90.181142857142859</v>
      </c>
      <c r="F18" s="2">
        <f t="shared" si="7"/>
        <v>0.42868571428571423</v>
      </c>
      <c r="G18" s="2">
        <f t="shared" si="7"/>
        <v>15.241053571428571</v>
      </c>
      <c r="H18" s="2">
        <f t="shared" si="7"/>
        <v>7.4599399999999996</v>
      </c>
      <c r="I18" s="2">
        <f t="shared" si="7"/>
        <v>3.316178571428571</v>
      </c>
      <c r="J18" s="2">
        <f t="shared" si="7"/>
        <v>42.325339999999997</v>
      </c>
      <c r="K18" s="2">
        <f t="shared" si="7"/>
        <v>31.358671428571427</v>
      </c>
      <c r="L18" s="2">
        <f t="shared" si="7"/>
        <v>6.1552499999999997</v>
      </c>
      <c r="M18" s="2">
        <f t="shared" si="7"/>
        <v>10.701000000000001</v>
      </c>
      <c r="N18" s="2">
        <f t="shared" si="7"/>
        <v>138.0911428571429</v>
      </c>
      <c r="O18" s="39" t="s">
        <v>15</v>
      </c>
      <c r="P18" s="38">
        <f>SUM(C18:N18)</f>
        <v>1023.8073128571431</v>
      </c>
      <c r="Q18" s="2" t="s">
        <v>167</v>
      </c>
      <c r="AD18" s="2" t="s">
        <v>389</v>
      </c>
      <c r="AQ18" s="39" t="s">
        <v>15</v>
      </c>
      <c r="AR18" s="38">
        <f>SUM(AE18:AM18)/1000</f>
        <v>0</v>
      </c>
      <c r="AS18" s="2" t="s">
        <v>167</v>
      </c>
    </row>
    <row r="19" spans="1:45" s="42" customFormat="1">
      <c r="B19" s="42" t="s">
        <v>163</v>
      </c>
      <c r="C19" s="42">
        <f>C18*SQRT((C16/C15)^2+(C10/C9)^2)</f>
        <v>10.989523255344892</v>
      </c>
      <c r="D19" s="42">
        <f t="shared" ref="D19:M19" si="8">D18*SQRT((D16/D15)^2+(D10/D9)^2)</f>
        <v>73.195148869334389</v>
      </c>
      <c r="E19" s="42">
        <f t="shared" si="8"/>
        <v>22.072273373391706</v>
      </c>
      <c r="F19" s="42">
        <f t="shared" si="8"/>
        <v>0.40604092922706708</v>
      </c>
      <c r="G19" s="42">
        <f t="shared" si="8"/>
        <v>3.4735761854823655</v>
      </c>
      <c r="H19" s="42">
        <f t="shared" si="8"/>
        <v>4.0174708874746203</v>
      </c>
      <c r="I19" s="42">
        <f t="shared" si="8"/>
        <v>1.3542556932461107</v>
      </c>
      <c r="J19" s="42">
        <f t="shared" si="8"/>
        <v>6.4752597058241115</v>
      </c>
      <c r="K19" s="42">
        <f t="shared" si="8"/>
        <v>11.146046488598806</v>
      </c>
      <c r="L19" s="42">
        <f t="shared" si="8"/>
        <v>5.7073055811114317</v>
      </c>
      <c r="M19" s="42">
        <f t="shared" si="8"/>
        <v>9.9212150979811025</v>
      </c>
      <c r="N19" s="42">
        <f>N18*SQRT((N16/N15)^2+(N10/N9)^2)</f>
        <v>92.78557498643643</v>
      </c>
      <c r="P19" s="42">
        <f>SUM(C19:N19)</f>
        <v>241.54369105345302</v>
      </c>
      <c r="AD19" s="42" t="s">
        <v>163</v>
      </c>
      <c r="AR19" s="42">
        <f>SUM(AE19:AM19)</f>
        <v>0</v>
      </c>
    </row>
    <row r="20" spans="1:45" s="42" customFormat="1">
      <c r="B20" s="42" t="s">
        <v>278</v>
      </c>
      <c r="C20" s="43">
        <f>C19/C18</f>
        <v>0.133551018589291</v>
      </c>
      <c r="D20" s="43">
        <f t="shared" ref="D20:M20" si="9">D19/D18</f>
        <v>0.12275672424763653</v>
      </c>
      <c r="E20" s="43">
        <f t="shared" si="9"/>
        <v>0.24475486419989914</v>
      </c>
      <c r="F20" s="43">
        <f t="shared" si="9"/>
        <v>0.94717625452861565</v>
      </c>
      <c r="G20" s="43">
        <f t="shared" si="9"/>
        <v>0.22790919073954682</v>
      </c>
      <c r="H20" s="43">
        <f t="shared" si="9"/>
        <v>0.53853930292664831</v>
      </c>
      <c r="I20" s="43">
        <f t="shared" si="9"/>
        <v>0.40837839823044064</v>
      </c>
      <c r="J20" s="43">
        <f t="shared" si="9"/>
        <v>0.15298777767229069</v>
      </c>
      <c r="K20" s="43">
        <f t="shared" si="9"/>
        <v>0.35543745894934348</v>
      </c>
      <c r="L20" s="43">
        <f t="shared" si="9"/>
        <v>0.92722563358294663</v>
      </c>
      <c r="M20" s="43">
        <f t="shared" si="9"/>
        <v>0.92712971666022825</v>
      </c>
      <c r="N20" s="43">
        <f>N19/N18</f>
        <v>0.67191546877430308</v>
      </c>
      <c r="P20" s="117">
        <f>P19/P18</f>
        <v>0.23592690540505723</v>
      </c>
      <c r="AD20" s="42" t="s">
        <v>278</v>
      </c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R20" s="117" t="e">
        <f>AR19/AR18</f>
        <v>#DIV/0!</v>
      </c>
    </row>
    <row r="21" spans="1:45">
      <c r="B21" s="2" t="s">
        <v>279</v>
      </c>
      <c r="C21" s="46">
        <f t="shared" ref="C21:N21" si="10">C18/$P$18</f>
        <v>8.0373599848662367E-2</v>
      </c>
      <c r="D21" s="46">
        <f t="shared" si="10"/>
        <v>0.58239653212423181</v>
      </c>
      <c r="E21" s="46">
        <f t="shared" si="10"/>
        <v>8.8084097197424771E-2</v>
      </c>
      <c r="F21" s="46">
        <f t="shared" si="10"/>
        <v>4.1871718330413108E-4</v>
      </c>
      <c r="G21" s="46">
        <f t="shared" si="10"/>
        <v>1.4886642613340301E-2</v>
      </c>
      <c r="H21" s="46">
        <f t="shared" si="10"/>
        <v>7.2864687586392755E-3</v>
      </c>
      <c r="I21" s="46">
        <f t="shared" si="10"/>
        <v>3.239065134409031E-3</v>
      </c>
      <c r="J21" s="46">
        <f t="shared" si="10"/>
        <v>4.1341119045030558E-2</v>
      </c>
      <c r="K21" s="46">
        <f t="shared" si="10"/>
        <v>3.0629466145400602E-2</v>
      </c>
      <c r="L21" s="46">
        <f t="shared" si="10"/>
        <v>6.012117634540546E-3</v>
      </c>
      <c r="M21" s="46">
        <f t="shared" si="10"/>
        <v>1.0452162106692399E-2</v>
      </c>
      <c r="N21" s="46">
        <f t="shared" si="10"/>
        <v>0.13488001220832405</v>
      </c>
      <c r="O21" s="46"/>
      <c r="AD21" s="2" t="s">
        <v>279</v>
      </c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Q21" s="58"/>
    </row>
    <row r="22" spans="1:45">
      <c r="O22" s="42"/>
    </row>
    <row r="23" spans="1:45" ht="22.5">
      <c r="B23" s="2" t="s">
        <v>291</v>
      </c>
      <c r="C23" s="2">
        <f>(C18/$B$6)*10^6</f>
        <v>0.93935022015655589</v>
      </c>
      <c r="D23" s="2">
        <f t="shared" ref="D23:N23" si="11">(D18/$B$6)*10^6</f>
        <v>6.8066418786692759</v>
      </c>
      <c r="E23" s="2">
        <f t="shared" si="11"/>
        <v>1.0294651011089366</v>
      </c>
      <c r="F23" s="2">
        <f t="shared" si="11"/>
        <v>4.8936725375081534E-3</v>
      </c>
      <c r="G23" s="2">
        <f t="shared" si="11"/>
        <v>0.17398462981082843</v>
      </c>
      <c r="H23" s="2">
        <f t="shared" si="11"/>
        <v>8.5159132420091321E-2</v>
      </c>
      <c r="I23" s="2">
        <f t="shared" si="11"/>
        <v>3.7855919765166335E-2</v>
      </c>
      <c r="J23" s="2">
        <f t="shared" si="11"/>
        <v>0.48316598173515973</v>
      </c>
      <c r="K23" s="2">
        <f t="shared" si="11"/>
        <v>0.35797570123939981</v>
      </c>
      <c r="L23" s="2">
        <f t="shared" si="11"/>
        <v>7.0265410958904095E-2</v>
      </c>
      <c r="M23" s="2">
        <f t="shared" si="11"/>
        <v>0.12215753424657534</v>
      </c>
      <c r="N23" s="2">
        <f t="shared" si="11"/>
        <v>1.5763829093281154</v>
      </c>
      <c r="O23" s="39" t="s">
        <v>15</v>
      </c>
      <c r="P23" s="38">
        <f>SUM(C23:N23)</f>
        <v>11.687298091976517</v>
      </c>
      <c r="Q23" s="2" t="s">
        <v>291</v>
      </c>
      <c r="AD23" s="2" t="s">
        <v>291</v>
      </c>
      <c r="AE23" s="2">
        <f>AE12*AE15</f>
        <v>4.0033972602739727</v>
      </c>
      <c r="AF23" s="2">
        <f t="shared" ref="AF23:AL23" si="12">AF12*AF15</f>
        <v>0.79260273972602746</v>
      </c>
      <c r="AG23" s="2">
        <f t="shared" si="12"/>
        <v>0.52788584474885847</v>
      </c>
      <c r="AH23" s="2">
        <f t="shared" si="12"/>
        <v>0.64020547945205475</v>
      </c>
      <c r="AI23" s="2">
        <f t="shared" si="12"/>
        <v>0.14069634703196346</v>
      </c>
      <c r="AJ23" s="2">
        <f t="shared" si="12"/>
        <v>9.2831050228310511E-3</v>
      </c>
      <c r="AK23" s="2">
        <f t="shared" si="12"/>
        <v>2.2977168949771688E-2</v>
      </c>
      <c r="AL23" s="2">
        <f t="shared" si="12"/>
        <v>6.7887214611872138E-2</v>
      </c>
      <c r="AM23" s="2">
        <f>AM12*AM15</f>
        <v>0.30760821917808223</v>
      </c>
      <c r="AQ23" s="39" t="s">
        <v>15</v>
      </c>
      <c r="AR23" s="38">
        <f>SUM(AE23:AM23)</f>
        <v>6.5125433789954341</v>
      </c>
      <c r="AS23" s="2" t="s">
        <v>291</v>
      </c>
    </row>
    <row r="24" spans="1:45" ht="22.5">
      <c r="A24" s="39" t="s">
        <v>385</v>
      </c>
      <c r="B24" s="42" t="s">
        <v>163</v>
      </c>
      <c r="C24" s="42">
        <f>C23*SQRT((C10/C9)^2+(C16/C15)^2+($D$6/$B$6)^2)</f>
        <v>0.339124781316401</v>
      </c>
      <c r="D24" s="42">
        <f t="shared" ref="D24:N24" si="13">D23*SQRT((D10/D9)^2+(D16/D15)^2+($D$6/$B$6)^2)</f>
        <v>2.431116887871462</v>
      </c>
      <c r="E24" s="42">
        <f t="shared" si="13"/>
        <v>0.42745114616831603</v>
      </c>
      <c r="F24" s="42">
        <f t="shared" si="13"/>
        <v>4.917210423118476E-3</v>
      </c>
      <c r="G24" s="42">
        <f t="shared" si="13"/>
        <v>7.0553416629658416E-2</v>
      </c>
      <c r="H24" s="42">
        <f t="shared" si="13"/>
        <v>5.4029062459517711E-2</v>
      </c>
      <c r="I24" s="42">
        <f t="shared" si="13"/>
        <v>2.0005444824058242E-2</v>
      </c>
      <c r="J24" s="42">
        <f t="shared" si="13"/>
        <v>0.17812073657393779</v>
      </c>
      <c r="K24" s="42">
        <f t="shared" si="13"/>
        <v>0.17494569080343192</v>
      </c>
      <c r="L24" s="42">
        <f t="shared" si="13"/>
        <v>6.9283525772457485E-2</v>
      </c>
      <c r="M24" s="42">
        <f t="shared" si="13"/>
        <v>0.12043949305509552</v>
      </c>
      <c r="N24" s="42">
        <f t="shared" si="13"/>
        <v>1.1838314461173347</v>
      </c>
      <c r="P24" s="42">
        <f>SUM(C24:N24)</f>
        <v>5.0738188420147896</v>
      </c>
      <c r="AC24" s="39"/>
      <c r="AD24" s="42" t="s">
        <v>163</v>
      </c>
      <c r="AE24" s="42">
        <f>AE13*AE16</f>
        <v>4.0684931506849611E-2</v>
      </c>
      <c r="AF24" s="42">
        <f t="shared" ref="AF24:AL24" si="14">AF13*AF16</f>
        <v>1.0447945205479415E-2</v>
      </c>
      <c r="AG24" s="42">
        <f t="shared" si="14"/>
        <v>2.5557077625570782E-3</v>
      </c>
      <c r="AH24" s="42">
        <f t="shared" si="14"/>
        <v>3.2054794520547936E-3</v>
      </c>
      <c r="AI24" s="42">
        <f t="shared" si="14"/>
        <v>6.7922374429223663E-4</v>
      </c>
      <c r="AJ24" s="42">
        <f t="shared" si="14"/>
        <v>1.8566210045662103E-4</v>
      </c>
      <c r="AK24" s="42">
        <f t="shared" si="14"/>
        <v>2.0456621004566193E-4</v>
      </c>
      <c r="AL24" s="42">
        <f t="shared" si="14"/>
        <v>4.7328310502283101E-3</v>
      </c>
      <c r="AM24" s="42">
        <f>AM13*AM16</f>
        <v>1.5679452054794519E-3</v>
      </c>
      <c r="AN24" s="42"/>
      <c r="AR24" s="42">
        <f>SUM(AE24:AM24)</f>
        <v>6.4264292237443177E-2</v>
      </c>
    </row>
    <row r="25" spans="1:45" ht="22.5">
      <c r="A25" s="39"/>
      <c r="B25" s="42" t="s">
        <v>278</v>
      </c>
      <c r="C25" s="117">
        <f>C24/C23</f>
        <v>0.36102060130446462</v>
      </c>
      <c r="D25" s="117">
        <f t="shared" ref="D25:N25" si="15">D24/D23</f>
        <v>0.35716832635049023</v>
      </c>
      <c r="E25" s="117">
        <f t="shared" si="15"/>
        <v>0.41521674285788512</v>
      </c>
      <c r="F25" s="117">
        <f t="shared" si="15"/>
        <v>1.0048098611890994</v>
      </c>
      <c r="G25" s="117">
        <f t="shared" si="15"/>
        <v>0.40551522687015723</v>
      </c>
      <c r="H25" s="117">
        <f t="shared" si="15"/>
        <v>0.63444824910840458</v>
      </c>
      <c r="I25" s="117">
        <f t="shared" si="15"/>
        <v>0.52846278595683571</v>
      </c>
      <c r="J25" s="117">
        <f t="shared" si="15"/>
        <v>0.36865330612528929</v>
      </c>
      <c r="K25" s="117">
        <f t="shared" si="15"/>
        <v>0.48870828438278624</v>
      </c>
      <c r="L25" s="117">
        <f t="shared" si="15"/>
        <v>0.9860260521777795</v>
      </c>
      <c r="M25" s="117">
        <f t="shared" si="15"/>
        <v>0.98593585567950359</v>
      </c>
      <c r="N25" s="117">
        <f t="shared" si="15"/>
        <v>0.7509796250086892</v>
      </c>
      <c r="P25" s="117">
        <f>P24/P23</f>
        <v>0.434131037138347</v>
      </c>
      <c r="AC25" s="39"/>
      <c r="AD25" s="42" t="s">
        <v>278</v>
      </c>
      <c r="AE25" s="117">
        <f>AE24/AE23</f>
        <v>1.0162601626016335E-2</v>
      </c>
      <c r="AF25" s="117">
        <f t="shared" ref="AF25:AL25" si="16">AF24/AF23</f>
        <v>1.3181818181818133E-2</v>
      </c>
      <c r="AG25" s="117">
        <f t="shared" si="16"/>
        <v>4.8414023372287153E-3</v>
      </c>
      <c r="AH25" s="117">
        <f t="shared" si="16"/>
        <v>5.0069541029207224E-3</v>
      </c>
      <c r="AI25" s="117">
        <f t="shared" si="16"/>
        <v>4.8275862068965459E-3</v>
      </c>
      <c r="AJ25" s="117">
        <f t="shared" si="16"/>
        <v>0.02</v>
      </c>
      <c r="AK25" s="117">
        <f t="shared" si="16"/>
        <v>8.9030206677265435E-3</v>
      </c>
      <c r="AL25" s="117">
        <f t="shared" si="16"/>
        <v>6.9716088328075715E-2</v>
      </c>
      <c r="AM25" s="117">
        <f>AM24/AM23</f>
        <v>5.0972149238045182E-3</v>
      </c>
      <c r="AN25" s="117"/>
      <c r="AR25" s="117">
        <f>AR24/AR23</f>
        <v>9.8677718515797434E-3</v>
      </c>
    </row>
    <row r="26" spans="1:45">
      <c r="A26" s="42" t="s">
        <v>387</v>
      </c>
      <c r="B26" s="42" t="s">
        <v>163</v>
      </c>
      <c r="P26" s="42">
        <f>AR24</f>
        <v>6.4264292237443177E-2</v>
      </c>
      <c r="Q26" s="42" t="s">
        <v>531</v>
      </c>
    </row>
    <row r="27" spans="1:45" s="50" customFormat="1">
      <c r="B27" s="50" t="s">
        <v>287</v>
      </c>
    </row>
    <row r="28" spans="1:45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5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5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5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5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17">D34*D36</f>
        <v>1103.3333333333335</v>
      </c>
      <c r="E35" s="55">
        <f t="shared" si="17"/>
        <v>117.33333333333333</v>
      </c>
      <c r="F35" s="55">
        <f t="shared" si="17"/>
        <v>46.5</v>
      </c>
      <c r="G35" s="55">
        <f t="shared" si="17"/>
        <v>174.73333333333335</v>
      </c>
      <c r="H35" s="55">
        <f t="shared" si="17"/>
        <v>206</v>
      </c>
      <c r="I35" s="55">
        <f t="shared" si="17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18">(D34*10^6)/$B$31</f>
        <v>2.0991882293252155</v>
      </c>
      <c r="E37" s="101">
        <f t="shared" si="18"/>
        <v>0.22323693556570268</v>
      </c>
      <c r="F37" s="101">
        <f t="shared" si="18"/>
        <v>8.8470319634703198E-2</v>
      </c>
      <c r="G37" s="101">
        <f t="shared" si="18"/>
        <v>0.33244545915778789</v>
      </c>
      <c r="H37" s="101">
        <f t="shared" si="18"/>
        <v>0.3919330289193303</v>
      </c>
      <c r="I37" s="101">
        <f t="shared" si="18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19">D37*SQRT((D35/D34)^2+($D$31/$B$31)^2)</f>
        <v>0.78622313894753526</v>
      </c>
      <c r="E38" s="118">
        <f t="shared" si="19"/>
        <v>8.3610436528559637E-2</v>
      </c>
      <c r="F38" s="118">
        <f t="shared" si="19"/>
        <v>3.3135386067426338E-2</v>
      </c>
      <c r="G38" s="118">
        <f t="shared" si="19"/>
        <v>0.12451304212576977</v>
      </c>
      <c r="H38" s="118">
        <f t="shared" si="19"/>
        <v>0.14679332322343711</v>
      </c>
      <c r="I38" s="118">
        <f t="shared" si="19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20">D38/D37</f>
        <v>0.37453675090407057</v>
      </c>
      <c r="E39" s="57">
        <f t="shared" si="20"/>
        <v>0.37453675090407057</v>
      </c>
      <c r="F39" s="57">
        <f t="shared" si="20"/>
        <v>0.37453675090407063</v>
      </c>
      <c r="G39" s="57">
        <f t="shared" si="20"/>
        <v>0.37453675090407057</v>
      </c>
      <c r="H39" s="57">
        <f t="shared" si="20"/>
        <v>0.37453675090407057</v>
      </c>
      <c r="I39" s="57">
        <f t="shared" si="20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21">D40*D34</f>
        <v>27142</v>
      </c>
      <c r="E43" s="54">
        <f t="shared" si="21"/>
        <v>111.64266666666667</v>
      </c>
      <c r="F43" s="54">
        <f t="shared" si="21"/>
        <v>4010.625</v>
      </c>
      <c r="G43" s="54">
        <f t="shared" si="21"/>
        <v>2699.63</v>
      </c>
      <c r="H43" s="54">
        <f t="shared" si="21"/>
        <v>1627.4</v>
      </c>
      <c r="I43" s="54">
        <f t="shared" si="21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22">D43*SQRT((D35/D34)^2+(D41/D40)^2)</f>
        <v>3869.7912628173999</v>
      </c>
      <c r="E44" s="42">
        <f t="shared" si="22"/>
        <v>12.530943193373576</v>
      </c>
      <c r="F44" s="42">
        <f t="shared" si="22"/>
        <v>2439.5679473077307</v>
      </c>
      <c r="G44" s="42">
        <f t="shared" si="22"/>
        <v>1569.7777082978976</v>
      </c>
      <c r="H44" s="42">
        <f t="shared" si="22"/>
        <v>217.43492727710517</v>
      </c>
      <c r="I44" s="42">
        <f t="shared" si="22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23">D44/D43</f>
        <v>0.14257575944357084</v>
      </c>
      <c r="E45" s="43">
        <f t="shared" si="23"/>
        <v>0.11224152528340636</v>
      </c>
      <c r="F45" s="43">
        <f t="shared" si="23"/>
        <v>0.60827625302982224</v>
      </c>
      <c r="G45" s="43">
        <f t="shared" si="23"/>
        <v>0.58147883535814071</v>
      </c>
      <c r="H45" s="43">
        <f t="shared" si="23"/>
        <v>0.1336087792043168</v>
      </c>
      <c r="I45" s="43">
        <f t="shared" si="23"/>
        <v>0.10015250420621534</v>
      </c>
      <c r="P45" s="117">
        <f>P44/P43</f>
        <v>0.14954085955035906</v>
      </c>
    </row>
    <row r="46" spans="1:20">
      <c r="B46" s="2" t="s">
        <v>286</v>
      </c>
      <c r="C46" s="49">
        <f t="shared" ref="C46:I46" si="24">C43/$P$43</f>
        <v>0.80891189704649591</v>
      </c>
      <c r="D46" s="49">
        <f t="shared" si="24"/>
        <v>0.14283676466971004</v>
      </c>
      <c r="E46" s="49">
        <f t="shared" si="24"/>
        <v>5.8752771740349079E-4</v>
      </c>
      <c r="F46" s="49">
        <f t="shared" si="24"/>
        <v>2.1106208065118849E-2</v>
      </c>
      <c r="G46" s="49">
        <f t="shared" si="24"/>
        <v>1.4207000773903519E-2</v>
      </c>
      <c r="H46" s="49">
        <f t="shared" si="24"/>
        <v>8.5643117980799544E-3</v>
      </c>
      <c r="I46" s="49">
        <f t="shared" si="24"/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25">(D43/$B$31)*10^6</f>
        <v>5.1640030441400304</v>
      </c>
      <c r="E48" s="47">
        <f t="shared" si="25"/>
        <v>2.1240994419076609E-2</v>
      </c>
      <c r="F48" s="47">
        <f t="shared" si="25"/>
        <v>0.76305650684931514</v>
      </c>
      <c r="G48" s="47">
        <f t="shared" si="25"/>
        <v>0.51362823439878236</v>
      </c>
      <c r="H48" s="47">
        <f t="shared" si="25"/>
        <v>0.30962709284627093</v>
      </c>
      <c r="I48" s="47">
        <f t="shared" si="25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26">D48*SQRT((D35/D34)^2+(D41/D40)^2+($D$31/$B$31)^2)</f>
        <v>2.0040432312732839</v>
      </c>
      <c r="E49" s="55">
        <f t="shared" si="26"/>
        <v>8.0288693665000813E-3</v>
      </c>
      <c r="F49" s="55">
        <f t="shared" si="26"/>
        <v>0.5397122880638936</v>
      </c>
      <c r="G49" s="55">
        <f t="shared" si="26"/>
        <v>0.35152418185960549</v>
      </c>
      <c r="H49" s="55">
        <f t="shared" si="26"/>
        <v>0.11916785528601129</v>
      </c>
      <c r="I49" s="55">
        <f t="shared" si="26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27">D49/D48</f>
        <v>0.3880794054812608</v>
      </c>
      <c r="E50" s="117">
        <f t="shared" si="27"/>
        <v>0.37798933553173603</v>
      </c>
      <c r="F50" s="117">
        <f t="shared" si="27"/>
        <v>0.70730317246409835</v>
      </c>
      <c r="G50" s="117">
        <f t="shared" si="27"/>
        <v>0.68439419470597318</v>
      </c>
      <c r="H50" s="117">
        <f t="shared" si="27"/>
        <v>0.38487541316411167</v>
      </c>
      <c r="I50" s="117">
        <f t="shared" si="27"/>
        <v>0.37457749782462074</v>
      </c>
      <c r="P50" s="117">
        <f>P49/P48</f>
        <v>0.39580184404859992</v>
      </c>
    </row>
    <row r="52" spans="1:16" s="50" customFormat="1">
      <c r="B52" s="50" t="s">
        <v>283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</f>
        <v>2000</v>
      </c>
      <c r="C56" s="47" t="s">
        <v>368</v>
      </c>
      <c r="D56" s="47">
        <f>B56*SQRT((D53/B53)^2+(D54/B54)^2+(D55/B55)^2)</f>
        <v>1067.7078252031311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28">D61*D59</f>
        <v>4</v>
      </c>
      <c r="E60" s="42">
        <f t="shared" si="28"/>
        <v>2.4960000000000004</v>
      </c>
      <c r="F60" s="42">
        <f t="shared" si="28"/>
        <v>63</v>
      </c>
      <c r="G60" s="42">
        <f t="shared" si="28"/>
        <v>23</v>
      </c>
      <c r="H60" s="42">
        <f t="shared" si="28"/>
        <v>190</v>
      </c>
      <c r="I60" s="42">
        <f t="shared" si="28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0.02</v>
      </c>
      <c r="D62" s="101">
        <f t="shared" ref="D62:I62" si="29">D59/$B$56</f>
        <v>0.02</v>
      </c>
      <c r="E62" s="101">
        <f t="shared" si="29"/>
        <v>1.248E-2</v>
      </c>
      <c r="F62" s="101">
        <f t="shared" si="29"/>
        <v>0.315</v>
      </c>
      <c r="G62" s="101">
        <f t="shared" si="29"/>
        <v>0.115</v>
      </c>
      <c r="H62" s="101">
        <f t="shared" si="29"/>
        <v>0.95</v>
      </c>
      <c r="I62" s="101">
        <f t="shared" si="29"/>
        <v>12.5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1.0862780491200215E-2</v>
      </c>
      <c r="D63" s="118">
        <f t="shared" ref="D63:I63" si="30">D62*SQRT((D60/D59)^2+($D$56/$B$56)^2)</f>
        <v>1.0862780491200215E-2</v>
      </c>
      <c r="E63" s="118">
        <f t="shared" si="30"/>
        <v>6.7783750265089336E-3</v>
      </c>
      <c r="F63" s="118">
        <f t="shared" si="30"/>
        <v>0.17108879273640337</v>
      </c>
      <c r="G63" s="118">
        <f t="shared" si="30"/>
        <v>6.2460987824401237E-2</v>
      </c>
      <c r="H63" s="118">
        <f t="shared" si="30"/>
        <v>0.51598207333201018</v>
      </c>
      <c r="I63" s="118">
        <f t="shared" si="30"/>
        <v>6.7892378070001342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31">D63/D62</f>
        <v>0.54313902456001073</v>
      </c>
      <c r="E64" s="57">
        <f t="shared" si="31"/>
        <v>0.54313902456001073</v>
      </c>
      <c r="F64" s="57">
        <f t="shared" si="31"/>
        <v>0.54313902456001073</v>
      </c>
      <c r="G64" s="57">
        <f t="shared" si="31"/>
        <v>0.54313902456001073</v>
      </c>
      <c r="H64" s="57">
        <f t="shared" si="31"/>
        <v>0.54313902456001073</v>
      </c>
      <c r="I64" s="57">
        <f t="shared" si="31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32">D59*D65</f>
        <v>108.6</v>
      </c>
      <c r="E68" s="2">
        <f t="shared" si="32"/>
        <v>19.718400000000003</v>
      </c>
      <c r="F68" s="2">
        <f t="shared" si="32"/>
        <v>1326.15</v>
      </c>
      <c r="G68" s="2">
        <f t="shared" si="32"/>
        <v>1228.2</v>
      </c>
      <c r="H68" s="2">
        <f t="shared" si="32"/>
        <v>23902</v>
      </c>
      <c r="I68" s="2">
        <f t="shared" si="32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33">D68*SQRT((D60/D59)^2+(D66/D65)^2)</f>
        <v>10.876561956794987</v>
      </c>
      <c r="E69" s="42">
        <f t="shared" si="33"/>
        <v>2.6345513518624006</v>
      </c>
      <c r="F69" s="42">
        <f t="shared" si="33"/>
        <v>148.19770823126788</v>
      </c>
      <c r="G69" s="42">
        <f t="shared" si="33"/>
        <v>379.23896477023595</v>
      </c>
      <c r="H69" s="42">
        <f t="shared" si="33"/>
        <v>3200.2249983399597</v>
      </c>
      <c r="I69" s="42">
        <f t="shared" si="33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34">D69/D68</f>
        <v>0.10015250420621535</v>
      </c>
      <c r="E70" s="43">
        <f t="shared" si="34"/>
        <v>0.1336087792043168</v>
      </c>
      <c r="F70" s="43">
        <f t="shared" si="34"/>
        <v>0.11175033610923943</v>
      </c>
      <c r="G70" s="43">
        <f t="shared" si="34"/>
        <v>0.30877622925438525</v>
      </c>
      <c r="H70" s="43">
        <f t="shared" si="34"/>
        <v>0.13388942340975482</v>
      </c>
      <c r="I70" s="43">
        <f t="shared" si="34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 t="shared" ref="C71:I71" si="35">C68/$P$68</f>
        <v>1.6434381158798507E-3</v>
      </c>
      <c r="D71" s="46">
        <f t="shared" si="35"/>
        <v>1.2308784785141503E-3</v>
      </c>
      <c r="E71" s="46">
        <f t="shared" si="35"/>
        <v>2.234894492701052E-4</v>
      </c>
      <c r="F71" s="46">
        <f t="shared" si="35"/>
        <v>1.5030658326717685E-2</v>
      </c>
      <c r="G71" s="46">
        <f t="shared" si="35"/>
        <v>1.3920487544300916E-2</v>
      </c>
      <c r="H71" s="46">
        <f t="shared" si="35"/>
        <v>0.27090660583282894</v>
      </c>
      <c r="I71" s="46">
        <f t="shared" si="35"/>
        <v>0.69704444225248841</v>
      </c>
      <c r="O71" s="46"/>
    </row>
    <row r="73" spans="1:17" ht="22.5">
      <c r="B73" s="2" t="s">
        <v>291</v>
      </c>
      <c r="C73" s="2">
        <f>C68/$B$56</f>
        <v>7.2499999999999995E-2</v>
      </c>
      <c r="D73" s="2">
        <f t="shared" ref="D73:I73" si="36">D68/$B$56</f>
        <v>5.4299999999999994E-2</v>
      </c>
      <c r="E73" s="2">
        <f t="shared" si="36"/>
        <v>9.859200000000002E-3</v>
      </c>
      <c r="F73" s="2">
        <f t="shared" si="36"/>
        <v>0.66307500000000008</v>
      </c>
      <c r="G73" s="2">
        <f t="shared" si="36"/>
        <v>0.61409999999999998</v>
      </c>
      <c r="H73" s="2">
        <f t="shared" si="36"/>
        <v>11.951000000000001</v>
      </c>
      <c r="I73" s="2">
        <f t="shared" si="36"/>
        <v>30.75</v>
      </c>
      <c r="O73" s="39" t="s">
        <v>15</v>
      </c>
      <c r="P73" s="50">
        <f>SUM(C73:I73)</f>
        <v>44.114834200000004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3.9532818644766522E-2</v>
      </c>
      <c r="D74" s="42">
        <f t="shared" ref="D74:I74" si="37">D73*SQRT((D60/D59)^2+(D66/D65)^2+($D$56/$B$56)^2)</f>
        <v>2.9493974808424847E-2</v>
      </c>
      <c r="E74" s="42">
        <f t="shared" si="37"/>
        <v>5.4257078090144155E-3</v>
      </c>
      <c r="F74" s="42">
        <f t="shared" si="37"/>
        <v>0.36165750377169698</v>
      </c>
      <c r="G74" s="42">
        <f t="shared" si="37"/>
        <v>0.3787273543725091</v>
      </c>
      <c r="H74" s="42">
        <f t="shared" si="37"/>
        <v>6.5776807687056387</v>
      </c>
      <c r="I74" s="42">
        <f t="shared" si="37"/>
        <v>16.991367293422858</v>
      </c>
      <c r="P74" s="42">
        <f>SUM(C74:I74)</f>
        <v>24.383885421534909</v>
      </c>
    </row>
    <row r="75" spans="1:17">
      <c r="B75" s="42" t="s">
        <v>278</v>
      </c>
      <c r="C75" s="117">
        <f>C74/C73</f>
        <v>0.54528025716919348</v>
      </c>
      <c r="D75" s="117">
        <f t="shared" ref="D75:I75" si="38">D74/D73</f>
        <v>0.54316712354373575</v>
      </c>
      <c r="E75" s="117">
        <f t="shared" si="38"/>
        <v>0.55031927631191313</v>
      </c>
      <c r="F75" s="117">
        <f t="shared" si="38"/>
        <v>0.54542473139795189</v>
      </c>
      <c r="G75" s="117">
        <f t="shared" si="38"/>
        <v>0.61671935250367871</v>
      </c>
      <c r="H75" s="117">
        <f t="shared" si="38"/>
        <v>0.55038747960050527</v>
      </c>
      <c r="I75" s="117">
        <f t="shared" si="38"/>
        <v>0.55256479003001169</v>
      </c>
      <c r="P75" s="117">
        <f>P74/P73</f>
        <v>0.55273664434479297</v>
      </c>
    </row>
    <row r="77" spans="1:17" s="59" customFormat="1">
      <c r="B77" s="59" t="s">
        <v>288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39">D84*D86</f>
        <v>9.2133333333333303E-2</v>
      </c>
      <c r="E85" s="42">
        <f t="shared" si="39"/>
        <v>0.96799999999999997</v>
      </c>
      <c r="F85" s="42">
        <f t="shared" si="39"/>
        <v>1.11325E-2</v>
      </c>
      <c r="G85" s="42">
        <f t="shared" si="39"/>
        <v>3.5525000000000001E-2</v>
      </c>
      <c r="H85" s="42">
        <f t="shared" si="39"/>
        <v>0.21688900000000003</v>
      </c>
      <c r="I85" s="42">
        <f t="shared" si="39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" si="40">AF84*AF86</f>
        <v>3.213333333333334E-2</v>
      </c>
      <c r="AG85" s="42">
        <f t="shared" ref="AG85" si="41">AG84*AG86</f>
        <v>0.76800000000000002</v>
      </c>
      <c r="AH85" s="42">
        <f t="shared" ref="AH85" si="42">AH84*AH86</f>
        <v>1.325E-4</v>
      </c>
      <c r="AI85" s="42">
        <f t="shared" ref="AI85" si="43">AI84*AI86</f>
        <v>1.5525000000000001E-2</v>
      </c>
      <c r="AJ85" s="42">
        <f t="shared" ref="AJ85" si="44">AJ84*AJ86</f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45">C87*C84</f>
        <v>2.1989120000000009</v>
      </c>
      <c r="D90" s="2">
        <f t="shared" si="45"/>
        <v>0.79695333333333307</v>
      </c>
      <c r="E90" s="2">
        <f t="shared" si="45"/>
        <v>0.92105200000000009</v>
      </c>
      <c r="F90" s="2">
        <f t="shared" si="45"/>
        <v>0.40355312499999996</v>
      </c>
      <c r="G90" s="2">
        <f t="shared" si="45"/>
        <v>0.78155000000000008</v>
      </c>
      <c r="H90" s="2">
        <f t="shared" si="45"/>
        <v>5.4113805500000005</v>
      </c>
      <c r="I90" s="2">
        <f t="shared" si="45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46">AE87*AE84</f>
        <v>1.2900746666666669</v>
      </c>
      <c r="AF90" s="2">
        <f t="shared" si="46"/>
        <v>0.30623066666666671</v>
      </c>
      <c r="AG90" s="2">
        <f t="shared" si="46"/>
        <v>0.72998399999999997</v>
      </c>
      <c r="AH90" s="2">
        <f t="shared" si="46"/>
        <v>4.8031249999999992E-3</v>
      </c>
      <c r="AI90" s="2">
        <f t="shared" si="46"/>
        <v>0.36871874999999998</v>
      </c>
      <c r="AJ90" s="2">
        <f t="shared" si="46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47">D90*SQRT((D85/D84)^2+(D88/D87)^2)</f>
        <v>0.14772180121807019</v>
      </c>
      <c r="E91" s="42">
        <f t="shared" si="47"/>
        <v>0.103380281345332</v>
      </c>
      <c r="F91" s="42">
        <f t="shared" si="47"/>
        <v>4.4811769664768651E-2</v>
      </c>
      <c r="G91" s="42">
        <f t="shared" si="47"/>
        <v>0.12931295190834491</v>
      </c>
      <c r="H91" s="42">
        <f t="shared" si="47"/>
        <v>0.60525342167206764</v>
      </c>
      <c r="I91" s="42">
        <f t="shared" si="47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" si="48">AF90*AF92</f>
        <v>4.147165288947615E-2</v>
      </c>
      <c r="AG91" s="42">
        <f t="shared" ref="AG91" si="49">AG90*AG92</f>
        <v>0.11145861997880756</v>
      </c>
      <c r="AH91" s="42">
        <f t="shared" ref="AH91" si="50">AH90*AH92</f>
        <v>6.4465067379290166E-4</v>
      </c>
      <c r="AI91" s="42">
        <f t="shared" ref="AI91" si="51">AI90*AI92</f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52">D91/D90</f>
        <v>0.18535815717114792</v>
      </c>
      <c r="E92" s="43">
        <f t="shared" si="52"/>
        <v>0.11224152528340636</v>
      </c>
      <c r="F92" s="43">
        <f t="shared" si="52"/>
        <v>0.11104304957313528</v>
      </c>
      <c r="G92" s="43">
        <f t="shared" si="52"/>
        <v>0.16545704293819319</v>
      </c>
      <c r="H92" s="43">
        <f t="shared" si="52"/>
        <v>0.11184824576273195</v>
      </c>
      <c r="I92" s="43">
        <f t="shared" si="52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53">AE89+AE86</f>
        <v>0.13487305216764714</v>
      </c>
      <c r="AF92" s="43">
        <f t="shared" si="53"/>
        <v>0.1354261914422118</v>
      </c>
      <c r="AG92" s="43">
        <f t="shared" si="53"/>
        <v>0.15268638761782116</v>
      </c>
      <c r="AH92" s="43">
        <f t="shared" si="53"/>
        <v>0.13421484425096197</v>
      </c>
      <c r="AI92" s="43">
        <f t="shared" si="53"/>
        <v>0.13512625478896456</v>
      </c>
      <c r="AJ92" s="43">
        <f t="shared" si="53"/>
        <v>0.13500000000000001</v>
      </c>
    </row>
    <row r="93" spans="1:47">
      <c r="B93" s="2" t="s">
        <v>329</v>
      </c>
      <c r="C93" s="46">
        <f t="shared" ref="C93:I93" si="54">C90/$P$90</f>
        <v>0.20791216806067114</v>
      </c>
      <c r="D93" s="46">
        <f t="shared" si="54"/>
        <v>7.5353763759764797E-2</v>
      </c>
      <c r="E93" s="46">
        <f t="shared" si="54"/>
        <v>8.7087577045655853E-2</v>
      </c>
      <c r="F93" s="46">
        <f t="shared" si="54"/>
        <v>3.8156872647204153E-2</v>
      </c>
      <c r="G93" s="46">
        <f t="shared" si="54"/>
        <v>7.3897343298784793E-2</v>
      </c>
      <c r="H93" s="46">
        <f t="shared" si="54"/>
        <v>0.51165843032911129</v>
      </c>
      <c r="I93" s="46">
        <f t="shared" si="54"/>
        <v>5.9338448588079056E-3</v>
      </c>
      <c r="O93" s="46"/>
      <c r="AD93" s="2" t="s">
        <v>329</v>
      </c>
      <c r="AE93" s="46">
        <f t="shared" ref="AE93:AJ93" si="55">AE90/$P$90</f>
        <v>0.12197951573633427</v>
      </c>
      <c r="AF93" s="46">
        <f t="shared" si="55"/>
        <v>2.8954811212695799E-2</v>
      </c>
      <c r="AG93" s="46">
        <f t="shared" si="55"/>
        <v>6.9021659843413879E-2</v>
      </c>
      <c r="AH93" s="46">
        <f t="shared" si="55"/>
        <v>4.5414647435477659E-4</v>
      </c>
      <c r="AI93" s="46">
        <f t="shared" si="55"/>
        <v>3.4863202673467854E-2</v>
      </c>
      <c r="AJ93" s="46">
        <f t="shared" si="55"/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5" si="56">D90</f>
        <v>0.79695333333333307</v>
      </c>
      <c r="E95" s="2">
        <f t="shared" si="56"/>
        <v>0.92105200000000009</v>
      </c>
      <c r="F95" s="2">
        <f t="shared" si="56"/>
        <v>0.40355312499999996</v>
      </c>
      <c r="G95" s="2">
        <f t="shared" si="56"/>
        <v>0.78155000000000008</v>
      </c>
      <c r="H95" s="2">
        <f t="shared" si="56"/>
        <v>5.4113805500000005</v>
      </c>
      <c r="I95" s="2">
        <f t="shared" si="56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57">AF90</f>
        <v>0.30623066666666671</v>
      </c>
      <c r="AG95" s="2">
        <f t="shared" si="57"/>
        <v>0.72998399999999997</v>
      </c>
      <c r="AH95" s="2">
        <f t="shared" si="57"/>
        <v>4.8031249999999992E-3</v>
      </c>
      <c r="AI95" s="2">
        <f t="shared" si="57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ref="D96:I96" si="58">D91</f>
        <v>0.14772180121807019</v>
      </c>
      <c r="E96" s="42">
        <f t="shared" si="58"/>
        <v>0.103380281345332</v>
      </c>
      <c r="F96" s="42">
        <f t="shared" si="58"/>
        <v>4.4811769664768651E-2</v>
      </c>
      <c r="G96" s="42">
        <f t="shared" si="58"/>
        <v>0.12931295190834491</v>
      </c>
      <c r="H96" s="42">
        <f t="shared" si="58"/>
        <v>0.60525342167206764</v>
      </c>
      <c r="I96" s="42">
        <f t="shared" si="58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ref="D97:I97" si="59">D92</f>
        <v>0.18535815717114792</v>
      </c>
      <c r="E97" s="43">
        <f t="shared" si="59"/>
        <v>0.11224152528340636</v>
      </c>
      <c r="F97" s="43">
        <f t="shared" si="59"/>
        <v>0.11104304957313528</v>
      </c>
      <c r="G97" s="43">
        <f t="shared" si="59"/>
        <v>0.16545704293819319</v>
      </c>
      <c r="H97" s="43">
        <f t="shared" si="59"/>
        <v>0.11184824576273195</v>
      </c>
      <c r="I97" s="43">
        <f t="shared" si="59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60">D106*D108</f>
        <v>0.16786000000000001</v>
      </c>
      <c r="E107" s="42">
        <f t="shared" si="60"/>
        <v>8.9374000000000009E-2</v>
      </c>
      <c r="F107" s="42">
        <f t="shared" si="60"/>
        <v>4.9540000000000001E-2</v>
      </c>
      <c r="G107" s="42">
        <f t="shared" si="60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61">D109*D106</f>
        <v>0.15971879000000003</v>
      </c>
      <c r="E112" s="2">
        <f t="shared" si="61"/>
        <v>0.77308509999999997</v>
      </c>
      <c r="F112" s="2">
        <f t="shared" si="61"/>
        <v>1.63482E-2</v>
      </c>
      <c r="G112" s="2">
        <f t="shared" si="61"/>
        <v>4.1800000000000004E-2</v>
      </c>
      <c r="H112" s="2">
        <f t="shared" si="61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62">D112*SQRT((D107/D106)^2+(D110/D109)^2)</f>
        <v>1.7927080606020076E-2</v>
      </c>
      <c r="E113" s="42">
        <f t="shared" si="62"/>
        <v>0.1432976294724726</v>
      </c>
      <c r="F113" s="42">
        <f t="shared" si="62"/>
        <v>8.5790064501899063E-3</v>
      </c>
      <c r="G113" s="42">
        <f t="shared" si="62"/>
        <v>6.9161043948164757E-3</v>
      </c>
      <c r="H113" s="42">
        <f t="shared" si="62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63">D113/D112</f>
        <v>0.11224152528340638</v>
      </c>
      <c r="E114" s="43">
        <f t="shared" si="63"/>
        <v>0.18535815717114792</v>
      </c>
      <c r="F114" s="43">
        <f t="shared" si="63"/>
        <v>0.52476764721436653</v>
      </c>
      <c r="G114" s="43">
        <f t="shared" si="63"/>
        <v>0.16545704293819319</v>
      </c>
      <c r="H114" s="43">
        <f t="shared" si="63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 t="shared" ref="C115:H115" si="64">C112/$P$112</f>
        <v>0.60784581156967743</v>
      </c>
      <c r="D115" s="46">
        <f t="shared" si="64"/>
        <v>9.1329712354989035E-3</v>
      </c>
      <c r="E115" s="46">
        <f t="shared" si="64"/>
        <v>4.4206220075250956E-2</v>
      </c>
      <c r="F115" s="46">
        <f t="shared" si="64"/>
        <v>9.348157493065352E-4</v>
      </c>
      <c r="G115" s="46">
        <f t="shared" si="64"/>
        <v>2.3901896429584404E-3</v>
      </c>
      <c r="H115" s="46">
        <f t="shared" si="64"/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65">E112</f>
        <v>0.77308509999999997</v>
      </c>
      <c r="F117" s="2">
        <f t="shared" si="65"/>
        <v>1.63482E-2</v>
      </c>
      <c r="G117" s="2">
        <f t="shared" si="65"/>
        <v>4.1800000000000004E-2</v>
      </c>
      <c r="H117" s="2">
        <f t="shared" si="65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8" si="66">D113</f>
        <v>1.7927080606020076E-2</v>
      </c>
      <c r="E118" s="42">
        <f t="shared" si="66"/>
        <v>0.1432976294724726</v>
      </c>
      <c r="F118" s="42">
        <f t="shared" si="66"/>
        <v>8.5790064501899063E-3</v>
      </c>
      <c r="G118" s="42">
        <f t="shared" si="66"/>
        <v>6.9161043948164757E-3</v>
      </c>
      <c r="H118" s="42">
        <f t="shared" si="66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ref="D119:H119" si="67">D114</f>
        <v>0.11224152528340638</v>
      </c>
      <c r="E119" s="43">
        <f t="shared" si="67"/>
        <v>0.18535815717114792</v>
      </c>
      <c r="F119" s="43">
        <f t="shared" si="67"/>
        <v>0.52476764721436653</v>
      </c>
      <c r="G119" s="43">
        <f t="shared" si="67"/>
        <v>0.16545704293819319</v>
      </c>
      <c r="H119" s="43">
        <f t="shared" si="67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493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68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68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69">D130*D128</f>
        <v>62.400000000000006</v>
      </c>
      <c r="E129" s="114">
        <f t="shared" si="69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70">(D128*10^6)/$B$125</f>
        <v>4.7488584474885843E-3</v>
      </c>
      <c r="E131" s="47">
        <f t="shared" si="70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71">D132/D131</f>
        <v>0.2242270674512285</v>
      </c>
      <c r="E133" s="108">
        <f t="shared" si="71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72">D128*D134</f>
        <v>7849.92</v>
      </c>
      <c r="E137" s="47">
        <f t="shared" si="72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73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74">D138/D137</f>
        <v>0.13388942340975485</v>
      </c>
      <c r="E139" s="108">
        <f t="shared" si="74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75">(D137*10^6)/$B$125</f>
        <v>5.9740639269406391E-2</v>
      </c>
      <c r="E142" s="47">
        <f t="shared" si="75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76">D142*SQRT((D129/D128)^2+(D135/D134)^2+($D$125/$B$125)^2)</f>
        <v>1.4412750269307604E-2</v>
      </c>
      <c r="E143" s="55">
        <f t="shared" si="76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77">D143/D142</f>
        <v>0.2412553739894189</v>
      </c>
      <c r="E144" s="108">
        <f t="shared" si="77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78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" si="79">D155*D153</f>
        <v>23</v>
      </c>
      <c r="E154" s="114">
        <f t="shared" ref="E154" si="80">E155*E153</f>
        <v>7127</v>
      </c>
      <c r="F154" s="71"/>
      <c r="G154" s="71" t="s">
        <v>530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81">(D153*10^6)/$B$150</f>
        <v>1.1669203450025368E-3</v>
      </c>
      <c r="E156" s="47">
        <f t="shared" si="81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82">D156*SQRT((D154/D153)^2+($D$150/$B$150)^2)</f>
        <v>1.6415416893563722E-4</v>
      </c>
      <c r="E157" s="55">
        <f t="shared" si="82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83">D157/D156</f>
        <v>0.14067298564006128</v>
      </c>
      <c r="E158" s="108">
        <f t="shared" si="83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84">D153*D159</f>
        <v>2893.4</v>
      </c>
      <c r="E162" s="47">
        <f t="shared" si="84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85">D162*SQRT((D154/D153)^2+(D160/D159)^2)</f>
        <v>387.39565769378459</v>
      </c>
      <c r="E163" s="55">
        <f t="shared" si="85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86">D163/D162</f>
        <v>0.13388942340975482</v>
      </c>
      <c r="E164" s="108">
        <f t="shared" si="86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87">(D162*10^6)/$B$150</f>
        <v>1.4679857940131913E-2</v>
      </c>
      <c r="E167" s="47">
        <f t="shared" si="87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88">D167*SQRT((D154/D153)^2+(D160/D159)^2+($D$150/$B$150)^2)</f>
        <v>2.4438884733823966E-3</v>
      </c>
      <c r="E168" s="55">
        <f t="shared" si="88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489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89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1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E179" si="90">D180*D178</f>
        <v>10.5</v>
      </c>
      <c r="E179" s="114">
        <f t="shared" si="90"/>
        <v>3750</v>
      </c>
      <c r="F179" s="114">
        <f t="shared" ref="F179" si="91">F180*F178</f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8">
        <f>(C178*10^6)/$B$150</f>
        <v>6.3419583967529169E-2</v>
      </c>
      <c r="D181" s="298">
        <f t="shared" ref="D181:E181" si="92">(D178*10^6)/$B$150</f>
        <v>5.3272450532724505E-4</v>
      </c>
      <c r="E181" s="298">
        <f t="shared" si="92"/>
        <v>0.19025875190258751</v>
      </c>
      <c r="F181" s="298">
        <f t="shared" ref="F181" si="93">(F178*10^6)/$B$150</f>
        <v>7.8640284119736172E-4</v>
      </c>
      <c r="G181" s="47"/>
      <c r="H181" s="47"/>
      <c r="I181" s="47"/>
    </row>
    <row r="182" spans="1:17" ht="22.5">
      <c r="A182" s="39"/>
      <c r="B182" s="55" t="s">
        <v>163</v>
      </c>
      <c r="C182" s="300">
        <f>C181*SQRT((C179/C178)^2+($D$150/$B$150)^2)</f>
        <v>8.9214222247628924E-3</v>
      </c>
      <c r="D182" s="300">
        <f t="shared" ref="D182:E182" si="94">D181*SQRT((D179/D178)^2+($D$150/$B$150)^2)</f>
        <v>7.4939946688008295E-5</v>
      </c>
      <c r="E182" s="300">
        <f t="shared" si="94"/>
        <v>2.6764266674288675E-2</v>
      </c>
      <c r="F182" s="300">
        <f t="shared" ref="F182" si="95">F181*SQRT((F179/F178)^2+($D$150/$B$150)^2)</f>
        <v>1.1062563558705986E-4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0.14067298564006128</v>
      </c>
      <c r="D183" s="108">
        <f t="shared" ref="D183:E183" si="96">D182/D181</f>
        <v>0.14067298564006128</v>
      </c>
      <c r="E183" s="108">
        <f t="shared" si="96"/>
        <v>0.14067298564006128</v>
      </c>
      <c r="F183" s="108">
        <f t="shared" ref="F183" si="97">F182/F181</f>
        <v>0.14067298564006128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98">D178*D184</f>
        <v>1320.9</v>
      </c>
      <c r="E187" s="47">
        <f t="shared" si="98"/>
        <v>3568.1250000000005</v>
      </c>
      <c r="F187" s="47">
        <f>F178*F184</f>
        <v>341</v>
      </c>
      <c r="O187" s="116" t="s">
        <v>15</v>
      </c>
      <c r="P187" s="111">
        <f>SUM(C187:E187)</f>
        <v>35639.025000000001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E188" si="99">D187*SQRT((D179/D178)^2+(D185/D184)^2)</f>
        <v>176.85453938194516</v>
      </c>
      <c r="E188" s="55">
        <f t="shared" si="99"/>
        <v>400.49179240185435</v>
      </c>
      <c r="F188" s="55">
        <f t="shared" ref="F188" si="100">F187*SQRT((F179/F178)^2+(F185/F184)^2)</f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E189" si="101">D188/D187</f>
        <v>0.13388942340975482</v>
      </c>
      <c r="E189" s="108">
        <f t="shared" si="101"/>
        <v>0.11224152528340636</v>
      </c>
      <c r="F189" s="108">
        <f t="shared" ref="F189" si="102">F188/F187</f>
        <v>0.16545704293819319</v>
      </c>
      <c r="O189" s="47"/>
      <c r="P189" s="108">
        <f>P188/P187</f>
        <v>0.14079991768336891</v>
      </c>
      <c r="Q189" s="47"/>
    </row>
    <row r="190" spans="1:17">
      <c r="B190" s="2" t="s">
        <v>286</v>
      </c>
      <c r="C190" s="109">
        <f>C187/$P$187</f>
        <v>0.86281821682832227</v>
      </c>
      <c r="D190" s="109">
        <f>D187/$P$187</f>
        <v>3.706330349946442E-2</v>
      </c>
      <c r="E190" s="109">
        <f>E187/$P$187</f>
        <v>0.10011847967221327</v>
      </c>
      <c r="F190" s="109">
        <f>F187/$P$187</f>
        <v>9.5681629898685498E-3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47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111">
        <f>SUM(C192:E192)</f>
        <v>0.92991585127201559</v>
      </c>
      <c r="Q192" s="2" t="s">
        <v>291</v>
      </c>
    </row>
    <row r="193" spans="1:17">
      <c r="A193" s="47" t="s">
        <v>370</v>
      </c>
      <c r="B193" s="42" t="s">
        <v>163</v>
      </c>
      <c r="C193" s="55">
        <f>C192*SQRT((C179/C178)^2+(C185/C184)^2+($D$150/$B$150)^2)</f>
        <v>0.13924092768460233</v>
      </c>
      <c r="D193" s="55">
        <f t="shared" ref="D193:E193" si="103">D192*SQRT((D179/D178)^2+(D185/D184)^2+($D$150/$B$150)^2)</f>
        <v>5.7378251114195396E-3</v>
      </c>
      <c r="E193" s="55">
        <f t="shared" si="103"/>
        <v>1.3930166926379854E-2</v>
      </c>
      <c r="F193" s="55">
        <f t="shared" ref="F193" si="104">F192*SQRT((F179/F178)^2+(F185/F184)^2+($D$150/$B$150)^2)</f>
        <v>1.7152950249468204E-3</v>
      </c>
      <c r="O193" s="47"/>
      <c r="P193" s="55">
        <f>SUM(C193:F193)</f>
        <v>0.16062421474734856</v>
      </c>
      <c r="Q193" s="47"/>
    </row>
    <row r="194" spans="1:17">
      <c r="A194" s="47"/>
      <c r="B194" s="42" t="s">
        <v>278</v>
      </c>
      <c r="C194" s="108">
        <f>C193/C192</f>
        <v>0.17354174157763852</v>
      </c>
      <c r="D194" s="108">
        <f>D193/D192</f>
        <v>0.16647902747759397</v>
      </c>
      <c r="E194" s="108">
        <f>E193/E192</f>
        <v>0.14962302258287136</v>
      </c>
      <c r="F194" s="108">
        <f>F193/F192</f>
        <v>0.19278205815568003</v>
      </c>
      <c r="O194" s="47"/>
      <c r="P194" s="108">
        <f>P193/P192</f>
        <v>0.17272983843391154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105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105"/>
        <v>0.12048192771084339</v>
      </c>
      <c r="H198" s="47" t="s">
        <v>485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105"/>
        <v>0.2</v>
      </c>
      <c r="H199" s="47" t="s">
        <v>487</v>
      </c>
      <c r="I199" s="47">
        <v>230</v>
      </c>
    </row>
    <row r="200" spans="1:17" s="47" customFormat="1">
      <c r="A200" s="47" t="s">
        <v>356</v>
      </c>
      <c r="B200" s="301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1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486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477</v>
      </c>
      <c r="K203" s="47" t="s">
        <v>483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106">D203*D205</f>
        <v>7.5</v>
      </c>
      <c r="E204" s="42">
        <f t="shared" si="106"/>
        <v>3592.3</v>
      </c>
      <c r="F204" s="42">
        <f t="shared" si="106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107">D207/D206</f>
        <v>0.35440090293338705</v>
      </c>
      <c r="E208" s="117">
        <f t="shared" si="107"/>
        <v>0.35440090293338705</v>
      </c>
      <c r="F208" s="117">
        <f t="shared" si="107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108">D210/D209</f>
        <v>8.9030206677265425E-2</v>
      </c>
      <c r="E211" s="117">
        <f t="shared" si="108"/>
        <v>5.0972149238045175E-2</v>
      </c>
      <c r="F211" s="117">
        <f t="shared" si="108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109">D209*D203</f>
        <v>943.5</v>
      </c>
      <c r="E212" s="2">
        <f t="shared" si="109"/>
        <v>3418.0734500000003</v>
      </c>
      <c r="F212" s="2">
        <f t="shared" si="109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110">D212*SQRT((D210/D209)^2+(D204/D203)^2)</f>
        <v>126.32467098710367</v>
      </c>
      <c r="E213" s="42">
        <f t="shared" si="110"/>
        <v>383.64977755871507</v>
      </c>
      <c r="F213" s="42">
        <f t="shared" si="110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111">D213/D212</f>
        <v>0.13388942340975482</v>
      </c>
      <c r="E214" s="117">
        <f t="shared" si="111"/>
        <v>0.11224152528340636</v>
      </c>
      <c r="F214" s="117">
        <f t="shared" si="111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2">
        <f>(C212*10^6)/$B$200</f>
        <v>0.45802187755102042</v>
      </c>
      <c r="D217" s="2">
        <f>(D212*10^6)/$B$200</f>
        <v>1.5404081632653062E-2</v>
      </c>
      <c r="E217" s="2">
        <f>(E212*10^6)/$B$200</f>
        <v>5.580528081632654E-2</v>
      </c>
      <c r="F217" s="2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112">D217*SQRT((D204/D203)^2+(D210/D209)^2+($D$200/$B$200)^2)</f>
        <v>5.6288457194417583E-3</v>
      </c>
      <c r="E218" s="42">
        <f t="shared" si="112"/>
        <v>1.9980952796590172E-2</v>
      </c>
      <c r="F218" s="42">
        <f t="shared" si="112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113">D218/D217</f>
        <v>0.36541261294733196</v>
      </c>
      <c r="E219" s="117">
        <f t="shared" si="113"/>
        <v>0.35804770631571647</v>
      </c>
      <c r="F219" s="117">
        <f t="shared" si="113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114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114"/>
        <v>0.12048192771084339</v>
      </c>
      <c r="G223" s="47" t="s">
        <v>490</v>
      </c>
      <c r="M223" s="47" t="s">
        <v>478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114"/>
        <v>0.2</v>
      </c>
      <c r="H224" s="47">
        <f>3780*10^6</f>
        <v>3780000000</v>
      </c>
      <c r="M224" s="2" t="s">
        <v>479</v>
      </c>
      <c r="N224" s="2"/>
    </row>
    <row r="225" spans="1:17" s="47" customFormat="1">
      <c r="A225" s="47" t="s">
        <v>356</v>
      </c>
      <c r="B225" s="47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491</v>
      </c>
      <c r="M225" s="47">
        <v>367.5</v>
      </c>
      <c r="N225" s="47" t="s">
        <v>480</v>
      </c>
      <c r="O225" s="47" t="s">
        <v>483</v>
      </c>
    </row>
    <row r="226" spans="1:17" s="47" customFormat="1">
      <c r="M226" s="47">
        <v>340</v>
      </c>
      <c r="N226" s="47" t="s">
        <v>492</v>
      </c>
      <c r="O226" s="47" t="s">
        <v>482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</row>
    <row r="229" spans="1:17">
      <c r="B229" s="42" t="s">
        <v>163</v>
      </c>
      <c r="C229" s="55">
        <f>C230*C228</f>
        <v>11257.2</v>
      </c>
      <c r="D229" s="55">
        <f t="shared" ref="D229:K229" si="115">D230*D228</f>
        <v>63</v>
      </c>
      <c r="E229" s="55">
        <f t="shared" si="115"/>
        <v>3592.3</v>
      </c>
      <c r="F229" s="55">
        <f t="shared" si="115"/>
        <v>15</v>
      </c>
      <c r="G229" s="55">
        <f t="shared" si="115"/>
        <v>11300</v>
      </c>
      <c r="H229" s="55">
        <f t="shared" si="115"/>
        <v>2016</v>
      </c>
      <c r="I229" s="55">
        <f t="shared" si="115"/>
        <v>3.5000000000000005E-3</v>
      </c>
      <c r="J229" s="55">
        <f t="shared" si="115"/>
        <v>1.6</v>
      </c>
      <c r="K229" s="55">
        <f t="shared" si="115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116">(D228*10^6)/$B$225</f>
        <v>1.0285714285714285E-2</v>
      </c>
      <c r="E231" s="47">
        <f t="shared" si="116"/>
        <v>0.58649795918367342</v>
      </c>
      <c r="F231" s="47">
        <f t="shared" si="116"/>
        <v>2.4489795918367346E-3</v>
      </c>
      <c r="G231" s="47">
        <f t="shared" si="116"/>
        <v>1.8448979591836734</v>
      </c>
      <c r="H231" s="47">
        <f t="shared" si="116"/>
        <v>0.32914285714285713</v>
      </c>
      <c r="I231" s="47">
        <f t="shared" si="116"/>
        <v>5.7142857142857139E-7</v>
      </c>
      <c r="J231" s="47">
        <f t="shared" si="116"/>
        <v>2.6122448979591835E-4</v>
      </c>
      <c r="K231" s="47">
        <f t="shared" si="116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117">D231*SQRT((D229/D228)^2+($D$225/$B$225)^2)</f>
        <v>1.904614953557859E-3</v>
      </c>
      <c r="E232" s="55">
        <f t="shared" si="117"/>
        <v>0.10860235393120471</v>
      </c>
      <c r="F232" s="55">
        <f t="shared" si="117"/>
        <v>4.5347975084710927E-4</v>
      </c>
      <c r="G232" s="55">
        <f t="shared" si="117"/>
        <v>0.34162141230482235</v>
      </c>
      <c r="H232" s="55">
        <f t="shared" si="117"/>
        <v>6.0947678513851487E-2</v>
      </c>
      <c r="I232" s="55">
        <f t="shared" si="117"/>
        <v>1.058119418643255E-7</v>
      </c>
      <c r="J232" s="55">
        <f t="shared" si="117"/>
        <v>4.8371173423691655E-5</v>
      </c>
      <c r="K232" s="55">
        <f t="shared" si="117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118">D232/D231</f>
        <v>0.18517089826256963</v>
      </c>
      <c r="E233" s="108">
        <f t="shared" si="118"/>
        <v>0.18517089826256963</v>
      </c>
      <c r="F233" s="108">
        <f t="shared" si="118"/>
        <v>0.18517089826256963</v>
      </c>
      <c r="G233" s="108">
        <f t="shared" si="118"/>
        <v>0.18517089826256963</v>
      </c>
      <c r="H233" s="108">
        <f t="shared" si="118"/>
        <v>0.18517089826256963</v>
      </c>
      <c r="I233" s="108">
        <f t="shared" si="118"/>
        <v>0.18517089826256963</v>
      </c>
      <c r="J233" s="108">
        <f t="shared" si="118"/>
        <v>0.18517089826256963</v>
      </c>
      <c r="K233" s="108">
        <f t="shared" si="118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119">D235/D234</f>
        <v>8.9030206677265425E-2</v>
      </c>
      <c r="E236" s="108">
        <f t="shared" si="119"/>
        <v>5.0972149238045175E-2</v>
      </c>
      <c r="F236" s="108">
        <f t="shared" si="119"/>
        <v>0.13181818181818131</v>
      </c>
      <c r="G236" s="108">
        <f t="shared" si="119"/>
        <v>0.69716088328075709</v>
      </c>
      <c r="H236" s="108">
        <f t="shared" si="119"/>
        <v>0.15606936416184944</v>
      </c>
      <c r="I236" s="108">
        <f t="shared" si="119"/>
        <v>4.8275862068965461E-2</v>
      </c>
      <c r="J236" s="108">
        <f t="shared" si="119"/>
        <v>0.51515151515151525</v>
      </c>
      <c r="K236" s="108">
        <f t="shared" si="119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120">D234*D228</f>
        <v>7925.4</v>
      </c>
      <c r="E237" s="47">
        <f t="shared" si="120"/>
        <v>3418.0734500000003</v>
      </c>
      <c r="F237" s="47">
        <f t="shared" si="120"/>
        <v>330</v>
      </c>
      <c r="G237" s="47">
        <f t="shared" si="120"/>
        <v>1791.05</v>
      </c>
      <c r="H237" s="47">
        <f t="shared" si="120"/>
        <v>17438.400000000001</v>
      </c>
      <c r="I237" s="47">
        <f t="shared" si="120"/>
        <v>0.12687500000000002</v>
      </c>
      <c r="J237" s="47">
        <f t="shared" si="120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121">D237*SQRT((D229/D228)^2+(D235/D234)^2)</f>
        <v>1061.1272362916709</v>
      </c>
      <c r="E238" s="55">
        <f t="shared" si="121"/>
        <v>383.64977755871507</v>
      </c>
      <c r="F238" s="55">
        <f t="shared" si="121"/>
        <v>54.600824169603754</v>
      </c>
      <c r="G238" s="55">
        <f t="shared" si="121"/>
        <v>1261.4299122523614</v>
      </c>
      <c r="H238" s="55">
        <f t="shared" si="121"/>
        <v>3232.3496880133462</v>
      </c>
      <c r="I238" s="55">
        <f t="shared" si="121"/>
        <v>1.408858691459154E-2</v>
      </c>
      <c r="J238" s="55">
        <f t="shared" si="121"/>
        <v>0.27707731772918553</v>
      </c>
      <c r="K238" s="55">
        <f t="shared" si="121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122">D238/D237</f>
        <v>0.13388942340975482</v>
      </c>
      <c r="E239" s="108">
        <f t="shared" si="122"/>
        <v>0.11224152528340636</v>
      </c>
      <c r="F239" s="108">
        <f t="shared" si="122"/>
        <v>0.16545704293819319</v>
      </c>
      <c r="G239" s="108">
        <f t="shared" si="122"/>
        <v>0.70429631347665422</v>
      </c>
      <c r="H239" s="108">
        <f t="shared" si="122"/>
        <v>0.18535815717114792</v>
      </c>
      <c r="I239" s="108">
        <f t="shared" si="122"/>
        <v>0.11104304957313528</v>
      </c>
      <c r="J239" s="108">
        <f t="shared" si="122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 t="shared" ref="C240:K240" si="123">C237/$P$237</f>
        <v>0.89945845336552854</v>
      </c>
      <c r="D240" s="109">
        <f t="shared" si="123"/>
        <v>2.5741675377634231E-2</v>
      </c>
      <c r="E240" s="109">
        <f t="shared" si="123"/>
        <v>1.1101892291469238E-2</v>
      </c>
      <c r="F240" s="109">
        <f t="shared" si="123"/>
        <v>1.0718390080777368E-3</v>
      </c>
      <c r="G240" s="109">
        <f t="shared" si="123"/>
        <v>5.8173250164170629E-3</v>
      </c>
      <c r="H240" s="109">
        <f t="shared" si="123"/>
        <v>5.6639870783220636E-2</v>
      </c>
      <c r="I240" s="109">
        <f t="shared" si="123"/>
        <v>4.1208961863594812E-7</v>
      </c>
      <c r="J240" s="109">
        <f t="shared" si="123"/>
        <v>1.7149424129243791E-6</v>
      </c>
      <c r="K240" s="109">
        <f t="shared" si="123"/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47">
        <f>(C237*10^6)/$B$225</f>
        <v>4.5212591020408164</v>
      </c>
      <c r="D242" s="47">
        <f t="shared" ref="D242:K242" si="124">(D237*10^6)/$B$225</f>
        <v>0.12939428571428571</v>
      </c>
      <c r="E242" s="47">
        <f t="shared" si="124"/>
        <v>5.580528081632654E-2</v>
      </c>
      <c r="F242" s="47">
        <f t="shared" si="124"/>
        <v>5.387755102040816E-3</v>
      </c>
      <c r="G242" s="47">
        <f t="shared" si="124"/>
        <v>2.9241632653061223E-2</v>
      </c>
      <c r="H242" s="47">
        <f t="shared" si="124"/>
        <v>0.28470857142857142</v>
      </c>
      <c r="I242" s="47">
        <f t="shared" si="124"/>
        <v>2.0714285714285717E-6</v>
      </c>
      <c r="J242" s="47">
        <f t="shared" si="124"/>
        <v>8.6204081632653057E-6</v>
      </c>
      <c r="K242" s="47">
        <f t="shared" si="124"/>
        <v>8.3853061224489799E-4</v>
      </c>
      <c r="O242" s="116" t="s">
        <v>15</v>
      </c>
      <c r="P242" s="123">
        <f>SUM(C242:K242)</f>
        <v>5.0266458502040825</v>
      </c>
      <c r="Q242" s="2" t="s">
        <v>281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25">D242*SQRT((D229/D228)^2+(D235/D234)^2+($D$225/$B$225)^2)</f>
        <v>2.6585610564180497E-2</v>
      </c>
      <c r="E243" s="55">
        <f t="shared" si="125"/>
        <v>1.0717871862892268E-2</v>
      </c>
      <c r="F243" s="55">
        <f t="shared" si="125"/>
        <v>1.2246249377670375E-3</v>
      </c>
      <c r="G243" s="55">
        <f t="shared" si="125"/>
        <v>2.10929599140341E-2</v>
      </c>
      <c r="H243" s="55">
        <f t="shared" si="125"/>
        <v>6.894763907827671E-2</v>
      </c>
      <c r="I243" s="55">
        <f t="shared" si="125"/>
        <v>3.9638949598147379E-7</v>
      </c>
      <c r="J243" s="55">
        <f t="shared" si="125"/>
        <v>4.7189892595344991E-6</v>
      </c>
      <c r="K243" s="55">
        <f t="shared" si="125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26">D243/D242</f>
        <v>0.20546201416408705</v>
      </c>
      <c r="E244" s="108">
        <f t="shared" si="126"/>
        <v>0.1920583806068156</v>
      </c>
      <c r="F244" s="108">
        <f t="shared" si="126"/>
        <v>0.22729781041888197</v>
      </c>
      <c r="G244" s="108">
        <f t="shared" si="126"/>
        <v>0.72133318150503267</v>
      </c>
      <c r="H244" s="108">
        <f t="shared" si="126"/>
        <v>0.24216917226032483</v>
      </c>
      <c r="I244" s="108">
        <f t="shared" si="126"/>
        <v>0.19136044633588387</v>
      </c>
      <c r="J244" s="108">
        <f t="shared" si="126"/>
        <v>0.5474206290653183</v>
      </c>
      <c r="K244" s="108">
        <f t="shared" si="126"/>
        <v>0.27255873048458185</v>
      </c>
      <c r="P244" s="42">
        <f>P243/P242</f>
        <v>0.21561226190271876</v>
      </c>
    </row>
    <row r="246" spans="1:17" s="303" customFormat="1">
      <c r="B246" s="303" t="s">
        <v>467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27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27"/>
        <v>0.10869565217391304</v>
      </c>
      <c r="F248" s="47"/>
      <c r="G248" s="47"/>
      <c r="H248" s="47" t="s">
        <v>496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27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1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494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495</v>
      </c>
      <c r="H252" s="40"/>
      <c r="I252" s="40"/>
      <c r="J252" s="51"/>
      <c r="K252" s="51"/>
    </row>
    <row r="253" spans="1:17">
      <c r="G253" s="47"/>
      <c r="H253" s="47"/>
      <c r="I253" s="47" t="s">
        <v>497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0.00491+0.0532+0.00263+0.0123</f>
        <v>7.3039999999999994E-2</v>
      </c>
      <c r="D256" s="47">
        <f>0.000223+0.0000109</f>
        <v>2.3389999999999999E-4</v>
      </c>
      <c r="E256" s="47">
        <f>0.0422+1.13+0.26</f>
        <v>1.4321999999999999</v>
      </c>
      <c r="F256" s="47">
        <f>0.00883+0.000372</f>
        <v>9.2020000000000001E-3</v>
      </c>
      <c r="G256" s="47"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7.3039999999999997E-3</v>
      </c>
      <c r="D257" s="55">
        <f t="shared" ref="D257:G257" si="128">D256*D258</f>
        <v>2.3390000000000001E-5</v>
      </c>
      <c r="E257" s="55">
        <f t="shared" si="128"/>
        <v>0.14321999999999999</v>
      </c>
      <c r="F257" s="55">
        <f t="shared" si="128"/>
        <v>9.2020000000000003E-4</v>
      </c>
      <c r="G257" s="55">
        <f t="shared" si="128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VLOOKUP(C$227,'Material Breakdowns'!$B$42:$G$63,5,FALSE)</f>
        <v>2.46</v>
      </c>
      <c r="D259" s="47">
        <f>VLOOKUP(D$227,'Material Breakdowns'!$B$42:$G$63,5,FALSE)</f>
        <v>12.58</v>
      </c>
      <c r="E259" s="47">
        <f>VLOOKUP(E$227,'Material Breakdowns'!$B$42:$G$63,5,FALSE)</f>
        <v>9.5150000000000012E-2</v>
      </c>
      <c r="F259" s="47">
        <f>VLOOKUP(F$227,'Material Breakdowns'!$B$42:$G$63,5,FALSE)</f>
        <v>2.2000000000000002</v>
      </c>
      <c r="G259" s="47">
        <f>VLOOKUP(G$227,'Material Breakdowns'!$B$42:$G$63,5,FALSE)</f>
        <v>1.585E-2</v>
      </c>
      <c r="H259" s="47"/>
      <c r="I259" s="47"/>
      <c r="J259" s="47"/>
      <c r="K259" s="47"/>
    </row>
    <row r="260" spans="1:24">
      <c r="B260" s="42" t="s">
        <v>163</v>
      </c>
      <c r="C260" s="55">
        <f>VLOOKUP(C$227,'Material Breakdowns'!$B$42:$G$63,6,FALSE)</f>
        <v>0.25000000000000178</v>
      </c>
      <c r="D260" s="55">
        <f>VLOOKUP(D$227,'Material Breakdowns'!$B$42:$G$63,6,FALSE)</f>
        <v>1.119999999999999</v>
      </c>
      <c r="E260" s="55">
        <f>VLOOKUP(E$227,'Material Breakdowns'!$B$42:$G$63,6,FALSE)</f>
        <v>4.8499999999999993E-3</v>
      </c>
      <c r="F260" s="55">
        <f>VLOOKUP(F$227,'Material Breakdowns'!$B$42:$G$63,6,FALSE)</f>
        <v>0.28999999999999893</v>
      </c>
      <c r="G260" s="55">
        <f>VLOOKUP(G$227,'Material Breakdowns'!$B$42:$G$63,6,FALSE)</f>
        <v>1.1049999999999999E-2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29">D260/D259</f>
        <v>8.9030206677265425E-2</v>
      </c>
      <c r="E261" s="108">
        <f t="shared" si="129"/>
        <v>5.0972149238045175E-2</v>
      </c>
      <c r="F261" s="108">
        <f t="shared" si="129"/>
        <v>0.13181818181818131</v>
      </c>
      <c r="G261" s="108">
        <f t="shared" si="129"/>
        <v>0.69716088328075709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0.17967839999999999</v>
      </c>
      <c r="D262" s="47">
        <f t="shared" ref="D262:G262" si="130">D259*D256</f>
        <v>2.9424619999999999E-3</v>
      </c>
      <c r="E262" s="47">
        <f t="shared" si="130"/>
        <v>0.13627383000000001</v>
      </c>
      <c r="F262" s="47">
        <f t="shared" si="130"/>
        <v>2.0244400000000003E-2</v>
      </c>
      <c r="G262" s="47">
        <f t="shared" si="130"/>
        <v>2.6944999999999997E-5</v>
      </c>
      <c r="K262" s="47"/>
      <c r="O262" s="116" t="s">
        <v>15</v>
      </c>
      <c r="P262" s="123">
        <f>SUM(C262:G262)</f>
        <v>0.33916603699999998</v>
      </c>
      <c r="Q262" s="2" t="s">
        <v>291</v>
      </c>
    </row>
    <row r="263" spans="1:24">
      <c r="B263" s="42" t="s">
        <v>163</v>
      </c>
      <c r="C263" s="55">
        <f>C262*SQRT((C257/C256)^2+(C260/C259)^2)</f>
        <v>2.5617784335605697E-2</v>
      </c>
      <c r="D263" s="55">
        <f t="shared" ref="D263:G263" si="131">D262*SQRT((D257/D256)^2+(D260/D259)^2)</f>
        <v>3.9396454058511396E-4</v>
      </c>
      <c r="E263" s="55">
        <f t="shared" si="131"/>
        <v>1.529558253541162E-2</v>
      </c>
      <c r="F263" s="55">
        <f t="shared" si="131"/>
        <v>3.3495785600579585E-3</v>
      </c>
      <c r="G263" s="55">
        <f t="shared" si="131"/>
        <v>1.8977264166628444E-5</v>
      </c>
      <c r="K263" s="55"/>
      <c r="P263" s="42">
        <f>SUM(C263:G263)</f>
        <v>4.4675887235827022E-2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32">D263/D262</f>
        <v>0.13388942340975482</v>
      </c>
      <c r="E264" s="108">
        <f t="shared" si="132"/>
        <v>0.11224152528340635</v>
      </c>
      <c r="F264" s="108">
        <f t="shared" si="132"/>
        <v>0.16545704293819319</v>
      </c>
      <c r="G264" s="108">
        <f t="shared" si="132"/>
        <v>0.70429631347665411</v>
      </c>
      <c r="K264" s="108"/>
      <c r="P264" s="117">
        <f>P263/P262</f>
        <v>0.13172276219339446</v>
      </c>
    </row>
    <row r="265" spans="1:24">
      <c r="B265" s="2" t="s">
        <v>292</v>
      </c>
      <c r="C265" s="109">
        <f>C262/$P$112</f>
        <v>1.0274293079984301E-2</v>
      </c>
      <c r="D265" s="109">
        <f>D262/$P$112</f>
        <v>1.6825459801910953E-4</v>
      </c>
      <c r="E265" s="109">
        <f>E262/$P$112</f>
        <v>7.7923516045999815E-3</v>
      </c>
      <c r="F265" s="109">
        <f>F262/$P$112</f>
        <v>1.1576065839212406E-3</v>
      </c>
      <c r="G265" s="109">
        <f>G262/$P$112</f>
        <v>1.5407574145817024E-6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0.17967839999999999</v>
      </c>
      <c r="D267" s="47">
        <f t="shared" ref="D267:G267" si="133">D262</f>
        <v>2.9424619999999999E-3</v>
      </c>
      <c r="E267" s="47">
        <f t="shared" si="133"/>
        <v>0.13627383000000001</v>
      </c>
      <c r="F267" s="47">
        <f t="shared" si="133"/>
        <v>2.0244400000000003E-2</v>
      </c>
      <c r="G267" s="47">
        <f t="shared" si="133"/>
        <v>2.6944999999999997E-5</v>
      </c>
      <c r="K267" s="47"/>
      <c r="O267" s="116" t="s">
        <v>15</v>
      </c>
      <c r="P267" s="123">
        <f>SUM(C267:G267)</f>
        <v>0.33916603699999998</v>
      </c>
      <c r="Q267" s="2" t="s">
        <v>291</v>
      </c>
    </row>
    <row r="268" spans="1:24">
      <c r="A268" s="2" t="s">
        <v>467</v>
      </c>
      <c r="B268" s="42" t="s">
        <v>163</v>
      </c>
      <c r="C268" s="55">
        <f>C263</f>
        <v>2.5617784335605697E-2</v>
      </c>
      <c r="D268" s="55">
        <f t="shared" ref="D268:G268" si="134">D263</f>
        <v>3.9396454058511396E-4</v>
      </c>
      <c r="E268" s="55">
        <f t="shared" si="134"/>
        <v>1.529558253541162E-2</v>
      </c>
      <c r="F268" s="55">
        <f t="shared" si="134"/>
        <v>3.3495785600579585E-3</v>
      </c>
      <c r="G268" s="55">
        <f t="shared" si="134"/>
        <v>1.8977264166628444E-5</v>
      </c>
      <c r="K268" s="55"/>
      <c r="P268" s="42">
        <f>SUM(C268:G268)</f>
        <v>4.4675887235827022E-2</v>
      </c>
    </row>
    <row r="269" spans="1:24">
      <c r="B269" s="42" t="s">
        <v>278</v>
      </c>
      <c r="C269" s="108">
        <f>C264</f>
        <v>0.14257575944357084</v>
      </c>
      <c r="D269" s="108">
        <f t="shared" ref="D269:G269" si="135">D264</f>
        <v>0.13388942340975482</v>
      </c>
      <c r="E269" s="108">
        <f t="shared" si="135"/>
        <v>0.11224152528340635</v>
      </c>
      <c r="F269" s="108">
        <f t="shared" si="135"/>
        <v>0.16545704293819319</v>
      </c>
      <c r="G269" s="108">
        <f t="shared" si="135"/>
        <v>0.70429631347665411</v>
      </c>
      <c r="K269" s="108"/>
      <c r="P269" s="42">
        <f>P268/P267</f>
        <v>0.13172276219339446</v>
      </c>
    </row>
    <row r="271" spans="1:24">
      <c r="A271" s="123"/>
      <c r="B271" s="123" t="s">
        <v>472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36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0.91</v>
      </c>
      <c r="C273" s="55" t="s">
        <v>352</v>
      </c>
      <c r="D273" s="55">
        <v>0.1</v>
      </c>
      <c r="E273" s="108">
        <f t="shared" si="136"/>
        <v>0.10989010989010989</v>
      </c>
      <c r="F273" s="47"/>
      <c r="G273" s="47" t="s">
        <v>524</v>
      </c>
      <c r="H273" s="47"/>
      <c r="I273" s="47"/>
      <c r="J273" s="304" t="s">
        <v>527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36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1">
        <f>B272*1000*24*365*B273*B274</f>
        <v>127545600000</v>
      </c>
      <c r="C275" s="47" t="s">
        <v>357</v>
      </c>
      <c r="D275" s="47">
        <f>B275*E275</f>
        <v>15300800000</v>
      </c>
      <c r="E275" s="109">
        <f>AVERAGE(E272:E274)</f>
        <v>0.11996336996336997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2">
        <f>Biomass!U29</f>
        <v>44338</v>
      </c>
      <c r="D278" s="302">
        <f>Biomass!U30</f>
        <v>1412.8</v>
      </c>
      <c r="E278" s="302">
        <f>Biomass!U28</f>
        <v>310442.37</v>
      </c>
      <c r="F278" s="302">
        <f>Biomass!U43</f>
        <v>588</v>
      </c>
      <c r="G278" s="47">
        <v>113000</v>
      </c>
      <c r="H278" s="301">
        <f>Biomass!U46</f>
        <v>235</v>
      </c>
      <c r="I278" s="301">
        <f>Biomass!U31</f>
        <v>417</v>
      </c>
      <c r="J278" s="302">
        <f>Biomass!U45</f>
        <v>521</v>
      </c>
      <c r="K278" s="302">
        <f>Biomass!U41</f>
        <v>15.8</v>
      </c>
      <c r="L278" s="302">
        <f>Biomass!U36</f>
        <v>1094</v>
      </c>
      <c r="M278" s="302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K279" si="137">D280*D278</f>
        <v>141.28</v>
      </c>
      <c r="E279" s="55">
        <f t="shared" si="137"/>
        <v>31044.237000000001</v>
      </c>
      <c r="F279" s="55">
        <f t="shared" si="137"/>
        <v>58.800000000000004</v>
      </c>
      <c r="G279" s="55">
        <f t="shared" si="137"/>
        <v>11300</v>
      </c>
      <c r="H279" s="55">
        <f t="shared" si="137"/>
        <v>23.5</v>
      </c>
      <c r="I279" s="55">
        <f t="shared" si="137"/>
        <v>41.7</v>
      </c>
      <c r="J279" s="55">
        <f t="shared" si="137"/>
        <v>52.1</v>
      </c>
      <c r="K279" s="55">
        <f t="shared" si="137"/>
        <v>1.58</v>
      </c>
      <c r="L279" s="55">
        <f t="shared" ref="L279:M279" si="138">L280*L278</f>
        <v>109.4</v>
      </c>
      <c r="M279" s="55">
        <f t="shared" si="138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47">
        <f>(C278*10^6)/$B$225</f>
        <v>0.72388571428571424</v>
      </c>
      <c r="D281" s="47">
        <f t="shared" ref="D281:K281" si="139">(D278*10^6)/$B$225</f>
        <v>2.3066122448979591E-2</v>
      </c>
      <c r="E281" s="47">
        <f t="shared" si="139"/>
        <v>5.0684468571428569</v>
      </c>
      <c r="F281" s="47">
        <f t="shared" si="139"/>
        <v>9.5999999999999992E-3</v>
      </c>
      <c r="G281" s="47">
        <f t="shared" si="139"/>
        <v>1.8448979591836734</v>
      </c>
      <c r="H281" s="47">
        <f t="shared" si="139"/>
        <v>3.836734693877551E-3</v>
      </c>
      <c r="I281" s="47">
        <f t="shared" si="139"/>
        <v>6.8081632653061224E-3</v>
      </c>
      <c r="J281" s="47">
        <f t="shared" si="139"/>
        <v>8.506122448979591E-3</v>
      </c>
      <c r="K281" s="47">
        <f t="shared" si="139"/>
        <v>2.5795918367346938E-4</v>
      </c>
      <c r="L281" s="47">
        <f t="shared" ref="L281:M281" si="140">(L278*10^6)/$B$225</f>
        <v>1.7861224489795918E-2</v>
      </c>
      <c r="M281" s="47">
        <f t="shared" si="140"/>
        <v>2.5795918367346938E-4</v>
      </c>
    </row>
    <row r="282" spans="1:17">
      <c r="B282" s="55" t="s">
        <v>163</v>
      </c>
      <c r="C282" s="55">
        <f>C281*SQRT((C279/C278)^2+($D$225/$B$225)^2)</f>
        <v>0.13404256795372754</v>
      </c>
      <c r="D282" s="55">
        <f t="shared" ref="D282:K282" si="141">D281*SQRT((D279/D278)^2+($D$225/$B$225)^2)</f>
        <v>4.2711746133119732E-3</v>
      </c>
      <c r="E282" s="55">
        <f t="shared" si="141"/>
        <v>0.93852885733324076</v>
      </c>
      <c r="F282" s="55">
        <f t="shared" si="141"/>
        <v>1.7776406233206683E-3</v>
      </c>
      <c r="G282" s="55">
        <f t="shared" si="141"/>
        <v>0.34162141230482235</v>
      </c>
      <c r="H282" s="55">
        <f t="shared" si="141"/>
        <v>7.1045160966047127E-4</v>
      </c>
      <c r="I282" s="55">
        <f t="shared" si="141"/>
        <v>1.2606737073549638E-3</v>
      </c>
      <c r="J282" s="55">
        <f t="shared" si="141"/>
        <v>1.5750863346089595E-3</v>
      </c>
      <c r="K282" s="55">
        <f t="shared" si="141"/>
        <v>4.776653375589551E-5</v>
      </c>
      <c r="L282" s="55">
        <f t="shared" ref="L282:M282" si="142">L281*SQRT((L279/L278)^2+($D$225/$B$225)^2)</f>
        <v>3.3073789828449171E-3</v>
      </c>
      <c r="M282" s="55">
        <f t="shared" si="142"/>
        <v>4.776653375589551E-5</v>
      </c>
    </row>
    <row r="283" spans="1:17">
      <c r="B283" s="42" t="s">
        <v>277</v>
      </c>
      <c r="C283" s="108">
        <f>C282/C281</f>
        <v>0.18517089826256963</v>
      </c>
      <c r="D283" s="108">
        <f t="shared" ref="D283:K283" si="143">D282/D281</f>
        <v>0.18517089826256963</v>
      </c>
      <c r="E283" s="108">
        <f t="shared" si="143"/>
        <v>0.18517089826256963</v>
      </c>
      <c r="F283" s="108">
        <f t="shared" si="143"/>
        <v>0.18517089826256963</v>
      </c>
      <c r="G283" s="108">
        <f t="shared" si="143"/>
        <v>0.18517089826256963</v>
      </c>
      <c r="H283" s="108">
        <f t="shared" si="143"/>
        <v>0.18517089826256963</v>
      </c>
      <c r="I283" s="108">
        <f t="shared" si="143"/>
        <v>0.18517089826256963</v>
      </c>
      <c r="J283" s="108">
        <f t="shared" si="143"/>
        <v>0.18517089826256963</v>
      </c>
      <c r="K283" s="108">
        <f t="shared" si="143"/>
        <v>0.18517089826256963</v>
      </c>
      <c r="L283" s="108">
        <f t="shared" ref="L283:M283" si="144">L282/L281</f>
        <v>0.18517089826256963</v>
      </c>
      <c r="M283" s="108">
        <f t="shared" si="144"/>
        <v>0.18517089826256963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K286" si="145">D285/D284</f>
        <v>8.9030206677265425E-2</v>
      </c>
      <c r="E286" s="108">
        <f t="shared" si="145"/>
        <v>5.0972149238045175E-2</v>
      </c>
      <c r="F286" s="108">
        <f t="shared" si="145"/>
        <v>0.13181818181818131</v>
      </c>
      <c r="G286" s="108">
        <f t="shared" si="145"/>
        <v>0.69716088328075709</v>
      </c>
      <c r="H286" s="108">
        <f t="shared" si="145"/>
        <v>0.57281553398058238</v>
      </c>
      <c r="I286" s="108">
        <f t="shared" si="145"/>
        <v>4.8275862068965461E-2</v>
      </c>
      <c r="J286" s="108">
        <f t="shared" si="145"/>
        <v>0.2</v>
      </c>
      <c r="K286" s="108">
        <f t="shared" si="145"/>
        <v>4.8414023372287146E-2</v>
      </c>
      <c r="L286" s="108">
        <f t="shared" ref="L286:M286" si="146">L285/L284</f>
        <v>5.0100200400801598E-2</v>
      </c>
      <c r="M286" s="108">
        <f t="shared" si="146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47">D284*D278</f>
        <v>17773.024000000001</v>
      </c>
      <c r="E287" s="47">
        <f t="shared" si="147"/>
        <v>29538.591505500004</v>
      </c>
      <c r="F287" s="47">
        <f t="shared" si="147"/>
        <v>1293.6000000000001</v>
      </c>
      <c r="G287" s="47">
        <f t="shared" si="147"/>
        <v>1791.05</v>
      </c>
      <c r="H287" s="47">
        <f t="shared" si="147"/>
        <v>363.07500000000005</v>
      </c>
      <c r="I287" s="47">
        <f t="shared" si="147"/>
        <v>1511.625</v>
      </c>
      <c r="J287" s="47">
        <f t="shared" si="147"/>
        <v>557.47</v>
      </c>
      <c r="K287" s="47">
        <f>K284*K278</f>
        <v>47.321000000000005</v>
      </c>
      <c r="L287" s="301">
        <f>L284*L278</f>
        <v>2729.53</v>
      </c>
      <c r="M287" s="301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K288" si="148">D287*SQRT((D279/D278)^2+(D285/D284)^2)</f>
        <v>2379.6199356077345</v>
      </c>
      <c r="E288" s="55">
        <f t="shared" si="148"/>
        <v>3315.4565653007912</v>
      </c>
      <c r="F288" s="55">
        <f t="shared" si="148"/>
        <v>214.03523074484673</v>
      </c>
      <c r="G288" s="55">
        <f t="shared" si="148"/>
        <v>1261.4299122523614</v>
      </c>
      <c r="H288" s="55">
        <f t="shared" si="148"/>
        <v>211.12042814765695</v>
      </c>
      <c r="I288" s="55">
        <f t="shared" si="148"/>
        <v>167.85544981099062</v>
      </c>
      <c r="J288" s="55">
        <f t="shared" si="148"/>
        <v>124.6540815416808</v>
      </c>
      <c r="K288" s="55">
        <f t="shared" si="148"/>
        <v>5.2575138050222954</v>
      </c>
      <c r="L288" s="55">
        <f t="shared" ref="L288:M288" si="149">L287*SQRT((L279/L278)^2+(L285/L284)^2)</f>
        <v>305.29314225674977</v>
      </c>
      <c r="M288" s="55">
        <f t="shared" si="149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50">D288/D287</f>
        <v>0.13388942340975482</v>
      </c>
      <c r="E289" s="108">
        <f t="shared" si="150"/>
        <v>0.11224152528340636</v>
      </c>
      <c r="F289" s="108">
        <f t="shared" si="150"/>
        <v>0.16545704293819319</v>
      </c>
      <c r="G289" s="108">
        <f t="shared" si="150"/>
        <v>0.70429631347665422</v>
      </c>
      <c r="H289" s="108">
        <f t="shared" si="150"/>
        <v>0.58147883535814071</v>
      </c>
      <c r="I289" s="108">
        <f t="shared" si="150"/>
        <v>0.11104304957313528</v>
      </c>
      <c r="J289" s="108">
        <f t="shared" si="150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 t="shared" ref="C290:M290" si="151">C287/$P$237</f>
        <v>0.35426383919021431</v>
      </c>
      <c r="D290" s="109">
        <f t="shared" si="151"/>
        <v>5.7726728529399432E-2</v>
      </c>
      <c r="E290" s="109">
        <f t="shared" si="151"/>
        <v>9.5941256422026028E-2</v>
      </c>
      <c r="F290" s="109">
        <f t="shared" si="151"/>
        <v>4.2016089116647289E-3</v>
      </c>
      <c r="G290" s="109">
        <f t="shared" si="151"/>
        <v>5.8173250164170629E-3</v>
      </c>
      <c r="H290" s="109">
        <f t="shared" si="151"/>
        <v>1.1792665086600739E-3</v>
      </c>
      <c r="I290" s="109">
        <f t="shared" si="151"/>
        <v>4.9097534563197244E-3</v>
      </c>
      <c r="J290" s="109">
        <f t="shared" si="151"/>
        <v>1.8106608843427153E-3</v>
      </c>
      <c r="K290" s="109">
        <f t="shared" si="151"/>
        <v>1.536984657613533E-4</v>
      </c>
      <c r="L290" s="109">
        <f t="shared" si="151"/>
        <v>8.8655052355103795E-3</v>
      </c>
      <c r="M290" s="109">
        <f t="shared" si="151"/>
        <v>4.0541498481291858E-5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47">
        <f>(C287*10^6)/$B$225</f>
        <v>1.7807588571428572</v>
      </c>
      <c r="D292" s="47">
        <f t="shared" ref="D292:K292" si="152">(D287*10^6)/$B$225</f>
        <v>0.29017182040816325</v>
      </c>
      <c r="E292" s="47">
        <f t="shared" si="152"/>
        <v>0.48226271845714291</v>
      </c>
      <c r="F292" s="47">
        <f t="shared" si="152"/>
        <v>2.1120000000000003E-2</v>
      </c>
      <c r="G292" s="47">
        <f t="shared" si="152"/>
        <v>2.9241632653061223E-2</v>
      </c>
      <c r="H292" s="47">
        <f t="shared" si="152"/>
        <v>5.9277551020408175E-3</v>
      </c>
      <c r="I292" s="47">
        <f t="shared" si="152"/>
        <v>2.4679591836734693E-2</v>
      </c>
      <c r="J292" s="47">
        <f t="shared" si="152"/>
        <v>9.1015510204081624E-3</v>
      </c>
      <c r="K292" s="47">
        <f t="shared" si="152"/>
        <v>7.7258775510204093E-4</v>
      </c>
      <c r="L292" s="47">
        <f t="shared" ref="L292:M292" si="153">(L287*10^6)/$B$225</f>
        <v>4.4563755102040817E-2</v>
      </c>
      <c r="M292" s="47">
        <f t="shared" si="153"/>
        <v>2.0378775510204085E-4</v>
      </c>
      <c r="O292" s="116" t="s">
        <v>15</v>
      </c>
      <c r="P292" s="123">
        <f>SUM(C292:M292)</f>
        <v>2.688804057232653</v>
      </c>
      <c r="Q292" s="2" t="s">
        <v>281</v>
      </c>
    </row>
    <row r="293" spans="1:23">
      <c r="A293" s="2" t="s">
        <v>472</v>
      </c>
      <c r="B293" s="42" t="s">
        <v>163</v>
      </c>
      <c r="C293" s="55">
        <f>C292*SQRT((C279/C278)^2+(C285/C284)^2+($D$225/$B$225)^2)</f>
        <v>0.3761412453562909</v>
      </c>
      <c r="D293" s="55">
        <f t="shared" ref="D293:K293" si="154">D292*SQRT((D279/D278)^2+(D285/D284)^2+($D$225/$B$225)^2)</f>
        <v>5.961928667472096E-2</v>
      </c>
      <c r="E293" s="55">
        <f t="shared" si="154"/>
        <v>9.2622596733919524E-2</v>
      </c>
      <c r="F293" s="55">
        <f t="shared" si="154"/>
        <v>4.8005297560467881E-3</v>
      </c>
      <c r="G293" s="55">
        <f t="shared" si="154"/>
        <v>2.10929599140341E-2</v>
      </c>
      <c r="H293" s="55">
        <f t="shared" si="154"/>
        <v>3.5685179137003088E-3</v>
      </c>
      <c r="I293" s="55">
        <f t="shared" si="154"/>
        <v>4.7226977092649867E-3</v>
      </c>
      <c r="J293" s="55">
        <f t="shared" si="154"/>
        <v>2.4807071915630991E-3</v>
      </c>
      <c r="K293" s="55">
        <f t="shared" si="154"/>
        <v>1.4786970222088164E-4</v>
      </c>
      <c r="L293" s="55">
        <f t="shared" ref="L293:M293" si="155">L292*SQRT((L279/L278)^2+(L285/L284)^2+($D$225/$B$225)^2)</f>
        <v>8.5486120287629804E-3</v>
      </c>
      <c r="M293" s="55">
        <f t="shared" si="155"/>
        <v>4.1833396019198694E-5</v>
      </c>
      <c r="P293" s="42">
        <f>SUM(C293:M293)</f>
        <v>0.57378685637654381</v>
      </c>
    </row>
    <row r="294" spans="1:23">
      <c r="B294" s="42" t="s">
        <v>278</v>
      </c>
      <c r="C294" s="108">
        <f>C293/C292</f>
        <v>0.2112252559337493</v>
      </c>
      <c r="D294" s="108">
        <f t="shared" ref="D294:K294" si="156">D293/D292</f>
        <v>0.20546201416408705</v>
      </c>
      <c r="E294" s="108">
        <f t="shared" si="156"/>
        <v>0.19205838060681563</v>
      </c>
      <c r="F294" s="108">
        <f t="shared" si="156"/>
        <v>0.22729781041888197</v>
      </c>
      <c r="G294" s="108">
        <f t="shared" si="156"/>
        <v>0.72133318150503267</v>
      </c>
      <c r="H294" s="108">
        <f t="shared" si="156"/>
        <v>0.60200157602187943</v>
      </c>
      <c r="I294" s="108">
        <f t="shared" si="156"/>
        <v>0.19136044633588387</v>
      </c>
      <c r="J294" s="108">
        <f t="shared" si="156"/>
        <v>0.27255873048458185</v>
      </c>
      <c r="K294" s="108">
        <f t="shared" si="156"/>
        <v>0.1913953479645189</v>
      </c>
      <c r="L294" s="108">
        <f t="shared" ref="L294:M294" si="157">L293/L292</f>
        <v>0.19182880816907399</v>
      </c>
      <c r="M294" s="108">
        <f t="shared" si="157"/>
        <v>0.20527924260342248</v>
      </c>
      <c r="P294" s="42">
        <f>P293/P292</f>
        <v>0.21339853859306193</v>
      </c>
    </row>
    <row r="296" spans="1:23">
      <c r="A296" s="123"/>
      <c r="B296" s="123" t="s">
        <v>473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58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58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58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B275</f>
        <v>127545600000</v>
      </c>
      <c r="C300" s="47" t="s">
        <v>357</v>
      </c>
      <c r="D300" s="47">
        <f>B300*E300</f>
        <v>17522579919.678719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59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 t="s">
        <v>282</v>
      </c>
    </row>
    <row r="306" spans="1:17">
      <c r="B306" s="47" t="s">
        <v>245</v>
      </c>
      <c r="C306" s="47">
        <f>(C303*10^6)/$B$225</f>
        <v>5.175510204081633E-3</v>
      </c>
      <c r="D306" s="47">
        <f t="shared" ref="D306" si="160">(D303*10^6)/$B$225</f>
        <v>3.9290285714285711E-5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55">
        <f>C306*SQRT((C304/C303)^2+($D$225/$B$225)^2)</f>
        <v>9.5835387345689102E-4</v>
      </c>
      <c r="D307" s="55">
        <f t="shared" ref="D307" si="161">D306*SQRT((D304/D303)^2+($D$225/$B$225)^2)</f>
        <v>7.2754174987072924E-6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0.18517089826256963</v>
      </c>
      <c r="D308" s="108">
        <f t="shared" ref="D308" si="162">D307/D306</f>
        <v>0.18517089826256963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63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64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65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66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C312/$P$237</f>
        <v>2.5328530159975174E-3</v>
      </c>
      <c r="D315" s="109">
        <f>D312/$P$237</f>
        <v>9.8330339756409695E-5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47">
        <f>(C312*10^6)/$B$225</f>
        <v>1.2731755102040814E-2</v>
      </c>
      <c r="D317" s="47">
        <f t="shared" ref="D317" si="167">(D312*10^6)/$B$225</f>
        <v>4.9427179428571436E-4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1.3226026896326529E-2</v>
      </c>
      <c r="Q317" s="2" t="s">
        <v>281</v>
      </c>
    </row>
    <row r="318" spans="1:17">
      <c r="A318" s="2" t="s">
        <v>473</v>
      </c>
      <c r="B318" s="42" t="s">
        <v>163</v>
      </c>
      <c r="C318" s="55">
        <f>C317*SQRT((C304/C303)^2+(C310/C309)^2+($D$225/$B$225)^2)</f>
        <v>2.6892682299143895E-3</v>
      </c>
      <c r="D318" s="55">
        <f t="shared" ref="D318" si="168">D317*SQRT((D304/D303)^2+(D310/D309)^2+($D$225/$B$225)^2)</f>
        <v>1.0155407839844016E-4</v>
      </c>
      <c r="E318" s="55"/>
      <c r="F318" s="55"/>
      <c r="G318" s="55"/>
      <c r="H318" s="55"/>
      <c r="I318" s="55"/>
      <c r="J318" s="55"/>
      <c r="K318" s="55"/>
      <c r="P318" s="42">
        <f>SUM(C318:D318)</f>
        <v>2.7908223083128298E-3</v>
      </c>
    </row>
    <row r="319" spans="1:17">
      <c r="B319" s="42" t="s">
        <v>278</v>
      </c>
      <c r="C319" s="108">
        <f>C318/C317</f>
        <v>0.2112252559337493</v>
      </c>
      <c r="D319" s="108">
        <f t="shared" ref="D319" si="169">D318/D317</f>
        <v>0.20546201416408705</v>
      </c>
      <c r="E319" s="108"/>
      <c r="F319" s="108"/>
      <c r="G319" s="108"/>
      <c r="H319" s="108"/>
      <c r="I319" s="108"/>
      <c r="J319" s="108"/>
      <c r="K319" s="108"/>
      <c r="P319" s="42">
        <f>P318/P317</f>
        <v>0.21100987697885057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7546-04A8-2F47-97EB-23B3BAD8D746}">
  <sheetPr>
    <tabColor theme="8" tint="0.39997558519241921"/>
  </sheetPr>
  <dimension ref="B1:AW13"/>
  <sheetViews>
    <sheetView topLeftCell="A4" zoomScale="67" zoomScaleNormal="46" workbookViewId="0">
      <selection activeCell="Q33" sqref="Q33"/>
    </sheetView>
  </sheetViews>
  <sheetFormatPr defaultColWidth="10.8125" defaultRowHeight="22.15"/>
  <cols>
    <col min="1" max="1" width="10.8125" style="275"/>
    <col min="2" max="2" width="14.1875" style="275" customWidth="1"/>
    <col min="3" max="3" width="26" style="275" customWidth="1"/>
    <col min="4" max="5" width="11" style="275" bestFit="1" customWidth="1"/>
    <col min="6" max="6" width="14.8125" style="275" bestFit="1" customWidth="1"/>
    <col min="7" max="7" width="11" style="275" bestFit="1" customWidth="1"/>
    <col min="8" max="17" width="10.8125" style="275"/>
    <col min="18" max="18" width="10.8125" style="279"/>
    <col min="19" max="19" width="14" style="142" customWidth="1"/>
    <col min="20" max="20" width="25.3125" style="142" customWidth="1"/>
    <col min="21" max="23" width="19.5" style="142" bestFit="1" customWidth="1"/>
    <col min="24" max="24" width="18" style="142" bestFit="1" customWidth="1"/>
    <col min="25" max="32" width="10.8125" style="142"/>
    <col min="33" max="33" width="10.8125" style="280"/>
    <col min="34" max="34" width="10.8125" style="279"/>
    <col min="35" max="35" width="14" style="142" customWidth="1"/>
    <col min="36" max="36" width="25.3125" style="142" customWidth="1"/>
    <col min="37" max="39" width="19.5" style="142" bestFit="1" customWidth="1"/>
    <col min="40" max="40" width="18" style="142" bestFit="1" customWidth="1"/>
    <col min="41" max="48" width="10.8125" style="142"/>
    <col min="49" max="49" width="10.8125" style="280"/>
    <col min="50" max="16384" width="10.8125" style="275"/>
  </cols>
  <sheetData>
    <row r="1" spans="2:49" s="273" customFormat="1" ht="27.4">
      <c r="B1" s="273" t="s">
        <v>430</v>
      </c>
      <c r="R1" s="287"/>
      <c r="S1" s="274" t="s">
        <v>432</v>
      </c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91"/>
      <c r="AH1" s="287"/>
      <c r="AI1" s="274" t="s">
        <v>432</v>
      </c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91"/>
    </row>
    <row r="3" spans="2:49" ht="174.75">
      <c r="C3" s="275" t="s">
        <v>429</v>
      </c>
      <c r="D3" s="102" t="s">
        <v>425</v>
      </c>
      <c r="E3" s="102" t="s">
        <v>426</v>
      </c>
      <c r="F3" s="102" t="s">
        <v>427</v>
      </c>
      <c r="G3" s="102" t="s">
        <v>428</v>
      </c>
      <c r="T3" s="142" t="s">
        <v>433</v>
      </c>
      <c r="U3" s="292" t="s">
        <v>434</v>
      </c>
      <c r="V3" s="292" t="s">
        <v>435</v>
      </c>
      <c r="W3" s="292" t="s">
        <v>427</v>
      </c>
      <c r="X3" s="292" t="s">
        <v>428</v>
      </c>
      <c r="AJ3" s="142" t="s">
        <v>466</v>
      </c>
      <c r="AK3" s="292" t="s">
        <v>434</v>
      </c>
      <c r="AL3" s="292" t="s">
        <v>435</v>
      </c>
      <c r="AM3" s="292" t="s">
        <v>427</v>
      </c>
      <c r="AN3" s="292" t="s">
        <v>428</v>
      </c>
    </row>
    <row r="4" spans="2:49">
      <c r="B4" s="127"/>
      <c r="C4" s="103" t="s">
        <v>385</v>
      </c>
      <c r="D4" s="276" cm="1">
        <f t="array" ref="D4:D13">MMULT(Matrices!L4:AG13,Matrices!AJ4:AJ25)</f>
        <v>11.687298091976517</v>
      </c>
      <c r="E4" s="277" cm="1">
        <f t="array" ref="E4:E13">MMULT(Matrices!L4:AG13,Matrices!AK4:AK25)</f>
        <v>274.48371273646444</v>
      </c>
      <c r="F4" s="277" cm="1">
        <f t="array" ref="F4:F13">MMULT(Matrices!L4:AG13,Matrices!AL4:AL25)</f>
        <v>2.883917418460535</v>
      </c>
      <c r="G4" s="278" cm="1">
        <f t="array" ref="G4:G13">MMULT(Matrices!L4:AG13,Matrices!AM4:AM25)</f>
        <v>6.9756195776255705</v>
      </c>
      <c r="T4" s="120" t="s">
        <v>385</v>
      </c>
      <c r="U4" s="276" cm="1">
        <f t="array" ref="U4:U10">D4:D10*TRANSPOSE(Matrices!C4:I4)</f>
        <v>1390788472.9452055</v>
      </c>
      <c r="V4" s="277" cm="1">
        <f t="array" ref="V4:X10">E4:G10*TRANSPOSE(Matrices!C4:I4)</f>
        <v>32663561815.639267</v>
      </c>
      <c r="W4" s="277">
        <v>343186172.79680365</v>
      </c>
      <c r="X4" s="278">
        <v>830098729.73744285</v>
      </c>
      <c r="AJ4" s="120" t="s">
        <v>385</v>
      </c>
      <c r="AK4" s="276" cm="1">
        <f t="array" ref="AK4:AK11">D4:D10*TRANSPOSE('Matrices (country)'!Z4:AG4)</f>
        <v>0.56094075366105811</v>
      </c>
      <c r="AL4" s="277" cm="1">
        <f t="array" ref="AL4:AN11">E4:G10*TRANSPOSE('Matrices (country)'!Z4:AG4)</f>
        <v>13.174054386084284</v>
      </c>
      <c r="AM4" s="277">
        <v>0.13841580812575341</v>
      </c>
      <c r="AN4" s="278">
        <v>0.33480016273499369</v>
      </c>
    </row>
    <row r="5" spans="2:49">
      <c r="B5" s="127"/>
      <c r="C5" s="103" t="s">
        <v>330</v>
      </c>
      <c r="D5" s="279">
        <v>36.153178462709242</v>
      </c>
      <c r="E5" s="142">
        <v>1325.8544108320639</v>
      </c>
      <c r="F5" s="142">
        <v>2.9727039573820369</v>
      </c>
      <c r="G5" s="280">
        <v>18.763045471841682</v>
      </c>
      <c r="T5" s="120" t="s">
        <v>330</v>
      </c>
      <c r="U5" s="279">
        <v>946490212.15372801</v>
      </c>
      <c r="V5" s="142">
        <v>34710868475.583435</v>
      </c>
      <c r="W5" s="142">
        <v>77825389.604261726</v>
      </c>
      <c r="X5" s="280">
        <v>491216530.45281523</v>
      </c>
      <c r="AJ5" s="120" t="s">
        <v>330</v>
      </c>
      <c r="AK5" s="279">
        <v>1.7999943549682209</v>
      </c>
      <c r="AL5" s="142">
        <v>66.011635947004081</v>
      </c>
      <c r="AM5" s="142">
        <v>0.14800497687357073</v>
      </c>
      <c r="AN5" s="280">
        <v>0.93417445899433538</v>
      </c>
    </row>
    <row r="6" spans="2:49">
      <c r="B6" s="127"/>
      <c r="C6" s="103" t="s">
        <v>331</v>
      </c>
      <c r="D6" s="279">
        <v>43.451759199999998</v>
      </c>
      <c r="E6" s="142">
        <v>1607.2068380000001</v>
      </c>
      <c r="F6" s="142">
        <v>5.6703027000000006</v>
      </c>
      <c r="G6" s="280">
        <v>21.812399599999999</v>
      </c>
      <c r="T6" s="120" t="s">
        <v>331</v>
      </c>
      <c r="U6" s="279">
        <v>113756705585.59999</v>
      </c>
      <c r="V6" s="142">
        <v>4207667501884</v>
      </c>
      <c r="W6" s="142">
        <v>14844852468.600002</v>
      </c>
      <c r="X6" s="280">
        <v>57104862152.799995</v>
      </c>
      <c r="AJ6" s="120" t="s">
        <v>331</v>
      </c>
      <c r="AK6" s="279">
        <v>0</v>
      </c>
      <c r="AL6" s="142">
        <v>0</v>
      </c>
      <c r="AM6" s="142">
        <v>0</v>
      </c>
      <c r="AN6" s="280">
        <v>0</v>
      </c>
    </row>
    <row r="7" spans="2:49">
      <c r="B7" s="127"/>
      <c r="C7" s="103" t="s">
        <v>332</v>
      </c>
      <c r="D7" s="279">
        <v>10.576158290833334</v>
      </c>
      <c r="E7" s="142">
        <v>624.5989216666668</v>
      </c>
      <c r="F7" s="142">
        <v>2.0883675916666671</v>
      </c>
      <c r="G7" s="280">
        <v>7.6655433891666673</v>
      </c>
      <c r="T7" s="120" t="s">
        <v>332</v>
      </c>
      <c r="U7" s="279">
        <v>75513770196.550003</v>
      </c>
      <c r="V7" s="142">
        <v>4459636300700.001</v>
      </c>
      <c r="W7" s="142">
        <v>14910944604.500004</v>
      </c>
      <c r="X7" s="280">
        <v>54731979798.650002</v>
      </c>
      <c r="AJ7" s="120" t="s">
        <v>332</v>
      </c>
      <c r="AK7" s="279">
        <v>1.706190285000647</v>
      </c>
      <c r="AL7" s="142">
        <v>100.76292192914767</v>
      </c>
      <c r="AM7" s="142">
        <v>0.33690423293873673</v>
      </c>
      <c r="AN7" s="280">
        <v>1.2366376618230974</v>
      </c>
    </row>
    <row r="8" spans="2:49">
      <c r="B8" s="127"/>
      <c r="C8" s="103" t="s">
        <v>290</v>
      </c>
      <c r="D8" s="279">
        <v>17.48815209</v>
      </c>
      <c r="E8" s="142">
        <v>1045.06818</v>
      </c>
      <c r="F8" s="142">
        <v>1.6499582500000001</v>
      </c>
      <c r="G8" s="280">
        <v>3.6566429009999997</v>
      </c>
      <c r="T8" s="120" t="s">
        <v>290</v>
      </c>
      <c r="U8" s="279">
        <v>37459621776.779999</v>
      </c>
      <c r="V8" s="142">
        <v>2238536041560</v>
      </c>
      <c r="W8" s="142">
        <v>3534210571.5</v>
      </c>
      <c r="X8" s="280">
        <v>7832529093.9419994</v>
      </c>
      <c r="AJ8" s="120" t="s">
        <v>290</v>
      </c>
      <c r="AK8" s="279">
        <v>0</v>
      </c>
      <c r="AL8" s="142">
        <v>0</v>
      </c>
      <c r="AM8" s="142">
        <v>0</v>
      </c>
      <c r="AN8" s="280">
        <v>0</v>
      </c>
    </row>
    <row r="9" spans="2:49">
      <c r="B9" s="127"/>
      <c r="C9" s="103" t="s">
        <v>375</v>
      </c>
      <c r="D9" s="279">
        <v>5.0266458502040816</v>
      </c>
      <c r="E9" s="142">
        <v>119.56913477551021</v>
      </c>
      <c r="F9" s="142">
        <v>0.89050216408163274</v>
      </c>
      <c r="G9" s="280">
        <v>1.7520323171428571</v>
      </c>
      <c r="T9" s="120" t="s">
        <v>375</v>
      </c>
      <c r="U9" s="279">
        <v>55031718768.034286</v>
      </c>
      <c r="V9" s="142">
        <v>1309042887522.2856</v>
      </c>
      <c r="W9" s="142">
        <v>9749217692.365715</v>
      </c>
      <c r="X9" s="280">
        <v>19181249808.079998</v>
      </c>
      <c r="AJ9" s="120" t="s">
        <v>375</v>
      </c>
      <c r="AK9" s="279">
        <v>7.4055314107540244</v>
      </c>
      <c r="AL9" s="142">
        <v>176.15583228342456</v>
      </c>
      <c r="AM9" s="142">
        <v>1.3119368151196136</v>
      </c>
      <c r="AN9" s="280">
        <v>2.5811904685369491</v>
      </c>
    </row>
    <row r="10" spans="2:49">
      <c r="B10" s="9" t="s">
        <v>383</v>
      </c>
      <c r="C10" s="119" t="s">
        <v>370</v>
      </c>
      <c r="D10" s="279">
        <v>0.18254705733130389</v>
      </c>
      <c r="E10" s="142">
        <v>4.2861618467782847</v>
      </c>
      <c r="F10" s="142">
        <v>5.3572425164890927E-2</v>
      </c>
      <c r="G10" s="280">
        <v>4.9235553018772193E-2</v>
      </c>
      <c r="S10" s="293" t="s">
        <v>383</v>
      </c>
      <c r="T10" s="119" t="s">
        <v>370</v>
      </c>
      <c r="U10" s="281">
        <v>173784798.57940128</v>
      </c>
      <c r="V10" s="282">
        <v>4080426078.1329269</v>
      </c>
      <c r="W10" s="282">
        <v>51000948.756976165</v>
      </c>
      <c r="X10" s="283">
        <v>46872246.473871127</v>
      </c>
      <c r="AI10" s="293" t="s">
        <v>383</v>
      </c>
      <c r="AJ10" s="119" t="s">
        <v>370</v>
      </c>
      <c r="AK10" s="281">
        <v>0</v>
      </c>
      <c r="AL10" s="282">
        <v>0</v>
      </c>
      <c r="AM10" s="282">
        <v>0</v>
      </c>
      <c r="AN10" s="283">
        <v>0</v>
      </c>
    </row>
    <row r="11" spans="2:49">
      <c r="B11" s="127"/>
      <c r="C11" s="120" t="s">
        <v>377</v>
      </c>
      <c r="D11" s="279">
        <v>10.916057604132654</v>
      </c>
      <c r="E11" s="142">
        <v>219.78922428571428</v>
      </c>
      <c r="F11" s="142">
        <v>2.5758096556122454</v>
      </c>
      <c r="G11" s="280">
        <v>2.2957160934693879</v>
      </c>
      <c r="T11" s="135"/>
      <c r="AJ11" s="135"/>
      <c r="AK11" s="142" t="e">
        <v>#N/A</v>
      </c>
      <c r="AL11" s="142" t="e">
        <v>#N/A</v>
      </c>
      <c r="AM11" s="142" t="e">
        <v>#N/A</v>
      </c>
      <c r="AN11" s="142" t="e">
        <v>#N/A</v>
      </c>
    </row>
    <row r="12" spans="2:49">
      <c r="B12" s="127"/>
      <c r="C12" s="120" t="s">
        <v>360</v>
      </c>
      <c r="D12" s="279">
        <v>1.3533414611872145</v>
      </c>
      <c r="E12" s="142">
        <v>32.32182648401826</v>
      </c>
      <c r="F12" s="142">
        <v>0.38745296803652968</v>
      </c>
      <c r="G12" s="280">
        <v>0.36442873668188736</v>
      </c>
      <c r="T12" s="135"/>
      <c r="AJ12" s="135"/>
    </row>
    <row r="13" spans="2:49">
      <c r="B13" s="127"/>
      <c r="C13" s="120" t="s">
        <v>387</v>
      </c>
      <c r="D13" s="281">
        <v>6.5125433789954341</v>
      </c>
      <c r="E13" s="282">
        <v>188.95123287671234</v>
      </c>
      <c r="F13" s="282">
        <v>1.4611582191780821</v>
      </c>
      <c r="G13" s="283">
        <v>5.9182997716894974</v>
      </c>
      <c r="T13" s="135"/>
      <c r="AJ13" s="135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9112-7159-774B-9D1E-BF8F42FBB4BF}">
  <sheetPr codeName="Sheet11">
    <tabColor theme="8" tint="0.39997558519241921"/>
  </sheetPr>
  <dimension ref="A1:AU79"/>
  <sheetViews>
    <sheetView topLeftCell="A46" zoomScale="55" zoomScaleNormal="55" workbookViewId="0">
      <selection activeCell="G63" sqref="G63"/>
    </sheetView>
  </sheetViews>
  <sheetFormatPr defaultColWidth="24.8125" defaultRowHeight="22.15"/>
  <cols>
    <col min="1" max="26" width="20.8125" style="2" customWidth="1"/>
    <col min="27" max="27" width="20.8125" style="47" customWidth="1"/>
    <col min="28" max="16384" width="24.8125" style="2"/>
  </cols>
  <sheetData>
    <row r="1" spans="1:29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9" s="47" customFormat="1">
      <c r="B2" s="47" t="s">
        <v>336</v>
      </c>
    </row>
    <row r="3" spans="1:29">
      <c r="C3" s="2" t="s">
        <v>8</v>
      </c>
      <c r="D3" s="2" t="s">
        <v>228</v>
      </c>
      <c r="E3" s="2" t="s">
        <v>7</v>
      </c>
      <c r="F3" s="2" t="s">
        <v>217</v>
      </c>
      <c r="G3" s="2" t="s">
        <v>171</v>
      </c>
      <c r="H3" s="2" t="s">
        <v>11</v>
      </c>
      <c r="I3" s="2" t="s">
        <v>10</v>
      </c>
      <c r="J3" s="2" t="s">
        <v>32</v>
      </c>
      <c r="K3" s="2" t="s">
        <v>12</v>
      </c>
      <c r="L3" s="2" t="s">
        <v>9</v>
      </c>
      <c r="M3" s="2" t="s">
        <v>255</v>
      </c>
      <c r="N3" s="2" t="s">
        <v>14</v>
      </c>
      <c r="O3" s="2" t="s">
        <v>158</v>
      </c>
      <c r="P3" s="2" t="s">
        <v>256</v>
      </c>
      <c r="Q3" s="2" t="s">
        <v>160</v>
      </c>
      <c r="R3" s="2" t="s">
        <v>229</v>
      </c>
      <c r="S3" s="2" t="s">
        <v>230</v>
      </c>
      <c r="T3" s="2" t="s">
        <v>333</v>
      </c>
      <c r="U3" s="2" t="s">
        <v>269</v>
      </c>
      <c r="V3" s="2" t="s">
        <v>221</v>
      </c>
      <c r="W3" s="2" t="s">
        <v>326</v>
      </c>
      <c r="X3" s="2" t="s">
        <v>243</v>
      </c>
      <c r="AA3" s="47" t="s">
        <v>337</v>
      </c>
      <c r="AB3" s="2" t="s">
        <v>335</v>
      </c>
    </row>
    <row r="4" spans="1:29" ht="22.5">
      <c r="A4" s="38"/>
      <c r="B4" s="75" t="s">
        <v>275</v>
      </c>
      <c r="C4" s="38">
        <f>'Total Material Emissions'!D23</f>
        <v>6.8066418786692759</v>
      </c>
      <c r="D4" s="38">
        <v>0</v>
      </c>
      <c r="E4" s="38">
        <f>'Total Material Emissions'!C23</f>
        <v>0.93935022015655589</v>
      </c>
      <c r="F4" s="38">
        <v>0</v>
      </c>
      <c r="G4" s="38">
        <f>'Total Material Emissions'!E23</f>
        <v>1.0294651011089366</v>
      </c>
      <c r="H4" s="38">
        <f>'Total Material Emissions'!H23</f>
        <v>8.5159132420091321E-2</v>
      </c>
      <c r="I4" s="38">
        <f>'Total Material Emissions'!G23</f>
        <v>0.17398462981082843</v>
      </c>
      <c r="J4" s="38">
        <v>0</v>
      </c>
      <c r="K4" s="38">
        <f>'Total Material Emissions'!I23</f>
        <v>3.7855919765166335E-2</v>
      </c>
      <c r="L4" s="38">
        <f>'Total Material Emissions'!F23</f>
        <v>4.8936725375081534E-3</v>
      </c>
      <c r="M4" s="38">
        <f>'Total Material Emissions'!J23</f>
        <v>0.48316598173515973</v>
      </c>
      <c r="N4" s="38">
        <f>'Total Material Emissions'!K23</f>
        <v>0.35797570123939981</v>
      </c>
      <c r="O4" s="38">
        <f>'Total Material Emissions'!L23</f>
        <v>7.0265410958904095E-2</v>
      </c>
      <c r="P4" s="38">
        <f>'Total Material Emissions'!M23</f>
        <v>0.12215753424657534</v>
      </c>
      <c r="Q4" s="38">
        <f>'Total Material Emissions'!N23</f>
        <v>1.5763829093281154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/>
      <c r="Z4" s="38"/>
      <c r="AA4" s="47">
        <f>SUM(C4:Z4)</f>
        <v>11.687298091976517</v>
      </c>
      <c r="AB4" s="58">
        <v>0.2</v>
      </c>
      <c r="AC4" s="2">
        <f>AB4*AA4</f>
        <v>2.3374596183953034</v>
      </c>
    </row>
    <row r="5" spans="1:29" ht="22.5">
      <c r="A5" s="50"/>
      <c r="B5" s="76" t="s">
        <v>330</v>
      </c>
      <c r="C5" s="50">
        <f>'Total Material Emissions'!D48</f>
        <v>5.1640030441400304</v>
      </c>
      <c r="D5" s="50">
        <f>'Total Material Emissions'!C48</f>
        <v>29.244736174530658</v>
      </c>
      <c r="E5" s="50">
        <f>'Total Material Emissions'!E48</f>
        <v>2.1240994419076609E-2</v>
      </c>
      <c r="F5" s="50">
        <v>0</v>
      </c>
      <c r="G5" s="50">
        <v>0</v>
      </c>
      <c r="H5" s="50">
        <v>0</v>
      </c>
      <c r="I5" s="50">
        <v>0</v>
      </c>
      <c r="J5" s="50">
        <f>'Total Material Emissions'!H48</f>
        <v>0.30962709284627093</v>
      </c>
      <c r="K5" s="50">
        <f>'Total Material Emissions'!I48</f>
        <v>0.13688641552511413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f>'Total Material Emissions'!F48</f>
        <v>0.76305650684931514</v>
      </c>
      <c r="S5" s="50">
        <f>'Total Material Emissions'!G48</f>
        <v>0.51362823439878236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/>
      <c r="Z5" s="50"/>
      <c r="AA5" s="47">
        <f t="shared" ref="AA5:AA8" si="0">SUM(C5:Z5)</f>
        <v>36.153178462709242</v>
      </c>
      <c r="AB5" s="58">
        <v>0.2</v>
      </c>
      <c r="AC5" s="2">
        <f t="shared" ref="AC5:AC8" si="1">AB5*AA5</f>
        <v>7.2306356925418491</v>
      </c>
    </row>
    <row r="6" spans="1:29" ht="22.5">
      <c r="A6" s="73"/>
      <c r="B6" s="77" t="s">
        <v>331</v>
      </c>
      <c r="C6" s="73">
        <f>'Total Material Emissions'!I73</f>
        <v>30.75</v>
      </c>
      <c r="D6" s="73">
        <v>0</v>
      </c>
      <c r="E6" s="73">
        <v>0</v>
      </c>
      <c r="F6" s="73">
        <v>0</v>
      </c>
      <c r="G6" s="73">
        <v>0</v>
      </c>
      <c r="H6" s="73">
        <f>'Total Material Emissions'!H73</f>
        <v>11.951000000000001</v>
      </c>
      <c r="I6" s="73">
        <f>'Total Material Emissions'!C73</f>
        <v>7.2499999999999995E-2</v>
      </c>
      <c r="J6" s="73">
        <f>'Total Material Emissions'!E73</f>
        <v>9.859200000000002E-3</v>
      </c>
      <c r="K6" s="73">
        <f>'Total Material Emissions'!D73</f>
        <v>5.4299999999999994E-2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f>'Total Material Emissions'!F73</f>
        <v>0.66307500000000008</v>
      </c>
      <c r="U6" s="73">
        <f>'Total Material Emissions'!G73</f>
        <v>0.61409999999999998</v>
      </c>
      <c r="V6" s="73">
        <v>0</v>
      </c>
      <c r="W6" s="73">
        <v>0</v>
      </c>
      <c r="X6" s="73">
        <v>0</v>
      </c>
      <c r="Y6" s="73"/>
      <c r="Z6" s="73"/>
      <c r="AA6" s="47">
        <f t="shared" si="0"/>
        <v>44.114834199999997</v>
      </c>
      <c r="AB6" s="58">
        <v>0.2</v>
      </c>
      <c r="AC6" s="2">
        <f t="shared" si="1"/>
        <v>8.8229668399999994</v>
      </c>
    </row>
    <row r="7" spans="1:29" ht="22.5">
      <c r="A7" s="59"/>
      <c r="B7" s="78" t="s">
        <v>332</v>
      </c>
      <c r="C7" s="59">
        <f>'Total Material Emissions'!C95</f>
        <v>2.1989120000000009</v>
      </c>
      <c r="D7" s="59">
        <v>0</v>
      </c>
      <c r="E7" s="59">
        <f>'Total Material Emissions'!E95</f>
        <v>0.92105200000000009</v>
      </c>
      <c r="F7" s="59">
        <f>'Total Material Emissions'!D95</f>
        <v>0.79695333333333307</v>
      </c>
      <c r="G7" s="59">
        <f>'Total Material Emissions'!G95</f>
        <v>0.78155000000000008</v>
      </c>
      <c r="H7" s="59">
        <v>0</v>
      </c>
      <c r="I7" s="59">
        <f>'Total Material Emissions'!F95</f>
        <v>0.40355312499999996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f>'Total Material Emissions'!H95</f>
        <v>5.4113805500000005</v>
      </c>
      <c r="W7" s="59">
        <f>'Total Material Emissions'!I95</f>
        <v>6.2757282499999997E-2</v>
      </c>
      <c r="X7" s="59">
        <v>0</v>
      </c>
      <c r="Y7" s="59"/>
      <c r="Z7" s="59"/>
      <c r="AA7" s="47">
        <f t="shared" si="0"/>
        <v>10.576158290833336</v>
      </c>
      <c r="AB7" s="58">
        <v>0.2</v>
      </c>
      <c r="AC7" s="2">
        <f t="shared" si="1"/>
        <v>2.115231658166667</v>
      </c>
    </row>
    <row r="8" spans="1:29" ht="22.5">
      <c r="A8" s="22"/>
      <c r="B8" s="79" t="s">
        <v>290</v>
      </c>
      <c r="C8" s="72">
        <f>'Total Material Emissions'!H117</f>
        <v>5.8670999999999998</v>
      </c>
      <c r="D8" s="22">
        <v>0</v>
      </c>
      <c r="E8" s="72">
        <f>'Total Material Emissions'!D117</f>
        <v>0.15971879000000003</v>
      </c>
      <c r="F8" s="72">
        <f>'Total Material Emissions'!E117</f>
        <v>0.77308509999999997</v>
      </c>
      <c r="G8" s="72">
        <f>'Total Material Emissions'!G117</f>
        <v>4.1800000000000004E-2</v>
      </c>
      <c r="H8" s="72">
        <f>'Total Material Emissions'!C117</f>
        <v>10.630100000000001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72">
        <f>'Total Material Emissions'!F117</f>
        <v>1.63482E-2</v>
      </c>
      <c r="Y8" s="22"/>
      <c r="Z8" s="22"/>
      <c r="AA8" s="47">
        <f t="shared" si="0"/>
        <v>17.48815209</v>
      </c>
      <c r="AB8" s="58">
        <v>0.2</v>
      </c>
      <c r="AC8" s="2">
        <f t="shared" si="1"/>
        <v>3.497630418</v>
      </c>
    </row>
    <row r="10" spans="1:29" s="52" customFormat="1">
      <c r="B10" s="71"/>
      <c r="C10" s="44"/>
      <c r="D10" s="44"/>
      <c r="E10" s="44"/>
      <c r="F10" s="44"/>
      <c r="G10" s="44"/>
      <c r="H10" s="44"/>
      <c r="I10" s="44"/>
      <c r="J10" s="71"/>
      <c r="K10" s="71"/>
      <c r="L10" s="71"/>
      <c r="M10" s="71"/>
      <c r="AA10" s="71"/>
    </row>
    <row r="11" spans="1:29">
      <c r="A11" s="52"/>
      <c r="B11" s="52"/>
      <c r="C11" s="52"/>
      <c r="D11" s="52"/>
      <c r="E11" s="60"/>
      <c r="F11" s="52"/>
      <c r="G11" s="52"/>
      <c r="H11" s="71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71"/>
    </row>
    <row r="12" spans="1:29">
      <c r="A12" s="52"/>
      <c r="B12" s="52"/>
      <c r="C12" s="71"/>
      <c r="D12" s="7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71"/>
    </row>
    <row r="34" spans="1:47" s="47" customFormat="1"/>
    <row r="35" spans="1:47">
      <c r="A35" s="47"/>
      <c r="B35" s="47" t="s">
        <v>76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B35" s="47"/>
      <c r="AC35" s="47"/>
      <c r="AD35" s="47"/>
      <c r="AE35" s="47"/>
      <c r="AF35" s="47"/>
    </row>
    <row r="36" spans="1:47">
      <c r="C36" s="2" t="s">
        <v>8</v>
      </c>
      <c r="D36" s="2" t="s">
        <v>228</v>
      </c>
      <c r="E36" s="2" t="s">
        <v>7</v>
      </c>
      <c r="F36" s="2" t="s">
        <v>217</v>
      </c>
      <c r="G36" s="2" t="s">
        <v>171</v>
      </c>
      <c r="H36" s="2" t="s">
        <v>11</v>
      </c>
      <c r="I36" s="2" t="s">
        <v>10</v>
      </c>
      <c r="J36" s="2" t="s">
        <v>32</v>
      </c>
      <c r="K36" s="2" t="s">
        <v>12</v>
      </c>
      <c r="L36" s="2" t="s">
        <v>9</v>
      </c>
      <c r="M36" s="2" t="s">
        <v>255</v>
      </c>
      <c r="N36" s="2" t="s">
        <v>14</v>
      </c>
      <c r="O36" s="2" t="s">
        <v>158</v>
      </c>
      <c r="P36" s="2" t="s">
        <v>256</v>
      </c>
      <c r="Q36" s="2" t="s">
        <v>160</v>
      </c>
      <c r="R36" s="2" t="s">
        <v>229</v>
      </c>
      <c r="S36" s="2" t="s">
        <v>230</v>
      </c>
      <c r="T36" s="2" t="s">
        <v>333</v>
      </c>
      <c r="U36" s="2" t="s">
        <v>269</v>
      </c>
      <c r="V36" s="2" t="s">
        <v>221</v>
      </c>
      <c r="W36" s="2" t="s">
        <v>326</v>
      </c>
      <c r="X36" s="2" t="s">
        <v>243</v>
      </c>
      <c r="AB36" s="2" t="s">
        <v>335</v>
      </c>
    </row>
    <row r="37" spans="1:47" s="38" customFormat="1" ht="22.5">
      <c r="B37" s="75" t="s">
        <v>275</v>
      </c>
      <c r="C37" s="38" t="e">
        <f>'Total Material Emissions'!D9*1000000/'Total Material Emissions'!B7</f>
        <v>#DIV/0!</v>
      </c>
      <c r="D37" s="38">
        <v>0</v>
      </c>
      <c r="E37" s="38" t="e">
        <f>'Total Material Emissions'!C9*1000000/'Total Material Emissions'!B7</f>
        <v>#DIV/0!</v>
      </c>
      <c r="F37" s="38">
        <v>0</v>
      </c>
      <c r="G37" s="38" t="e">
        <f>'Total Material Emissions'!E9*1000000/'Total Material Emissions'!B7</f>
        <v>#DIV/0!</v>
      </c>
      <c r="H37" s="38" t="e">
        <f>'Total Material Emissions'!H9*1000000/'Total Material Emissions'!B7</f>
        <v>#DIV/0!</v>
      </c>
      <c r="I37" s="38" t="e">
        <f>'Total Material Emissions'!G9*1000000/'Total Material Emissions'!B7</f>
        <v>#DIV/0!</v>
      </c>
      <c r="J37" s="38">
        <v>0</v>
      </c>
      <c r="K37" s="38" t="e">
        <f>'Total Material Emissions'!I9*1000000/'Total Material Emissions'!B7</f>
        <v>#DIV/0!</v>
      </c>
      <c r="L37" s="38" t="e">
        <f>'Total Material Emissions'!F9*1000000/'Total Material Emissions'!B7</f>
        <v>#DIV/0!</v>
      </c>
      <c r="M37" s="38" t="e">
        <f>'Total Material Emissions'!J9*1000000/'Total Material Emissions'!B7</f>
        <v>#DIV/0!</v>
      </c>
      <c r="N37" s="38" t="e">
        <f>'Total Material Emissions'!K9*1000000/'Total Material Emissions'!B7</f>
        <v>#DIV/0!</v>
      </c>
      <c r="O37" s="38" t="e">
        <f>'Total Material Emissions'!L9*1000000/'Total Material Emissions'!B7</f>
        <v>#DIV/0!</v>
      </c>
      <c r="P37" s="38" t="e">
        <f>'Total Material Emissions'!M9*1000000/'Total Material Emissions'!B7</f>
        <v>#DIV/0!</v>
      </c>
      <c r="Q37" s="38" t="e">
        <f>'Total Material Emissions'!N9*1000000/'Total Material Emissions'!B7</f>
        <v>#DIV/0!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AB37" s="82">
        <v>0.2</v>
      </c>
    </row>
    <row r="38" spans="1:47" s="50" customFormat="1" ht="22.5">
      <c r="B38" s="76" t="s">
        <v>330</v>
      </c>
      <c r="C38" s="50" t="e">
        <f>'Total Material Emissions'!D34*1000000/'Total Material Emissions'!B32</f>
        <v>#DIV/0!</v>
      </c>
      <c r="D38" s="50" t="e">
        <f>'Total Material Emissions'!C34*1000000/'Total Material Emissions'!B32</f>
        <v>#DIV/0!</v>
      </c>
      <c r="E38" s="50" t="e">
        <f>'Total Material Emissions'!E34*1000000/'Total Material Emissions'!B32</f>
        <v>#DIV/0!</v>
      </c>
      <c r="F38" s="50">
        <v>0</v>
      </c>
      <c r="G38" s="50">
        <v>0</v>
      </c>
      <c r="H38" s="50">
        <v>0</v>
      </c>
      <c r="I38" s="50">
        <v>0</v>
      </c>
      <c r="J38" s="50" t="e">
        <f>'Total Material Emissions'!H34*1000000/'Total Material Emissions'!B32</f>
        <v>#DIV/0!</v>
      </c>
      <c r="K38" s="50" t="e">
        <f>'Total Material Emissions'!I34*1000000/'Total Material Emissions'!B32</f>
        <v>#DIV/0!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 t="e">
        <f>'Total Material Emissions'!F34*1000000/'Total Material Emissions'!B32</f>
        <v>#DIV/0!</v>
      </c>
      <c r="S38" s="50" t="e">
        <f>'Total Material Emissions'!G34*1000000/'Total Material Emissions'!B32</f>
        <v>#DIV/0!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AB38" s="83">
        <v>0.2</v>
      </c>
    </row>
    <row r="39" spans="1:47" s="73" customFormat="1" ht="22.5">
      <c r="B39" s="77" t="s">
        <v>331</v>
      </c>
      <c r="C39" s="73" t="e">
        <f>'Total Material Emissions'!I59/'Total Material Emissions'!B57</f>
        <v>#DIV/0!</v>
      </c>
      <c r="D39" s="73">
        <v>0</v>
      </c>
      <c r="E39" s="73">
        <v>0</v>
      </c>
      <c r="F39" s="73">
        <v>0</v>
      </c>
      <c r="G39" s="73">
        <v>0</v>
      </c>
      <c r="H39" s="73" t="e">
        <f>'Total Material Emissions'!H59/'Total Material Emissions'!B57</f>
        <v>#DIV/0!</v>
      </c>
      <c r="I39" s="73" t="e">
        <f>'Total Material Emissions'!C59/'Total Material Emissions'!B57</f>
        <v>#DIV/0!</v>
      </c>
      <c r="J39" s="73" t="e">
        <f>'Total Material Emissions'!E59/'Total Material Emissions'!B57</f>
        <v>#DIV/0!</v>
      </c>
      <c r="K39" s="73" t="e">
        <f>'Total Material Emissions'!D59/'Total Material Emissions'!B57</f>
        <v>#DIV/0!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 t="e">
        <f>'Total Material Emissions'!F59/'Total Material Emissions'!B57</f>
        <v>#DIV/0!</v>
      </c>
      <c r="U39" s="73" t="e">
        <f>'Total Material Emissions'!G59/'Total Material Emissions'!B57</f>
        <v>#DIV/0!</v>
      </c>
      <c r="V39" s="73">
        <v>0</v>
      </c>
      <c r="W39" s="73">
        <v>0</v>
      </c>
      <c r="X39" s="73">
        <v>0</v>
      </c>
      <c r="AB39" s="84">
        <v>0.2</v>
      </c>
    </row>
    <row r="40" spans="1:47" s="59" customFormat="1" ht="22.5">
      <c r="B40" s="78" t="s">
        <v>332</v>
      </c>
      <c r="C40" s="85">
        <f>'Total Material Emissions'!C84</f>
        <v>0.89386666666666703</v>
      </c>
      <c r="D40" s="59">
        <v>0</v>
      </c>
      <c r="E40" s="85">
        <f>'Total Material Emissions'!E84</f>
        <v>9.68</v>
      </c>
      <c r="F40" s="85">
        <f>'Total Material Emissions'!D84</f>
        <v>0.921333333333333</v>
      </c>
      <c r="G40" s="85">
        <f>'Total Material Emissions'!G84</f>
        <v>0.35525000000000001</v>
      </c>
      <c r="H40" s="59">
        <v>0</v>
      </c>
      <c r="I40" s="85">
        <f>'Total Material Emissions'!F84</f>
        <v>0.11132499999999999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85">
        <f>'Total Material Emissions'!H84</f>
        <v>2.1688900000000002</v>
      </c>
      <c r="W40" s="85">
        <f>'Total Material Emissions'!I84</f>
        <v>3.9594499999999999</v>
      </c>
      <c r="X40" s="59">
        <v>0</v>
      </c>
      <c r="AB40" s="86">
        <v>0.2</v>
      </c>
    </row>
    <row r="41" spans="1:47" s="22" customFormat="1" ht="22.5">
      <c r="B41" s="79" t="s">
        <v>290</v>
      </c>
      <c r="C41" s="22">
        <f>'Total Material Emissions'!H106</f>
        <v>2.3849999999999998</v>
      </c>
      <c r="D41" s="22">
        <v>0</v>
      </c>
      <c r="E41" s="22">
        <f>'Total Material Emissions'!D106</f>
        <v>1.6786000000000001</v>
      </c>
      <c r="F41" s="22">
        <f>'Total Material Emissions'!E106</f>
        <v>0.89373999999999998</v>
      </c>
      <c r="G41" s="22">
        <f>'Total Material Emissions'!G106</f>
        <v>1.9E-2</v>
      </c>
      <c r="H41" s="22">
        <f>'Total Material Emissions'!C106</f>
        <v>0.84499999999999997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f>'Total Material Emissions'!F106</f>
        <v>0.49540000000000001</v>
      </c>
      <c r="AB41" s="87">
        <v>0.2</v>
      </c>
    </row>
    <row r="43" spans="1:47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B43" s="47"/>
      <c r="AC43" s="47"/>
      <c r="AD43" s="47"/>
    </row>
    <row r="44" spans="1:47">
      <c r="B44" s="2" t="s">
        <v>343</v>
      </c>
      <c r="C44" s="47"/>
      <c r="D44" s="40"/>
      <c r="E44" s="40"/>
      <c r="F44" s="40"/>
      <c r="G44" s="40"/>
      <c r="H44" s="40"/>
      <c r="I44" s="40"/>
      <c r="J44" s="40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B44" s="47"/>
      <c r="AC44" s="47"/>
      <c r="AD44" s="47"/>
    </row>
    <row r="45" spans="1:47">
      <c r="A45" s="2" t="s">
        <v>532</v>
      </c>
      <c r="C45" s="2" t="s">
        <v>323</v>
      </c>
      <c r="D45" s="94" t="s">
        <v>344</v>
      </c>
      <c r="E45" s="2" t="s">
        <v>345</v>
      </c>
      <c r="F45" s="2" t="s">
        <v>540</v>
      </c>
      <c r="G45" s="40"/>
      <c r="H45" s="40"/>
      <c r="I45" s="40"/>
      <c r="J45" s="40"/>
      <c r="K45" s="47"/>
      <c r="L45" s="47"/>
      <c r="M45" s="47"/>
      <c r="N45" s="47"/>
      <c r="O45" s="47"/>
      <c r="P45" s="47"/>
      <c r="Q45" s="47"/>
      <c r="R45" s="47"/>
      <c r="S45" s="47"/>
      <c r="T45" s="47" t="s">
        <v>233</v>
      </c>
      <c r="U45" s="47" t="s">
        <v>347</v>
      </c>
      <c r="V45" s="47" t="s">
        <v>348</v>
      </c>
      <c r="W45" s="47"/>
      <c r="X45" s="47"/>
      <c r="Y45" s="47"/>
      <c r="Z45" s="47"/>
      <c r="AB45" s="47"/>
      <c r="AC45" s="47"/>
      <c r="AD45" s="47"/>
    </row>
    <row r="46" spans="1:47" s="38" customFormat="1" ht="22.5">
      <c r="B46" s="75" t="s">
        <v>275</v>
      </c>
      <c r="C46" s="95">
        <v>29</v>
      </c>
      <c r="D46" s="95">
        <v>25</v>
      </c>
      <c r="E46" s="95">
        <v>34.200000000000003</v>
      </c>
      <c r="F46" s="95">
        <v>29.5</v>
      </c>
      <c r="G46" s="95">
        <v>20.3</v>
      </c>
      <c r="H46" s="95">
        <v>20.5</v>
      </c>
      <c r="I46" s="95">
        <v>4.5999999999999996</v>
      </c>
      <c r="J46" s="95">
        <v>7</v>
      </c>
      <c r="K46" s="95">
        <v>11</v>
      </c>
      <c r="L46" s="95">
        <v>11</v>
      </c>
      <c r="M46" s="95">
        <v>14.8</v>
      </c>
      <c r="N46" s="95">
        <v>15.8</v>
      </c>
      <c r="O46" s="95">
        <v>46.4</v>
      </c>
      <c r="P46" s="95">
        <v>21</v>
      </c>
      <c r="Q46" s="95">
        <v>17.7</v>
      </c>
      <c r="R46" s="95">
        <v>12</v>
      </c>
      <c r="T46" s="47">
        <f>AVERAGE(C46:R46)</f>
        <v>19.987500000000001</v>
      </c>
      <c r="U46" s="47">
        <f>STDEV(C46:R46)/SQRT(COUNT(C46:R46))</f>
        <v>2.7220683771720355</v>
      </c>
      <c r="V46" s="49">
        <f>U46/T46</f>
        <v>0.13618853669403555</v>
      </c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</row>
    <row r="47" spans="1:47" s="50" customFormat="1" ht="22.5">
      <c r="B47" s="76" t="s">
        <v>384</v>
      </c>
      <c r="C47" s="50">
        <v>30</v>
      </c>
      <c r="D47" s="50">
        <v>39.6</v>
      </c>
      <c r="E47" s="50">
        <v>20.5</v>
      </c>
      <c r="F47" s="50">
        <v>196</v>
      </c>
      <c r="G47" s="50">
        <v>14</v>
      </c>
      <c r="H47" s="50">
        <v>22</v>
      </c>
      <c r="P47" s="93"/>
      <c r="T47" s="47">
        <f t="shared" ref="T47:T50" si="2">AVERAGE(C47:R47)</f>
        <v>53.683333333333337</v>
      </c>
      <c r="U47" s="47">
        <f>STDEV(C47:R47)/SQRT(COUNT(C47:R47))</f>
        <v>28.689724254125867</v>
      </c>
      <c r="V47" s="49">
        <f t="shared" ref="V47:V52" si="3">U47/T47</f>
        <v>0.53442516462202794</v>
      </c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</row>
    <row r="48" spans="1:47" s="73" customFormat="1" ht="22.5">
      <c r="B48" s="77" t="s">
        <v>331</v>
      </c>
      <c r="C48" s="73">
        <v>53</v>
      </c>
      <c r="D48" s="73">
        <v>38</v>
      </c>
      <c r="E48" s="73">
        <v>91.1</v>
      </c>
      <c r="F48" s="73">
        <v>217</v>
      </c>
      <c r="G48" s="73">
        <v>30.5</v>
      </c>
      <c r="H48" s="73">
        <v>88</v>
      </c>
      <c r="I48" s="73">
        <v>38</v>
      </c>
      <c r="J48" s="73">
        <v>53</v>
      </c>
      <c r="K48" s="73">
        <v>43.9</v>
      </c>
      <c r="L48" s="73">
        <v>26</v>
      </c>
      <c r="M48" s="73">
        <v>79</v>
      </c>
      <c r="N48" s="73">
        <v>104</v>
      </c>
      <c r="O48" s="73">
        <v>106</v>
      </c>
      <c r="P48" s="73">
        <v>49.2</v>
      </c>
      <c r="Q48" s="73">
        <v>46</v>
      </c>
      <c r="T48" s="47">
        <f t="shared" si="2"/>
        <v>70.846666666666664</v>
      </c>
      <c r="U48" s="47">
        <f t="shared" ref="U48" si="4">STDEV(C48:R48)/SQRT(COUNT(C48:R48))</f>
        <v>12.480948783633497</v>
      </c>
      <c r="V48" s="49">
        <f t="shared" si="3"/>
        <v>0.17616846876305869</v>
      </c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</row>
    <row r="49" spans="1:47" s="59" customFormat="1" ht="22.5">
      <c r="B49" s="78" t="s">
        <v>332</v>
      </c>
      <c r="C49" s="59">
        <v>11</v>
      </c>
      <c r="D49" s="59">
        <v>11</v>
      </c>
      <c r="E49" s="59">
        <v>45.9</v>
      </c>
      <c r="F49" s="59">
        <v>15</v>
      </c>
      <c r="G49" s="59">
        <v>37.4</v>
      </c>
      <c r="H49" s="59">
        <v>46.8</v>
      </c>
      <c r="I49" s="59">
        <v>11.3</v>
      </c>
      <c r="J49" s="59">
        <v>4</v>
      </c>
      <c r="K49" s="59">
        <v>24</v>
      </c>
      <c r="L49" s="59">
        <v>15</v>
      </c>
      <c r="M49" s="59">
        <v>22.7</v>
      </c>
      <c r="N49" s="59">
        <v>4</v>
      </c>
      <c r="T49" s="47">
        <f t="shared" si="2"/>
        <v>20.675000000000001</v>
      </c>
      <c r="U49" s="47">
        <f>STDEV(C49:R49)/SQRT(COUNT(C49:R49))</f>
        <v>4.3600480432437818</v>
      </c>
      <c r="V49" s="49">
        <f t="shared" si="3"/>
        <v>0.21088503232134373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</row>
    <row r="50" spans="1:47" s="22" customFormat="1" ht="22.5">
      <c r="B50" s="79" t="s">
        <v>290</v>
      </c>
      <c r="C50" s="22">
        <v>15</v>
      </c>
      <c r="D50" s="22">
        <v>13</v>
      </c>
      <c r="E50" s="22">
        <v>53</v>
      </c>
      <c r="F50" s="22">
        <v>15</v>
      </c>
      <c r="G50" s="22">
        <v>41</v>
      </c>
      <c r="H50" s="22">
        <v>18.899999999999999</v>
      </c>
      <c r="I50" s="22">
        <v>45</v>
      </c>
      <c r="T50" s="47">
        <f t="shared" si="2"/>
        <v>28.7</v>
      </c>
      <c r="U50" s="47">
        <f>STDEV(C50:R50)/SQRT(COUNT(C50:R50))</f>
        <v>6.4094052914818995</v>
      </c>
      <c r="V50" s="49">
        <f t="shared" si="3"/>
        <v>0.22332422618403833</v>
      </c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</row>
    <row r="51" spans="1:47" s="123" customFormat="1" ht="22.5">
      <c r="B51" s="126" t="s">
        <v>375</v>
      </c>
      <c r="T51" s="47">
        <v>190</v>
      </c>
      <c r="U51" s="47">
        <v>38</v>
      </c>
      <c r="V51" s="109">
        <f t="shared" si="3"/>
        <v>0.2</v>
      </c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47" s="111" customFormat="1" ht="22.5">
      <c r="B52" s="125" t="s">
        <v>370</v>
      </c>
      <c r="T52" s="47">
        <v>732</v>
      </c>
      <c r="U52" s="47">
        <v>160</v>
      </c>
      <c r="V52" s="49">
        <f t="shared" si="3"/>
        <v>0.21857923497267759</v>
      </c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47" s="111" customFormat="1" ht="22.5">
      <c r="B53" s="125" t="s">
        <v>377</v>
      </c>
      <c r="T53" s="2">
        <v>492</v>
      </c>
      <c r="U53" s="47">
        <v>85</v>
      </c>
      <c r="V53" s="49">
        <f>U53/T53</f>
        <v>0.17276422764227642</v>
      </c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47" s="111" customFormat="1" ht="22.5">
      <c r="B54" s="125" t="s">
        <v>360</v>
      </c>
      <c r="T54" s="47">
        <v>1024</v>
      </c>
      <c r="U54" s="47">
        <v>187</v>
      </c>
      <c r="V54" s="109">
        <f>U54/T54</f>
        <v>0.1826171875</v>
      </c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47" s="38" customFormat="1" ht="22.5">
      <c r="B55" s="75" t="s">
        <v>385</v>
      </c>
      <c r="C55" s="95">
        <v>34.200000000000003</v>
      </c>
      <c r="D55" s="95">
        <v>29.5</v>
      </c>
      <c r="E55" s="95">
        <v>20.3</v>
      </c>
      <c r="F55" s="95">
        <v>20.5</v>
      </c>
      <c r="G55" s="95">
        <v>4.5999999999999996</v>
      </c>
      <c r="H55" s="95">
        <v>7</v>
      </c>
      <c r="I55" s="95">
        <v>11</v>
      </c>
      <c r="J55" s="95">
        <v>11</v>
      </c>
      <c r="K55" s="95">
        <v>14.8</v>
      </c>
      <c r="L55" s="95">
        <v>15.8</v>
      </c>
      <c r="M55" s="95">
        <v>46.4</v>
      </c>
      <c r="N55" s="95">
        <v>21</v>
      </c>
      <c r="O55" s="95">
        <v>17.7</v>
      </c>
      <c r="P55" s="95"/>
      <c r="Q55" s="95"/>
      <c r="R55" s="95"/>
      <c r="T55" s="47">
        <f>AVERAGE(C55:O55)</f>
        <v>19.523076923076925</v>
      </c>
      <c r="U55" s="47">
        <f>STDEV(C55:O55)/SQRT(COUNT(C55:O55))</f>
        <v>3.2079259584091258</v>
      </c>
      <c r="V55" s="49">
        <f>U55/T55</f>
        <v>0.16431456839763053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</row>
    <row r="56" spans="1:47" s="38" customFormat="1" ht="22.5">
      <c r="B56" s="75" t="s">
        <v>387</v>
      </c>
      <c r="C56" s="95">
        <v>5.3</v>
      </c>
      <c r="D56" s="95">
        <v>7</v>
      </c>
      <c r="E56" s="95">
        <v>13</v>
      </c>
      <c r="F56" s="95">
        <v>9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T56" s="47">
        <f>AVERAGE(C56:F56)</f>
        <v>8.5749999999999993</v>
      </c>
      <c r="U56" s="47">
        <f>STDEV(C56:F56)/SQRT(COUNT(C56:F56))</f>
        <v>1.6574956007985886</v>
      </c>
      <c r="V56" s="49">
        <f>U56/T56</f>
        <v>0.19329394761499577</v>
      </c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</row>
    <row r="57" spans="1:47" s="38" customFormat="1" ht="22.5">
      <c r="A57" s="125"/>
      <c r="B57" s="125" t="s">
        <v>467</v>
      </c>
      <c r="C57" s="111">
        <v>24.2</v>
      </c>
      <c r="D57" s="111">
        <v>24</v>
      </c>
      <c r="E57" s="111">
        <v>22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25"/>
      <c r="T57" s="47">
        <f>AVERAGE(C57:E57)</f>
        <v>23.400000000000002</v>
      </c>
      <c r="U57" s="47">
        <f>STDEV(C57:E57)/SQRT(COUNT(C57:E57))</f>
        <v>0.70237691685684922</v>
      </c>
      <c r="V57" s="49">
        <f t="shared" ref="V57:V60" si="5">U57/T57</f>
        <v>3.0016107557985006E-2</v>
      </c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</row>
    <row r="58" spans="1:47" s="38" customFormat="1" ht="22.5">
      <c r="A58" s="78"/>
      <c r="B58" s="78" t="s">
        <v>472</v>
      </c>
      <c r="C58" s="78">
        <v>118</v>
      </c>
      <c r="D58" s="78">
        <v>58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47">
        <f>AVERAGE(C58:D58)</f>
        <v>88</v>
      </c>
      <c r="U58" s="47">
        <f>STDEV(C58:D58)/SQRT(COUNT(C58:D58))</f>
        <v>30</v>
      </c>
      <c r="V58" s="49">
        <f t="shared" si="5"/>
        <v>0.34090909090909088</v>
      </c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</row>
    <row r="59" spans="1:47" s="38" customFormat="1" ht="22.5">
      <c r="A59" s="78"/>
      <c r="B59" s="78" t="s">
        <v>473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47" t="e">
        <f t="shared" ref="T59" si="6">AVERAGE(C59:F59)</f>
        <v>#DIV/0!</v>
      </c>
      <c r="U59" s="47" t="e">
        <f>STDEV(C59:F59)/SQRT(COUNT(C59:F59))</f>
        <v>#DIV/0!</v>
      </c>
      <c r="V59" s="49" t="e">
        <f t="shared" si="5"/>
        <v>#DIV/0!</v>
      </c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</row>
    <row r="60" spans="1:47" ht="22.5">
      <c r="A60" s="126"/>
      <c r="B60" s="126" t="s">
        <v>474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47" t="e">
        <f>AVERAGE(C60:F60)</f>
        <v>#DIV/0!</v>
      </c>
      <c r="U60" s="47" t="e">
        <f>STDEV(C60:F60)/SQRT(COUNT(C60:F60))</f>
        <v>#DIV/0!</v>
      </c>
      <c r="V60" s="49" t="e">
        <f t="shared" si="5"/>
        <v>#DIV/0!</v>
      </c>
      <c r="W60" s="47"/>
      <c r="X60" s="47"/>
      <c r="Y60" s="47"/>
      <c r="Z60" s="47"/>
      <c r="AB60" s="47"/>
      <c r="AC60" s="47"/>
      <c r="AD60" s="47"/>
    </row>
    <row r="61" spans="1:47" ht="22.5">
      <c r="A61" s="126"/>
      <c r="B61" s="126" t="s">
        <v>569</v>
      </c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47" t="e">
        <f>AVERAGE(C61:F61)</f>
        <v>#DIV/0!</v>
      </c>
      <c r="U61" s="47" t="e">
        <f>STDEV(C61:F61)/SQRT(COUNT(C61:F61))</f>
        <v>#DIV/0!</v>
      </c>
      <c r="V61" s="49" t="e">
        <f t="shared" ref="V61" si="7">U61/T61</f>
        <v>#DIV/0!</v>
      </c>
      <c r="W61" s="47"/>
      <c r="X61" s="47"/>
      <c r="Y61" s="47"/>
      <c r="Z61" s="47"/>
      <c r="AB61" s="47"/>
      <c r="AC61" s="47"/>
      <c r="AD61" s="47"/>
    </row>
    <row r="62" spans="1:47">
      <c r="A62" s="2" t="s">
        <v>345</v>
      </c>
      <c r="B62" s="2" t="s">
        <v>346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B62" s="47"/>
      <c r="AC62" s="47"/>
      <c r="AD62" s="47"/>
    </row>
    <row r="63" spans="1:47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B63" s="47"/>
      <c r="AC63" s="47"/>
      <c r="AD63" s="47"/>
    </row>
    <row r="64" spans="1:47">
      <c r="C64" s="47" t="s">
        <v>163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B64" s="47"/>
      <c r="AC64" s="47"/>
      <c r="AD64" s="47"/>
    </row>
    <row r="65" spans="2:30" ht="22.5">
      <c r="B65" s="75" t="s">
        <v>385</v>
      </c>
      <c r="C65" s="299">
        <f>VLOOKUP($B65,'Total Material Emissions'!$A$24:$P$319,16,FALSE)</f>
        <v>5.0738188420147896</v>
      </c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B65" s="47"/>
      <c r="AC65" s="47"/>
      <c r="AD65" s="47"/>
    </row>
    <row r="66" spans="2:30" ht="22.5">
      <c r="B66" s="76" t="s">
        <v>384</v>
      </c>
      <c r="C66" s="299">
        <f>VLOOKUP($B66,'Total Material Emissions'!$A$24:$P$319,16,FALSE)</f>
        <v>14.309494703758444</v>
      </c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B66" s="47"/>
      <c r="AC66" s="47"/>
      <c r="AD66" s="47"/>
    </row>
    <row r="67" spans="2:30" ht="22.5">
      <c r="B67" s="77" t="s">
        <v>331</v>
      </c>
      <c r="C67" s="299">
        <f>VLOOKUP($B67,'Total Material Emissions'!$A$24:$P$319,16,FALSE)</f>
        <v>24.383885421534909</v>
      </c>
      <c r="D67" s="47"/>
      <c r="E67" s="47"/>
      <c r="F67" s="47"/>
      <c r="G67" s="47"/>
      <c r="H67" s="47" t="s">
        <v>541</v>
      </c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B67" s="47"/>
      <c r="AC67" s="47"/>
      <c r="AD67" s="47"/>
    </row>
    <row r="68" spans="2:30" ht="22.5">
      <c r="B68" s="78" t="s">
        <v>332</v>
      </c>
      <c r="C68" s="299">
        <f>VLOOKUP($B68,'Total Material Emissions'!$A$24:$P$319,16,FALSE)</f>
        <v>1.3881914968667277</v>
      </c>
    </row>
    <row r="69" spans="2:30" ht="22.5">
      <c r="B69" s="79" t="s">
        <v>290</v>
      </c>
      <c r="C69" s="299">
        <f>VLOOKUP($B69,'Total Material Emissions'!$A$24:$P$319,16,FALSE)</f>
        <v>2.4364840189429082</v>
      </c>
    </row>
    <row r="70" spans="2:30" ht="22.5">
      <c r="B70" s="126" t="s">
        <v>375</v>
      </c>
      <c r="C70" s="299">
        <f>VLOOKUP($B70,'Total Material Emissions'!$A$24:$P$319,16,FALSE)</f>
        <v>1.083806481546417</v>
      </c>
    </row>
    <row r="71" spans="2:30" ht="22.5">
      <c r="B71" s="125" t="s">
        <v>370</v>
      </c>
      <c r="C71" s="299">
        <f>VLOOKUP($B71,'Total Material Emissions'!$A$24:$P$319,16,FALSE)</f>
        <v>0.11833780125907849</v>
      </c>
    </row>
    <row r="72" spans="2:30" ht="22.5">
      <c r="B72" s="125" t="s">
        <v>377</v>
      </c>
      <c r="C72" s="299">
        <f>VLOOKUP($B72,'Total Material Emissions'!$A$24:$P$319,16,FALSE)</f>
        <v>0.19651233588008918</v>
      </c>
    </row>
    <row r="73" spans="2:30" ht="22.5">
      <c r="B73" s="125" t="s">
        <v>360</v>
      </c>
      <c r="C73" s="299">
        <f>VLOOKUP($B73,'Total Material Emissions'!$A$24:$P$319,16,FALSE)</f>
        <v>0.33077782980495468</v>
      </c>
    </row>
    <row r="74" spans="2:30" ht="22.5">
      <c r="B74" s="75" t="s">
        <v>387</v>
      </c>
      <c r="C74" s="299">
        <f>VLOOKUP($B74,'Total Material Emissions'!$A$24:$P$319,16,FALSE)</f>
        <v>6.4264292237443177E-2</v>
      </c>
    </row>
    <row r="75" spans="2:30" ht="22.5">
      <c r="B75" s="125" t="s">
        <v>467</v>
      </c>
    </row>
    <row r="76" spans="2:30" ht="22.5">
      <c r="B76" s="78" t="s">
        <v>472</v>
      </c>
    </row>
    <row r="77" spans="2:30" ht="22.5">
      <c r="B77" s="78" t="s">
        <v>473</v>
      </c>
    </row>
    <row r="78" spans="2:30" ht="22.5">
      <c r="B78" s="126" t="s">
        <v>474</v>
      </c>
    </row>
    <row r="79" spans="2:30" ht="22.5">
      <c r="B79" s="126" t="s">
        <v>569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6F6F-986E-4170-8BB1-BBD934E630CA}">
  <sheetPr>
    <tabColor theme="4" tint="0.59999389629810485"/>
  </sheetPr>
  <dimension ref="A2:AJ90"/>
  <sheetViews>
    <sheetView topLeftCell="A22" zoomScale="70" zoomScaleNormal="70" workbookViewId="0">
      <selection activeCell="T35" sqref="T35"/>
    </sheetView>
  </sheetViews>
  <sheetFormatPr defaultRowHeight="15.75"/>
  <cols>
    <col min="2" max="2" width="24.875" customWidth="1"/>
    <col min="3" max="3" width="9.5625" bestFit="1" customWidth="1"/>
    <col min="4" max="4" width="19.75" bestFit="1" customWidth="1"/>
    <col min="5" max="5" width="11.4375" bestFit="1" customWidth="1"/>
    <col min="20" max="20" width="11.1875" customWidth="1"/>
    <col min="21" max="21" width="16.125" customWidth="1"/>
    <col min="22" max="22" width="15.375" customWidth="1"/>
  </cols>
  <sheetData>
    <row r="2" spans="1:36" s="2" customFormat="1" ht="22.15">
      <c r="A2" s="2" t="s">
        <v>536</v>
      </c>
      <c r="B2" s="2" t="s">
        <v>533</v>
      </c>
      <c r="C2" s="47" t="s">
        <v>535</v>
      </c>
      <c r="D2" s="40"/>
      <c r="E2" s="40"/>
      <c r="F2" s="40"/>
      <c r="G2" s="40"/>
      <c r="H2" s="40"/>
      <c r="I2" s="40"/>
      <c r="J2" s="4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F2"/>
    </row>
    <row r="3" spans="1:36" s="2" customFormat="1" ht="22.15">
      <c r="C3" s="55" t="s">
        <v>538</v>
      </c>
      <c r="D3" s="94"/>
      <c r="F3" s="40"/>
      <c r="G3" s="40"/>
      <c r="H3" s="40"/>
      <c r="I3" s="40"/>
      <c r="J3" s="40"/>
      <c r="K3" s="47"/>
      <c r="L3" s="47"/>
      <c r="M3" s="47"/>
      <c r="N3" s="47"/>
      <c r="O3" s="47"/>
      <c r="P3" s="47"/>
      <c r="Q3" s="47"/>
      <c r="R3" s="47"/>
      <c r="S3" s="47"/>
      <c r="T3" s="47" t="s">
        <v>27</v>
      </c>
      <c r="U3" s="47" t="s">
        <v>539</v>
      </c>
      <c r="V3" s="47" t="s">
        <v>264</v>
      </c>
      <c r="W3" s="47"/>
      <c r="X3" s="47"/>
      <c r="Y3" s="47"/>
      <c r="Z3" s="47"/>
      <c r="AA3" s="47"/>
      <c r="AB3" s="47"/>
      <c r="AC3" s="47"/>
      <c r="AD3" s="47"/>
      <c r="AF3"/>
    </row>
    <row r="4" spans="1:36" s="50" customFormat="1" ht="22.5">
      <c r="B4" s="76" t="s">
        <v>384</v>
      </c>
      <c r="P4" s="93"/>
      <c r="T4" s="47" t="e">
        <f t="shared" ref="T4:T7" si="0">AVERAGE(C4:R4)</f>
        <v>#DIV/0!</v>
      </c>
      <c r="U4" s="47" t="e">
        <f>STDEV(C4)/SQRT(COUNT(C4))</f>
        <v>#DIV/0!</v>
      </c>
      <c r="V4" s="49" t="e">
        <f>U4/T4</f>
        <v>#DIV/0!</v>
      </c>
      <c r="W4" s="47"/>
      <c r="X4" s="47"/>
      <c r="Y4" s="47"/>
      <c r="Z4" s="47"/>
      <c r="AA4" s="47"/>
      <c r="AB4" s="47"/>
      <c r="AC4" s="47"/>
      <c r="AD4" s="47"/>
      <c r="AE4" s="47"/>
      <c r="AF4"/>
      <c r="AG4" s="47"/>
      <c r="AH4" s="47"/>
      <c r="AI4" s="47"/>
      <c r="AJ4" s="47"/>
    </row>
    <row r="5" spans="1:36" s="73" customFormat="1" ht="22.5">
      <c r="B5" s="77" t="s">
        <v>331</v>
      </c>
      <c r="C5" s="73">
        <v>5370</v>
      </c>
      <c r="T5" s="47">
        <f t="shared" si="0"/>
        <v>5370</v>
      </c>
      <c r="U5" s="47" t="e">
        <f t="shared" ref="U5:U17" si="1">STDEV(C5)/SQRT(COUNT(C5))</f>
        <v>#DIV/0!</v>
      </c>
      <c r="V5" s="49" t="e">
        <f t="shared" ref="V5:V7" si="2">U5/T5</f>
        <v>#DIV/0!</v>
      </c>
      <c r="W5" s="47"/>
      <c r="X5" s="47"/>
      <c r="Y5" s="47"/>
      <c r="Z5" s="47"/>
      <c r="AA5" s="47"/>
      <c r="AB5" s="47"/>
      <c r="AC5" s="47"/>
      <c r="AD5" s="47"/>
      <c r="AE5" s="47"/>
      <c r="AF5"/>
      <c r="AG5" s="47"/>
      <c r="AH5" s="47"/>
      <c r="AI5" s="47"/>
      <c r="AJ5" s="47"/>
    </row>
    <row r="6" spans="1:36" s="59" customFormat="1" ht="22.5">
      <c r="B6" s="78" t="s">
        <v>332</v>
      </c>
      <c r="C6" s="59">
        <v>2500</v>
      </c>
      <c r="T6" s="47">
        <f t="shared" si="0"/>
        <v>2500</v>
      </c>
      <c r="U6" s="47" t="e">
        <f t="shared" si="1"/>
        <v>#DIV/0!</v>
      </c>
      <c r="V6" s="49" t="e">
        <f t="shared" si="2"/>
        <v>#DIV/0!</v>
      </c>
      <c r="W6" s="47"/>
      <c r="X6" s="47"/>
      <c r="Y6" s="47"/>
      <c r="Z6" s="47"/>
      <c r="AA6" s="47"/>
      <c r="AB6" s="47"/>
      <c r="AC6" s="47"/>
      <c r="AD6" s="47"/>
      <c r="AE6" s="47"/>
      <c r="AF6"/>
      <c r="AG6" s="47"/>
      <c r="AH6" s="47"/>
      <c r="AI6" s="47"/>
      <c r="AJ6" s="47"/>
    </row>
    <row r="7" spans="1:36" s="22" customFormat="1" ht="22.5">
      <c r="B7" s="79" t="s">
        <v>290</v>
      </c>
      <c r="C7" s="22">
        <v>27050</v>
      </c>
      <c r="T7" s="47">
        <f t="shared" si="0"/>
        <v>27050</v>
      </c>
      <c r="U7" s="47" t="e">
        <f t="shared" si="1"/>
        <v>#DIV/0!</v>
      </c>
      <c r="V7" s="49" t="e">
        <f t="shared" si="2"/>
        <v>#DIV/0!</v>
      </c>
      <c r="W7" s="47"/>
      <c r="X7" s="47"/>
      <c r="Y7" s="47"/>
      <c r="Z7" s="47"/>
      <c r="AA7" s="47"/>
      <c r="AB7" s="47"/>
      <c r="AC7" s="47"/>
      <c r="AD7" s="47"/>
      <c r="AE7" s="47"/>
      <c r="AF7"/>
      <c r="AG7" s="47"/>
      <c r="AH7" s="47"/>
      <c r="AI7" s="47"/>
      <c r="AJ7" s="47"/>
    </row>
    <row r="8" spans="1:36" s="123" customFormat="1" ht="22.5">
      <c r="B8" s="126" t="s">
        <v>375</v>
      </c>
      <c r="T8" s="47" t="e">
        <f t="shared" ref="T8:T11" si="3">AVERAGE(C8:R8)</f>
        <v>#DIV/0!</v>
      </c>
      <c r="U8" s="47" t="e">
        <f t="shared" si="1"/>
        <v>#DIV/0!</v>
      </c>
      <c r="V8" s="49" t="e">
        <f t="shared" ref="V8:V11" si="4">U8/T8</f>
        <v>#DIV/0!</v>
      </c>
      <c r="W8" s="47"/>
      <c r="X8" s="47"/>
      <c r="Y8" s="47"/>
      <c r="Z8" s="47"/>
      <c r="AA8" s="47"/>
      <c r="AB8" s="47"/>
      <c r="AC8" s="47"/>
      <c r="AD8" s="47"/>
      <c r="AE8" s="47"/>
      <c r="AF8"/>
      <c r="AG8" s="47"/>
      <c r="AH8" s="47"/>
      <c r="AI8" s="47"/>
      <c r="AJ8" s="47"/>
    </row>
    <row r="9" spans="1:36" s="111" customFormat="1" ht="22.5">
      <c r="B9" s="125" t="s">
        <v>370</v>
      </c>
      <c r="C9" s="111">
        <v>2500</v>
      </c>
      <c r="T9" s="47">
        <f t="shared" si="3"/>
        <v>2500</v>
      </c>
      <c r="U9" s="47" t="e">
        <f t="shared" si="1"/>
        <v>#DIV/0!</v>
      </c>
      <c r="V9" s="49" t="e">
        <f t="shared" si="4"/>
        <v>#DIV/0!</v>
      </c>
      <c r="W9" s="47"/>
      <c r="X9" s="47"/>
      <c r="Y9" s="47"/>
      <c r="Z9" s="47"/>
      <c r="AA9" s="47"/>
      <c r="AB9" s="47"/>
      <c r="AC9" s="47"/>
      <c r="AD9" s="47"/>
      <c r="AE9" s="47"/>
      <c r="AF9"/>
      <c r="AG9" s="47"/>
      <c r="AH9" s="47"/>
      <c r="AI9" s="47"/>
      <c r="AJ9" s="47"/>
    </row>
    <row r="10" spans="1:36" s="111" customFormat="1" ht="22.5">
      <c r="B10" s="125" t="s">
        <v>377</v>
      </c>
      <c r="C10" s="111">
        <v>2500</v>
      </c>
      <c r="T10" s="47">
        <f t="shared" si="3"/>
        <v>2500</v>
      </c>
      <c r="U10" s="47" t="e">
        <f t="shared" si="1"/>
        <v>#DIV/0!</v>
      </c>
      <c r="V10" s="49" t="e">
        <f t="shared" si="4"/>
        <v>#DIV/0!</v>
      </c>
      <c r="W10" s="47"/>
      <c r="X10" s="47"/>
      <c r="Y10" s="47"/>
      <c r="Z10" s="47"/>
      <c r="AA10" s="47"/>
      <c r="AB10" s="47"/>
      <c r="AC10" s="47"/>
      <c r="AD10" s="47"/>
      <c r="AE10" s="47"/>
      <c r="AF10"/>
      <c r="AG10" s="47"/>
      <c r="AH10" s="47"/>
      <c r="AI10" s="47"/>
      <c r="AJ10" s="47"/>
    </row>
    <row r="11" spans="1:36" s="111" customFormat="1" ht="22.5">
      <c r="B11" s="125" t="s">
        <v>360</v>
      </c>
      <c r="C11" s="111">
        <v>2500</v>
      </c>
      <c r="T11" s="47">
        <f t="shared" si="3"/>
        <v>2500</v>
      </c>
      <c r="U11" s="47" t="e">
        <f t="shared" si="1"/>
        <v>#DIV/0!</v>
      </c>
      <c r="V11" s="49" t="e">
        <f t="shared" si="4"/>
        <v>#DIV/0!</v>
      </c>
      <c r="W11" s="47"/>
      <c r="X11" s="47"/>
      <c r="Y11" s="47"/>
      <c r="Z11" s="47"/>
      <c r="AA11" s="47"/>
      <c r="AB11" s="47"/>
      <c r="AC11" s="47"/>
      <c r="AD11" s="47"/>
      <c r="AE11" s="47"/>
      <c r="AF11"/>
      <c r="AG11" s="47"/>
      <c r="AH11" s="47"/>
      <c r="AI11" s="47"/>
      <c r="AJ11" s="47"/>
    </row>
    <row r="12" spans="1:36" s="38" customFormat="1" ht="22.5">
      <c r="B12" s="75" t="s">
        <v>385</v>
      </c>
      <c r="C12" s="95">
        <v>5635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T12" s="47">
        <f>AVERAGE(C12:O12)</f>
        <v>5635</v>
      </c>
      <c r="U12" s="47" t="e">
        <f t="shared" si="1"/>
        <v>#DIV/0!</v>
      </c>
      <c r="V12" s="49" t="e">
        <f>U12/T12</f>
        <v>#DIV/0!</v>
      </c>
      <c r="W12" s="47"/>
      <c r="X12" s="47"/>
      <c r="Y12" s="47"/>
      <c r="Z12" s="47"/>
      <c r="AA12" s="47"/>
      <c r="AB12" s="47"/>
      <c r="AC12" s="47"/>
      <c r="AD12" s="47"/>
      <c r="AE12" s="47"/>
      <c r="AF12"/>
      <c r="AG12" s="47"/>
      <c r="AH12" s="47"/>
      <c r="AI12" s="47"/>
      <c r="AJ12" s="47"/>
    </row>
    <row r="13" spans="1:36" s="38" customFormat="1" ht="22.5">
      <c r="B13" s="75" t="s">
        <v>387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T13" s="47" t="e">
        <f>AVERAGE(C13:F13)</f>
        <v>#DIV/0!</v>
      </c>
      <c r="U13" s="47" t="e">
        <f t="shared" si="1"/>
        <v>#DIV/0!</v>
      </c>
      <c r="V13" s="49" t="e">
        <f>U13/T13</f>
        <v>#DIV/0!</v>
      </c>
      <c r="W13" s="47"/>
      <c r="X13" s="47"/>
      <c r="Y13" s="47"/>
      <c r="Z13" s="47"/>
      <c r="AA13" s="47"/>
      <c r="AB13" s="47"/>
      <c r="AC13" s="47"/>
      <c r="AD13" s="47"/>
      <c r="AE13" s="47"/>
      <c r="AF13"/>
      <c r="AG13" s="47"/>
      <c r="AH13" s="47"/>
      <c r="AI13" s="47"/>
      <c r="AJ13" s="47"/>
    </row>
    <row r="14" spans="1:36" ht="22.5">
      <c r="A14" s="111"/>
      <c r="B14" s="125" t="s">
        <v>467</v>
      </c>
      <c r="C14" s="111">
        <v>2500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47">
        <f>AVERAGE(C14:F14)</f>
        <v>2500</v>
      </c>
      <c r="U14" s="47" t="e">
        <f t="shared" si="1"/>
        <v>#DIV/0!</v>
      </c>
      <c r="V14" s="49" t="e">
        <f>U14/T14</f>
        <v>#DIV/0!</v>
      </c>
    </row>
    <row r="15" spans="1:36" ht="22.5">
      <c r="A15" s="59"/>
      <c r="B15" s="78" t="s">
        <v>472</v>
      </c>
      <c r="C15" s="59">
        <v>36055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47">
        <f>AVERAGE(C15:R15)</f>
        <v>36055</v>
      </c>
      <c r="U15" s="47" t="e">
        <f t="shared" si="1"/>
        <v>#DIV/0!</v>
      </c>
      <c r="V15" s="49" t="e">
        <f t="shared" ref="V15:V17" si="5">U15/T15</f>
        <v>#DIV/0!</v>
      </c>
    </row>
    <row r="16" spans="1:36" ht="22.5">
      <c r="A16" s="59"/>
      <c r="B16" s="78" t="s">
        <v>473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47" t="e">
        <f t="shared" ref="T16:T17" si="6">AVERAGE(C16:R16)</f>
        <v>#DIV/0!</v>
      </c>
      <c r="U16" s="47" t="e">
        <f t="shared" si="1"/>
        <v>#DIV/0!</v>
      </c>
      <c r="V16" s="49" t="e">
        <f t="shared" si="5"/>
        <v>#DIV/0!</v>
      </c>
    </row>
    <row r="17" spans="1:26" ht="22.5">
      <c r="A17" s="123"/>
      <c r="B17" s="126" t="s">
        <v>474</v>
      </c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47" t="e">
        <f t="shared" si="6"/>
        <v>#DIV/0!</v>
      </c>
      <c r="U17" s="47" t="e">
        <f t="shared" si="1"/>
        <v>#DIV/0!</v>
      </c>
      <c r="V17" s="49" t="e">
        <f t="shared" si="5"/>
        <v>#DIV/0!</v>
      </c>
    </row>
    <row r="18" spans="1:26" ht="22.15">
      <c r="C18" s="55"/>
      <c r="D18" s="94"/>
    </row>
    <row r="19" spans="1:26" ht="22.15">
      <c r="A19" s="2"/>
      <c r="B19" s="2" t="s">
        <v>534</v>
      </c>
      <c r="C19" s="55" t="s">
        <v>538</v>
      </c>
      <c r="D19" s="94" t="s">
        <v>543</v>
      </c>
      <c r="E19" s="47"/>
      <c r="F19" s="40"/>
      <c r="G19" s="40"/>
      <c r="H19" s="40"/>
      <c r="I19" s="40"/>
      <c r="J19" s="4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6" ht="22.15">
      <c r="A20" s="2"/>
      <c r="B20" s="2" t="s">
        <v>564</v>
      </c>
      <c r="C20" s="47" t="s">
        <v>537</v>
      </c>
      <c r="D20" s="47" t="s">
        <v>542</v>
      </c>
      <c r="E20" s="2"/>
      <c r="F20" s="40"/>
      <c r="G20" s="40"/>
      <c r="H20" s="40"/>
      <c r="I20" s="40"/>
      <c r="J20" s="40"/>
      <c r="K20" s="47"/>
      <c r="L20" s="47"/>
      <c r="M20" s="47"/>
      <c r="N20" s="47"/>
      <c r="O20" s="47"/>
      <c r="P20" s="47"/>
      <c r="Q20" s="47"/>
      <c r="R20" s="47"/>
      <c r="S20" s="47"/>
      <c r="T20" s="47" t="s">
        <v>27</v>
      </c>
      <c r="U20" s="47" t="s">
        <v>539</v>
      </c>
      <c r="V20" s="47" t="s">
        <v>264</v>
      </c>
    </row>
    <row r="21" spans="1:26" ht="22.5">
      <c r="A21" s="50"/>
      <c r="B21" s="76" t="s">
        <v>384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93"/>
      <c r="Q21" s="50"/>
      <c r="R21" s="50"/>
      <c r="S21" s="50"/>
      <c r="T21" s="47" t="e">
        <f t="shared" ref="T21:T24" si="7">AVERAGE(C21:R21)</f>
        <v>#DIV/0!</v>
      </c>
      <c r="U21" s="47" t="e">
        <f t="shared" ref="U21:U32" si="8">STDEV(C21)/SQRT(COUNT(C21))</f>
        <v>#DIV/0!</v>
      </c>
      <c r="V21" s="49" t="e">
        <f t="shared" ref="V21:V24" si="9">U21/T21</f>
        <v>#DIV/0!</v>
      </c>
    </row>
    <row r="22" spans="1:26" ht="22.5">
      <c r="A22" s="73"/>
      <c r="B22" s="77" t="s">
        <v>331</v>
      </c>
      <c r="C22" s="73">
        <v>35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47">
        <f t="shared" si="7"/>
        <v>35</v>
      </c>
      <c r="U22" s="47" t="e">
        <f t="shared" si="8"/>
        <v>#DIV/0!</v>
      </c>
      <c r="V22" s="49" t="e">
        <f t="shared" si="9"/>
        <v>#DIV/0!</v>
      </c>
    </row>
    <row r="23" spans="1:26" ht="22.5">
      <c r="A23" s="59"/>
      <c r="B23" s="78" t="s">
        <v>332</v>
      </c>
      <c r="C23" s="59">
        <v>750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47">
        <f t="shared" si="7"/>
        <v>750</v>
      </c>
      <c r="U23" s="47" t="e">
        <f t="shared" si="8"/>
        <v>#DIV/0!</v>
      </c>
      <c r="V23" s="49" t="e">
        <f t="shared" si="9"/>
        <v>#DIV/0!</v>
      </c>
    </row>
    <row r="24" spans="1:26" ht="22.5">
      <c r="A24" s="22"/>
      <c r="B24" s="79" t="s">
        <v>290</v>
      </c>
      <c r="C24" s="22">
        <v>18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47">
        <f t="shared" si="7"/>
        <v>18</v>
      </c>
      <c r="U24" s="47" t="e">
        <f t="shared" si="8"/>
        <v>#DIV/0!</v>
      </c>
      <c r="V24" s="49" t="e">
        <f t="shared" si="9"/>
        <v>#DIV/0!</v>
      </c>
    </row>
    <row r="25" spans="1:26" ht="22.5">
      <c r="A25" s="123"/>
      <c r="B25" s="126" t="s">
        <v>375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47" t="e">
        <f t="shared" ref="T25:T28" si="10">AVERAGE(C25:R25)</f>
        <v>#DIV/0!</v>
      </c>
      <c r="U25" s="47" t="e">
        <f t="shared" si="8"/>
        <v>#DIV/0!</v>
      </c>
      <c r="V25" s="49" t="e">
        <f t="shared" ref="V25:V28" si="11">U25/T25</f>
        <v>#DIV/0!</v>
      </c>
    </row>
    <row r="26" spans="1:26" ht="22.5">
      <c r="A26" s="111"/>
      <c r="B26" s="125" t="s">
        <v>370</v>
      </c>
      <c r="C26" s="111">
        <v>2.5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47">
        <f t="shared" si="10"/>
        <v>2.5</v>
      </c>
      <c r="U26" s="47" t="e">
        <f t="shared" si="8"/>
        <v>#DIV/0!</v>
      </c>
      <c r="V26" s="49" t="e">
        <f t="shared" si="11"/>
        <v>#DIV/0!</v>
      </c>
    </row>
    <row r="27" spans="1:26" ht="22.5">
      <c r="A27" s="111"/>
      <c r="B27" s="125" t="s">
        <v>377</v>
      </c>
      <c r="C27" s="111">
        <v>2.5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47">
        <f t="shared" si="10"/>
        <v>2.5</v>
      </c>
      <c r="U27" s="47" t="e">
        <f t="shared" si="8"/>
        <v>#DIV/0!</v>
      </c>
      <c r="V27" s="49" t="e">
        <f t="shared" si="11"/>
        <v>#DIV/0!</v>
      </c>
    </row>
    <row r="28" spans="1:26" ht="22.5">
      <c r="A28" s="111"/>
      <c r="B28" s="125" t="s">
        <v>360</v>
      </c>
      <c r="C28" s="111">
        <v>2.5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47">
        <f t="shared" si="10"/>
        <v>2.5</v>
      </c>
      <c r="U28" s="47" t="e">
        <f t="shared" si="8"/>
        <v>#DIV/0!</v>
      </c>
      <c r="V28" s="49" t="e">
        <f t="shared" si="11"/>
        <v>#DIV/0!</v>
      </c>
      <c r="Y28">
        <f>0.4*1000/150</f>
        <v>2.6666666666666665</v>
      </c>
      <c r="Z28">
        <f>0.0016*1000/350</f>
        <v>4.5714285714285718E-3</v>
      </c>
    </row>
    <row r="29" spans="1:26" ht="22.5">
      <c r="A29" s="38"/>
      <c r="B29" s="75" t="s">
        <v>385</v>
      </c>
      <c r="C29" s="95">
        <v>100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38"/>
      <c r="T29" s="47">
        <f>AVERAGE(C29:O29)</f>
        <v>100</v>
      </c>
      <c r="U29" s="47" t="e">
        <f t="shared" si="8"/>
        <v>#DIV/0!</v>
      </c>
      <c r="V29" s="49" t="e">
        <f>U29/T29</f>
        <v>#DIV/0!</v>
      </c>
    </row>
    <row r="30" spans="1:26" ht="22.5">
      <c r="A30" s="38"/>
      <c r="B30" s="75" t="s">
        <v>387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38"/>
      <c r="T30" s="47" t="e">
        <f>AVERAGE(C30:F30)</f>
        <v>#DIV/0!</v>
      </c>
      <c r="U30" s="47" t="e">
        <f t="shared" si="8"/>
        <v>#DIV/0!</v>
      </c>
      <c r="V30" s="49" t="e">
        <f>U30/T30</f>
        <v>#DIV/0!</v>
      </c>
    </row>
    <row r="31" spans="1:26" ht="22.5">
      <c r="A31" s="111"/>
      <c r="B31" s="125" t="s">
        <v>467</v>
      </c>
      <c r="C31" s="111">
        <v>2.5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47">
        <f t="shared" ref="T31" si="12">AVERAGE(C31:R31)</f>
        <v>2.5</v>
      </c>
      <c r="U31" s="47" t="e">
        <f t="shared" si="8"/>
        <v>#DIV/0!</v>
      </c>
      <c r="V31" s="49" t="e">
        <f t="shared" ref="V31" si="13">U31/T31</f>
        <v>#DIV/0!</v>
      </c>
    </row>
    <row r="32" spans="1:26" ht="22.5">
      <c r="A32" s="59"/>
      <c r="B32" s="78" t="s">
        <v>472</v>
      </c>
      <c r="C32" s="59">
        <v>5000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47">
        <f t="shared" ref="T32" si="14">AVERAGE(C32:R32)</f>
        <v>5000</v>
      </c>
      <c r="U32" s="47" t="e">
        <f t="shared" si="8"/>
        <v>#DIV/0!</v>
      </c>
      <c r="V32" s="49" t="e">
        <f t="shared" ref="V32" si="15">U32/T32</f>
        <v>#DIV/0!</v>
      </c>
    </row>
    <row r="33" spans="1:22" ht="22.5">
      <c r="A33" s="59"/>
      <c r="B33" s="78" t="s">
        <v>473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47" t="e">
        <f t="shared" ref="T33:T34" si="16">AVERAGE(C33:R33)</f>
        <v>#DIV/0!</v>
      </c>
      <c r="U33" s="47" t="e">
        <f t="shared" ref="U33:U34" si="17">STDEV(C33)/SQRT(COUNT(C33))</f>
        <v>#DIV/0!</v>
      </c>
      <c r="V33" s="49" t="e">
        <f t="shared" ref="V33:V34" si="18">U33/T33</f>
        <v>#DIV/0!</v>
      </c>
    </row>
    <row r="34" spans="1:22" ht="22.5">
      <c r="A34" s="123"/>
      <c r="B34" s="126" t="s">
        <v>474</v>
      </c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47" t="e">
        <f t="shared" si="16"/>
        <v>#DIV/0!</v>
      </c>
      <c r="U34" s="47" t="e">
        <f t="shared" si="17"/>
        <v>#DIV/0!</v>
      </c>
      <c r="V34" s="49" t="e">
        <f t="shared" si="18"/>
        <v>#DIV/0!</v>
      </c>
    </row>
    <row r="35" spans="1:22" ht="22.5">
      <c r="A35" s="111"/>
      <c r="B35" s="125" t="s">
        <v>569</v>
      </c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47" t="e">
        <f t="shared" ref="T35" si="19">AVERAGE(C35:R35)</f>
        <v>#DIV/0!</v>
      </c>
      <c r="U35" s="47" t="e">
        <f t="shared" ref="U35" si="20">STDEV(C35)/SQRT(COUNT(C35))</f>
        <v>#DIV/0!</v>
      </c>
      <c r="V35" s="49" t="e">
        <f t="shared" ref="V35" si="21">U35/T35</f>
        <v>#DIV/0!</v>
      </c>
    </row>
    <row r="37" spans="1:22" ht="22.15">
      <c r="A37" s="2" t="s">
        <v>536</v>
      </c>
      <c r="B37" s="2" t="s">
        <v>545</v>
      </c>
      <c r="C37" s="47"/>
      <c r="D37" s="40"/>
      <c r="E37" s="40"/>
      <c r="F37" s="40"/>
      <c r="G37" s="40"/>
      <c r="H37" s="40"/>
      <c r="I37" s="40"/>
      <c r="J37" s="40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</row>
    <row r="38" spans="1:22" ht="180">
      <c r="A38" s="2"/>
      <c r="B38" s="2" t="s">
        <v>566</v>
      </c>
      <c r="C38" s="40" t="s">
        <v>22</v>
      </c>
      <c r="D38" s="40" t="s">
        <v>546</v>
      </c>
      <c r="E38" s="40" t="s">
        <v>547</v>
      </c>
      <c r="F38" s="40" t="s">
        <v>556</v>
      </c>
      <c r="G38" s="40" t="s">
        <v>557</v>
      </c>
      <c r="H38" s="47"/>
      <c r="I38" s="47"/>
      <c r="J38" s="2" t="s">
        <v>565</v>
      </c>
      <c r="K38" s="40" t="s">
        <v>547</v>
      </c>
      <c r="L38" s="40"/>
      <c r="M38" s="40"/>
      <c r="N38" s="40"/>
      <c r="O38" s="40"/>
      <c r="P38" s="47"/>
      <c r="Q38" s="47"/>
      <c r="R38" s="47"/>
      <c r="S38" s="47"/>
      <c r="T38" s="47" t="s">
        <v>15</v>
      </c>
      <c r="U38" s="47"/>
      <c r="V38" s="47"/>
    </row>
    <row r="39" spans="1:22" ht="22.5">
      <c r="A39" s="50"/>
      <c r="B39" s="76" t="s">
        <v>384</v>
      </c>
      <c r="C39" s="50">
        <v>4</v>
      </c>
      <c r="D39" s="50">
        <v>8</v>
      </c>
      <c r="E39" s="50">
        <v>0.6</v>
      </c>
      <c r="F39" s="50"/>
      <c r="G39" s="50">
        <v>1.33</v>
      </c>
      <c r="H39" s="50"/>
      <c r="I39" s="50"/>
      <c r="J39" s="50"/>
      <c r="K39" s="50"/>
      <c r="L39" s="50"/>
      <c r="M39" s="50"/>
      <c r="N39" s="50"/>
      <c r="O39" s="50"/>
      <c r="P39" s="93"/>
      <c r="Q39" s="50"/>
      <c r="R39" s="50"/>
      <c r="S39" s="50"/>
      <c r="T39" s="47">
        <f>SUM(C39:G39)</f>
        <v>13.93</v>
      </c>
      <c r="U39" s="47"/>
      <c r="V39" s="49"/>
    </row>
    <row r="40" spans="1:22" ht="22.5">
      <c r="A40" s="73"/>
      <c r="B40" s="77" t="s">
        <v>548</v>
      </c>
      <c r="C40" s="73">
        <v>6.7</v>
      </c>
      <c r="D40" s="73">
        <v>13</v>
      </c>
      <c r="E40" s="73">
        <v>0.7</v>
      </c>
      <c r="F40" s="73"/>
      <c r="G40" s="73">
        <v>0.8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47">
        <f t="shared" ref="T40:T61" si="22">SUM(C40:G40)</f>
        <v>21.2</v>
      </c>
      <c r="U40" s="47"/>
      <c r="V40" s="49"/>
    </row>
    <row r="41" spans="1:22" ht="22.5">
      <c r="A41" s="73"/>
      <c r="B41" s="77" t="s">
        <v>549</v>
      </c>
      <c r="C41" s="73">
        <v>6.7</v>
      </c>
      <c r="D41" s="73">
        <v>26</v>
      </c>
      <c r="E41" s="73">
        <v>1.4</v>
      </c>
      <c r="F41" s="73"/>
      <c r="G41" s="73">
        <v>1.21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47">
        <f t="shared" si="22"/>
        <v>35.31</v>
      </c>
      <c r="U41" s="47"/>
      <c r="V41" s="49"/>
    </row>
    <row r="42" spans="1:22" ht="22.5">
      <c r="A42" s="59"/>
      <c r="B42" s="78" t="s">
        <v>550</v>
      </c>
      <c r="C42" s="59">
        <v>3.5</v>
      </c>
      <c r="D42" s="59">
        <v>7.4</v>
      </c>
      <c r="E42" s="59">
        <v>0.2</v>
      </c>
      <c r="F42" s="59"/>
      <c r="G42" s="59">
        <v>2.2200000000000002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47">
        <f t="shared" si="22"/>
        <v>13.32</v>
      </c>
      <c r="U42" s="47"/>
      <c r="V42" s="49"/>
    </row>
    <row r="43" spans="1:22" ht="22.5">
      <c r="A43" s="59"/>
      <c r="B43" s="78" t="s">
        <v>551</v>
      </c>
      <c r="C43" s="59">
        <v>8.75</v>
      </c>
      <c r="D43" s="59">
        <v>18.5</v>
      </c>
      <c r="E43" s="59">
        <v>0.5</v>
      </c>
      <c r="F43" s="59"/>
      <c r="G43" s="59">
        <v>5.55</v>
      </c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47">
        <f t="shared" si="22"/>
        <v>33.299999999999997</v>
      </c>
      <c r="U43" s="47"/>
      <c r="V43" s="49"/>
    </row>
    <row r="44" spans="1:22" ht="22.5">
      <c r="A44" s="22"/>
      <c r="B44" s="79" t="s">
        <v>290</v>
      </c>
      <c r="C44" s="22">
        <v>3.9</v>
      </c>
      <c r="D44" s="22">
        <v>6.8</v>
      </c>
      <c r="E44" s="22">
        <v>0.4</v>
      </c>
      <c r="F44" s="22"/>
      <c r="G44" s="22">
        <v>0.21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47">
        <f t="shared" si="22"/>
        <v>11.31</v>
      </c>
      <c r="U44" s="47"/>
      <c r="V44" s="49"/>
    </row>
    <row r="45" spans="1:22" ht="22.5">
      <c r="A45" s="123"/>
      <c r="B45" s="126" t="s">
        <v>375</v>
      </c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47">
        <f t="shared" si="22"/>
        <v>0</v>
      </c>
      <c r="U45" s="47"/>
      <c r="V45" s="49"/>
    </row>
    <row r="46" spans="1:22" ht="22.5">
      <c r="A46" s="111"/>
      <c r="B46" s="125" t="s">
        <v>370</v>
      </c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47">
        <f t="shared" si="22"/>
        <v>0</v>
      </c>
      <c r="U46" s="47"/>
      <c r="V46" s="49"/>
    </row>
    <row r="47" spans="1:22" ht="22.5">
      <c r="A47" s="111"/>
      <c r="B47" s="125" t="s">
        <v>558</v>
      </c>
      <c r="C47" s="111">
        <v>0.93</v>
      </c>
      <c r="D47" s="111">
        <v>1.3</v>
      </c>
      <c r="E47" s="111">
        <v>0.14000000000000001</v>
      </c>
      <c r="F47" s="111">
        <v>15.1</v>
      </c>
      <c r="G47" s="111">
        <v>0.21</v>
      </c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47">
        <f t="shared" si="22"/>
        <v>17.68</v>
      </c>
      <c r="U47" s="47"/>
      <c r="V47" s="49"/>
    </row>
    <row r="48" spans="1:22" ht="22.5">
      <c r="A48" s="111"/>
      <c r="B48" s="125" t="s">
        <v>559</v>
      </c>
      <c r="C48" s="111">
        <v>0.93</v>
      </c>
      <c r="D48" s="111">
        <v>1.3</v>
      </c>
      <c r="E48" s="111">
        <v>0.14000000000000001</v>
      </c>
      <c r="F48" s="111"/>
      <c r="G48" s="111">
        <v>0.21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47">
        <f t="shared" si="22"/>
        <v>2.58</v>
      </c>
      <c r="U48" s="47"/>
      <c r="V48" s="49"/>
    </row>
    <row r="49" spans="1:26" ht="22.5">
      <c r="A49" s="111"/>
      <c r="B49" s="125" t="s">
        <v>360</v>
      </c>
      <c r="C49" s="111">
        <v>5.4</v>
      </c>
      <c r="D49" s="111">
        <v>11.2</v>
      </c>
      <c r="E49" s="111">
        <v>0.14000000000000001</v>
      </c>
      <c r="F49" s="111">
        <v>39.700000000000003</v>
      </c>
      <c r="G49" s="111">
        <v>1.65</v>
      </c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47">
        <f t="shared" si="22"/>
        <v>58.09</v>
      </c>
      <c r="U49" s="47"/>
      <c r="V49" s="49"/>
    </row>
    <row r="50" spans="1:26" ht="22.5">
      <c r="A50" s="38"/>
      <c r="B50" s="75" t="s">
        <v>385</v>
      </c>
      <c r="C50" s="95">
        <v>4.7</v>
      </c>
      <c r="D50" s="95">
        <v>3.2</v>
      </c>
      <c r="E50" s="95">
        <v>0.3</v>
      </c>
      <c r="F50" s="95"/>
      <c r="G50" s="95">
        <v>0.72</v>
      </c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38"/>
      <c r="T50" s="47">
        <f t="shared" si="22"/>
        <v>8.9200000000000017</v>
      </c>
      <c r="U50" s="47"/>
      <c r="V50" s="49"/>
    </row>
    <row r="51" spans="1:26" ht="22.5">
      <c r="A51" s="38"/>
      <c r="B51" s="75" t="s">
        <v>387</v>
      </c>
      <c r="C51" s="95">
        <v>15.6</v>
      </c>
      <c r="D51" s="95">
        <v>8</v>
      </c>
      <c r="E51" s="95">
        <v>0.2</v>
      </c>
      <c r="F51" s="95"/>
      <c r="G51" s="95">
        <v>2.99</v>
      </c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38"/>
      <c r="T51" s="47">
        <f t="shared" si="22"/>
        <v>26.79</v>
      </c>
      <c r="U51" s="47"/>
      <c r="V51" s="49"/>
    </row>
    <row r="52" spans="1:26" ht="22.5">
      <c r="A52" s="111"/>
      <c r="B52" s="125" t="s">
        <v>467</v>
      </c>
      <c r="C52" s="111">
        <v>1.3</v>
      </c>
      <c r="D52" s="111">
        <v>11.8</v>
      </c>
      <c r="E52" s="111">
        <v>0.6</v>
      </c>
      <c r="F52" s="111">
        <v>1E-3</v>
      </c>
      <c r="G52" s="111">
        <v>0.95</v>
      </c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47">
        <f>SUM(C52:E52)</f>
        <v>13.700000000000001</v>
      </c>
      <c r="U52" s="47"/>
      <c r="V52" s="49"/>
    </row>
    <row r="53" spans="1:26" ht="22.5">
      <c r="A53" s="59"/>
      <c r="B53" s="78" t="s">
        <v>472</v>
      </c>
      <c r="C53" s="59">
        <v>2.9</v>
      </c>
      <c r="D53" s="59">
        <v>14</v>
      </c>
      <c r="E53" s="59">
        <v>1.5</v>
      </c>
      <c r="F53" s="59">
        <v>29.9</v>
      </c>
      <c r="G53" s="59">
        <v>0.32</v>
      </c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47">
        <f t="shared" si="22"/>
        <v>48.62</v>
      </c>
      <c r="U53" s="47"/>
      <c r="V53" s="49"/>
    </row>
    <row r="54" spans="1:26" ht="22.5">
      <c r="A54" s="59"/>
      <c r="B54" s="78" t="s">
        <v>561</v>
      </c>
      <c r="C54" s="59">
        <v>2.9</v>
      </c>
      <c r="D54" s="59">
        <v>14</v>
      </c>
      <c r="E54" s="59">
        <v>2.25</v>
      </c>
      <c r="F54" s="59">
        <v>29.9</v>
      </c>
      <c r="G54" s="59">
        <v>0.32</v>
      </c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47">
        <f t="shared" si="22"/>
        <v>49.37</v>
      </c>
      <c r="U54" s="47"/>
      <c r="V54" s="49"/>
    </row>
    <row r="55" spans="1:26" ht="22.5">
      <c r="A55" s="59"/>
      <c r="B55" s="78" t="s">
        <v>473</v>
      </c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47">
        <f t="shared" si="22"/>
        <v>0</v>
      </c>
      <c r="U55" s="47"/>
      <c r="V55" s="49"/>
    </row>
    <row r="56" spans="1:26" ht="22.5">
      <c r="A56" s="123"/>
      <c r="B56" s="126" t="s">
        <v>474</v>
      </c>
      <c r="C56" s="123">
        <v>1.86</v>
      </c>
      <c r="D56" s="123">
        <v>2.6</v>
      </c>
      <c r="E56" s="123">
        <v>0.28000000000000003</v>
      </c>
      <c r="F56" s="123"/>
      <c r="G56" s="123">
        <v>0.21</v>
      </c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47">
        <f t="shared" si="22"/>
        <v>4.95</v>
      </c>
      <c r="U56" s="47"/>
      <c r="V56" s="49"/>
    </row>
    <row r="57" spans="1:26" ht="22.5">
      <c r="A57" s="123"/>
      <c r="B57" s="126" t="s">
        <v>560</v>
      </c>
      <c r="C57" s="123">
        <v>2.9</v>
      </c>
      <c r="D57" s="123">
        <v>14</v>
      </c>
      <c r="E57" s="123">
        <v>2.25</v>
      </c>
      <c r="F57" s="123">
        <v>29.9</v>
      </c>
      <c r="G57" s="123">
        <v>0.32</v>
      </c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47">
        <f t="shared" si="22"/>
        <v>49.37</v>
      </c>
      <c r="U57" s="47"/>
      <c r="V57" s="49"/>
    </row>
    <row r="58" spans="1:26" ht="22.5">
      <c r="A58" s="123"/>
      <c r="B58" s="126" t="s">
        <v>552</v>
      </c>
      <c r="C58" s="123">
        <v>7</v>
      </c>
      <c r="D58" s="123">
        <v>14.8</v>
      </c>
      <c r="E58" s="123">
        <v>0.4</v>
      </c>
      <c r="F58" s="123"/>
      <c r="G58" s="123">
        <v>4.4400000000000004</v>
      </c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47">
        <f t="shared" si="22"/>
        <v>26.64</v>
      </c>
      <c r="U58" s="47"/>
      <c r="V58" s="49"/>
    </row>
    <row r="59" spans="1:26" ht="22.5">
      <c r="A59" s="123"/>
      <c r="B59" s="126" t="s">
        <v>553</v>
      </c>
      <c r="C59" s="123">
        <v>16.899999999999999</v>
      </c>
      <c r="D59" s="123">
        <v>10.8</v>
      </c>
      <c r="E59" s="123">
        <v>0.4</v>
      </c>
      <c r="F59" s="123"/>
      <c r="G59" s="123">
        <v>0.8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47">
        <f t="shared" si="22"/>
        <v>28.9</v>
      </c>
      <c r="U59" s="47"/>
      <c r="V59" s="49"/>
    </row>
    <row r="60" spans="1:26" ht="22.5">
      <c r="A60" s="123"/>
      <c r="B60" s="126" t="s">
        <v>554</v>
      </c>
      <c r="C60" s="123">
        <v>16.899999999999999</v>
      </c>
      <c r="D60" s="123">
        <v>21.6</v>
      </c>
      <c r="E60" s="123">
        <v>0.8</v>
      </c>
      <c r="F60" s="123"/>
      <c r="G60" s="123">
        <v>1.21</v>
      </c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47">
        <f t="shared" si="22"/>
        <v>40.51</v>
      </c>
      <c r="U60" s="47"/>
      <c r="V60" s="49"/>
      <c r="Z60" t="s">
        <v>544</v>
      </c>
    </row>
    <row r="61" spans="1:26" ht="22.5">
      <c r="B61" s="126" t="s">
        <v>555</v>
      </c>
      <c r="C61" s="123"/>
      <c r="D61" s="123">
        <v>0.12</v>
      </c>
      <c r="E61" s="123">
        <v>0.01</v>
      </c>
      <c r="F61" s="123"/>
      <c r="G61" s="123">
        <v>0.11</v>
      </c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47">
        <f t="shared" si="22"/>
        <v>0.24</v>
      </c>
      <c r="U61" s="47"/>
      <c r="V61" s="49"/>
    </row>
    <row r="62" spans="1:26" ht="22.5">
      <c r="B62" s="126" t="s">
        <v>569</v>
      </c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47">
        <f t="shared" ref="T62" si="23">SUM(C62:G62)</f>
        <v>0</v>
      </c>
    </row>
    <row r="63" spans="1:26" ht="22.5">
      <c r="B63" s="305" t="s">
        <v>563</v>
      </c>
    </row>
    <row r="64" spans="1:26" ht="22.5">
      <c r="B64" s="305" t="s">
        <v>562</v>
      </c>
    </row>
    <row r="66" spans="2:5" ht="177">
      <c r="B66" s="2" t="s">
        <v>565</v>
      </c>
      <c r="C66" s="40" t="s">
        <v>567</v>
      </c>
      <c r="D66" s="40" t="s">
        <v>568</v>
      </c>
      <c r="E66" s="40" t="s">
        <v>547</v>
      </c>
    </row>
    <row r="67" spans="2:5" ht="22.5">
      <c r="B67" s="76" t="s">
        <v>384</v>
      </c>
      <c r="C67" s="50">
        <f>'Total Material Emissions'!B28</f>
        <v>80</v>
      </c>
      <c r="D67" s="50">
        <f>'Total Material Emissions'!B31</f>
        <v>5256000000</v>
      </c>
      <c r="E67" s="50">
        <f>E39*C67/D67</f>
        <v>9.1324200913242007E-9</v>
      </c>
    </row>
    <row r="68" spans="2:5" ht="22.5">
      <c r="B68" s="77" t="s">
        <v>548</v>
      </c>
      <c r="C68" s="73">
        <f>'Total Material Emissions'!$B$53</f>
        <v>0.5</v>
      </c>
      <c r="D68" s="73">
        <f>'Total Material Emissions'!$B$56</f>
        <v>2000</v>
      </c>
      <c r="E68" s="73">
        <f t="shared" ref="E68:E90" si="24">E40*C68/D68</f>
        <v>1.75E-4</v>
      </c>
    </row>
    <row r="69" spans="2:5" ht="22.5">
      <c r="B69" s="77" t="s">
        <v>549</v>
      </c>
      <c r="C69" s="73">
        <f>'Total Material Emissions'!$B$53</f>
        <v>0.5</v>
      </c>
      <c r="D69" s="73">
        <f>'Total Material Emissions'!$B$56</f>
        <v>2000</v>
      </c>
      <c r="E69" s="73">
        <f t="shared" si="24"/>
        <v>3.5E-4</v>
      </c>
    </row>
    <row r="70" spans="2:5" ht="22.5">
      <c r="B70" s="78" t="s">
        <v>550</v>
      </c>
      <c r="C70" s="59">
        <f>'Total Material Emissions'!$B$78</f>
        <v>100</v>
      </c>
      <c r="D70" s="59">
        <f>'Total Material Emissions'!$B$81</f>
        <v>9198000000</v>
      </c>
      <c r="E70" s="59">
        <f t="shared" si="24"/>
        <v>2.1743857360295715E-9</v>
      </c>
    </row>
    <row r="71" spans="2:5" ht="22.5">
      <c r="B71" s="78" t="s">
        <v>551</v>
      </c>
      <c r="C71" s="59">
        <f>'Total Material Emissions'!$B$78</f>
        <v>100</v>
      </c>
      <c r="D71" s="59">
        <f>'Total Material Emissions'!$B$81</f>
        <v>9198000000</v>
      </c>
      <c r="E71" s="59">
        <f t="shared" si="24"/>
        <v>5.4359643400739295E-9</v>
      </c>
    </row>
    <row r="72" spans="2:5" ht="22.5">
      <c r="B72" s="79" t="s">
        <v>290</v>
      </c>
      <c r="C72" s="22">
        <f>'Total Material Emissions'!$B$100</f>
        <v>150</v>
      </c>
      <c r="D72" s="22">
        <f>'Total Material Emissions'!$B$103</f>
        <v>27594000000</v>
      </c>
      <c r="E72" s="22">
        <f t="shared" si="24"/>
        <v>2.1743857360295715E-9</v>
      </c>
    </row>
    <row r="73" spans="2:5" ht="22.5">
      <c r="B73" s="126" t="s">
        <v>375</v>
      </c>
      <c r="C73" s="123">
        <f>'Total Material Emissions'!$B$222</f>
        <v>340</v>
      </c>
      <c r="D73" s="123">
        <f>'Total Material Emissions'!$B$225</f>
        <v>61250000000</v>
      </c>
      <c r="E73" s="123">
        <f t="shared" si="24"/>
        <v>0</v>
      </c>
    </row>
    <row r="74" spans="2:5" ht="22.5">
      <c r="B74" s="125" t="s">
        <v>370</v>
      </c>
      <c r="C74" s="111">
        <f>'Total Material Emissions'!$B$147</f>
        <v>1000</v>
      </c>
      <c r="D74" s="111">
        <f>'Total Material Emissions'!B150</f>
        <v>197100000000</v>
      </c>
      <c r="E74" s="111">
        <f t="shared" si="24"/>
        <v>0</v>
      </c>
    </row>
    <row r="75" spans="2:5" ht="22.5">
      <c r="B75" s="125" t="s">
        <v>558</v>
      </c>
      <c r="C75" s="111">
        <f>'Total Material Emissions'!$B$197</f>
        <v>367.5</v>
      </c>
      <c r="D75" s="306">
        <f>'Total Material Emissions'!$B$200</f>
        <v>61250000000</v>
      </c>
      <c r="E75" s="111">
        <f t="shared" si="24"/>
        <v>8.400000000000001E-10</v>
      </c>
    </row>
    <row r="76" spans="2:5" ht="22.5">
      <c r="B76" s="125" t="s">
        <v>559</v>
      </c>
      <c r="C76" s="111">
        <f>'Total Material Emissions'!$B$197</f>
        <v>367.5</v>
      </c>
      <c r="D76" s="306">
        <f>'Total Material Emissions'!$B$200</f>
        <v>61250000000</v>
      </c>
      <c r="E76" s="111">
        <f t="shared" si="24"/>
        <v>8.400000000000001E-10</v>
      </c>
    </row>
    <row r="77" spans="2:5" ht="22.5">
      <c r="B77" s="125" t="s">
        <v>360</v>
      </c>
      <c r="C77" s="111">
        <f>'Total Material Emissions'!$B$122</f>
        <v>1000</v>
      </c>
      <c r="D77" s="111">
        <f>'Total Material Emissions'!$B$125</f>
        <v>131400000000</v>
      </c>
      <c r="E77" s="111">
        <f t="shared" si="24"/>
        <v>1.0654490106544901E-9</v>
      </c>
    </row>
    <row r="78" spans="2:5" ht="22.5">
      <c r="B78" s="75" t="s">
        <v>385</v>
      </c>
      <c r="C78" s="95">
        <f>'Total Material Emissions'!$B$3</f>
        <v>2</v>
      </c>
      <c r="D78" s="95">
        <f>'Total Material Emissions'!B6</f>
        <v>87600000</v>
      </c>
      <c r="E78" s="95">
        <f t="shared" si="24"/>
        <v>6.8493150684931506E-9</v>
      </c>
    </row>
    <row r="79" spans="2:5" ht="22.5">
      <c r="B79" s="75" t="s">
        <v>387</v>
      </c>
      <c r="C79" s="95">
        <f>'Total Material Emissions'!AD3</f>
        <v>2.5</v>
      </c>
      <c r="D79" s="95">
        <f>'Total Material Emissions'!AD6</f>
        <v>109500000</v>
      </c>
      <c r="E79" s="95">
        <f t="shared" si="24"/>
        <v>4.5662100456621004E-9</v>
      </c>
    </row>
    <row r="80" spans="2:5" ht="22.5">
      <c r="B80" s="125" t="s">
        <v>467</v>
      </c>
      <c r="C80" s="111">
        <f>'Total Material Emissions'!B247</f>
        <v>984</v>
      </c>
      <c r="D80" s="306">
        <f>'Total Material Emissions'!B250</f>
        <v>475815168000</v>
      </c>
      <c r="E80" s="111">
        <f t="shared" si="24"/>
        <v>1.2408179471907882E-9</v>
      </c>
    </row>
    <row r="81" spans="2:15" ht="22.5">
      <c r="B81" s="78" t="s">
        <v>472</v>
      </c>
      <c r="C81" s="59">
        <f>'Total Material Emissions'!$B$272</f>
        <v>400</v>
      </c>
      <c r="D81" s="307">
        <f>'Total Material Emissions'!$B$275</f>
        <v>127545600000</v>
      </c>
      <c r="E81" s="59">
        <f t="shared" si="24"/>
        <v>4.7041999096793618E-9</v>
      </c>
    </row>
    <row r="82" spans="2:15" ht="22.5">
      <c r="B82" s="78" t="s">
        <v>561</v>
      </c>
      <c r="C82" s="59">
        <f>'Total Material Emissions'!$B$272</f>
        <v>400</v>
      </c>
      <c r="D82" s="307">
        <f>'Total Material Emissions'!$B$275</f>
        <v>127545600000</v>
      </c>
      <c r="E82" s="59">
        <f t="shared" si="24"/>
        <v>7.0562998645190423E-9</v>
      </c>
    </row>
    <row r="83" spans="2:15" ht="22.5">
      <c r="B83" s="78" t="s">
        <v>473</v>
      </c>
      <c r="C83" s="59"/>
      <c r="D83" s="59"/>
      <c r="E83" s="59" t="e">
        <f t="shared" si="24"/>
        <v>#DIV/0!</v>
      </c>
    </row>
    <row r="84" spans="2:15" ht="22.5">
      <c r="B84" s="126" t="s">
        <v>474</v>
      </c>
      <c r="C84" s="123"/>
      <c r="D84" s="123"/>
      <c r="E84" s="123" t="e">
        <f t="shared" si="24"/>
        <v>#DIV/0!</v>
      </c>
      <c r="O84" t="s">
        <v>544</v>
      </c>
    </row>
    <row r="85" spans="2:15" ht="22.5">
      <c r="B85" s="126" t="s">
        <v>560</v>
      </c>
      <c r="C85" s="123"/>
      <c r="D85" s="123"/>
      <c r="E85" s="123" t="e">
        <f t="shared" si="24"/>
        <v>#DIV/0!</v>
      </c>
    </row>
    <row r="86" spans="2:15" ht="22.5">
      <c r="B86" s="126" t="s">
        <v>552</v>
      </c>
      <c r="C86" s="123"/>
      <c r="D86" s="123"/>
      <c r="E86" s="123" t="e">
        <f t="shared" si="24"/>
        <v>#DIV/0!</v>
      </c>
    </row>
    <row r="87" spans="2:15" ht="22.5">
      <c r="B87" s="126" t="s">
        <v>553</v>
      </c>
      <c r="C87" s="123"/>
      <c r="D87" s="123"/>
      <c r="E87" s="123" t="e">
        <f t="shared" si="24"/>
        <v>#DIV/0!</v>
      </c>
    </row>
    <row r="88" spans="2:15" ht="22.5">
      <c r="B88" s="126" t="s">
        <v>554</v>
      </c>
      <c r="C88" s="123"/>
      <c r="D88" s="123"/>
      <c r="E88" s="123" t="e">
        <f t="shared" si="24"/>
        <v>#DIV/0!</v>
      </c>
    </row>
    <row r="89" spans="2:15" ht="22.5">
      <c r="B89" s="126" t="s">
        <v>555</v>
      </c>
      <c r="C89" s="123"/>
      <c r="D89" s="123"/>
      <c r="E89" s="123" t="e">
        <f t="shared" si="24"/>
        <v>#DIV/0!</v>
      </c>
    </row>
    <row r="90" spans="2:15" ht="22.5">
      <c r="B90" s="126" t="s">
        <v>569</v>
      </c>
      <c r="C90" s="123"/>
      <c r="D90" s="123"/>
      <c r="E90" s="123" t="e">
        <f t="shared" si="24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Overview</vt:lpstr>
      <vt:lpstr>Matrices</vt:lpstr>
      <vt:lpstr>Matrices (country)</vt:lpstr>
      <vt:lpstr>Material Breakdowns</vt:lpstr>
      <vt:lpstr>Wind</vt:lpstr>
      <vt:lpstr>Concentrated Solar Power</vt:lpstr>
      <vt:lpstr>Solar Photovoltaic</vt:lpstr>
      <vt:lpstr>Hydro</vt:lpstr>
      <vt:lpstr>Geothermal</vt:lpstr>
      <vt:lpstr>Conventional</vt:lpstr>
      <vt:lpstr>Biomass</vt:lpstr>
      <vt:lpstr>Nuclear</vt:lpstr>
      <vt:lpstr>Hydrogen</vt:lpstr>
      <vt:lpstr>Total Material Emissions</vt:lpstr>
      <vt:lpstr>Outputs</vt:lpstr>
      <vt:lpstr>Graph</vt:lpstr>
      <vt:lpstr>Employment</vt:lpstr>
      <vt:lpstr>'Solar Photovoltaic'!btblfn10</vt:lpstr>
      <vt:lpstr>'Solar Photovoltaic'!btblfn11</vt:lpstr>
      <vt:lpstr>'Solar Photovoltaic'!btblfn9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KarlaC</cp:lastModifiedBy>
  <dcterms:created xsi:type="dcterms:W3CDTF">2020-05-15T18:04:54Z</dcterms:created>
  <dcterms:modified xsi:type="dcterms:W3CDTF">2021-06-04T11:05:29Z</dcterms:modified>
</cp:coreProperties>
</file>