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loB\mdb\!Progetti\!KCI\!SP2200052 - Bolt &amp; Beautiful\!pyflange-package\tests\validation-BnB_3p228mm\"/>
    </mc:Choice>
  </mc:AlternateContent>
  <xr:revisionPtr revIDLastSave="0" documentId="13_ncr:1_{5270B17B-74BF-45DB-8C98-403310665FFD}" xr6:coauthVersionLast="47" xr6:coauthVersionMax="47" xr10:uidLastSave="{00000000-0000-0000-0000-000000000000}"/>
  <bookViews>
    <workbookView xWindow="810" yWindow="-120" windowWidth="28110" windowHeight="18240" activeTab="1" xr2:uid="{710C990D-69B5-462C-923E-A1886280CCCB}"/>
  </bookViews>
  <sheets>
    <sheet name="Gap30deg" sheetId="2" r:id="rId1"/>
    <sheet name="AMD1" sheetId="12" r:id="rId2"/>
  </sheets>
  <definedNames>
    <definedName name="a" localSheetId="0">Gap30deg!$J$36</definedName>
    <definedName name="a_prime" localSheetId="0">Gap30deg!$J$157</definedName>
    <definedName name="b" localSheetId="0">Gap30deg!$J$37</definedName>
    <definedName name="bolt.As" localSheetId="0">Gap30deg!$J$153</definedName>
    <definedName name="bolt.axial_stiffness" localSheetId="0">Gap30deg!$J$151</definedName>
    <definedName name="bolt.bending_stiffness" localSheetId="0">Gap30deg!$J$152</definedName>
    <definedName name="bolt.Dn" localSheetId="0">Gap30deg!$J$48</definedName>
    <definedName name="bolt.Dsh" localSheetId="0">Gap30deg!$J$49</definedName>
    <definedName name="bolt.E" localSheetId="0">Gap30deg!$J$54</definedName>
    <definedName name="bolt.fu" localSheetId="0">Gap30deg!$J$53</definedName>
    <definedName name="bolt.fy" localSheetId="0">Gap30deg!$J$52</definedName>
    <definedName name="bolt.Lsh" localSheetId="0">Gap30deg!$J$50</definedName>
    <definedName name="bolt.pitch" localSheetId="0">Gap30deg!$J$51</definedName>
    <definedName name="bolt.pretension" localSheetId="0">Gap30deg!$J$55</definedName>
    <definedName name="bolt.size" localSheetId="0">Gap30deg!$J$47</definedName>
    <definedName name="clamped_parts_stiffness" localSheetId="0">Gap30deg!$J$158</definedName>
    <definedName name="dataseries.Fs" localSheetId="0">Gap30deg!$O$67</definedName>
    <definedName name="dataseries.Ms" localSheetId="0">Gap30deg!$O$68</definedName>
    <definedName name="dataseries.Z" localSheetId="0">Gap30deg!$O$66</definedName>
    <definedName name="Do" localSheetId="0">Gap30deg!$J$56</definedName>
    <definedName name="Dw" localSheetId="0">Gap30deg!$J$57</definedName>
    <definedName name="DZ_gap" localSheetId="0">Gap30deg!$J$145</definedName>
    <definedName name="DZ_gap">#REF!</definedName>
    <definedName name="E_mod" localSheetId="0">Gap30deg!$J$43</definedName>
    <definedName name="Fs_coeff.comp" localSheetId="0">Gap30deg!$I$90</definedName>
    <definedName name="Fs_coeff.const" localSheetId="0">Gap30deg!$I$91</definedName>
    <definedName name="Fs_coeff.tens" localSheetId="0">Gap30deg!$I$89</definedName>
    <definedName name="Fs_coeff.tens">#REF!</definedName>
    <definedName name="G_mod" localSheetId="0">Gap30deg!$J$44</definedName>
    <definedName name="gap.angle" localSheetId="0">Gap30deg!$J$156</definedName>
    <definedName name="gap.COV" localSheetId="0">Gap30deg!$J$129</definedName>
    <definedName name="gap.h" localSheetId="0">Gap30deg!$J$60</definedName>
    <definedName name="gap.h">#REF!</definedName>
    <definedName name="gap.k_fac" localSheetId="0">Gap30deg!$J$132</definedName>
    <definedName name="gap.k_fl" localSheetId="0">Gap30deg!$J$134</definedName>
    <definedName name="gap.k_mean" localSheetId="0">Gap30deg!$J$128</definedName>
    <definedName name="gap.k_shell" localSheetId="0">Gap30deg!$J$133</definedName>
    <definedName name="gap.L" localSheetId="0">Gap30deg!$J$61</definedName>
    <definedName name="gap.L">#REF!</definedName>
    <definedName name="gap.stiffness" localSheetId="0">Gap30deg!$J$135</definedName>
    <definedName name="gap.stiffness">#REF!</definedName>
    <definedName name="k_seg" localSheetId="0">Gap30deg!$J$139</definedName>
    <definedName name="Ms_coeff.comp" localSheetId="0">Gap30deg!$I$120</definedName>
    <definedName name="Ms_coeff.const" localSheetId="0">Gap30deg!$I$121</definedName>
    <definedName name="Ms_coeff.tens" localSheetId="0">Gap30deg!$I$119</definedName>
    <definedName name="point1.Fs" localSheetId="0">Gap30deg!$K$83</definedName>
    <definedName name="point1.Ms" localSheetId="0">Gap30deg!$K$113</definedName>
    <definedName name="point1.Z" localSheetId="0">Gap30deg!$J$83</definedName>
    <definedName name="point2.Fs" localSheetId="0">Gap30deg!$K$84</definedName>
    <definedName name="point2.Ms" localSheetId="0">Gap30deg!$K$114</definedName>
    <definedName name="point2.Z" localSheetId="0">Gap30deg!$J$84</definedName>
    <definedName name="point2.Z">#REF!</definedName>
    <definedName name="point3.Fs" localSheetId="0">Gap30deg!$K$85</definedName>
    <definedName name="point3.Fs">#REF!</definedName>
    <definedName name="point3.Ms" localSheetId="0">Gap30deg!$K$115</definedName>
    <definedName name="point3.Z" localSheetId="0">Gap30deg!$J$85</definedName>
    <definedName name="point3.Z">#REF!</definedName>
    <definedName name="point4.Fs" localSheetId="0">Gap30deg!$K$86</definedName>
    <definedName name="point4.Fs">#REF!</definedName>
    <definedName name="point4.Ms" localSheetId="0">Gap30deg!$K$116</definedName>
    <definedName name="point4.Ms">#REF!</definedName>
    <definedName name="point4.Z" localSheetId="0">Gap30deg!$J$86</definedName>
    <definedName name="point4.Z">#REF!</definedName>
    <definedName name="polynomial_initial_slope" localSheetId="0">Gap30deg!$J$148</definedName>
    <definedName name="polynomial_initial_slope">#REF!</definedName>
    <definedName name="_xlnm.Print_Area" localSheetId="0">Gap30deg!$A$11:$K$170</definedName>
    <definedName name="Radius" localSheetId="0">Gap30deg!$J$41</definedName>
    <definedName name="s" localSheetId="0">Gap30deg!$J$38</definedName>
    <definedName name="shell_arc_length" localSheetId="0">Gap30deg!$J$40</definedName>
    <definedName name="stiffness_correction_factor" localSheetId="0">Gap30deg!$J$140</definedName>
    <definedName name="stiffness_correction_factor">#REF!</definedName>
    <definedName name="t" localSheetId="0">Gap30deg!$J$39</definedName>
    <definedName name="TemplateTitle" localSheetId="0">Gap30deg!$B$1</definedName>
    <definedName name="TemplateVersion" localSheetId="0">Gap30deg!$K$1</definedName>
    <definedName name="Title" localSheetId="0">Gap30deg!$B$11</definedName>
    <definedName name="true_force_initial_slope" localSheetId="0">Gap30deg!$J$159</definedName>
    <definedName name="true_force_initial_slope">#REF!</definedName>
    <definedName name="true_moment_initial_slope" localSheetId="0">Gap30deg!$J$160</definedName>
    <definedName name="true_moment_initial_slope">#REF!</definedName>
    <definedName name="u" localSheetId="0">Gap30deg!$J$138</definedName>
    <definedName name="u_tol" localSheetId="0">Gap30deg!$J$127</definedName>
    <definedName name="Z_dw" localSheetId="0">Gap30deg!$J$42</definedName>
    <definedName name="Z0" localSheetId="0">Gap30deg!$J$143</definedName>
    <definedName name="Z2_tilde" localSheetId="0">Gap30deg!$J$144</definedName>
    <definedName name="Z2_til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6" i="12" l="1"/>
  <c r="G106" i="12" s="1"/>
  <c r="F105" i="12"/>
  <c r="G105" i="12" s="1"/>
  <c r="F101" i="12"/>
  <c r="G101" i="12" s="1"/>
  <c r="F96" i="12"/>
  <c r="G96" i="12" s="1"/>
  <c r="F95" i="12"/>
  <c r="G95" i="12" s="1"/>
  <c r="F94" i="12"/>
  <c r="G94" i="12" s="1"/>
  <c r="F92" i="12"/>
  <c r="G92" i="12" s="1"/>
  <c r="G89" i="12"/>
  <c r="F89" i="12"/>
  <c r="F88" i="12"/>
  <c r="G88" i="12" s="1"/>
  <c r="F87" i="12"/>
  <c r="G87" i="12" s="1"/>
  <c r="F86" i="12"/>
  <c r="G86" i="12" s="1"/>
  <c r="F85" i="12"/>
  <c r="G85" i="12" s="1"/>
  <c r="F83" i="12"/>
  <c r="G83" i="12" s="1"/>
  <c r="F82" i="12"/>
  <c r="G82" i="12" s="1"/>
  <c r="F77" i="12"/>
  <c r="G77" i="12" s="1"/>
  <c r="G76" i="12"/>
  <c r="F76" i="12"/>
  <c r="G75" i="12"/>
  <c r="G74" i="12"/>
  <c r="F75" i="12"/>
  <c r="F74" i="12"/>
  <c r="F72" i="12"/>
  <c r="G72" i="12" s="1"/>
  <c r="F67" i="12"/>
  <c r="G67" i="12" s="1"/>
  <c r="G53" i="12"/>
  <c r="F53" i="12"/>
  <c r="F52" i="12"/>
  <c r="G52" i="12" s="1"/>
  <c r="G51" i="12"/>
  <c r="F51" i="12"/>
  <c r="F50" i="12"/>
  <c r="G50" i="12" s="1"/>
  <c r="F49" i="12"/>
  <c r="G49" i="12" s="1"/>
  <c r="F48" i="12"/>
  <c r="G48" i="12" s="1"/>
  <c r="F38" i="12"/>
  <c r="G38" i="12" s="1"/>
  <c r="F37" i="12"/>
  <c r="G37" i="12" s="1"/>
  <c r="F36" i="12"/>
  <c r="G36" i="12" s="1"/>
  <c r="F31" i="12"/>
  <c r="G31" i="12" s="1"/>
  <c r="F30" i="12"/>
  <c r="G30" i="12" s="1"/>
  <c r="F29" i="12"/>
  <c r="G29" i="12" s="1"/>
  <c r="J129" i="2"/>
  <c r="S151" i="2"/>
  <c r="S152" i="2"/>
  <c r="D16" i="2"/>
  <c r="A124" i="2" l="1"/>
  <c r="J116" i="2"/>
  <c r="J115" i="2"/>
  <c r="J114" i="2"/>
  <c r="J113" i="2"/>
  <c r="A94" i="2"/>
  <c r="A118" i="2" s="1"/>
  <c r="A21" i="2"/>
  <c r="A59" i="2" s="1"/>
  <c r="A64" i="2"/>
  <c r="A82" i="2" s="1"/>
  <c r="A155" i="2" l="1"/>
  <c r="A126" i="2"/>
  <c r="A147" i="2"/>
  <c r="A150" i="2"/>
  <c r="A137" i="2"/>
  <c r="A142" i="2"/>
  <c r="A131" i="2"/>
  <c r="A35" i="2"/>
  <c r="A46" i="2"/>
  <c r="A112" i="2"/>
  <c r="A88" i="2"/>
</calcChain>
</file>

<file path=xl/sharedStrings.xml><?xml version="1.0" encoding="utf-8"?>
<sst xmlns="http://schemas.openxmlformats.org/spreadsheetml/2006/main" count="642" uniqueCount="295">
  <si>
    <t>A</t>
  </si>
  <si>
    <t>u</t>
  </si>
  <si>
    <t>a*</t>
  </si>
  <si>
    <t>c)</t>
  </si>
  <si>
    <t>b)</t>
  </si>
  <si>
    <t>a)</t>
  </si>
  <si>
    <t>e)</t>
  </si>
  <si>
    <t>d)</t>
  </si>
  <si>
    <t>mm</t>
  </si>
  <si>
    <t>kN</t>
  </si>
  <si>
    <t xml:space="preserve">
</t>
  </si>
  <si>
    <t>approver</t>
  </si>
  <si>
    <t>checker</t>
  </si>
  <si>
    <t>author</t>
  </si>
  <si>
    <t>date</t>
  </si>
  <si>
    <t>description</t>
  </si>
  <si>
    <t>version</t>
  </si>
  <si>
    <t>Describe here the template. This text should provide the user with instruction about how to use the template.</t>
  </si>
  <si>
    <t>1.5</t>
  </si>
  <si>
    <t>ver.</t>
  </si>
  <si>
    <t>A4 Excel Calculation Template</t>
  </si>
  <si>
    <t>Flange Segment Parameters</t>
  </si>
  <si>
    <t>Distance between inner face of the flange and center of the bolt hole:</t>
  </si>
  <si>
    <t>a =</t>
  </si>
  <si>
    <t>Distance between center of the bolt hole and center-line of the shell:</t>
  </si>
  <si>
    <t>b =</t>
  </si>
  <si>
    <t>Shell thickness:</t>
  </si>
  <si>
    <t>s =</t>
  </si>
  <si>
    <t>Flange thickness:</t>
  </si>
  <si>
    <t>t =</t>
  </si>
  <si>
    <r>
      <t>Flange Segment Analytical Model for 30</t>
    </r>
    <r>
      <rPr>
        <b/>
        <sz val="14"/>
        <color rgb="FF0095D3"/>
        <rFont val="Aptos Narrow"/>
        <family val="2"/>
      </rPr>
      <t>°</t>
    </r>
    <r>
      <rPr>
        <b/>
        <sz val="14"/>
        <color rgb="FF0095D3"/>
        <rFont val="Arial"/>
        <family val="2"/>
      </rPr>
      <t xml:space="preserve"> gap size</t>
    </r>
  </si>
  <si>
    <t>Shell arc length:</t>
  </si>
  <si>
    <t>c =</t>
  </si>
  <si>
    <t>Shell radius of curvature:</t>
  </si>
  <si>
    <t>R =</t>
  </si>
  <si>
    <t>f)</t>
  </si>
  <si>
    <t>Shell pull at rest:</t>
  </si>
  <si>
    <r>
      <t>Z</t>
    </r>
    <r>
      <rPr>
        <vertAlign val="subscript"/>
        <sz val="10"/>
        <color rgb="FF000000"/>
        <rFont val="Consolas"/>
        <family val="3"/>
      </rPr>
      <t>dw</t>
    </r>
    <r>
      <rPr>
        <sz val="10"/>
        <color rgb="FF000000"/>
        <rFont val="Consolas"/>
        <family val="3"/>
      </rPr>
      <t xml:space="preserve"> =</t>
    </r>
  </si>
  <si>
    <t>Bolt pretension:</t>
  </si>
  <si>
    <t>g)</t>
  </si>
  <si>
    <t>h)</t>
  </si>
  <si>
    <t>i)</t>
  </si>
  <si>
    <r>
      <t>F</t>
    </r>
    <r>
      <rPr>
        <vertAlign val="subscript"/>
        <sz val="10"/>
        <color rgb="FF000000"/>
        <rFont val="Consolas"/>
        <family val="3"/>
      </rPr>
      <t>v</t>
    </r>
    <r>
      <rPr>
        <sz val="10"/>
        <color rgb="FF000000"/>
        <rFont val="Consolas"/>
        <family val="3"/>
      </rPr>
      <t xml:space="preserve"> =</t>
    </r>
  </si>
  <si>
    <t>Bolt thread pitch:</t>
  </si>
  <si>
    <t>j)</t>
  </si>
  <si>
    <t>P =</t>
  </si>
  <si>
    <t>M80</t>
  </si>
  <si>
    <t>Bolt hole diameter:</t>
  </si>
  <si>
    <t>Washer diameter:</t>
  </si>
  <si>
    <t>Gap height:</t>
  </si>
  <si>
    <t>Gap length:</t>
  </si>
  <si>
    <r>
      <t>L</t>
    </r>
    <r>
      <rPr>
        <vertAlign val="subscript"/>
        <sz val="10"/>
        <color rgb="FF000000"/>
        <rFont val="Consolas"/>
        <family val="3"/>
      </rPr>
      <t>gap</t>
    </r>
    <r>
      <rPr>
        <sz val="10"/>
        <color rgb="FF000000"/>
        <rFont val="Consolas"/>
        <family val="3"/>
      </rPr>
      <t xml:space="preserve"> =</t>
    </r>
  </si>
  <si>
    <r>
      <t>u</t>
    </r>
    <r>
      <rPr>
        <vertAlign val="subscript"/>
        <sz val="10"/>
        <color rgb="FF000000"/>
        <rFont val="Consolas"/>
        <family val="3"/>
      </rPr>
      <t>gap</t>
    </r>
    <r>
      <rPr>
        <sz val="10"/>
        <color rgb="FF000000"/>
        <rFont val="Consolas"/>
        <family val="3"/>
      </rPr>
      <t xml:space="preserve"> =</t>
    </r>
  </si>
  <si>
    <r>
      <t>D</t>
    </r>
    <r>
      <rPr>
        <vertAlign val="subscript"/>
        <sz val="10"/>
        <color rgb="FF000000"/>
        <rFont val="Consolas"/>
        <family val="3"/>
      </rPr>
      <t>o</t>
    </r>
    <r>
      <rPr>
        <sz val="10"/>
        <color rgb="FF000000"/>
        <rFont val="Consolas"/>
        <family val="3"/>
      </rPr>
      <t xml:space="preserve"> =</t>
    </r>
  </si>
  <si>
    <r>
      <t>D</t>
    </r>
    <r>
      <rPr>
        <vertAlign val="subscript"/>
        <sz val="10"/>
        <color rgb="FF000000"/>
        <rFont val="Consolas"/>
        <family val="3"/>
      </rPr>
      <t>w</t>
    </r>
    <r>
      <rPr>
        <sz val="10"/>
        <color rgb="FF000000"/>
        <rFont val="Consolas"/>
        <family val="3"/>
      </rPr>
      <t xml:space="preserve"> =</t>
    </r>
  </si>
  <si>
    <t>k)</t>
  </si>
  <si>
    <t>Flange modulus of elasticity:</t>
  </si>
  <si>
    <t>Flange shear modulus:</t>
  </si>
  <si>
    <t>E =</t>
  </si>
  <si>
    <t>G =</t>
  </si>
  <si>
    <t>GPa</t>
  </si>
  <si>
    <r>
      <t>F</t>
    </r>
    <r>
      <rPr>
        <b/>
        <vertAlign val="subscript"/>
        <sz val="12"/>
        <color rgb="FF0095D3"/>
        <rFont val="Arial"/>
        <family val="2"/>
      </rPr>
      <t>s</t>
    </r>
    <r>
      <rPr>
        <b/>
        <sz val="12"/>
        <color rgb="FF0095D3"/>
        <rFont val="Arial"/>
        <family val="2"/>
      </rPr>
      <t>(Z): Bolt Axial Force as a function of the shell pull</t>
    </r>
  </si>
  <si>
    <t>Ms [N·m}:</t>
  </si>
  <si>
    <t>Reference points</t>
  </si>
  <si>
    <t>Z [kN]</t>
  </si>
  <si>
    <t>Fs [kN]</t>
  </si>
  <si>
    <t>Point 1: flange segment ar rest</t>
  </si>
  <si>
    <t>Point 2: flange at ultimate limit state</t>
  </si>
  <si>
    <t>Point 3: flange at small deformations</t>
  </si>
  <si>
    <t>Polynomial coefficients</t>
  </si>
  <si>
    <t>Point 4: gap completely closed</t>
  </si>
  <si>
    <r>
      <t>Tensize zone (Z &gt; Z</t>
    </r>
    <r>
      <rPr>
        <vertAlign val="sub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>):</t>
    </r>
  </si>
  <si>
    <r>
      <t>Compressive zone (Z4 &lt; Z &lt; Z</t>
    </r>
    <r>
      <rPr>
        <vertAlign val="sub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>):</t>
    </r>
  </si>
  <si>
    <r>
      <t>Closed gap zone (Z &lt; Z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):</t>
    </r>
  </si>
  <si>
    <r>
      <t>c</t>
    </r>
    <r>
      <rPr>
        <b/>
        <vertAlign val="subscript"/>
        <sz val="10"/>
        <color rgb="FFFFFFFF"/>
        <rFont val="Arial"/>
        <family val="2"/>
      </rPr>
      <t>1</t>
    </r>
  </si>
  <si>
    <r>
      <t>c</t>
    </r>
    <r>
      <rPr>
        <b/>
        <vertAlign val="subscript"/>
        <sz val="10"/>
        <color rgb="FFFFFFFF"/>
        <rFont val="Arial"/>
        <family val="2"/>
      </rPr>
      <t>2</t>
    </r>
  </si>
  <si>
    <r>
      <t>M</t>
    </r>
    <r>
      <rPr>
        <b/>
        <vertAlign val="subscript"/>
        <sz val="12"/>
        <color rgb="FF0095D3"/>
        <rFont val="Arial"/>
        <family val="2"/>
      </rPr>
      <t>s</t>
    </r>
    <r>
      <rPr>
        <b/>
        <sz val="12"/>
        <color rgb="FF0095D3"/>
        <rFont val="Arial"/>
        <family val="2"/>
      </rPr>
      <t>(Z): Bolt Bending Moment as a function of the shell pull</t>
    </r>
  </si>
  <si>
    <t>Ms [N·m]</t>
  </si>
  <si>
    <t>Reduced prying distance:</t>
  </si>
  <si>
    <t>a' =</t>
  </si>
  <si>
    <t>Ideal shell force at tensile ULS:</t>
  </si>
  <si>
    <r>
      <t>Z</t>
    </r>
    <r>
      <rPr>
        <vertAlign val="subscript"/>
        <sz val="10"/>
        <color rgb="FF000000"/>
        <rFont val="Consolas"/>
        <family val="3"/>
      </rPr>
      <t>0</t>
    </r>
    <r>
      <rPr>
        <sz val="10"/>
        <color rgb="FF000000"/>
        <rFont val="Consolas"/>
        <family val="3"/>
      </rPr>
      <t xml:space="preserve"> =</t>
    </r>
  </si>
  <si>
    <t>Cantilever shell force at tensile ULS:</t>
  </si>
  <si>
    <r>
      <t>Z</t>
    </r>
    <r>
      <rPr>
        <vertAlign val="subscript"/>
        <sz val="10"/>
        <color rgb="FF000000"/>
        <rFont val="Consolas"/>
        <family val="3"/>
      </rPr>
      <t>2,tilde</t>
    </r>
    <r>
      <rPr>
        <sz val="10"/>
        <color rgb="FF000000"/>
        <rFont val="Consolas"/>
        <family val="3"/>
      </rPr>
      <t xml:space="preserve"> =</t>
    </r>
  </si>
  <si>
    <t>Bolt bending stiffness:</t>
  </si>
  <si>
    <t>kN·m/rad</t>
  </si>
  <si>
    <t>Gap stiffness:</t>
  </si>
  <si>
    <r>
      <t>k</t>
    </r>
    <r>
      <rPr>
        <vertAlign val="subscript"/>
        <sz val="10"/>
        <color rgb="FF000000"/>
        <rFont val="Consolas"/>
        <family val="3"/>
      </rPr>
      <t>gap,tot</t>
    </r>
    <r>
      <rPr>
        <sz val="10"/>
        <color rgb="FF000000"/>
        <rFont val="Consolas"/>
        <family val="3"/>
      </rPr>
      <t xml:space="preserve"> =</t>
    </r>
  </si>
  <si>
    <t>kN/mm/m</t>
  </si>
  <si>
    <t>Shell force at closed gap:</t>
  </si>
  <si>
    <r>
      <rPr>
        <sz val="10"/>
        <color rgb="FF000000"/>
        <rFont val="Aptos Narrow"/>
        <family val="2"/>
      </rPr>
      <t>Δ</t>
    </r>
    <r>
      <rPr>
        <sz val="10"/>
        <color rgb="FF000000"/>
        <rFont val="Consolas"/>
        <family val="3"/>
      </rPr>
      <t>Z</t>
    </r>
    <r>
      <rPr>
        <vertAlign val="subscript"/>
        <sz val="10"/>
        <color rgb="FF000000"/>
        <rFont val="Consolas"/>
        <family val="3"/>
      </rPr>
      <t>gap</t>
    </r>
    <r>
      <rPr>
        <sz val="10"/>
        <color rgb="FF000000"/>
        <rFont val="Consolas"/>
        <family val="3"/>
      </rPr>
      <t xml:space="preserve"> =</t>
    </r>
  </si>
  <si>
    <t>Stiffness correction factor:</t>
  </si>
  <si>
    <r>
      <t>α</t>
    </r>
    <r>
      <rPr>
        <vertAlign val="subscript"/>
        <sz val="10"/>
        <color rgb="FF000000"/>
        <rFont val="Aptos Narrow"/>
        <family val="2"/>
      </rPr>
      <t>k</t>
    </r>
    <r>
      <rPr>
        <sz val="10"/>
        <color rgb="FF000000"/>
        <rFont val="Aptos Narrow"/>
        <family val="2"/>
      </rPr>
      <t xml:space="preserve"> =</t>
    </r>
  </si>
  <si>
    <t>-</t>
  </si>
  <si>
    <t>Fs polynomial initial slope:</t>
  </si>
  <si>
    <r>
      <rPr>
        <sz val="10"/>
        <color rgb="FF000000"/>
        <rFont val="Aptos Narrow"/>
        <family val="2"/>
      </rPr>
      <t>χ</t>
    </r>
    <r>
      <rPr>
        <vertAlign val="subscript"/>
        <sz val="10"/>
        <color rgb="FF000000"/>
        <rFont val="Consolas"/>
        <family val="3"/>
      </rPr>
      <t>ini,mod</t>
    </r>
    <r>
      <rPr>
        <sz val="10"/>
        <color rgb="FF000000"/>
        <rFont val="Consolas"/>
        <family val="3"/>
      </rPr>
      <t xml:space="preserve"> =</t>
    </r>
  </si>
  <si>
    <t>Fs polynomial true initial slope:</t>
  </si>
  <si>
    <r>
      <rPr>
        <sz val="10"/>
        <color rgb="FF000000"/>
        <rFont val="Aptos Narrow"/>
        <family val="2"/>
      </rPr>
      <t>χ</t>
    </r>
    <r>
      <rPr>
        <vertAlign val="subscript"/>
        <sz val="10"/>
        <color rgb="FF000000"/>
        <rFont val="Consolas"/>
        <family val="3"/>
      </rPr>
      <t>ini,true</t>
    </r>
    <r>
      <rPr>
        <sz val="10"/>
        <color rgb="FF000000"/>
        <rFont val="Consolas"/>
        <family val="3"/>
      </rPr>
      <t xml:space="preserve"> =</t>
    </r>
  </si>
  <si>
    <t>Ms polynomial true initial slope:</t>
  </si>
  <si>
    <r>
      <t>χ</t>
    </r>
    <r>
      <rPr>
        <vertAlign val="subscript"/>
        <sz val="10"/>
        <color rgb="FF000000"/>
        <rFont val="Consolas"/>
        <family val="3"/>
      </rPr>
      <t>ini,true,M</t>
    </r>
    <r>
      <rPr>
        <sz val="10"/>
        <color rgb="FF000000"/>
        <rFont val="Consolas"/>
        <family val="3"/>
      </rPr>
      <t xml:space="preserve"> =</t>
    </r>
  </si>
  <si>
    <t>D</t>
  </si>
  <si>
    <r>
      <t>c</t>
    </r>
    <r>
      <rPr>
        <b/>
        <vertAlign val="subscript"/>
        <sz val="10"/>
        <color rgb="FFFFFFFF"/>
        <rFont val="Arial"/>
        <family val="2"/>
      </rPr>
      <t>0</t>
    </r>
  </si>
  <si>
    <t>MPa</t>
  </si>
  <si>
    <t>Date:</t>
  </si>
  <si>
    <t>Revision:</t>
  </si>
  <si>
    <t>Subject:</t>
  </si>
  <si>
    <t>Project name:</t>
  </si>
  <si>
    <t>Client:</t>
  </si>
  <si>
    <t>Project number:</t>
  </si>
  <si>
    <t>SP2200052</t>
  </si>
  <si>
    <t>Bolt and Beautiful</t>
  </si>
  <si>
    <t>Stichting GROW</t>
  </si>
  <si>
    <t>Flange Parameters</t>
  </si>
  <si>
    <t>Bolt parameters</t>
  </si>
  <si>
    <t>Gap parameters</t>
  </si>
  <si>
    <t>Bolt nominal diameter:</t>
  </si>
  <si>
    <t>Bolt shank diameter:</t>
  </si>
  <si>
    <t>Bolt shank length:</t>
  </si>
  <si>
    <r>
      <t>D</t>
    </r>
    <r>
      <rPr>
        <vertAlign val="subscript"/>
        <sz val="10"/>
        <color rgb="FF000000"/>
        <rFont val="Consolas"/>
        <family val="3"/>
      </rPr>
      <t>n</t>
    </r>
    <r>
      <rPr>
        <sz val="10"/>
        <color rgb="FF000000"/>
        <rFont val="Consolas"/>
        <family val="3"/>
      </rPr>
      <t xml:space="preserve"> =</t>
    </r>
  </si>
  <si>
    <r>
      <t>D</t>
    </r>
    <r>
      <rPr>
        <vertAlign val="subscript"/>
        <sz val="10"/>
        <color rgb="FF000000"/>
        <rFont val="Consolas"/>
        <family val="3"/>
      </rPr>
      <t>sh</t>
    </r>
    <r>
      <rPr>
        <sz val="10"/>
        <color rgb="FF000000"/>
        <rFont val="Consolas"/>
        <family val="3"/>
      </rPr>
      <t xml:space="preserve"> =</t>
    </r>
  </si>
  <si>
    <r>
      <t>L</t>
    </r>
    <r>
      <rPr>
        <vertAlign val="subscript"/>
        <sz val="10"/>
        <color rgb="FF000000"/>
        <rFont val="Consolas"/>
        <family val="3"/>
      </rPr>
      <t>sh</t>
    </r>
    <r>
      <rPr>
        <sz val="10"/>
        <color rgb="FF000000"/>
        <rFont val="Consolas"/>
        <family val="3"/>
      </rPr>
      <t xml:space="preserve"> =</t>
    </r>
  </si>
  <si>
    <t>Bolt material yield stress:</t>
  </si>
  <si>
    <t>Bolt material ultimate tensile stress:</t>
  </si>
  <si>
    <r>
      <t>f</t>
    </r>
    <r>
      <rPr>
        <vertAlign val="subscript"/>
        <sz val="10"/>
        <color rgb="FF000000"/>
        <rFont val="Consolas"/>
        <family val="3"/>
      </rPr>
      <t>y</t>
    </r>
    <r>
      <rPr>
        <sz val="10"/>
        <color rgb="FF000000"/>
        <rFont val="Consolas"/>
        <family val="3"/>
      </rPr>
      <t xml:space="preserve"> =</t>
    </r>
  </si>
  <si>
    <r>
      <t>f</t>
    </r>
    <r>
      <rPr>
        <vertAlign val="subscript"/>
        <sz val="10"/>
        <color rgb="FF000000"/>
        <rFont val="Consolas"/>
        <family val="3"/>
      </rPr>
      <t>u</t>
    </r>
    <r>
      <rPr>
        <sz val="10"/>
        <color rgb="FF000000"/>
        <rFont val="Consolas"/>
        <family val="3"/>
      </rPr>
      <t xml:space="preserve"> =</t>
    </r>
  </si>
  <si>
    <t>Bolt modulus of elasticity:</t>
  </si>
  <si>
    <t>Z [kN]:</t>
  </si>
  <si>
    <t>Fs [kN}:</t>
  </si>
  <si>
    <t>[Nm]</t>
  </si>
  <si>
    <r>
      <t>M</t>
    </r>
    <r>
      <rPr>
        <vertAlign val="subscript"/>
        <sz val="10"/>
        <color theme="1"/>
        <rFont val="Arial"/>
        <family val="2"/>
      </rPr>
      <t>S,min</t>
    </r>
  </si>
  <si>
    <t>[-]</t>
  </si>
  <si>
    <r>
      <rPr>
        <sz val="10"/>
        <color theme="1"/>
        <rFont val="Symbol"/>
        <family val="1"/>
        <charset val="2"/>
      </rPr>
      <t>c</t>
    </r>
    <r>
      <rPr>
        <vertAlign val="subscript"/>
        <sz val="10"/>
        <color theme="1"/>
        <rFont val="Arial"/>
        <family val="2"/>
      </rPr>
      <t>ini,M</t>
    </r>
  </si>
  <si>
    <t>T-Flange</t>
  </si>
  <si>
    <r>
      <t>M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1"/>
        <charset val="2"/>
      </rPr>
      <t>(Z)</t>
    </r>
  </si>
  <si>
    <t>[mm]</t>
  </si>
  <si>
    <t>L-Flange</t>
  </si>
  <si>
    <r>
      <rPr>
        <sz val="10"/>
        <color theme="1"/>
        <rFont val="Symbol"/>
        <family val="1"/>
        <charset val="2"/>
      </rPr>
      <t>c</t>
    </r>
    <r>
      <rPr>
        <vertAlign val="subscript"/>
        <sz val="10"/>
        <color theme="1"/>
        <rFont val="Arial"/>
        <family val="2"/>
      </rPr>
      <t>ini,mod</t>
    </r>
  </si>
  <si>
    <t>[kN]</t>
  </si>
  <si>
    <r>
      <t>F</t>
    </r>
    <r>
      <rPr>
        <vertAlign val="subscript"/>
        <sz val="10"/>
        <color theme="1"/>
        <rFont val="Arial"/>
        <family val="2"/>
      </rPr>
      <t>S,min</t>
    </r>
  </si>
  <si>
    <r>
      <rPr>
        <sz val="10"/>
        <color theme="1"/>
        <rFont val="Symbol"/>
        <family val="1"/>
        <charset val="2"/>
      </rPr>
      <t>c</t>
    </r>
    <r>
      <rPr>
        <vertAlign val="subscript"/>
        <sz val="10"/>
        <color theme="1"/>
        <rFont val="Arial"/>
        <family val="2"/>
      </rPr>
      <t>ini,true</t>
    </r>
  </si>
  <si>
    <r>
      <t>Z</t>
    </r>
    <r>
      <rPr>
        <vertAlign val="subscript"/>
        <sz val="10"/>
        <color theme="1"/>
        <rFont val="Arial"/>
        <family val="2"/>
      </rPr>
      <t>close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</si>
  <si>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Z</t>
    </r>
    <r>
      <rPr>
        <vertAlign val="subscript"/>
        <sz val="10"/>
        <color theme="1"/>
        <rFont val="Arial"/>
        <family val="2"/>
      </rPr>
      <t>dw</t>
    </r>
  </si>
  <si>
    <r>
      <t>G</t>
    </r>
    <r>
      <rPr>
        <vertAlign val="subscript"/>
        <sz val="10"/>
        <color theme="1"/>
        <rFont val="Arial"/>
        <family val="2"/>
      </rPr>
      <t>twr</t>
    </r>
    <r>
      <rPr>
        <sz val="10"/>
        <color theme="1"/>
        <rFont val="Arial"/>
        <family val="2"/>
      </rPr>
      <t>+G</t>
    </r>
    <r>
      <rPr>
        <vertAlign val="subscript"/>
        <sz val="10"/>
        <color theme="1"/>
        <rFont val="Arial"/>
        <family val="2"/>
      </rPr>
      <t>RNA</t>
    </r>
  </si>
  <si>
    <r>
      <t>Z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~</t>
    </r>
  </si>
  <si>
    <t>[N/mm/mm]</t>
  </si>
  <si>
    <r>
      <t>k</t>
    </r>
    <r>
      <rPr>
        <vertAlign val="subscript"/>
        <sz val="10"/>
        <color theme="1"/>
        <rFont val="Arial"/>
        <family val="2"/>
      </rPr>
      <t>seg</t>
    </r>
  </si>
  <si>
    <r>
      <rPr>
        <sz val="10"/>
        <color theme="1"/>
        <rFont val="Symbol"/>
        <family val="1"/>
        <charset val="2"/>
      </rPr>
      <t>a</t>
    </r>
    <r>
      <rPr>
        <vertAlign val="subscript"/>
        <sz val="10"/>
        <color theme="1"/>
        <rFont val="Arial"/>
        <family val="2"/>
      </rPr>
      <t>k</t>
    </r>
  </si>
  <si>
    <r>
      <t>Z</t>
    </r>
    <r>
      <rPr>
        <vertAlign val="subscript"/>
        <sz val="10"/>
        <color theme="1"/>
        <rFont val="Arial"/>
        <family val="2"/>
      </rPr>
      <t>0</t>
    </r>
  </si>
  <si>
    <r>
      <t>F</t>
    </r>
    <r>
      <rPr>
        <vertAlign val="subscript"/>
        <sz val="10"/>
        <color theme="1"/>
        <rFont val="Arial"/>
        <family val="2"/>
      </rPr>
      <t>S,0</t>
    </r>
    <r>
      <rPr>
        <sz val="10"/>
        <color theme="1"/>
        <rFont val="Arial"/>
        <family val="2"/>
      </rPr>
      <t>=F</t>
    </r>
    <r>
      <rPr>
        <vertAlign val="subscript"/>
        <sz val="10"/>
        <color theme="1"/>
        <rFont val="Arial"/>
        <family val="2"/>
      </rPr>
      <t>S,2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</si>
  <si>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Z</t>
    </r>
    <r>
      <rPr>
        <vertAlign val="subscript"/>
        <sz val="10"/>
        <color theme="1"/>
        <rFont val="Arial"/>
        <family val="2"/>
      </rPr>
      <t>gap,tot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</si>
  <si>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Z</t>
    </r>
    <r>
      <rPr>
        <vertAlign val="subscript"/>
        <sz val="10"/>
        <color theme="1"/>
        <rFont val="Arial"/>
        <family val="2"/>
      </rPr>
      <t>gap,inclination</t>
    </r>
  </si>
  <si>
    <r>
      <t>F</t>
    </r>
    <r>
      <rPr>
        <vertAlign val="subscript"/>
        <sz val="10"/>
        <color theme="1"/>
        <rFont val="Arial"/>
        <family val="2"/>
      </rPr>
      <t>V,c</t>
    </r>
  </si>
  <si>
    <r>
      <t>I</t>
    </r>
    <r>
      <rPr>
        <vertAlign val="subscript"/>
        <sz val="10"/>
        <color theme="1"/>
        <rFont val="Arial"/>
        <family val="2"/>
      </rPr>
      <t>tg</t>
    </r>
  </si>
  <si>
    <t>[mm²]</t>
  </si>
  <si>
    <r>
      <t>A</t>
    </r>
    <r>
      <rPr>
        <vertAlign val="subscript"/>
        <sz val="10"/>
        <color theme="1"/>
        <rFont val="Arial"/>
        <family val="2"/>
      </rPr>
      <t>tg</t>
    </r>
  </si>
  <si>
    <t>Only needed for T-Flanges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</si>
  <si>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Z</t>
    </r>
    <r>
      <rPr>
        <vertAlign val="subscript"/>
        <sz val="10"/>
        <color theme="1"/>
        <rFont val="Arial"/>
        <family val="2"/>
      </rPr>
      <t>gap,c</t>
    </r>
  </si>
  <si>
    <r>
      <t>k</t>
    </r>
    <r>
      <rPr>
        <vertAlign val="subscript"/>
        <sz val="10"/>
        <color theme="1"/>
        <rFont val="Arial"/>
        <family val="2"/>
      </rPr>
      <t>fl</t>
    </r>
  </si>
  <si>
    <r>
      <t>I</t>
    </r>
    <r>
      <rPr>
        <vertAlign val="subscript"/>
        <sz val="10"/>
        <color theme="1"/>
        <rFont val="Arial"/>
        <family val="2"/>
      </rPr>
      <t>cf</t>
    </r>
  </si>
  <si>
    <r>
      <t>A</t>
    </r>
    <r>
      <rPr>
        <vertAlign val="subscript"/>
        <sz val="10"/>
        <color theme="1"/>
        <rFont val="Arial"/>
        <family val="2"/>
      </rPr>
      <t>cf</t>
    </r>
  </si>
  <si>
    <r>
      <t>k</t>
    </r>
    <r>
      <rPr>
        <vertAlign val="subscript"/>
        <sz val="10"/>
        <color theme="1"/>
        <rFont val="Arial"/>
        <family val="2"/>
      </rPr>
      <t>fac</t>
    </r>
  </si>
  <si>
    <t>Value used</t>
  </si>
  <si>
    <r>
      <t>k</t>
    </r>
    <r>
      <rPr>
        <vertAlign val="subscript"/>
        <sz val="10"/>
        <color theme="1"/>
        <rFont val="Arial"/>
        <family val="2"/>
      </rPr>
      <t>shell,ini</t>
    </r>
  </si>
  <si>
    <t>Simplified formula</t>
  </si>
  <si>
    <t>Interpolated value</t>
  </si>
  <si>
    <r>
      <t>k</t>
    </r>
    <r>
      <rPr>
        <vertAlign val="subscript"/>
        <sz val="10"/>
        <color theme="1"/>
        <rFont val="Arial"/>
        <family val="2"/>
      </rPr>
      <t>gap,tot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</si>
  <si>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Z</t>
    </r>
    <r>
      <rPr>
        <vertAlign val="subscript"/>
        <sz val="10"/>
        <color theme="1"/>
        <rFont val="Arial"/>
        <family val="2"/>
      </rPr>
      <t>gap</t>
    </r>
  </si>
  <si>
    <t>Summarized formula for bolt force curve</t>
  </si>
  <si>
    <r>
      <t>F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(Z)</t>
    </r>
  </si>
  <si>
    <r>
      <t>F</t>
    </r>
    <r>
      <rPr>
        <vertAlign val="subscript"/>
        <sz val="10"/>
        <color theme="1"/>
        <rFont val="Arial"/>
        <family val="2"/>
      </rPr>
      <t>U,A</t>
    </r>
  </si>
  <si>
    <r>
      <t>F</t>
    </r>
    <r>
      <rPr>
        <vertAlign val="subscript"/>
        <sz val="10"/>
        <color theme="1"/>
        <rFont val="Arial"/>
        <family val="2"/>
      </rPr>
      <t>U,B</t>
    </r>
  </si>
  <si>
    <t>Stress range formula</t>
  </si>
  <si>
    <t>Ds</t>
  </si>
  <si>
    <t>Gap shape formula</t>
  </si>
  <si>
    <t>k(l)</t>
  </si>
  <si>
    <t>Gap value used for calculation</t>
  </si>
  <si>
    <r>
      <t>k</t>
    </r>
    <r>
      <rPr>
        <vertAlign val="subscript"/>
        <sz val="10"/>
        <color theme="1"/>
        <rFont val="Arial"/>
        <family val="2"/>
      </rPr>
      <t>used</t>
    </r>
  </si>
  <si>
    <r>
      <t>k</t>
    </r>
    <r>
      <rPr>
        <vertAlign val="subscript"/>
        <sz val="10"/>
        <color theme="1"/>
        <rFont val="Arial"/>
        <family val="2"/>
      </rPr>
      <t>design</t>
    </r>
  </si>
  <si>
    <r>
      <t>p</t>
    </r>
    <r>
      <rPr>
        <vertAlign val="subscript"/>
        <sz val="10"/>
        <color theme="1"/>
        <rFont val="Arial"/>
        <family val="2"/>
      </rPr>
      <t>95</t>
    </r>
  </si>
  <si>
    <r>
      <rPr>
        <sz val="10"/>
        <color theme="1"/>
        <rFont val="Symbol"/>
        <family val="1"/>
        <charset val="2"/>
      </rPr>
      <t>m</t>
    </r>
    <r>
      <rPr>
        <vertAlign val="subscript"/>
        <sz val="10"/>
        <color theme="1"/>
        <rFont val="Arial"/>
        <family val="2"/>
      </rPr>
      <t>k</t>
    </r>
  </si>
  <si>
    <r>
      <rPr>
        <sz val="10"/>
        <color theme="1"/>
        <rFont val="Symbol"/>
        <family val="1"/>
        <charset val="2"/>
      </rPr>
      <t>s</t>
    </r>
    <r>
      <rPr>
        <vertAlign val="subscript"/>
        <sz val="10"/>
        <color theme="1"/>
        <rFont val="Arial"/>
        <family val="2"/>
      </rPr>
      <t>k</t>
    </r>
  </si>
  <si>
    <r>
      <t>u</t>
    </r>
    <r>
      <rPr>
        <vertAlign val="subscript"/>
        <sz val="10"/>
        <color theme="1"/>
        <rFont val="Arial"/>
        <family val="2"/>
      </rPr>
      <t>tol,360°</t>
    </r>
  </si>
  <si>
    <r>
      <t>u</t>
    </r>
    <r>
      <rPr>
        <vertAlign val="subscript"/>
        <sz val="10"/>
        <color theme="1"/>
        <rFont val="Arial"/>
        <family val="2"/>
      </rPr>
      <t>tol,30°</t>
    </r>
  </si>
  <si>
    <t>[m]</t>
  </si>
  <si>
    <r>
      <t>L</t>
    </r>
    <r>
      <rPr>
        <vertAlign val="subscript"/>
        <sz val="10"/>
        <color theme="1"/>
        <rFont val="Arial"/>
        <family val="2"/>
      </rPr>
      <t>30°</t>
    </r>
  </si>
  <si>
    <r>
      <t>COV</t>
    </r>
    <r>
      <rPr>
        <vertAlign val="subscript"/>
        <sz val="10"/>
        <color theme="1"/>
        <rFont val="Arial"/>
        <family val="2"/>
      </rPr>
      <t>k</t>
    </r>
  </si>
  <si>
    <r>
      <t>k</t>
    </r>
    <r>
      <rPr>
        <vertAlign val="subscript"/>
        <sz val="10"/>
        <color theme="1"/>
        <rFont val="Arial"/>
        <family val="2"/>
      </rPr>
      <t>mean</t>
    </r>
  </si>
  <si>
    <t>[mm/m]</t>
  </si>
  <si>
    <r>
      <t>u</t>
    </r>
    <r>
      <rPr>
        <vertAlign val="subscript"/>
        <sz val="10"/>
        <color theme="1"/>
        <rFont val="Arial"/>
        <family val="2"/>
      </rPr>
      <t>tol,1m</t>
    </r>
  </si>
  <si>
    <r>
      <t>L</t>
    </r>
    <r>
      <rPr>
        <vertAlign val="subscript"/>
        <sz val="10"/>
        <color theme="1"/>
        <rFont val="Arial"/>
        <family val="2"/>
      </rPr>
      <t>Gap</t>
    </r>
  </si>
  <si>
    <t>[deg]</t>
  </si>
  <si>
    <r>
      <rPr>
        <sz val="10"/>
        <color theme="1"/>
        <rFont val="Symbol"/>
        <family val="1"/>
        <charset val="2"/>
      </rPr>
      <t>a</t>
    </r>
    <r>
      <rPr>
        <vertAlign val="subscript"/>
        <sz val="10"/>
        <color theme="1"/>
        <rFont val="Arial"/>
        <family val="2"/>
      </rPr>
      <t>Gap</t>
    </r>
  </si>
  <si>
    <r>
      <t>F</t>
    </r>
    <r>
      <rPr>
        <vertAlign val="subscript"/>
        <sz val="10"/>
        <color theme="1"/>
        <rFont val="Arial"/>
        <family val="2"/>
      </rPr>
      <t>U,D</t>
    </r>
    <r>
      <rPr>
        <sz val="10"/>
        <color theme="1"/>
        <rFont val="Arial"/>
        <family val="2"/>
      </rPr>
      <t>/Z</t>
    </r>
    <r>
      <rPr>
        <vertAlign val="subscript"/>
        <sz val="10"/>
        <color theme="1"/>
        <rFont val="Arial"/>
        <family val="2"/>
      </rPr>
      <t>loss</t>
    </r>
  </si>
  <si>
    <r>
      <t>Z</t>
    </r>
    <r>
      <rPr>
        <vertAlign val="subscript"/>
        <sz val="10"/>
        <color theme="1"/>
        <rFont val="Arial"/>
        <family val="2"/>
      </rPr>
      <t>loss</t>
    </r>
  </si>
  <si>
    <t>[MNm]</t>
  </si>
  <si>
    <r>
      <t>M</t>
    </r>
    <r>
      <rPr>
        <vertAlign val="subscript"/>
        <sz val="10"/>
        <color theme="1"/>
        <rFont val="Arial"/>
        <family val="2"/>
      </rPr>
      <t>min,FLS</t>
    </r>
  </si>
  <si>
    <r>
      <t>M</t>
    </r>
    <r>
      <rPr>
        <vertAlign val="subscript"/>
        <sz val="10"/>
        <color theme="1"/>
        <rFont val="Arial"/>
        <family val="2"/>
      </rPr>
      <t>max,FLS</t>
    </r>
  </si>
  <si>
    <t>Note: S1 loads not included here, only FLS loads</t>
  </si>
  <si>
    <r>
      <t>M</t>
    </r>
    <r>
      <rPr>
        <vertAlign val="subscript"/>
        <sz val="10"/>
        <color theme="1"/>
        <rFont val="Arial"/>
        <family val="2"/>
      </rPr>
      <t>loss</t>
    </r>
  </si>
  <si>
    <r>
      <t>F</t>
    </r>
    <r>
      <rPr>
        <vertAlign val="subscript"/>
        <sz val="10"/>
        <color theme="1"/>
        <rFont val="Arial"/>
        <family val="2"/>
      </rPr>
      <t>S,loss</t>
    </r>
  </si>
  <si>
    <t>Including 50% reduction where re-tightening is assumed</t>
  </si>
  <si>
    <r>
      <t>f</t>
    </r>
    <r>
      <rPr>
        <vertAlign val="subscript"/>
        <sz val="10"/>
        <color theme="1"/>
        <rFont val="Arial"/>
        <family val="2"/>
      </rPr>
      <t>Z,tot</t>
    </r>
  </si>
  <si>
    <r>
      <t>DFT</t>
    </r>
    <r>
      <rPr>
        <vertAlign val="subscript"/>
        <sz val="10"/>
        <color theme="1"/>
        <rFont val="Arial"/>
        <family val="2"/>
      </rPr>
      <t>sbw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</si>
  <si>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F</t>
    </r>
    <r>
      <rPr>
        <vertAlign val="subscript"/>
        <sz val="10"/>
        <color theme="1"/>
        <rFont val="Arial"/>
        <family val="2"/>
      </rPr>
      <t>Z</t>
    </r>
  </si>
  <si>
    <t>p</t>
  </si>
  <si>
    <r>
      <rPr>
        <sz val="10"/>
        <color theme="1"/>
        <rFont val="Symbol"/>
        <family val="1"/>
        <charset val="2"/>
      </rPr>
      <t>d</t>
    </r>
    <r>
      <rPr>
        <vertAlign val="subscript"/>
        <sz val="10"/>
        <color theme="1"/>
        <rFont val="Arial"/>
        <family val="2"/>
      </rPr>
      <t>P</t>
    </r>
  </si>
  <si>
    <r>
      <rPr>
        <sz val="10"/>
        <color theme="1"/>
        <rFont val="Symbol"/>
        <family val="1"/>
        <charset val="2"/>
      </rPr>
      <t>d</t>
    </r>
    <r>
      <rPr>
        <vertAlign val="subscript"/>
        <sz val="10"/>
        <color theme="1"/>
        <rFont val="Arial"/>
        <family val="2"/>
      </rPr>
      <t>S</t>
    </r>
  </si>
  <si>
    <t>Limit value for HV bolts</t>
  </si>
  <si>
    <r>
      <t>F</t>
    </r>
    <r>
      <rPr>
        <vertAlign val="subscript"/>
        <sz val="10"/>
        <color theme="1"/>
        <rFont val="Arial"/>
        <family val="2"/>
      </rPr>
      <t>p,C</t>
    </r>
    <r>
      <rPr>
        <sz val="10"/>
        <color theme="1"/>
        <rFont val="Arial"/>
        <family val="2"/>
      </rPr>
      <t>'</t>
    </r>
  </si>
  <si>
    <t>Design preload averaged over 5 bolts</t>
  </si>
  <si>
    <r>
      <t>F</t>
    </r>
    <r>
      <rPr>
        <vertAlign val="subscript"/>
        <sz val="10"/>
        <color theme="1"/>
        <rFont val="Arial"/>
        <family val="2"/>
      </rPr>
      <t>p,mean</t>
    </r>
  </si>
  <si>
    <r>
      <t>COV</t>
    </r>
    <r>
      <rPr>
        <vertAlign val="subscript"/>
        <sz val="10"/>
        <color theme="1"/>
        <rFont val="Arial"/>
        <family val="2"/>
      </rPr>
      <t>p</t>
    </r>
  </si>
  <si>
    <r>
      <t>F</t>
    </r>
    <r>
      <rPr>
        <vertAlign val="subscript"/>
        <sz val="10"/>
        <color theme="1"/>
        <rFont val="Arial"/>
        <family val="2"/>
      </rPr>
      <t>p,inst.,mean</t>
    </r>
  </si>
  <si>
    <t>Design value of preload, simplified formula</t>
  </si>
  <si>
    <r>
      <t>A</t>
    </r>
    <r>
      <rPr>
        <vertAlign val="subscript"/>
        <sz val="10"/>
        <color theme="1"/>
        <rFont val="Arial"/>
        <family val="2"/>
      </rPr>
      <t>S</t>
    </r>
  </si>
  <si>
    <t>Nominal yield strength (0.2% strain limit) for 10.9 bolts</t>
  </si>
  <si>
    <t>[MPa]</t>
  </si>
  <si>
    <r>
      <t>f</t>
    </r>
    <r>
      <rPr>
        <vertAlign val="subscript"/>
        <sz val="10"/>
        <color theme="1"/>
        <rFont val="Arial"/>
        <family val="2"/>
      </rPr>
      <t>y,b</t>
    </r>
  </si>
  <si>
    <t>Simplified formula used, therefore not used directly (but reported here for info)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</si>
  <si>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F</t>
    </r>
    <r>
      <rPr>
        <vertAlign val="subscript"/>
        <sz val="10"/>
        <color theme="1"/>
        <rFont val="Arial"/>
        <family val="2"/>
      </rPr>
      <t>pl</t>
    </r>
  </si>
  <si>
    <t>Simplified formula used, therefore not evaluated</t>
  </si>
  <si>
    <t>Comment</t>
  </si>
  <si>
    <t>Unit</t>
  </si>
  <si>
    <t>Symbol</t>
  </si>
  <si>
    <t>Equation</t>
  </si>
  <si>
    <t>Collection of all (intermediate) values as calculated according to IEC 61400-6 AMD1:2024</t>
  </si>
  <si>
    <t>°</t>
  </si>
  <si>
    <t>SGRE Value</t>
  </si>
  <si>
    <t>KCI Value</t>
  </si>
  <si>
    <t>mm²</t>
  </si>
  <si>
    <r>
      <t>A</t>
    </r>
    <r>
      <rPr>
        <vertAlign val="subscript"/>
        <sz val="10"/>
        <color rgb="FF000000"/>
        <rFont val="Consolas"/>
        <family val="3"/>
      </rPr>
      <t>s</t>
    </r>
    <r>
      <rPr>
        <sz val="10"/>
        <color rgb="FF000000"/>
        <rFont val="Consolas"/>
        <family val="3"/>
      </rPr>
      <t xml:space="preserve"> =</t>
    </r>
  </si>
  <si>
    <t>Mismatch</t>
  </si>
  <si>
    <t>Bolt axial stiffness:</t>
  </si>
  <si>
    <t>kN/mm</t>
  </si>
  <si>
    <t>rad/(GN·m)</t>
  </si>
  <si>
    <t>mm/kN</t>
  </si>
  <si>
    <t>Clamped parts stiffness:</t>
  </si>
  <si>
    <t>SK</t>
  </si>
  <si>
    <t>Gew</t>
  </si>
  <si>
    <t>G</t>
  </si>
  <si>
    <t>M</t>
  </si>
  <si>
    <t>Tot</t>
  </si>
  <si>
    <r>
      <t>β</t>
    </r>
    <r>
      <rPr>
        <vertAlign val="subscript"/>
        <sz val="10"/>
        <color theme="0" tint="-0.499984740745262"/>
        <rFont val="Consolas"/>
        <family val="3"/>
      </rPr>
      <t>i</t>
    </r>
    <r>
      <rPr>
        <sz val="10"/>
        <color theme="0" tint="-0.499984740745262"/>
        <rFont val="Consolas"/>
        <family val="3"/>
      </rPr>
      <t xml:space="preserve"> =</t>
    </r>
  </si>
  <si>
    <r>
      <t>δ</t>
    </r>
    <r>
      <rPr>
        <vertAlign val="subscript"/>
        <sz val="10"/>
        <color theme="0" tint="-0.499984740745262"/>
        <rFont val="Consolas"/>
        <family val="3"/>
      </rPr>
      <t>i</t>
    </r>
    <r>
      <rPr>
        <sz val="10"/>
        <color theme="0" tint="-0.499984740745262"/>
        <rFont val="Consolas"/>
        <family val="3"/>
      </rPr>
      <t xml:space="preserve"> =</t>
    </r>
  </si>
  <si>
    <t>i =</t>
  </si>
  <si>
    <r>
      <t>C</t>
    </r>
    <r>
      <rPr>
        <vertAlign val="subscript"/>
        <sz val="10"/>
        <color rgb="FF000000"/>
        <rFont val="Consolas"/>
        <family val="3"/>
      </rPr>
      <t>S</t>
    </r>
    <r>
      <rPr>
        <sz val="10"/>
        <color rgb="FF000000"/>
        <rFont val="Consolas"/>
        <family val="3"/>
      </rPr>
      <t xml:space="preserve"> =</t>
    </r>
  </si>
  <si>
    <r>
      <t>C</t>
    </r>
    <r>
      <rPr>
        <vertAlign val="subscript"/>
        <sz val="10"/>
        <color rgb="FF000000"/>
        <rFont val="Consolas"/>
        <family val="3"/>
      </rPr>
      <t>D</t>
    </r>
    <r>
      <rPr>
        <sz val="10"/>
        <color rgb="FF000000"/>
        <rFont val="Consolas"/>
        <family val="3"/>
      </rPr>
      <t xml:space="preserve"> =</t>
    </r>
  </si>
  <si>
    <r>
      <t>C</t>
    </r>
    <r>
      <rPr>
        <vertAlign val="subscript"/>
        <sz val="10"/>
        <color rgb="FF000000"/>
        <rFont val="Consolas"/>
        <family val="3"/>
      </rPr>
      <t>Ms</t>
    </r>
    <r>
      <rPr>
        <sz val="10"/>
        <color rgb="FF000000"/>
        <rFont val="Consolas"/>
        <family val="3"/>
      </rPr>
      <t xml:space="preserve"> =</t>
    </r>
  </si>
  <si>
    <t>Gap angle:</t>
  </si>
  <si>
    <r>
      <t>α</t>
    </r>
    <r>
      <rPr>
        <vertAlign val="subscript"/>
        <sz val="10"/>
        <color rgb="FF000000"/>
        <rFont val="Consolas"/>
        <family val="3"/>
      </rPr>
      <t>Gap</t>
    </r>
    <r>
      <rPr>
        <sz val="10"/>
        <color rgb="FF000000"/>
        <rFont val="Consolas"/>
        <family val="3"/>
      </rPr>
      <t xml:space="preserve"> =</t>
    </r>
  </si>
  <si>
    <t>Miscellaneous</t>
  </si>
  <si>
    <t>Gap Stiffness</t>
  </si>
  <si>
    <t>Initial shell stiffness factor:</t>
  </si>
  <si>
    <r>
      <t>k</t>
    </r>
    <r>
      <rPr>
        <vertAlign val="subscript"/>
        <sz val="10"/>
        <color rgb="FF000000"/>
        <rFont val="Consolas"/>
        <family val="3"/>
      </rPr>
      <t>fac</t>
    </r>
    <r>
      <rPr>
        <sz val="10"/>
        <color rgb="FF000000"/>
        <rFont val="Consolas"/>
        <family val="3"/>
      </rPr>
      <t xml:space="preserve"> =</t>
    </r>
  </si>
  <si>
    <t>Initial shell stiffness:</t>
  </si>
  <si>
    <r>
      <t>k</t>
    </r>
    <r>
      <rPr>
        <vertAlign val="subscript"/>
        <sz val="10"/>
        <color rgb="FF000000"/>
        <rFont val="Consolas"/>
        <family val="3"/>
      </rPr>
      <t>shell,ini</t>
    </r>
    <r>
      <rPr>
        <sz val="10"/>
        <color rgb="FF000000"/>
        <rFont val="Consolas"/>
        <family val="3"/>
      </rPr>
      <t xml:space="preserve"> =</t>
    </r>
  </si>
  <si>
    <t>Flange stiffness:</t>
  </si>
  <si>
    <r>
      <t>k</t>
    </r>
    <r>
      <rPr>
        <vertAlign val="subscript"/>
        <sz val="10"/>
        <color rgb="FF000000"/>
        <rFont val="Consolas"/>
        <family val="3"/>
      </rPr>
      <t>fl</t>
    </r>
    <r>
      <rPr>
        <sz val="10"/>
        <color rgb="FF000000"/>
        <rFont val="Consolas"/>
        <family val="3"/>
      </rPr>
      <t xml:space="preserve"> =</t>
    </r>
  </si>
  <si>
    <t>Segment stiffness:</t>
  </si>
  <si>
    <r>
      <t>k</t>
    </r>
    <r>
      <rPr>
        <vertAlign val="subscript"/>
        <sz val="10"/>
        <color rgb="FF000000"/>
        <rFont val="Consolas"/>
        <family val="3"/>
      </rPr>
      <t>seg</t>
    </r>
    <r>
      <rPr>
        <sz val="10"/>
        <color rgb="FF000000"/>
        <rFont val="Consolas"/>
        <family val="3"/>
      </rPr>
      <t xml:space="preserve"> =</t>
    </r>
  </si>
  <si>
    <t>Stiffness correction factor</t>
  </si>
  <si>
    <t>Displacement in the ultimate prying state:</t>
  </si>
  <si>
    <t>u =</t>
  </si>
  <si>
    <r>
      <t>Determination of ULS point P</t>
    </r>
    <r>
      <rPr>
        <b/>
        <i/>
        <vertAlign val="subscript"/>
        <sz val="10"/>
        <color rgb="FF0095D3"/>
        <rFont val="Arial"/>
        <family val="2"/>
      </rPr>
      <t>2</t>
    </r>
  </si>
  <si>
    <t>Model Internal Parameters</t>
  </si>
  <si>
    <r>
      <t>Determination of small displacements point P</t>
    </r>
    <r>
      <rPr>
        <b/>
        <i/>
        <vertAlign val="subscript"/>
        <sz val="10"/>
        <color rgb="FF0095D3"/>
        <rFont val="Arial"/>
        <family val="2"/>
      </rPr>
      <t>3</t>
    </r>
  </si>
  <si>
    <t>Bolt</t>
  </si>
  <si>
    <t>Gap height probability distribution</t>
  </si>
  <si>
    <t>Mean gap height:</t>
  </si>
  <si>
    <r>
      <t>k</t>
    </r>
    <r>
      <rPr>
        <vertAlign val="subscript"/>
        <sz val="10"/>
        <color rgb="FF000000"/>
        <rFont val="Consolas"/>
        <family val="3"/>
      </rPr>
      <t>mean</t>
    </r>
    <r>
      <rPr>
        <sz val="10"/>
        <color rgb="FF000000"/>
        <rFont val="Consolas"/>
        <family val="3"/>
      </rPr>
      <t xml:space="preserve"> =</t>
    </r>
  </si>
  <si>
    <t>Coefficient of variation:</t>
  </si>
  <si>
    <r>
      <t>COV</t>
    </r>
    <r>
      <rPr>
        <vertAlign val="subscript"/>
        <sz val="10"/>
        <color rgb="FF000000"/>
        <rFont val="Consolas"/>
        <family val="3"/>
      </rPr>
      <t>k</t>
    </r>
    <r>
      <rPr>
        <sz val="10"/>
        <color rgb="FF000000"/>
        <rFont val="Consolas"/>
        <family val="3"/>
      </rPr>
      <t xml:space="preserve"> =</t>
    </r>
  </si>
  <si>
    <t>Local flatness tolerance of the flange:</t>
  </si>
  <si>
    <r>
      <t>u</t>
    </r>
    <r>
      <rPr>
        <vertAlign val="subscript"/>
        <sz val="10"/>
        <color rgb="FF000000"/>
        <rFont val="Consolas"/>
        <family val="3"/>
      </rPr>
      <t>tol,1m</t>
    </r>
    <r>
      <rPr>
        <sz val="10"/>
        <color rgb="FF000000"/>
        <rFont val="Consolas"/>
        <family val="3"/>
      </rPr>
      <t xml:space="preserve"> =</t>
    </r>
  </si>
  <si>
    <t>mm/m</t>
  </si>
  <si>
    <r>
      <rPr>
        <sz val="10"/>
        <color theme="1"/>
        <rFont val="Symbol"/>
        <family val="1"/>
        <charset val="2"/>
      </rPr>
      <t>j</t>
    </r>
    <r>
      <rPr>
        <vertAlign val="subscript"/>
        <sz val="10"/>
        <color theme="1"/>
        <rFont val="Arial"/>
        <family val="2"/>
      </rPr>
      <t>S,T,high(Z)</t>
    </r>
  </si>
  <si>
    <t>Intermediate values as function of Z</t>
  </si>
  <si>
    <r>
      <rPr>
        <sz val="10"/>
        <color theme="1"/>
        <rFont val="Symbol"/>
        <family val="1"/>
        <charset val="2"/>
      </rPr>
      <t>j</t>
    </r>
    <r>
      <rPr>
        <vertAlign val="subscript"/>
        <sz val="10"/>
        <color theme="1"/>
        <rFont val="Arial"/>
        <family val="2"/>
      </rPr>
      <t>S,T,low(Z)</t>
    </r>
  </si>
  <si>
    <t>Bending moment for T-Flange as a function of external force Z</t>
  </si>
  <si>
    <t>[1/Nmm]</t>
  </si>
  <si>
    <r>
      <rPr>
        <sz val="10"/>
        <color theme="1"/>
        <rFont val="Symbol"/>
        <family val="1"/>
        <charset val="2"/>
      </rPr>
      <t>b</t>
    </r>
    <r>
      <rPr>
        <vertAlign val="subscript"/>
        <sz val="10"/>
        <color theme="1"/>
        <rFont val="Arial"/>
        <family val="2"/>
      </rPr>
      <t>S</t>
    </r>
  </si>
  <si>
    <t>Bending resilience of bolt assembly</t>
  </si>
  <si>
    <t>Bending moment L-Flange as a function of external force Z</t>
  </si>
  <si>
    <t>c</t>
  </si>
  <si>
    <r>
      <t>[mm</t>
    </r>
    <r>
      <rPr>
        <vertAlign val="super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]</t>
    </r>
  </si>
  <si>
    <r>
      <t>[</t>
    </r>
    <r>
      <rPr>
        <sz val="10"/>
        <color theme="1"/>
        <rFont val="Symbol"/>
        <family val="1"/>
        <charset val="2"/>
      </rPr>
      <t>m</t>
    </r>
    <r>
      <rPr>
        <sz val="10"/>
        <color theme="1"/>
        <rFont val="Arial"/>
        <family val="2"/>
      </rPr>
      <t>m]</t>
    </r>
  </si>
  <si>
    <t>[m/N]</t>
  </si>
  <si>
    <r>
      <t>F</t>
    </r>
    <r>
      <rPr>
        <i/>
        <vertAlign val="subscript"/>
        <sz val="10"/>
        <color theme="1"/>
        <rFont val="Arial"/>
        <family val="2"/>
      </rPr>
      <t>p,C</t>
    </r>
    <r>
      <rPr>
        <i/>
        <sz val="10"/>
        <color theme="1"/>
        <rFont val="Arial"/>
        <family val="2"/>
      </rPr>
      <t>'</t>
    </r>
  </si>
  <si>
    <t>120°</t>
  </si>
  <si>
    <t>90°</t>
  </si>
  <si>
    <t>60°</t>
  </si>
  <si>
    <t>30°</t>
  </si>
  <si>
    <t>Geometry:</t>
  </si>
  <si>
    <t>Design cases</t>
  </si>
  <si>
    <t>Bolt stress 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</si>
</sst>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00"/>
    <numFmt numFmtId="167" formatCode="\(0\)"/>
    <numFmt numFmtId="169" formatCode="0.0%"/>
    <numFmt numFmtId="170" formatCode="0.0E+00"/>
  </numFmts>
  <fonts count="49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 tint="-0.499984740745262"/>
      <name val="Consolas"/>
      <family val="3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b/>
      <sz val="10"/>
      <color rgb="FF000000"/>
      <name val="Consolas"/>
      <family val="3"/>
    </font>
    <font>
      <vertAlign val="subscript"/>
      <sz val="10"/>
      <color rgb="FF000000"/>
      <name val="Consolas"/>
      <family val="3"/>
    </font>
    <font>
      <sz val="10"/>
      <color rgb="FF000000"/>
      <name val="Arial"/>
      <family val="2"/>
    </font>
    <font>
      <sz val="10"/>
      <color rgb="FF0095D3"/>
      <name val="Arial"/>
      <family val="2"/>
    </font>
    <font>
      <b/>
      <i/>
      <sz val="10"/>
      <color rgb="FF0095D3"/>
      <name val="Arial"/>
      <family val="2"/>
    </font>
    <font>
      <b/>
      <sz val="12"/>
      <color rgb="FFFF0000"/>
      <name val="Consolas"/>
      <family val="3"/>
    </font>
    <font>
      <b/>
      <sz val="12"/>
      <color rgb="FF0095D3"/>
      <name val="Arial"/>
      <family val="2"/>
    </font>
    <font>
      <i/>
      <sz val="10"/>
      <color rgb="FF808080"/>
      <name val="Arial"/>
      <family val="2"/>
    </font>
    <font>
      <i/>
      <sz val="10"/>
      <color theme="1"/>
      <name val="Arial"/>
      <family val="2"/>
    </font>
    <font>
      <sz val="14"/>
      <color theme="0" tint="-0.499984740745262"/>
      <name val="Consolas"/>
      <family val="3"/>
    </font>
    <font>
      <b/>
      <sz val="14"/>
      <color rgb="FF0095D3"/>
      <name val="Arial"/>
      <family val="2"/>
    </font>
    <font>
      <b/>
      <sz val="10"/>
      <color rgb="FF0095D3"/>
      <name val="Consolas"/>
      <family val="3"/>
    </font>
    <font>
      <sz val="10"/>
      <color rgb="FF0095D3"/>
      <name val="Consolas"/>
      <family val="3"/>
    </font>
    <font>
      <b/>
      <sz val="12"/>
      <color rgb="FF0095D3"/>
      <name val="Consolas"/>
      <family val="3"/>
    </font>
    <font>
      <sz val="8"/>
      <color theme="0" tint="-0.499984740745262"/>
      <name val="Consolas"/>
      <family val="3"/>
    </font>
    <font>
      <b/>
      <sz val="8"/>
      <color rgb="FF0095D3"/>
      <name val="Consolas"/>
      <family val="3"/>
    </font>
    <font>
      <sz val="8"/>
      <color rgb="FF0095D3"/>
      <name val="Consolas"/>
      <family val="3"/>
    </font>
    <font>
      <b/>
      <sz val="8"/>
      <color rgb="FF808080"/>
      <name val="Consolas"/>
      <family val="3"/>
    </font>
    <font>
      <b/>
      <i/>
      <sz val="8"/>
      <color rgb="FF808080"/>
      <name val="Consolas"/>
      <family val="3"/>
    </font>
    <font>
      <sz val="8"/>
      <color rgb="FF808080"/>
      <name val="Consolas"/>
      <family val="3"/>
    </font>
    <font>
      <b/>
      <sz val="14"/>
      <color rgb="FF0095D3"/>
      <name val="Aptos Narrow"/>
      <family val="2"/>
    </font>
    <font>
      <b/>
      <vertAlign val="subscript"/>
      <sz val="12"/>
      <color rgb="FF0095D3"/>
      <name val="Arial"/>
      <family val="2"/>
    </font>
    <font>
      <b/>
      <sz val="10"/>
      <color rgb="FFFFFFFF"/>
      <name val="Arial"/>
      <family val="2"/>
    </font>
    <font>
      <vertAlign val="subscript"/>
      <sz val="10"/>
      <color rgb="FF000000"/>
      <name val="Arial"/>
      <family val="2"/>
    </font>
    <font>
      <b/>
      <vertAlign val="subscript"/>
      <sz val="10"/>
      <color rgb="FFFFFFFF"/>
      <name val="Arial"/>
      <family val="2"/>
    </font>
    <font>
      <sz val="10"/>
      <color rgb="FF000000"/>
      <name val="Aptos Narrow"/>
      <family val="2"/>
    </font>
    <font>
      <sz val="10"/>
      <color rgb="FF000000"/>
      <name val="Consolas"/>
      <family val="2"/>
    </font>
    <font>
      <vertAlign val="subscript"/>
      <sz val="10"/>
      <color rgb="FF000000"/>
      <name val="Aptos Narrow"/>
      <family val="2"/>
    </font>
    <font>
      <b/>
      <sz val="10"/>
      <color rgb="FF000000"/>
      <name val="Arial"/>
      <family val="2"/>
    </font>
    <font>
      <sz val="10"/>
      <color rgb="FF808080"/>
      <name val="Consolas"/>
      <family val="3"/>
    </font>
    <font>
      <b/>
      <sz val="10"/>
      <color rgb="FF808080"/>
      <name val="Arial"/>
      <family val="2"/>
    </font>
    <font>
      <sz val="10"/>
      <color rgb="FF808080"/>
      <name val="Arial"/>
      <family val="2"/>
    </font>
    <font>
      <b/>
      <sz val="10"/>
      <color rgb="FF808080"/>
      <name val="Consolas"/>
      <family val="3"/>
    </font>
    <font>
      <sz val="10"/>
      <color theme="1"/>
      <name val="Arial"/>
      <family val="2"/>
    </font>
    <font>
      <sz val="10"/>
      <color theme="1"/>
      <name val="Arial"/>
      <family val="1"/>
      <charset val="2"/>
    </font>
    <font>
      <vertAlign val="subscript"/>
      <sz val="10"/>
      <color theme="1"/>
      <name val="Arial"/>
      <family val="2"/>
    </font>
    <font>
      <sz val="10"/>
      <color theme="1"/>
      <name val="Symbol"/>
      <family val="1"/>
      <charset val="2"/>
    </font>
    <font>
      <b/>
      <sz val="10"/>
      <color theme="1"/>
      <name val="Arial"/>
      <family val="2"/>
    </font>
    <font>
      <vertAlign val="subscript"/>
      <sz val="10"/>
      <color theme="0" tint="-0.499984740745262"/>
      <name val="Consolas"/>
      <family val="3"/>
    </font>
    <font>
      <b/>
      <i/>
      <vertAlign val="subscript"/>
      <sz val="10"/>
      <color rgb="FF0095D3"/>
      <name val="Arial"/>
      <family val="2"/>
    </font>
    <font>
      <vertAlign val="superscript"/>
      <sz val="10"/>
      <color theme="1"/>
      <name val="Arial"/>
      <family val="2"/>
    </font>
    <font>
      <i/>
      <vertAlign val="subscript"/>
      <sz val="10"/>
      <color theme="1"/>
      <name val="Arial"/>
      <family val="2"/>
    </font>
    <font>
      <i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1F2"/>
        <bgColor indexed="64"/>
      </patternFill>
    </fill>
    <fill>
      <patternFill patternType="lightUp">
        <bgColor theme="9" tint="0.59999389629810485"/>
      </patternFill>
    </fill>
  </fills>
  <borders count="33">
    <border>
      <left/>
      <right/>
      <top/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/>
      <bottom style="thin">
        <color rgb="FF0095D3"/>
      </bottom>
      <diagonal/>
    </border>
    <border>
      <left/>
      <right/>
      <top/>
      <bottom style="medium">
        <color rgb="FF0095D3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/>
      <top/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/>
      <bottom style="thick">
        <color rgb="FF0095D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0095D3"/>
      </top>
      <bottom style="thin">
        <color rgb="FF0095D3"/>
      </bottom>
      <diagonal/>
    </border>
    <border>
      <left style="thin">
        <color rgb="FF0095D3"/>
      </left>
      <right/>
      <top style="thin">
        <color rgb="FF0095D3"/>
      </top>
      <bottom style="thin">
        <color rgb="FF0095D3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theme="0" tint="-0.34998626667073579"/>
      </left>
      <right/>
      <top/>
      <bottom style="thin">
        <color rgb="FFA6A6A6"/>
      </bottom>
      <diagonal/>
    </border>
    <border>
      <left/>
      <right style="thin">
        <color theme="0" tint="-0.34998626667073579"/>
      </right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95D3"/>
      </left>
      <right style="thin">
        <color rgb="FF0095D3"/>
      </right>
      <top style="thin">
        <color rgb="FF0095D3"/>
      </top>
      <bottom style="thin">
        <color rgb="FF0095D3"/>
      </bottom>
      <diagonal/>
    </border>
    <border>
      <left style="thin">
        <color rgb="FF0095D3"/>
      </left>
      <right style="thin">
        <color rgb="FF0095D3"/>
      </right>
      <top style="thin">
        <color rgb="FF0095D3"/>
      </top>
      <bottom/>
      <diagonal/>
    </border>
    <border>
      <left style="thin">
        <color rgb="FF0095D3"/>
      </left>
      <right style="thin">
        <color rgb="FF0095D3"/>
      </right>
      <top/>
      <bottom style="thin">
        <color rgb="FF0095D3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39" fillId="0" borderId="0" applyFont="0" applyFill="0" applyBorder="0" applyAlignment="0" applyProtection="0"/>
  </cellStyleXfs>
  <cellXfs count="157">
    <xf numFmtId="0" fontId="0" fillId="0" borderId="0" xfId="0"/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3" borderId="1" xfId="1" applyFont="1" applyFill="1" applyBorder="1" applyAlignment="1">
      <alignment horizontal="left" vertical="center"/>
    </xf>
    <xf numFmtId="2" fontId="6" fillId="3" borderId="1" xfId="1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right" vertical="center"/>
    </xf>
    <xf numFmtId="0" fontId="8" fillId="3" borderId="1" xfId="1" applyFont="1" applyFill="1" applyBorder="1" applyAlignment="1">
      <alignment horizontal="left" vertical="center"/>
    </xf>
    <xf numFmtId="0" fontId="9" fillId="3" borderId="0" xfId="1" applyFont="1" applyFill="1" applyAlignment="1">
      <alignment horizontal="right" vertical="center"/>
    </xf>
    <xf numFmtId="0" fontId="5" fillId="3" borderId="2" xfId="1" applyFont="1" applyFill="1" applyBorder="1" applyAlignment="1">
      <alignment horizontal="right" vertical="center"/>
    </xf>
    <xf numFmtId="0" fontId="8" fillId="3" borderId="2" xfId="1" applyFont="1" applyFill="1" applyBorder="1" applyAlignment="1">
      <alignment horizontal="left" vertical="center"/>
    </xf>
    <xf numFmtId="0" fontId="10" fillId="3" borderId="3" xfId="1" applyFont="1" applyFill="1" applyBorder="1" applyAlignment="1">
      <alignment horizontal="left"/>
    </xf>
    <xf numFmtId="2" fontId="11" fillId="3" borderId="4" xfId="1" applyNumberFormat="1" applyFont="1" applyFill="1" applyBorder="1" applyAlignment="1">
      <alignment horizontal="center"/>
    </xf>
    <xf numFmtId="0" fontId="12" fillId="3" borderId="4" xfId="1" applyFont="1" applyFill="1" applyBorder="1" applyAlignment="1">
      <alignment horizontal="left"/>
    </xf>
    <xf numFmtId="0" fontId="5" fillId="3" borderId="5" xfId="1" applyFont="1" applyFill="1" applyBorder="1" applyAlignment="1">
      <alignment horizontal="left" vertical="center"/>
    </xf>
    <xf numFmtId="0" fontId="5" fillId="3" borderId="5" xfId="1" applyFont="1" applyFill="1" applyBorder="1" applyAlignment="1">
      <alignment horizontal="right" vertical="center"/>
    </xf>
    <xf numFmtId="0" fontId="8" fillId="3" borderId="5" xfId="1" applyFont="1" applyFill="1" applyBorder="1" applyAlignment="1">
      <alignment horizontal="left" vertical="center"/>
    </xf>
    <xf numFmtId="0" fontId="3" fillId="2" borderId="0" xfId="1" applyFont="1" applyFill="1" applyAlignment="1">
      <alignment vertical="center" wrapText="1"/>
    </xf>
    <xf numFmtId="0" fontId="13" fillId="4" borderId="0" xfId="1" applyFont="1" applyFill="1" applyAlignment="1">
      <alignment horizontal="left" vertical="top" wrapText="1"/>
    </xf>
    <xf numFmtId="0" fontId="3" fillId="0" borderId="0" xfId="1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14" fillId="0" borderId="7" xfId="1" applyFont="1" applyBorder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14" fillId="0" borderId="8" xfId="1" applyFont="1" applyBorder="1" applyAlignment="1">
      <alignment horizontal="center" vertical="center" wrapText="1"/>
    </xf>
    <xf numFmtId="0" fontId="13" fillId="4" borderId="0" xfId="1" applyFont="1" applyFill="1" applyAlignment="1">
      <alignment vertical="top" wrapText="1"/>
    </xf>
    <xf numFmtId="0" fontId="14" fillId="0" borderId="11" xfId="1" applyFont="1" applyBorder="1" applyAlignment="1">
      <alignment vertical="center" wrapText="1"/>
    </xf>
    <xf numFmtId="0" fontId="14" fillId="0" borderId="12" xfId="1" applyFont="1" applyBorder="1" applyAlignment="1">
      <alignment vertical="center" wrapText="1"/>
    </xf>
    <xf numFmtId="0" fontId="14" fillId="0" borderId="13" xfId="1" applyFont="1" applyBorder="1" applyAlignment="1">
      <alignment vertical="center" wrapText="1"/>
    </xf>
    <xf numFmtId="0" fontId="4" fillId="0" borderId="9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6" xfId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15" fillId="2" borderId="0" xfId="1" applyFont="1" applyFill="1"/>
    <xf numFmtId="0" fontId="13" fillId="0" borderId="0" xfId="1" applyFont="1" applyAlignment="1">
      <alignment vertical="top" wrapText="1"/>
    </xf>
    <xf numFmtId="2" fontId="16" fillId="3" borderId="18" xfId="1" applyNumberFormat="1" applyFont="1" applyFill="1" applyBorder="1" applyAlignment="1">
      <alignment horizontal="left"/>
    </xf>
    <xf numFmtId="0" fontId="16" fillId="3" borderId="18" xfId="1" applyFont="1" applyFill="1" applyBorder="1" applyAlignment="1">
      <alignment horizontal="left"/>
    </xf>
    <xf numFmtId="0" fontId="17" fillId="2" borderId="0" xfId="1" applyFont="1" applyFill="1" applyAlignment="1">
      <alignment horizontal="center" vertical="center"/>
    </xf>
    <xf numFmtId="0" fontId="18" fillId="2" borderId="0" xfId="1" applyFont="1" applyFill="1" applyAlignment="1">
      <alignment horizontal="right" vertical="center"/>
    </xf>
    <xf numFmtId="0" fontId="19" fillId="2" borderId="0" xfId="1" applyFont="1" applyFill="1" applyAlignment="1">
      <alignment vertical="center"/>
    </xf>
    <xf numFmtId="0" fontId="20" fillId="2" borderId="0" xfId="1" applyFont="1" applyFill="1" applyAlignment="1">
      <alignment horizontal="center" vertical="center"/>
    </xf>
    <xf numFmtId="0" fontId="21" fillId="2" borderId="19" xfId="1" applyFont="1" applyFill="1" applyBorder="1" applyAlignment="1">
      <alignment horizontal="center" vertical="center"/>
    </xf>
    <xf numFmtId="0" fontId="22" fillId="2" borderId="19" xfId="1" applyFont="1" applyFill="1" applyBorder="1" applyAlignment="1">
      <alignment horizontal="center" vertical="center"/>
    </xf>
    <xf numFmtId="14" fontId="22" fillId="2" borderId="19" xfId="1" applyNumberFormat="1" applyFont="1" applyFill="1" applyBorder="1" applyAlignment="1">
      <alignment horizontal="center" vertical="center"/>
    </xf>
    <xf numFmtId="49" fontId="21" fillId="2" borderId="19" xfId="1" applyNumberFormat="1" applyFont="1" applyFill="1" applyBorder="1" applyAlignment="1">
      <alignment horizontal="center" vertical="center"/>
    </xf>
    <xf numFmtId="0" fontId="21" fillId="2" borderId="0" xfId="1" applyFont="1" applyFill="1" applyAlignment="1">
      <alignment horizontal="center"/>
    </xf>
    <xf numFmtId="0" fontId="23" fillId="2" borderId="0" xfId="1" applyFont="1" applyFill="1" applyAlignment="1">
      <alignment horizontal="center"/>
    </xf>
    <xf numFmtId="0" fontId="23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right" vertical="center"/>
    </xf>
    <xf numFmtId="0" fontId="25" fillId="2" borderId="0" xfId="1" applyFont="1" applyFill="1" applyAlignment="1">
      <alignment vertical="center"/>
    </xf>
    <xf numFmtId="0" fontId="23" fillId="2" borderId="0" xfId="1" applyFont="1" applyFill="1" applyAlignment="1">
      <alignment vertical="center"/>
    </xf>
    <xf numFmtId="0" fontId="3" fillId="2" borderId="23" xfId="1" applyFont="1" applyFill="1" applyBorder="1" applyAlignment="1">
      <alignment vertical="center"/>
    </xf>
    <xf numFmtId="49" fontId="17" fillId="2" borderId="23" xfId="1" applyNumberFormat="1" applyFont="1" applyFill="1" applyBorder="1" applyAlignment="1">
      <alignment horizontal="center" vertical="center"/>
    </xf>
    <xf numFmtId="0" fontId="18" fillId="2" borderId="23" xfId="1" applyFont="1" applyFill="1" applyBorder="1" applyAlignment="1">
      <alignment horizontal="right" vertical="center"/>
    </xf>
    <xf numFmtId="0" fontId="4" fillId="2" borderId="23" xfId="1" applyFont="1" applyFill="1" applyBorder="1" applyAlignment="1">
      <alignment vertical="center"/>
    </xf>
    <xf numFmtId="0" fontId="19" fillId="2" borderId="23" xfId="1" applyFont="1" applyFill="1" applyBorder="1" applyAlignment="1">
      <alignment vertical="center"/>
    </xf>
    <xf numFmtId="0" fontId="4" fillId="2" borderId="24" xfId="1" applyFont="1" applyFill="1" applyBorder="1" applyAlignment="1">
      <alignment vertical="center"/>
    </xf>
    <xf numFmtId="0" fontId="8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right" vertical="center"/>
    </xf>
    <xf numFmtId="0" fontId="5" fillId="3" borderId="0" xfId="1" applyFont="1" applyFill="1" applyAlignment="1">
      <alignment horizontal="left" vertical="center"/>
    </xf>
    <xf numFmtId="0" fontId="6" fillId="3" borderId="1" xfId="1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164" fontId="6" fillId="3" borderId="5" xfId="1" applyNumberFormat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165" fontId="6" fillId="3" borderId="1" xfId="1" applyNumberFormat="1" applyFont="1" applyFill="1" applyBorder="1" applyAlignment="1">
      <alignment horizontal="center" vertical="center"/>
    </xf>
    <xf numFmtId="166" fontId="6" fillId="3" borderId="1" xfId="1" applyNumberFormat="1" applyFont="1" applyFill="1" applyBorder="1" applyAlignment="1">
      <alignment horizontal="center" vertical="center"/>
    </xf>
    <xf numFmtId="1" fontId="6" fillId="3" borderId="5" xfId="1" applyNumberFormat="1" applyFont="1" applyFill="1" applyBorder="1" applyAlignment="1">
      <alignment horizontal="center" vertical="center"/>
    </xf>
    <xf numFmtId="0" fontId="4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right" vertical="center"/>
    </xf>
    <xf numFmtId="0" fontId="3" fillId="2" borderId="25" xfId="1" applyFont="1" applyFill="1" applyBorder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4" xfId="1" applyFont="1" applyBorder="1" applyAlignment="1">
      <alignment vertical="center"/>
    </xf>
    <xf numFmtId="0" fontId="10" fillId="3" borderId="0" xfId="1" applyFont="1" applyFill="1" applyAlignment="1">
      <alignment horizontal="left" indent="2"/>
    </xf>
    <xf numFmtId="1" fontId="8" fillId="3" borderId="25" xfId="1" applyNumberFormat="1" applyFont="1" applyFill="1" applyBorder="1" applyAlignment="1">
      <alignment horizontal="center" vertical="center"/>
    </xf>
    <xf numFmtId="1" fontId="28" fillId="6" borderId="25" xfId="1" applyNumberFormat="1" applyFont="1" applyFill="1" applyBorder="1" applyAlignment="1">
      <alignment horizontal="center" vertical="center"/>
    </xf>
    <xf numFmtId="0" fontId="28" fillId="6" borderId="25" xfId="1" applyFont="1" applyFill="1" applyBorder="1" applyAlignment="1">
      <alignment horizontal="center" vertical="center"/>
    </xf>
    <xf numFmtId="164" fontId="8" fillId="3" borderId="25" xfId="1" applyNumberFormat="1" applyFont="1" applyFill="1" applyBorder="1" applyAlignment="1">
      <alignment horizontal="center" vertical="center"/>
    </xf>
    <xf numFmtId="11" fontId="8" fillId="3" borderId="25" xfId="1" applyNumberFormat="1" applyFont="1" applyFill="1" applyBorder="1" applyAlignment="1">
      <alignment horizontal="center" vertical="center"/>
    </xf>
    <xf numFmtId="0" fontId="32" fillId="3" borderId="1" xfId="1" applyFont="1" applyFill="1" applyBorder="1" applyAlignment="1">
      <alignment horizontal="right" vertical="center"/>
    </xf>
    <xf numFmtId="0" fontId="31" fillId="3" borderId="1" xfId="1" applyFont="1" applyFill="1" applyBorder="1" applyAlignment="1">
      <alignment horizontal="right" vertical="center"/>
    </xf>
    <xf numFmtId="0" fontId="32" fillId="3" borderId="5" xfId="1" applyFont="1" applyFill="1" applyBorder="1" applyAlignment="1">
      <alignment horizontal="right" vertical="center"/>
    </xf>
    <xf numFmtId="165" fontId="6" fillId="3" borderId="5" xfId="1" applyNumberFormat="1" applyFont="1" applyFill="1" applyBorder="1" applyAlignment="1">
      <alignment horizontal="center" vertical="center"/>
    </xf>
    <xf numFmtId="0" fontId="3" fillId="2" borderId="0" xfId="2" applyFont="1" applyFill="1" applyAlignment="1">
      <alignment vertical="center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4" fontId="3" fillId="2" borderId="0" xfId="2" applyNumberFormat="1" applyFont="1" applyFill="1" applyAlignment="1">
      <alignment vertical="center"/>
    </xf>
    <xf numFmtId="0" fontId="14" fillId="0" borderId="26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27" xfId="1" applyFont="1" applyBorder="1" applyAlignment="1">
      <alignment horizontal="center" vertical="center" wrapText="1"/>
    </xf>
    <xf numFmtId="164" fontId="6" fillId="3" borderId="2" xfId="1" applyNumberFormat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left" vertical="center"/>
    </xf>
    <xf numFmtId="0" fontId="10" fillId="3" borderId="3" xfId="1" applyFont="1" applyFill="1" applyBorder="1" applyAlignment="1">
      <alignment horizontal="left" wrapText="1"/>
    </xf>
    <xf numFmtId="0" fontId="10" fillId="3" borderId="0" xfId="1" applyFont="1" applyFill="1" applyAlignment="1">
      <alignment horizontal="left" wrapText="1" indent="2"/>
    </xf>
    <xf numFmtId="164" fontId="6" fillId="3" borderId="0" xfId="1" applyNumberFormat="1" applyFont="1" applyFill="1" applyAlignment="1">
      <alignment horizontal="center" vertical="center"/>
    </xf>
    <xf numFmtId="166" fontId="6" fillId="3" borderId="2" xfId="1" applyNumberFormat="1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/>
    </xf>
    <xf numFmtId="0" fontId="35" fillId="4" borderId="0" xfId="1" applyFont="1" applyFill="1" applyAlignment="1">
      <alignment vertical="center"/>
    </xf>
    <xf numFmtId="0" fontId="36" fillId="4" borderId="0" xfId="1" applyFont="1" applyFill="1" applyAlignment="1">
      <alignment horizontal="center" vertical="center"/>
    </xf>
    <xf numFmtId="0" fontId="37" fillId="4" borderId="0" xfId="1" applyFont="1" applyFill="1" applyAlignment="1">
      <alignment horizontal="center" vertical="center"/>
    </xf>
    <xf numFmtId="164" fontId="35" fillId="4" borderId="28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4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4" fontId="0" fillId="7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166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42" fillId="0" borderId="0" xfId="0" applyFont="1" applyAlignment="1">
      <alignment horizontal="center"/>
    </xf>
    <xf numFmtId="165" fontId="0" fillId="7" borderId="0" xfId="0" applyNumberFormat="1" applyFill="1" applyAlignment="1">
      <alignment horizontal="center"/>
    </xf>
    <xf numFmtId="11" fontId="0" fillId="7" borderId="0" xfId="0" applyNumberFormat="1" applyFill="1" applyAlignment="1">
      <alignment horizontal="center"/>
    </xf>
    <xf numFmtId="0" fontId="0" fillId="0" borderId="29" xfId="0" applyBorder="1"/>
    <xf numFmtId="0" fontId="43" fillId="0" borderId="29" xfId="0" applyFont="1" applyBorder="1" applyAlignment="1">
      <alignment horizontal="center"/>
    </xf>
    <xf numFmtId="0" fontId="43" fillId="0" borderId="0" xfId="0" applyFont="1"/>
    <xf numFmtId="169" fontId="0" fillId="7" borderId="0" xfId="3" applyNumberFormat="1" applyFont="1" applyFill="1" applyAlignment="1">
      <alignment horizontal="center"/>
    </xf>
    <xf numFmtId="0" fontId="3" fillId="4" borderId="0" xfId="1" applyFont="1" applyFill="1" applyAlignment="1">
      <alignment vertical="center"/>
    </xf>
    <xf numFmtId="164" fontId="35" fillId="4" borderId="25" xfId="1" applyNumberFormat="1" applyFont="1" applyFill="1" applyBorder="1" applyAlignment="1">
      <alignment horizontal="center" vertical="center"/>
    </xf>
    <xf numFmtId="164" fontId="38" fillId="4" borderId="25" xfId="1" applyNumberFormat="1" applyFont="1" applyFill="1" applyBorder="1" applyAlignment="1">
      <alignment horizontal="center" vertical="center"/>
    </xf>
    <xf numFmtId="170" fontId="38" fillId="4" borderId="28" xfId="1" applyNumberFormat="1" applyFont="1" applyFill="1" applyBorder="1" applyAlignment="1">
      <alignment horizontal="center" vertical="center"/>
    </xf>
    <xf numFmtId="164" fontId="35" fillId="4" borderId="0" xfId="1" applyNumberFormat="1" applyFont="1" applyFill="1" applyAlignment="1">
      <alignment horizontal="center" vertical="center"/>
    </xf>
    <xf numFmtId="164" fontId="38" fillId="4" borderId="0" xfId="1" applyNumberFormat="1" applyFont="1" applyFill="1" applyAlignment="1">
      <alignment horizontal="center" vertical="center"/>
    </xf>
    <xf numFmtId="165" fontId="6" fillId="3" borderId="0" xfId="1" applyNumberFormat="1" applyFont="1" applyFill="1" applyAlignment="1">
      <alignment horizontal="center" vertical="center"/>
    </xf>
    <xf numFmtId="0" fontId="10" fillId="3" borderId="0" xfId="1" applyFont="1" applyFill="1" applyAlignment="1">
      <alignment horizontal="left"/>
    </xf>
    <xf numFmtId="0" fontId="6" fillId="8" borderId="31" xfId="1" applyFont="1" applyFill="1" applyBorder="1" applyAlignment="1">
      <alignment horizontal="center" vertical="center"/>
    </xf>
    <xf numFmtId="2" fontId="6" fillId="8" borderId="30" xfId="1" applyNumberFormat="1" applyFont="1" applyFill="1" applyBorder="1" applyAlignment="1">
      <alignment horizontal="center" vertical="center"/>
    </xf>
    <xf numFmtId="2" fontId="6" fillId="8" borderId="31" xfId="1" applyNumberFormat="1" applyFont="1" applyFill="1" applyBorder="1" applyAlignment="1">
      <alignment horizontal="center" vertical="center"/>
    </xf>
    <xf numFmtId="0" fontId="6" fillId="8" borderId="30" xfId="1" applyFont="1" applyFill="1" applyBorder="1" applyAlignment="1">
      <alignment horizontal="center" vertical="center"/>
    </xf>
    <xf numFmtId="166" fontId="6" fillId="8" borderId="30" xfId="1" applyNumberFormat="1" applyFont="1" applyFill="1" applyBorder="1" applyAlignment="1">
      <alignment horizontal="center" vertical="center"/>
    </xf>
    <xf numFmtId="2" fontId="6" fillId="8" borderId="32" xfId="1" applyNumberFormat="1" applyFont="1" applyFill="1" applyBorder="1" applyAlignment="1">
      <alignment horizontal="center" vertical="center"/>
    </xf>
    <xf numFmtId="0" fontId="21" fillId="2" borderId="22" xfId="1" applyFont="1" applyFill="1" applyBorder="1" applyAlignment="1">
      <alignment horizontal="left" vertical="center"/>
    </xf>
    <xf numFmtId="0" fontId="21" fillId="2" borderId="21" xfId="1" applyFont="1" applyFill="1" applyBorder="1" applyAlignment="1">
      <alignment horizontal="left" vertical="center"/>
    </xf>
    <xf numFmtId="0" fontId="21" fillId="2" borderId="20" xfId="1" applyFont="1" applyFill="1" applyBorder="1" applyAlignment="1">
      <alignment horizontal="left" vertical="center"/>
    </xf>
    <xf numFmtId="0" fontId="34" fillId="3" borderId="1" xfId="2" applyFont="1" applyFill="1" applyBorder="1" applyAlignment="1">
      <alignment horizontal="left" vertical="center"/>
    </xf>
    <xf numFmtId="14" fontId="8" fillId="3" borderId="1" xfId="2" applyNumberFormat="1" applyFont="1" applyFill="1" applyBorder="1" applyAlignment="1">
      <alignment horizontal="left" vertical="center" shrinkToFit="1"/>
    </xf>
    <xf numFmtId="0" fontId="8" fillId="3" borderId="1" xfId="2" applyFont="1" applyFill="1" applyBorder="1" applyAlignment="1">
      <alignment horizontal="left" vertical="center"/>
    </xf>
    <xf numFmtId="0" fontId="24" fillId="2" borderId="0" xfId="1" applyFont="1" applyFill="1" applyAlignment="1">
      <alignment horizontal="left" vertical="top" wrapText="1"/>
    </xf>
    <xf numFmtId="0" fontId="24" fillId="2" borderId="0" xfId="1" applyFont="1" applyFill="1" applyAlignment="1">
      <alignment horizontal="left" vertical="top"/>
    </xf>
    <xf numFmtId="0" fontId="23" fillId="2" borderId="6" xfId="1" applyFont="1" applyFill="1" applyBorder="1" applyAlignment="1">
      <alignment horizontal="center"/>
    </xf>
    <xf numFmtId="0" fontId="13" fillId="5" borderId="10" xfId="1" applyFont="1" applyFill="1" applyBorder="1" applyAlignment="1">
      <alignment horizontal="center" vertical="center" wrapText="1"/>
    </xf>
    <xf numFmtId="0" fontId="13" fillId="5" borderId="0" xfId="1" applyFont="1" applyFill="1" applyAlignment="1">
      <alignment horizontal="center" vertical="center" wrapText="1"/>
    </xf>
    <xf numFmtId="0" fontId="13" fillId="5" borderId="9" xfId="1" applyFont="1" applyFill="1" applyBorder="1" applyAlignment="1">
      <alignment horizontal="center" vertical="center" wrapText="1"/>
    </xf>
    <xf numFmtId="0" fontId="0" fillId="9" borderId="0" xfId="0" applyFill="1"/>
    <xf numFmtId="164" fontId="14" fillId="7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167" fontId="14" fillId="0" borderId="0" xfId="0" applyNumberFormat="1" applyFont="1" applyAlignment="1">
      <alignment horizontal="center"/>
    </xf>
    <xf numFmtId="0" fontId="14" fillId="0" borderId="0" xfId="0" applyFont="1"/>
    <xf numFmtId="0" fontId="4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4" fontId="48" fillId="0" borderId="0" xfId="0" applyNumberFormat="1" applyFont="1" applyAlignment="1">
      <alignment horizontal="center"/>
    </xf>
  </cellXfs>
  <cellStyles count="4">
    <cellStyle name="Normal" xfId="0" builtinId="0"/>
    <cellStyle name="Normal 2" xfId="1" xr:uid="{441ACF27-160B-4F68-B601-75E0F5333046}"/>
    <cellStyle name="Normal 3" xfId="2" xr:uid="{E743A38D-16A7-497B-BF78-6D533003511F}"/>
    <cellStyle name="Percent" xfId="3" builtinId="5"/>
  </cellStyles>
  <dxfs count="1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Gap30deg!$O$66:$DJ$66</c:f>
              <c:numCache>
                <c:formatCode>General</c:formatCode>
                <c:ptCount val="100"/>
                <c:pt idx="0">
                  <c:v>-1250.633979143932</c:v>
                </c:pt>
                <c:pt idx="1">
                  <c:v>-1217.1002322374663</c:v>
                </c:pt>
                <c:pt idx="2">
                  <c:v>-1183.5664853310006</c:v>
                </c:pt>
                <c:pt idx="3">
                  <c:v>-1150.0327384245354</c:v>
                </c:pt>
                <c:pt idx="4">
                  <c:v>-1116.4989915180697</c:v>
                </c:pt>
                <c:pt idx="5">
                  <c:v>-1082.9652446116042</c:v>
                </c:pt>
                <c:pt idx="6">
                  <c:v>-1049.4314977051386</c:v>
                </c:pt>
                <c:pt idx="7">
                  <c:v>-1015.8977507986729</c:v>
                </c:pt>
                <c:pt idx="8">
                  <c:v>-982.36400389220728</c:v>
                </c:pt>
                <c:pt idx="9">
                  <c:v>-948.83025698574181</c:v>
                </c:pt>
                <c:pt idx="10">
                  <c:v>-915.29651007927612</c:v>
                </c:pt>
                <c:pt idx="11">
                  <c:v>-881.76276317281065</c:v>
                </c:pt>
                <c:pt idx="12">
                  <c:v>-848.22901626634507</c:v>
                </c:pt>
                <c:pt idx="13">
                  <c:v>-814.69526935987938</c:v>
                </c:pt>
                <c:pt idx="14">
                  <c:v>-781.1615224534138</c:v>
                </c:pt>
                <c:pt idx="15">
                  <c:v>-747.62777554694821</c:v>
                </c:pt>
                <c:pt idx="16">
                  <c:v>-714.09402864048275</c:v>
                </c:pt>
                <c:pt idx="17">
                  <c:v>-680.56028173401705</c:v>
                </c:pt>
                <c:pt idx="18">
                  <c:v>-647.02653482755159</c:v>
                </c:pt>
                <c:pt idx="19">
                  <c:v>-613.49278792108601</c:v>
                </c:pt>
                <c:pt idx="20">
                  <c:v>-579.95904101462031</c:v>
                </c:pt>
                <c:pt idx="21">
                  <c:v>-546.42529410815484</c:v>
                </c:pt>
                <c:pt idx="22">
                  <c:v>-512.89154720168926</c:v>
                </c:pt>
                <c:pt idx="23">
                  <c:v>-479.35780029522363</c:v>
                </c:pt>
                <c:pt idx="24">
                  <c:v>-445.8240533887581</c:v>
                </c:pt>
                <c:pt idx="25">
                  <c:v>-412.29030648229246</c:v>
                </c:pt>
                <c:pt idx="26">
                  <c:v>-378.75655957582688</c:v>
                </c:pt>
                <c:pt idx="27">
                  <c:v>-345.22281266936125</c:v>
                </c:pt>
                <c:pt idx="28">
                  <c:v>-311.68906576289572</c:v>
                </c:pt>
                <c:pt idx="29">
                  <c:v>-278.15531885643014</c:v>
                </c:pt>
                <c:pt idx="30">
                  <c:v>-244.6215719499645</c:v>
                </c:pt>
                <c:pt idx="31">
                  <c:v>-211.08782504349901</c:v>
                </c:pt>
                <c:pt idx="32">
                  <c:v>-177.5540781370334</c:v>
                </c:pt>
                <c:pt idx="33">
                  <c:v>-144.02033123056776</c:v>
                </c:pt>
                <c:pt idx="34">
                  <c:v>-110.48658432410215</c:v>
                </c:pt>
                <c:pt idx="35">
                  <c:v>-76.95283741763653</c:v>
                </c:pt>
                <c:pt idx="36">
                  <c:v>-43.419090511171149</c:v>
                </c:pt>
                <c:pt idx="37">
                  <c:v>-9.885343604705529</c:v>
                </c:pt>
                <c:pt idx="38">
                  <c:v>23.648403301760087</c:v>
                </c:pt>
                <c:pt idx="39">
                  <c:v>57.182150208225707</c:v>
                </c:pt>
                <c:pt idx="40">
                  <c:v>90.71589711469133</c:v>
                </c:pt>
                <c:pt idx="41">
                  <c:v>124.24964402115694</c:v>
                </c:pt>
                <c:pt idx="42">
                  <c:v>157.78339092762232</c:v>
                </c:pt>
                <c:pt idx="43">
                  <c:v>191.31713783408796</c:v>
                </c:pt>
                <c:pt idx="44">
                  <c:v>224.85088474055357</c:v>
                </c:pt>
                <c:pt idx="45">
                  <c:v>258.38463164701921</c:v>
                </c:pt>
                <c:pt idx="46">
                  <c:v>291.91837855348479</c:v>
                </c:pt>
                <c:pt idx="47">
                  <c:v>325.45212545995042</c:v>
                </c:pt>
                <c:pt idx="48">
                  <c:v>358.98587236641578</c:v>
                </c:pt>
                <c:pt idx="49">
                  <c:v>392.51961927288141</c:v>
                </c:pt>
                <c:pt idx="50">
                  <c:v>426.05336617934705</c:v>
                </c:pt>
                <c:pt idx="51">
                  <c:v>459.58711308581263</c:v>
                </c:pt>
                <c:pt idx="52">
                  <c:v>493.12085999227827</c:v>
                </c:pt>
                <c:pt idx="53">
                  <c:v>526.65460689874385</c:v>
                </c:pt>
                <c:pt idx="54">
                  <c:v>560.18835380520954</c:v>
                </c:pt>
                <c:pt idx="55">
                  <c:v>593.7221007116749</c:v>
                </c:pt>
                <c:pt idx="56">
                  <c:v>627.25584761814048</c:v>
                </c:pt>
                <c:pt idx="57">
                  <c:v>660.78959452460617</c:v>
                </c:pt>
                <c:pt idx="58">
                  <c:v>694.32334143107175</c:v>
                </c:pt>
                <c:pt idx="59">
                  <c:v>727.85708833753733</c:v>
                </c:pt>
                <c:pt idx="60">
                  <c:v>761.39083524400303</c:v>
                </c:pt>
                <c:pt idx="61">
                  <c:v>794.92458215046838</c:v>
                </c:pt>
                <c:pt idx="62">
                  <c:v>828.45832905693396</c:v>
                </c:pt>
                <c:pt idx="63">
                  <c:v>861.99207596339988</c:v>
                </c:pt>
                <c:pt idx="64">
                  <c:v>895.52582286986524</c:v>
                </c:pt>
                <c:pt idx="65">
                  <c:v>929.05956977633059</c:v>
                </c:pt>
                <c:pt idx="66">
                  <c:v>962.59331668279651</c:v>
                </c:pt>
                <c:pt idx="67">
                  <c:v>996.12706358926187</c:v>
                </c:pt>
                <c:pt idx="68">
                  <c:v>1029.6608104957277</c:v>
                </c:pt>
                <c:pt idx="69">
                  <c:v>1063.1945574021931</c:v>
                </c:pt>
                <c:pt idx="70">
                  <c:v>1096.7283043086588</c:v>
                </c:pt>
                <c:pt idx="71">
                  <c:v>1130.2620512151243</c:v>
                </c:pt>
                <c:pt idx="72">
                  <c:v>1163.7957981215898</c:v>
                </c:pt>
                <c:pt idx="73">
                  <c:v>1197.3295450280555</c:v>
                </c:pt>
                <c:pt idx="74">
                  <c:v>1230.8632919345209</c:v>
                </c:pt>
                <c:pt idx="75">
                  <c:v>1264.3970388409869</c:v>
                </c:pt>
                <c:pt idx="76">
                  <c:v>1297.9307857474521</c:v>
                </c:pt>
                <c:pt idx="77">
                  <c:v>1331.4645326539176</c:v>
                </c:pt>
                <c:pt idx="78">
                  <c:v>1364.9982795603835</c:v>
                </c:pt>
                <c:pt idx="79">
                  <c:v>1398.5320264668487</c:v>
                </c:pt>
                <c:pt idx="80">
                  <c:v>1432.0657733733146</c:v>
                </c:pt>
                <c:pt idx="81">
                  <c:v>1465.5995202797801</c:v>
                </c:pt>
                <c:pt idx="82">
                  <c:v>1499.1332671862458</c:v>
                </c:pt>
                <c:pt idx="83">
                  <c:v>1532.6670140927113</c:v>
                </c:pt>
                <c:pt idx="84">
                  <c:v>1566.2007609991767</c:v>
                </c:pt>
                <c:pt idx="85">
                  <c:v>1599.7345079056424</c:v>
                </c:pt>
                <c:pt idx="86">
                  <c:v>1633.2682548121079</c:v>
                </c:pt>
                <c:pt idx="87">
                  <c:v>1666.8020017185738</c:v>
                </c:pt>
                <c:pt idx="88">
                  <c:v>1700.3357486250391</c:v>
                </c:pt>
                <c:pt idx="89">
                  <c:v>1733.869495531505</c:v>
                </c:pt>
                <c:pt idx="90">
                  <c:v>1767.4032424379704</c:v>
                </c:pt>
                <c:pt idx="91">
                  <c:v>1800.9369893444357</c:v>
                </c:pt>
                <c:pt idx="92">
                  <c:v>1834.4707362509016</c:v>
                </c:pt>
                <c:pt idx="93">
                  <c:v>1868.0044831573671</c:v>
                </c:pt>
                <c:pt idx="94">
                  <c:v>1901.5382300638328</c:v>
                </c:pt>
                <c:pt idx="95">
                  <c:v>1935.0719769702982</c:v>
                </c:pt>
                <c:pt idx="96">
                  <c:v>1968.6057238767637</c:v>
                </c:pt>
                <c:pt idx="97">
                  <c:v>2002.1394707832294</c:v>
                </c:pt>
                <c:pt idx="98">
                  <c:v>2035.6732176896949</c:v>
                </c:pt>
                <c:pt idx="99">
                  <c:v>2069.2069645961601</c:v>
                </c:pt>
              </c:numCache>
            </c:numRef>
          </c:xVal>
          <c:yVal>
            <c:numRef>
              <c:f>Gap30deg!$O$68:$DJ$68</c:f>
              <c:numCache>
                <c:formatCode>General</c:formatCode>
                <c:ptCount val="100"/>
                <c:pt idx="0">
                  <c:v>-419.7141618986596</c:v>
                </c:pt>
                <c:pt idx="1">
                  <c:v>-419.7141618986596</c:v>
                </c:pt>
                <c:pt idx="2">
                  <c:v>-419.69331405553959</c:v>
                </c:pt>
                <c:pt idx="3">
                  <c:v>-419.09194026494771</c:v>
                </c:pt>
                <c:pt idx="4">
                  <c:v>-417.66000590482412</c:v>
                </c:pt>
                <c:pt idx="5">
                  <c:v>-415.39751097516881</c:v>
                </c:pt>
                <c:pt idx="6">
                  <c:v>-412.3044554759818</c:v>
                </c:pt>
                <c:pt idx="7">
                  <c:v>-408.38083940726341</c:v>
                </c:pt>
                <c:pt idx="8">
                  <c:v>-403.62666276901302</c:v>
                </c:pt>
                <c:pt idx="9">
                  <c:v>-398.0419255612311</c:v>
                </c:pt>
                <c:pt idx="10">
                  <c:v>-391.6266277839174</c:v>
                </c:pt>
                <c:pt idx="11">
                  <c:v>-384.38076943707222</c:v>
                </c:pt>
                <c:pt idx="12">
                  <c:v>-376.30435052069532</c:v>
                </c:pt>
                <c:pt idx="13">
                  <c:v>-367.39737103478666</c:v>
                </c:pt>
                <c:pt idx="14">
                  <c:v>-357.65983097934628</c:v>
                </c:pt>
                <c:pt idx="15">
                  <c:v>-347.09173035437442</c:v>
                </c:pt>
                <c:pt idx="16">
                  <c:v>-335.69306915987079</c:v>
                </c:pt>
                <c:pt idx="17">
                  <c:v>-323.46384739583544</c:v>
                </c:pt>
                <c:pt idx="18">
                  <c:v>-310.4040650622685</c:v>
                </c:pt>
                <c:pt idx="19">
                  <c:v>-296.51372215916984</c:v>
                </c:pt>
                <c:pt idx="20">
                  <c:v>-281.79281868653953</c:v>
                </c:pt>
                <c:pt idx="21">
                  <c:v>-266.24135464437762</c:v>
                </c:pt>
                <c:pt idx="22">
                  <c:v>-249.85933003268389</c:v>
                </c:pt>
                <c:pt idx="23">
                  <c:v>-232.64674485145855</c:v>
                </c:pt>
                <c:pt idx="24">
                  <c:v>-214.60359910070162</c:v>
                </c:pt>
                <c:pt idx="25">
                  <c:v>-195.72989278041297</c:v>
                </c:pt>
                <c:pt idx="26">
                  <c:v>-176.02562589059255</c:v>
                </c:pt>
                <c:pt idx="27">
                  <c:v>-155.49079843124053</c:v>
                </c:pt>
                <c:pt idx="28">
                  <c:v>-134.12541040235692</c:v>
                </c:pt>
                <c:pt idx="29">
                  <c:v>-111.92946180394156</c:v>
                </c:pt>
                <c:pt idx="30">
                  <c:v>-88.902952635994524</c:v>
                </c:pt>
                <c:pt idx="31">
                  <c:v>-65.045882898515885</c:v>
                </c:pt>
                <c:pt idx="32">
                  <c:v>-40.358252591505504</c:v>
                </c:pt>
                <c:pt idx="33">
                  <c:v>-14.840061714963468</c:v>
                </c:pt>
                <c:pt idx="34">
                  <c:v>0.32899077804989929</c:v>
                </c:pt>
                <c:pt idx="35">
                  <c:v>28.083835952828608</c:v>
                </c:pt>
                <c:pt idx="36">
                  <c:v>57.321879738033545</c:v>
                </c:pt>
                <c:pt idx="37">
                  <c:v>88.043122133665136</c:v>
                </c:pt>
                <c:pt idx="38">
                  <c:v>120.24756313972318</c:v>
                </c:pt>
                <c:pt idx="39">
                  <c:v>153.93520275620767</c:v>
                </c:pt>
                <c:pt idx="40">
                  <c:v>189.10604098311865</c:v>
                </c:pt>
                <c:pt idx="41">
                  <c:v>225.76007782045602</c:v>
                </c:pt>
                <c:pt idx="42">
                  <c:v>263.89731326821959</c:v>
                </c:pt>
                <c:pt idx="43">
                  <c:v>303.5177473264099</c:v>
                </c:pt>
                <c:pt idx="44">
                  <c:v>344.62137999502664</c:v>
                </c:pt>
                <c:pt idx="45">
                  <c:v>387.20821127406981</c:v>
                </c:pt>
                <c:pt idx="46">
                  <c:v>431.27824116353952</c:v>
                </c:pt>
                <c:pt idx="47">
                  <c:v>476.8314696634356</c:v>
                </c:pt>
                <c:pt idx="48">
                  <c:v>523.86789677375782</c:v>
                </c:pt>
                <c:pt idx="49">
                  <c:v>572.38752249450681</c:v>
                </c:pt>
                <c:pt idx="50">
                  <c:v>622.39034682568217</c:v>
                </c:pt>
                <c:pt idx="51">
                  <c:v>673.87636976728413</c:v>
                </c:pt>
                <c:pt idx="52">
                  <c:v>726.84559131931246</c:v>
                </c:pt>
                <c:pt idx="53">
                  <c:v>781.29801148176728</c:v>
                </c:pt>
                <c:pt idx="54">
                  <c:v>837.23363025464846</c:v>
                </c:pt>
                <c:pt idx="55">
                  <c:v>894.6524476379559</c:v>
                </c:pt>
                <c:pt idx="56">
                  <c:v>953.55446363168994</c:v>
                </c:pt>
                <c:pt idx="57">
                  <c:v>1013.9396782358505</c:v>
                </c:pt>
                <c:pt idx="58">
                  <c:v>1075.8080914504376</c:v>
                </c:pt>
                <c:pt idx="59">
                  <c:v>1139.1597032754507</c:v>
                </c:pt>
                <c:pt idx="60">
                  <c:v>1203.9945137108912</c:v>
                </c:pt>
                <c:pt idx="61">
                  <c:v>1270.3125227567571</c:v>
                </c:pt>
                <c:pt idx="62">
                  <c:v>1338.1137304130498</c:v>
                </c:pt>
                <c:pt idx="63">
                  <c:v>1407.3981366797698</c:v>
                </c:pt>
                <c:pt idx="64">
                  <c:v>1478.1657415569148</c:v>
                </c:pt>
                <c:pt idx="65">
                  <c:v>1550.4165450444862</c:v>
                </c:pt>
                <c:pt idx="66">
                  <c:v>1624.1505471424857</c:v>
                </c:pt>
                <c:pt idx="67">
                  <c:v>1699.3677478509103</c:v>
                </c:pt>
                <c:pt idx="68">
                  <c:v>1776.0681471697621</c:v>
                </c:pt>
                <c:pt idx="69">
                  <c:v>1854.2517450990399</c:v>
                </c:pt>
                <c:pt idx="70">
                  <c:v>1933.9185416387445</c:v>
                </c:pt>
                <c:pt idx="71">
                  <c:v>2015.068536788875</c:v>
                </c:pt>
                <c:pt idx="72">
                  <c:v>2097.7017305494319</c:v>
                </c:pt>
                <c:pt idx="73">
                  <c:v>2181.818122920416</c:v>
                </c:pt>
                <c:pt idx="74">
                  <c:v>2267.4177139018257</c:v>
                </c:pt>
                <c:pt idx="75">
                  <c:v>2354.500503493663</c:v>
                </c:pt>
                <c:pt idx="76">
                  <c:v>2443.0664916959258</c:v>
                </c:pt>
                <c:pt idx="77">
                  <c:v>2533.1156785086146</c:v>
                </c:pt>
                <c:pt idx="78">
                  <c:v>2624.6480639317315</c:v>
                </c:pt>
                <c:pt idx="79">
                  <c:v>2717.6636479652734</c:v>
                </c:pt>
                <c:pt idx="80">
                  <c:v>2812.1624306092426</c:v>
                </c:pt>
                <c:pt idx="81">
                  <c:v>2908.1444118636377</c:v>
                </c:pt>
                <c:pt idx="82">
                  <c:v>3005.6095917284597</c:v>
                </c:pt>
                <c:pt idx="83">
                  <c:v>3104.5579702037076</c:v>
                </c:pt>
                <c:pt idx="84">
                  <c:v>3204.9895472893818</c:v>
                </c:pt>
                <c:pt idx="85">
                  <c:v>3306.9043229854833</c:v>
                </c:pt>
                <c:pt idx="86">
                  <c:v>3410.3022972920103</c:v>
                </c:pt>
                <c:pt idx="87">
                  <c:v>3515.183470208965</c:v>
                </c:pt>
                <c:pt idx="88">
                  <c:v>3621.5478417363447</c:v>
                </c:pt>
                <c:pt idx="89">
                  <c:v>3729.3954118741531</c:v>
                </c:pt>
                <c:pt idx="90">
                  <c:v>3838.7261806223851</c:v>
                </c:pt>
                <c:pt idx="91">
                  <c:v>3949.5401479810444</c:v>
                </c:pt>
                <c:pt idx="92">
                  <c:v>4061.8373139501318</c:v>
                </c:pt>
                <c:pt idx="93">
                  <c:v>4175.6176785296439</c:v>
                </c:pt>
                <c:pt idx="94">
                  <c:v>4290.8812417195841</c:v>
                </c:pt>
                <c:pt idx="95">
                  <c:v>4407.6280035199488</c:v>
                </c:pt>
                <c:pt idx="96">
                  <c:v>4525.85796393074</c:v>
                </c:pt>
                <c:pt idx="97">
                  <c:v>4645.5711229519593</c:v>
                </c:pt>
                <c:pt idx="98">
                  <c:v>4766.7674805836041</c:v>
                </c:pt>
                <c:pt idx="99">
                  <c:v>4889.4470368256734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2-4B8A-9811-2E7CB3C6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77744"/>
        <c:axId val="1213121792"/>
      </c:scatterChart>
      <c:valAx>
        <c:axId val="17598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Shell Pull Force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13121792"/>
        <c:crosses val="autoZero"/>
        <c:crossBetween val="midCat"/>
      </c:valAx>
      <c:valAx>
        <c:axId val="12131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Bolt Bending Moment </a:t>
                </a:r>
                <a:r>
                  <a:rPr lang="en-US" sz="1200" baseline="0"/>
                  <a:t>[N·m]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5987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Gap30deg!$O$66:$DJ$66</c:f>
              <c:numCache>
                <c:formatCode>General</c:formatCode>
                <c:ptCount val="100"/>
                <c:pt idx="0">
                  <c:v>-1250.633979143932</c:v>
                </c:pt>
                <c:pt idx="1">
                  <c:v>-1217.1002322374663</c:v>
                </c:pt>
                <c:pt idx="2">
                  <c:v>-1183.5664853310006</c:v>
                </c:pt>
                <c:pt idx="3">
                  <c:v>-1150.0327384245354</c:v>
                </c:pt>
                <c:pt idx="4">
                  <c:v>-1116.4989915180697</c:v>
                </c:pt>
                <c:pt idx="5">
                  <c:v>-1082.9652446116042</c:v>
                </c:pt>
                <c:pt idx="6">
                  <c:v>-1049.4314977051386</c:v>
                </c:pt>
                <c:pt idx="7">
                  <c:v>-1015.8977507986729</c:v>
                </c:pt>
                <c:pt idx="8">
                  <c:v>-982.36400389220728</c:v>
                </c:pt>
                <c:pt idx="9">
                  <c:v>-948.83025698574181</c:v>
                </c:pt>
                <c:pt idx="10">
                  <c:v>-915.29651007927612</c:v>
                </c:pt>
                <c:pt idx="11">
                  <c:v>-881.76276317281065</c:v>
                </c:pt>
                <c:pt idx="12">
                  <c:v>-848.22901626634507</c:v>
                </c:pt>
                <c:pt idx="13">
                  <c:v>-814.69526935987938</c:v>
                </c:pt>
                <c:pt idx="14">
                  <c:v>-781.1615224534138</c:v>
                </c:pt>
                <c:pt idx="15">
                  <c:v>-747.62777554694821</c:v>
                </c:pt>
                <c:pt idx="16">
                  <c:v>-714.09402864048275</c:v>
                </c:pt>
                <c:pt idx="17">
                  <c:v>-680.56028173401705</c:v>
                </c:pt>
                <c:pt idx="18">
                  <c:v>-647.02653482755159</c:v>
                </c:pt>
                <c:pt idx="19">
                  <c:v>-613.49278792108601</c:v>
                </c:pt>
                <c:pt idx="20">
                  <c:v>-579.95904101462031</c:v>
                </c:pt>
                <c:pt idx="21">
                  <c:v>-546.42529410815484</c:v>
                </c:pt>
                <c:pt idx="22">
                  <c:v>-512.89154720168926</c:v>
                </c:pt>
                <c:pt idx="23">
                  <c:v>-479.35780029522363</c:v>
                </c:pt>
                <c:pt idx="24">
                  <c:v>-445.8240533887581</c:v>
                </c:pt>
                <c:pt idx="25">
                  <c:v>-412.29030648229246</c:v>
                </c:pt>
                <c:pt idx="26">
                  <c:v>-378.75655957582688</c:v>
                </c:pt>
                <c:pt idx="27">
                  <c:v>-345.22281266936125</c:v>
                </c:pt>
                <c:pt idx="28">
                  <c:v>-311.68906576289572</c:v>
                </c:pt>
                <c:pt idx="29">
                  <c:v>-278.15531885643014</c:v>
                </c:pt>
                <c:pt idx="30">
                  <c:v>-244.6215719499645</c:v>
                </c:pt>
                <c:pt idx="31">
                  <c:v>-211.08782504349901</c:v>
                </c:pt>
                <c:pt idx="32">
                  <c:v>-177.5540781370334</c:v>
                </c:pt>
                <c:pt idx="33">
                  <c:v>-144.02033123056776</c:v>
                </c:pt>
                <c:pt idx="34">
                  <c:v>-110.48658432410215</c:v>
                </c:pt>
                <c:pt idx="35">
                  <c:v>-76.95283741763653</c:v>
                </c:pt>
                <c:pt idx="36">
                  <c:v>-43.419090511171149</c:v>
                </c:pt>
                <c:pt idx="37">
                  <c:v>-9.885343604705529</c:v>
                </c:pt>
                <c:pt idx="38">
                  <c:v>23.648403301760087</c:v>
                </c:pt>
                <c:pt idx="39">
                  <c:v>57.182150208225707</c:v>
                </c:pt>
                <c:pt idx="40">
                  <c:v>90.71589711469133</c:v>
                </c:pt>
                <c:pt idx="41">
                  <c:v>124.24964402115694</c:v>
                </c:pt>
                <c:pt idx="42">
                  <c:v>157.78339092762232</c:v>
                </c:pt>
                <c:pt idx="43">
                  <c:v>191.31713783408796</c:v>
                </c:pt>
                <c:pt idx="44">
                  <c:v>224.85088474055357</c:v>
                </c:pt>
                <c:pt idx="45">
                  <c:v>258.38463164701921</c:v>
                </c:pt>
                <c:pt idx="46">
                  <c:v>291.91837855348479</c:v>
                </c:pt>
                <c:pt idx="47">
                  <c:v>325.45212545995042</c:v>
                </c:pt>
                <c:pt idx="48">
                  <c:v>358.98587236641578</c:v>
                </c:pt>
                <c:pt idx="49">
                  <c:v>392.51961927288141</c:v>
                </c:pt>
                <c:pt idx="50">
                  <c:v>426.05336617934705</c:v>
                </c:pt>
                <c:pt idx="51">
                  <c:v>459.58711308581263</c:v>
                </c:pt>
                <c:pt idx="52">
                  <c:v>493.12085999227827</c:v>
                </c:pt>
                <c:pt idx="53">
                  <c:v>526.65460689874385</c:v>
                </c:pt>
                <c:pt idx="54">
                  <c:v>560.18835380520954</c:v>
                </c:pt>
                <c:pt idx="55">
                  <c:v>593.7221007116749</c:v>
                </c:pt>
                <c:pt idx="56">
                  <c:v>627.25584761814048</c:v>
                </c:pt>
                <c:pt idx="57">
                  <c:v>660.78959452460617</c:v>
                </c:pt>
                <c:pt idx="58">
                  <c:v>694.32334143107175</c:v>
                </c:pt>
                <c:pt idx="59">
                  <c:v>727.85708833753733</c:v>
                </c:pt>
                <c:pt idx="60">
                  <c:v>761.39083524400303</c:v>
                </c:pt>
                <c:pt idx="61">
                  <c:v>794.92458215046838</c:v>
                </c:pt>
                <c:pt idx="62">
                  <c:v>828.45832905693396</c:v>
                </c:pt>
                <c:pt idx="63">
                  <c:v>861.99207596339988</c:v>
                </c:pt>
                <c:pt idx="64">
                  <c:v>895.52582286986524</c:v>
                </c:pt>
                <c:pt idx="65">
                  <c:v>929.05956977633059</c:v>
                </c:pt>
                <c:pt idx="66">
                  <c:v>962.59331668279651</c:v>
                </c:pt>
                <c:pt idx="67">
                  <c:v>996.12706358926187</c:v>
                </c:pt>
                <c:pt idx="68">
                  <c:v>1029.6608104957277</c:v>
                </c:pt>
                <c:pt idx="69">
                  <c:v>1063.1945574021931</c:v>
                </c:pt>
                <c:pt idx="70">
                  <c:v>1096.7283043086588</c:v>
                </c:pt>
                <c:pt idx="71">
                  <c:v>1130.2620512151243</c:v>
                </c:pt>
                <c:pt idx="72">
                  <c:v>1163.7957981215898</c:v>
                </c:pt>
                <c:pt idx="73">
                  <c:v>1197.3295450280555</c:v>
                </c:pt>
                <c:pt idx="74">
                  <c:v>1230.8632919345209</c:v>
                </c:pt>
                <c:pt idx="75">
                  <c:v>1264.3970388409869</c:v>
                </c:pt>
                <c:pt idx="76">
                  <c:v>1297.9307857474521</c:v>
                </c:pt>
                <c:pt idx="77">
                  <c:v>1331.4645326539176</c:v>
                </c:pt>
                <c:pt idx="78">
                  <c:v>1364.9982795603835</c:v>
                </c:pt>
                <c:pt idx="79">
                  <c:v>1398.5320264668487</c:v>
                </c:pt>
                <c:pt idx="80">
                  <c:v>1432.0657733733146</c:v>
                </c:pt>
                <c:pt idx="81">
                  <c:v>1465.5995202797801</c:v>
                </c:pt>
                <c:pt idx="82">
                  <c:v>1499.1332671862458</c:v>
                </c:pt>
                <c:pt idx="83">
                  <c:v>1532.6670140927113</c:v>
                </c:pt>
                <c:pt idx="84">
                  <c:v>1566.2007609991767</c:v>
                </c:pt>
                <c:pt idx="85">
                  <c:v>1599.7345079056424</c:v>
                </c:pt>
                <c:pt idx="86">
                  <c:v>1633.2682548121079</c:v>
                </c:pt>
                <c:pt idx="87">
                  <c:v>1666.8020017185738</c:v>
                </c:pt>
                <c:pt idx="88">
                  <c:v>1700.3357486250391</c:v>
                </c:pt>
                <c:pt idx="89">
                  <c:v>1733.869495531505</c:v>
                </c:pt>
                <c:pt idx="90">
                  <c:v>1767.4032424379704</c:v>
                </c:pt>
                <c:pt idx="91">
                  <c:v>1800.9369893444357</c:v>
                </c:pt>
                <c:pt idx="92">
                  <c:v>1834.4707362509016</c:v>
                </c:pt>
                <c:pt idx="93">
                  <c:v>1868.0044831573671</c:v>
                </c:pt>
                <c:pt idx="94">
                  <c:v>1901.5382300638328</c:v>
                </c:pt>
                <c:pt idx="95">
                  <c:v>1935.0719769702982</c:v>
                </c:pt>
                <c:pt idx="96">
                  <c:v>1968.6057238767637</c:v>
                </c:pt>
                <c:pt idx="97">
                  <c:v>2002.1394707832294</c:v>
                </c:pt>
                <c:pt idx="98">
                  <c:v>2035.6732176896949</c:v>
                </c:pt>
                <c:pt idx="99">
                  <c:v>2069.2069645961601</c:v>
                </c:pt>
              </c:numCache>
            </c:numRef>
          </c:xVal>
          <c:yVal>
            <c:numRef>
              <c:f>Gap30deg!$O$67:$DJ$67</c:f>
              <c:numCache>
                <c:formatCode>General</c:formatCode>
                <c:ptCount val="100"/>
                <c:pt idx="0">
                  <c:v>2815.4929801182079</c:v>
                </c:pt>
                <c:pt idx="1">
                  <c:v>2815.4929801182079</c:v>
                </c:pt>
                <c:pt idx="2">
                  <c:v>2815.4960580336242</c:v>
                </c:pt>
                <c:pt idx="3">
                  <c:v>2815.5848431252202</c:v>
                </c:pt>
                <c:pt idx="4">
                  <c:v>2815.796249783295</c:v>
                </c:pt>
                <c:pt idx="5">
                  <c:v>2816.1302780078486</c:v>
                </c:pt>
                <c:pt idx="6">
                  <c:v>2816.5869277988818</c:v>
                </c:pt>
                <c:pt idx="7">
                  <c:v>2817.1661991563933</c:v>
                </c:pt>
                <c:pt idx="8">
                  <c:v>2817.868092080384</c:v>
                </c:pt>
                <c:pt idx="9">
                  <c:v>2818.692606570854</c:v>
                </c:pt>
                <c:pt idx="10">
                  <c:v>2819.6397426278022</c:v>
                </c:pt>
                <c:pt idx="11">
                  <c:v>2820.7095002512297</c:v>
                </c:pt>
                <c:pt idx="12">
                  <c:v>2821.9018794411363</c:v>
                </c:pt>
                <c:pt idx="13">
                  <c:v>2823.2168801975222</c:v>
                </c:pt>
                <c:pt idx="14">
                  <c:v>2824.6545025203868</c:v>
                </c:pt>
                <c:pt idx="15">
                  <c:v>2826.2147464097302</c:v>
                </c:pt>
                <c:pt idx="16">
                  <c:v>2827.8976118655528</c:v>
                </c:pt>
                <c:pt idx="17">
                  <c:v>2829.7030988878537</c:v>
                </c:pt>
                <c:pt idx="18">
                  <c:v>2831.6312074766342</c:v>
                </c:pt>
                <c:pt idx="19">
                  <c:v>2833.6819376318936</c:v>
                </c:pt>
                <c:pt idx="20">
                  <c:v>2835.8552893536321</c:v>
                </c:pt>
                <c:pt idx="21">
                  <c:v>2838.1512626418489</c:v>
                </c:pt>
                <c:pt idx="22">
                  <c:v>2840.5698574965454</c:v>
                </c:pt>
                <c:pt idx="23">
                  <c:v>2843.1110739177207</c:v>
                </c:pt>
                <c:pt idx="24">
                  <c:v>2845.7749119053747</c:v>
                </c:pt>
                <c:pt idx="25">
                  <c:v>2848.5613714595079</c:v>
                </c:pt>
                <c:pt idx="26">
                  <c:v>2851.4704525801199</c:v>
                </c:pt>
                <c:pt idx="27">
                  <c:v>2854.502155267211</c:v>
                </c:pt>
                <c:pt idx="28">
                  <c:v>2857.656479520781</c:v>
                </c:pt>
                <c:pt idx="29">
                  <c:v>2860.9334253408301</c:v>
                </c:pt>
                <c:pt idx="30">
                  <c:v>2864.3329927273585</c:v>
                </c:pt>
                <c:pt idx="31">
                  <c:v>2867.8551816803651</c:v>
                </c:pt>
                <c:pt idx="32">
                  <c:v>2871.499992199851</c:v>
                </c:pt>
                <c:pt idx="33">
                  <c:v>2875.2674242858161</c:v>
                </c:pt>
                <c:pt idx="34">
                  <c:v>2877.508744679923</c:v>
                </c:pt>
                <c:pt idx="35">
                  <c:v>2881.628225459277</c:v>
                </c:pt>
                <c:pt idx="36">
                  <c:v>2885.9914422371894</c:v>
                </c:pt>
                <c:pt idx="37">
                  <c:v>2890.598395013661</c:v>
                </c:pt>
                <c:pt idx="38">
                  <c:v>2895.4490837886915</c:v>
                </c:pt>
                <c:pt idx="39">
                  <c:v>2900.5435085622807</c:v>
                </c:pt>
                <c:pt idx="40">
                  <c:v>2905.8816693344288</c:v>
                </c:pt>
                <c:pt idx="41">
                  <c:v>2911.4635661051357</c:v>
                </c:pt>
                <c:pt idx="42">
                  <c:v>2917.2891988744013</c:v>
                </c:pt>
                <c:pt idx="43">
                  <c:v>2923.3585676422258</c:v>
                </c:pt>
                <c:pt idx="44">
                  <c:v>2929.6716724086091</c:v>
                </c:pt>
                <c:pt idx="45">
                  <c:v>2936.2285131735512</c:v>
                </c:pt>
                <c:pt idx="46">
                  <c:v>2943.029089937052</c:v>
                </c:pt>
                <c:pt idx="47">
                  <c:v>2950.0734026991117</c:v>
                </c:pt>
                <c:pt idx="48">
                  <c:v>2957.3614514597307</c:v>
                </c:pt>
                <c:pt idx="49">
                  <c:v>2964.8932362189084</c:v>
                </c:pt>
                <c:pt idx="50">
                  <c:v>2972.6687569766445</c:v>
                </c:pt>
                <c:pt idx="51">
                  <c:v>2980.6880137329395</c:v>
                </c:pt>
                <c:pt idx="52">
                  <c:v>2988.9510064877932</c:v>
                </c:pt>
                <c:pt idx="53">
                  <c:v>2997.4577352412061</c:v>
                </c:pt>
                <c:pt idx="54">
                  <c:v>3006.2081999931779</c:v>
                </c:pt>
                <c:pt idx="55">
                  <c:v>3015.202400743708</c:v>
                </c:pt>
                <c:pt idx="56">
                  <c:v>3024.4403374927974</c:v>
                </c:pt>
                <c:pt idx="57">
                  <c:v>3033.9220102404452</c:v>
                </c:pt>
                <c:pt idx="58">
                  <c:v>3043.6474189866526</c:v>
                </c:pt>
                <c:pt idx="59">
                  <c:v>3053.616563731418</c:v>
                </c:pt>
                <c:pt idx="60">
                  <c:v>3063.8294444747426</c:v>
                </c:pt>
                <c:pt idx="61">
                  <c:v>3074.286061216626</c:v>
                </c:pt>
                <c:pt idx="62">
                  <c:v>3084.9864139570682</c:v>
                </c:pt>
                <c:pt idx="63">
                  <c:v>3095.9305026960687</c:v>
                </c:pt>
                <c:pt idx="64">
                  <c:v>3107.118327433629</c:v>
                </c:pt>
                <c:pt idx="65">
                  <c:v>3118.5498881697472</c:v>
                </c:pt>
                <c:pt idx="66">
                  <c:v>3130.2251849044251</c:v>
                </c:pt>
                <c:pt idx="67">
                  <c:v>3142.1442176376613</c:v>
                </c:pt>
                <c:pt idx="68">
                  <c:v>3154.3069863694568</c:v>
                </c:pt>
                <c:pt idx="69">
                  <c:v>3166.7134910998102</c:v>
                </c:pt>
                <c:pt idx="70">
                  <c:v>3179.3637318287233</c:v>
                </c:pt>
                <c:pt idx="71">
                  <c:v>3192.2577085561948</c:v>
                </c:pt>
                <c:pt idx="72">
                  <c:v>3205.3954212822255</c:v>
                </c:pt>
                <c:pt idx="73">
                  <c:v>3218.7768700068145</c:v>
                </c:pt>
                <c:pt idx="74">
                  <c:v>3232.4020547299629</c:v>
                </c:pt>
                <c:pt idx="75">
                  <c:v>3246.2709754516695</c:v>
                </c:pt>
                <c:pt idx="76">
                  <c:v>3260.3836321719355</c:v>
                </c:pt>
                <c:pt idx="77">
                  <c:v>3274.7400248907593</c:v>
                </c:pt>
                <c:pt idx="78">
                  <c:v>3289.3401536081433</c:v>
                </c:pt>
                <c:pt idx="79">
                  <c:v>3304.1840183240856</c:v>
                </c:pt>
                <c:pt idx="80">
                  <c:v>3319.2716190385863</c:v>
                </c:pt>
                <c:pt idx="81">
                  <c:v>3334.6029557516463</c:v>
                </c:pt>
                <c:pt idx="82">
                  <c:v>3350.178028463265</c:v>
                </c:pt>
                <c:pt idx="83">
                  <c:v>3365.9968371734421</c:v>
                </c:pt>
                <c:pt idx="84">
                  <c:v>3382.0593818821785</c:v>
                </c:pt>
                <c:pt idx="85">
                  <c:v>3398.3656625894741</c:v>
                </c:pt>
                <c:pt idx="86">
                  <c:v>3414.9156792953281</c:v>
                </c:pt>
                <c:pt idx="87">
                  <c:v>3431.7094319997404</c:v>
                </c:pt>
                <c:pt idx="88">
                  <c:v>3448.7469207027125</c:v>
                </c:pt>
                <c:pt idx="89">
                  <c:v>3466.0281454042429</c:v>
                </c:pt>
                <c:pt idx="90">
                  <c:v>3483.5531061043321</c:v>
                </c:pt>
                <c:pt idx="91">
                  <c:v>3501.3218028029801</c:v>
                </c:pt>
                <c:pt idx="92">
                  <c:v>3519.3342355001873</c:v>
                </c:pt>
                <c:pt idx="93">
                  <c:v>3537.5904041959525</c:v>
                </c:pt>
                <c:pt idx="94">
                  <c:v>3556.0903088902774</c:v>
                </c:pt>
                <c:pt idx="95">
                  <c:v>3574.8339495831606</c:v>
                </c:pt>
                <c:pt idx="96">
                  <c:v>3593.8213262746031</c:v>
                </c:pt>
                <c:pt idx="97">
                  <c:v>3613.0524389646043</c:v>
                </c:pt>
                <c:pt idx="98">
                  <c:v>3632.527287653164</c:v>
                </c:pt>
                <c:pt idx="99">
                  <c:v>3652.2458723402824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A-4383-810A-24FC591F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77744"/>
        <c:axId val="1213121792"/>
      </c:scatterChart>
      <c:valAx>
        <c:axId val="17598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Shell Pull Force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13121792"/>
        <c:crosses val="autoZero"/>
        <c:crossBetween val="midCat"/>
      </c:valAx>
      <c:valAx>
        <c:axId val="1213121792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Bolt Axial Force</a:t>
                </a:r>
                <a:r>
                  <a:rPr lang="en-US" sz="1200" baseline="0"/>
                  <a:t> [kN]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5987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133351</xdr:colOff>
      <xdr:row>0</xdr:row>
      <xdr:rowOff>19050</xdr:rowOff>
    </xdr:from>
    <xdr:ext cx="314324" cy="211904"/>
    <xdr:pic>
      <xdr:nvPicPr>
        <xdr:cNvPr id="2" name="Picture 1">
          <a:extLst>
            <a:ext uri="{FF2B5EF4-FFF2-40B4-BE49-F238E27FC236}">
              <a16:creationId xmlns:a16="http://schemas.microsoft.com/office/drawing/2014/main" id="{8D4ED120-6E66-46BA-8CC6-21097EA2A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19050"/>
          <a:ext cx="314324" cy="211904"/>
        </a:xfrm>
        <a:prstGeom prst="rect">
          <a:avLst/>
        </a:prstGeom>
      </xdr:spPr>
    </xdr:pic>
    <xdr:clientData/>
  </xdr:oneCellAnchor>
  <xdr:twoCellAnchor>
    <xdr:from>
      <xdr:col>4</xdr:col>
      <xdr:colOff>600076</xdr:colOff>
      <xdr:row>22</xdr:row>
      <xdr:rowOff>28575</xdr:rowOff>
    </xdr:from>
    <xdr:to>
      <xdr:col>7</xdr:col>
      <xdr:colOff>72960</xdr:colOff>
      <xdr:row>32</xdr:row>
      <xdr:rowOff>219075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1673BE-81E5-2348-C4D0-6F3A65B1D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0876" y="1524000"/>
          <a:ext cx="1415984" cy="2667000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95</xdr:row>
      <xdr:rowOff>57150</xdr:rowOff>
    </xdr:from>
    <xdr:to>
      <xdr:col>10</xdr:col>
      <xdr:colOff>533400</xdr:colOff>
      <xdr:row>109</xdr:row>
      <xdr:rowOff>200025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AFA9AE-28A5-42E9-A567-AF556BD5A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123825</xdr:colOff>
      <xdr:row>65</xdr:row>
      <xdr:rowOff>47625</xdr:rowOff>
    </xdr:from>
    <xdr:to>
      <xdr:col>10</xdr:col>
      <xdr:colOff>523875</xdr:colOff>
      <xdr:row>79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BB8C8-D009-4C6C-8D9E-494B5CB3E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421821</xdr:colOff>
      <xdr:row>3</xdr:row>
      <xdr:rowOff>40822</xdr:rowOff>
    </xdr:from>
    <xdr:ext cx="3279932" cy="3188484"/>
    <xdr:pic>
      <xdr:nvPicPr>
        <xdr:cNvPr id="2" name="Grafik 1">
          <a:extLst>
            <a:ext uri="{FF2B5EF4-FFF2-40B4-BE49-F238E27FC236}">
              <a16:creationId xmlns:a16="http://schemas.microsoft.com/office/drawing/2014/main" id="{95D33DD0-B614-4B84-939D-5B80C5C10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21" y="526597"/>
          <a:ext cx="3279932" cy="318848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752E-498B-4229-89D4-250497F09F47}">
  <sheetPr>
    <pageSetUpPr fitToPage="1"/>
  </sheetPr>
  <dimension ref="A1:DJ174"/>
  <sheetViews>
    <sheetView showGridLines="0" zoomScaleNormal="100" workbookViewId="0">
      <pane ySplit="1" topLeftCell="A117" activePane="bottomLeft" state="frozen"/>
      <selection pane="bottomLeft" activeCell="J139" sqref="J139"/>
    </sheetView>
  </sheetViews>
  <sheetFormatPr defaultColWidth="8.7109375" defaultRowHeight="20.100000000000001" customHeight="1" outlineLevelRow="1"/>
  <cols>
    <col min="1" max="11" width="9.7109375" style="2" customWidth="1"/>
    <col min="12" max="12" width="2.7109375" style="1" customWidth="1"/>
    <col min="13" max="13" width="6.7109375" style="1" customWidth="1"/>
    <col min="14" max="19" width="8.7109375" style="1" customWidth="1"/>
    <col min="20" max="16384" width="8.7109375" style="1"/>
  </cols>
  <sheetData>
    <row r="1" spans="1:15" s="52" customFormat="1" ht="20.100000000000001" customHeight="1">
      <c r="A1" s="57"/>
      <c r="B1" s="56" t="s">
        <v>20</v>
      </c>
      <c r="C1" s="56"/>
      <c r="D1" s="56"/>
      <c r="E1" s="56"/>
      <c r="F1" s="56"/>
      <c r="G1" s="56"/>
      <c r="H1" s="55"/>
      <c r="I1" s="55"/>
      <c r="J1" s="54" t="s">
        <v>19</v>
      </c>
      <c r="K1" s="53" t="s">
        <v>18</v>
      </c>
    </row>
    <row r="2" spans="1:15" ht="20.100000000000001" hidden="1" customHeight="1" outlineLevel="1">
      <c r="A2" s="51"/>
      <c r="B2" s="51"/>
      <c r="C2" s="1"/>
      <c r="D2" s="50"/>
      <c r="E2" s="50"/>
      <c r="F2" s="50"/>
      <c r="G2" s="50"/>
      <c r="H2" s="50"/>
      <c r="I2" s="50"/>
      <c r="J2" s="49"/>
      <c r="K2" s="48"/>
    </row>
    <row r="3" spans="1:15" ht="54.75" hidden="1" customHeight="1" outlineLevel="1">
      <c r="A3" s="139" t="s">
        <v>17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</row>
    <row r="4" spans="1:15" s="46" customFormat="1" ht="20.100000000000001" hidden="1" customHeight="1" outlineLevel="1">
      <c r="A4" s="47" t="s">
        <v>16</v>
      </c>
      <c r="B4" s="141" t="s">
        <v>15</v>
      </c>
      <c r="C4" s="141"/>
      <c r="D4" s="141"/>
      <c r="E4" s="141"/>
      <c r="F4" s="141"/>
      <c r="G4" s="141"/>
      <c r="H4" s="47" t="s">
        <v>14</v>
      </c>
      <c r="I4" s="47" t="s">
        <v>13</v>
      </c>
      <c r="J4" s="47" t="s">
        <v>12</v>
      </c>
      <c r="K4" s="47" t="s">
        <v>11</v>
      </c>
    </row>
    <row r="5" spans="1:15" s="41" customFormat="1" ht="20.100000000000001" hidden="1" customHeight="1" outlineLevel="1">
      <c r="A5" s="45"/>
      <c r="B5" s="133"/>
      <c r="C5" s="134"/>
      <c r="D5" s="134"/>
      <c r="E5" s="134"/>
      <c r="F5" s="134"/>
      <c r="G5" s="135"/>
      <c r="H5" s="44"/>
      <c r="I5" s="43"/>
      <c r="J5" s="43"/>
      <c r="K5" s="42"/>
    </row>
    <row r="6" spans="1:15" s="41" customFormat="1" ht="20.100000000000001" hidden="1" customHeight="1" outlineLevel="1">
      <c r="A6" s="45"/>
      <c r="B6" s="133"/>
      <c r="C6" s="134"/>
      <c r="D6" s="134"/>
      <c r="E6" s="134"/>
      <c r="F6" s="134"/>
      <c r="G6" s="135"/>
      <c r="H6" s="44"/>
      <c r="I6" s="43"/>
      <c r="J6" s="43"/>
      <c r="K6" s="42"/>
    </row>
    <row r="7" spans="1:15" s="41" customFormat="1" ht="20.100000000000001" hidden="1" customHeight="1" outlineLevel="1">
      <c r="A7" s="45"/>
      <c r="B7" s="133"/>
      <c r="C7" s="134"/>
      <c r="D7" s="134"/>
      <c r="E7" s="134"/>
      <c r="F7" s="134"/>
      <c r="G7" s="135"/>
      <c r="H7" s="44"/>
      <c r="I7" s="43"/>
      <c r="J7" s="43"/>
      <c r="K7" s="42"/>
    </row>
    <row r="8" spans="1:15" s="41" customFormat="1" ht="20.100000000000001" hidden="1" customHeight="1" outlineLevel="1">
      <c r="A8" s="45"/>
      <c r="B8" s="133"/>
      <c r="C8" s="134"/>
      <c r="D8" s="134"/>
      <c r="E8" s="134"/>
      <c r="F8" s="134"/>
      <c r="G8" s="135"/>
      <c r="H8" s="44"/>
      <c r="I8" s="43"/>
      <c r="J8" s="43"/>
      <c r="K8" s="42"/>
    </row>
    <row r="9" spans="1:15" s="41" customFormat="1" ht="20.100000000000001" hidden="1" customHeight="1" outlineLevel="1">
      <c r="A9" s="45"/>
      <c r="B9" s="133"/>
      <c r="C9" s="134"/>
      <c r="D9" s="134"/>
      <c r="E9" s="134"/>
      <c r="F9" s="134"/>
      <c r="G9" s="135"/>
      <c r="H9" s="44"/>
      <c r="I9" s="43"/>
      <c r="J9" s="43"/>
      <c r="K9" s="42"/>
    </row>
    <row r="10" spans="1:15" ht="20.100000000000001" hidden="1" customHeight="1" outlineLevel="1">
      <c r="B10" s="40"/>
      <c r="J10" s="39"/>
      <c r="K10" s="38"/>
    </row>
    <row r="11" spans="1:15" s="34" customFormat="1" ht="39.950000000000003" customHeight="1" collapsed="1" thickBot="1">
      <c r="A11" s="37" t="s">
        <v>0</v>
      </c>
      <c r="B11" s="37" t="s">
        <v>30</v>
      </c>
      <c r="C11" s="37"/>
      <c r="D11" s="37"/>
      <c r="E11" s="37"/>
      <c r="F11" s="37"/>
      <c r="G11" s="37"/>
      <c r="H11" s="37"/>
      <c r="I11" s="37"/>
      <c r="J11" s="37"/>
      <c r="K11" s="36"/>
      <c r="L11" s="35"/>
      <c r="M11" s="25"/>
      <c r="N11" s="25"/>
      <c r="O11" s="25"/>
    </row>
    <row r="12" spans="1:15" ht="20.100000000000001" customHeight="1" thickTop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3"/>
    </row>
    <row r="13" spans="1:15" s="85" customFormat="1" ht="20.100000000000001" customHeight="1" outlineLevel="1">
      <c r="A13" s="87"/>
      <c r="B13" s="136" t="s">
        <v>108</v>
      </c>
      <c r="C13" s="136"/>
      <c r="D13" s="138" t="s">
        <v>109</v>
      </c>
      <c r="E13" s="138"/>
      <c r="F13" s="138"/>
      <c r="G13" s="138"/>
      <c r="H13" s="138"/>
      <c r="I13" s="138"/>
      <c r="J13" s="138"/>
      <c r="K13" s="138"/>
      <c r="L13" s="86"/>
    </row>
    <row r="14" spans="1:15" s="85" customFormat="1" ht="20.100000000000001" customHeight="1" outlineLevel="1">
      <c r="A14" s="87"/>
      <c r="B14" s="136" t="s">
        <v>107</v>
      </c>
      <c r="C14" s="136"/>
      <c r="D14" s="138" t="s">
        <v>111</v>
      </c>
      <c r="E14" s="138"/>
      <c r="F14" s="138"/>
      <c r="G14" s="138"/>
      <c r="H14" s="138"/>
      <c r="I14" s="138"/>
      <c r="J14" s="138"/>
      <c r="K14" s="138"/>
      <c r="L14" s="86"/>
    </row>
    <row r="15" spans="1:15" s="85" customFormat="1" ht="20.100000000000001" customHeight="1" outlineLevel="1">
      <c r="A15" s="87"/>
      <c r="B15" s="136" t="s">
        <v>106</v>
      </c>
      <c r="C15" s="136"/>
      <c r="D15" s="138" t="s">
        <v>110</v>
      </c>
      <c r="E15" s="138"/>
      <c r="F15" s="138"/>
      <c r="G15" s="138"/>
      <c r="H15" s="138"/>
      <c r="I15" s="138"/>
      <c r="J15" s="138"/>
      <c r="K15" s="138"/>
      <c r="L15" s="86"/>
    </row>
    <row r="16" spans="1:15" s="85" customFormat="1" ht="20.100000000000001" customHeight="1" outlineLevel="1">
      <c r="A16" s="87"/>
      <c r="B16" s="136" t="s">
        <v>105</v>
      </c>
      <c r="C16" s="136"/>
      <c r="D16" s="138" t="str">
        <f>Title</f>
        <v>Flange Segment Analytical Model for 30° gap size</v>
      </c>
      <c r="E16" s="138"/>
      <c r="F16" s="138"/>
      <c r="G16" s="138"/>
      <c r="H16" s="138"/>
      <c r="I16" s="138"/>
      <c r="J16" s="138"/>
      <c r="K16" s="138"/>
      <c r="L16" s="86"/>
      <c r="M16" s="88"/>
    </row>
    <row r="17" spans="1:22" s="85" customFormat="1" ht="20.100000000000001" customHeight="1" outlineLevel="1">
      <c r="A17" s="87"/>
      <c r="B17" s="136" t="s">
        <v>104</v>
      </c>
      <c r="C17" s="136"/>
      <c r="D17" s="138">
        <v>0.3</v>
      </c>
      <c r="E17" s="138"/>
      <c r="F17" s="138"/>
      <c r="G17" s="138"/>
      <c r="H17" s="138"/>
      <c r="I17" s="138"/>
      <c r="J17" s="138"/>
      <c r="K17" s="138"/>
      <c r="L17" s="86"/>
    </row>
    <row r="18" spans="1:22" s="85" customFormat="1" ht="20.100000000000001" customHeight="1" outlineLevel="1">
      <c r="A18" s="87"/>
      <c r="B18" s="136" t="s">
        <v>103</v>
      </c>
      <c r="C18" s="136"/>
      <c r="D18" s="137">
        <v>45362</v>
      </c>
      <c r="E18" s="137"/>
      <c r="F18" s="137"/>
      <c r="G18" s="137"/>
      <c r="H18" s="137"/>
      <c r="I18" s="137"/>
      <c r="J18" s="137"/>
      <c r="K18" s="137"/>
      <c r="L18" s="86"/>
    </row>
    <row r="19" spans="1:22" s="85" customFormat="1" ht="20.100000000000001" customHeight="1" outlineLevel="1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6"/>
    </row>
    <row r="20" spans="1:22" s="85" customFormat="1" ht="20.100000000000001" customHeight="1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6"/>
    </row>
    <row r="21" spans="1:22" ht="20.100000000000001" customHeight="1" thickBot="1">
      <c r="A21" s="14" t="str">
        <f>$A$11&amp;"."&amp;1</f>
        <v>A.1</v>
      </c>
      <c r="B21" s="14" t="s">
        <v>21</v>
      </c>
      <c r="C21" s="14"/>
      <c r="D21" s="14"/>
      <c r="E21" s="14"/>
      <c r="F21" s="14"/>
      <c r="G21" s="14"/>
      <c r="H21" s="14"/>
      <c r="I21" s="14"/>
      <c r="J21" s="14"/>
      <c r="K21" s="14"/>
      <c r="L21" s="3"/>
    </row>
    <row r="22" spans="1:22" ht="20.100000000000001" customHeight="1" outlineLevel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3"/>
    </row>
    <row r="23" spans="1:22" s="18" customFormat="1" ht="20.100000000000001" customHeight="1" outlineLevel="1">
      <c r="A23" s="21"/>
      <c r="B23" s="28"/>
      <c r="C23" s="27"/>
      <c r="D23" s="27"/>
      <c r="E23" s="27"/>
      <c r="F23" s="27"/>
      <c r="G23" s="27"/>
      <c r="H23" s="27"/>
      <c r="I23" s="27"/>
      <c r="J23" s="27"/>
      <c r="K23" s="26"/>
      <c r="L23" s="20"/>
      <c r="M23" s="25" t="s">
        <v>10</v>
      </c>
      <c r="N23" s="25"/>
      <c r="O23" s="25"/>
      <c r="P23" s="25"/>
      <c r="Q23" s="25"/>
      <c r="R23" s="25"/>
      <c r="S23" s="25"/>
      <c r="T23" s="25"/>
      <c r="U23" s="25"/>
      <c r="V23" s="25"/>
    </row>
    <row r="24" spans="1:22" s="18" customFormat="1" ht="20.100000000000001" customHeight="1" outlineLevel="1">
      <c r="A24" s="21"/>
      <c r="B24" s="24"/>
      <c r="C24" s="23"/>
      <c r="D24" s="23"/>
      <c r="E24" s="23"/>
      <c r="F24" s="23"/>
      <c r="G24" s="23"/>
      <c r="H24" s="23"/>
      <c r="I24" s="23"/>
      <c r="J24" s="23"/>
      <c r="K24" s="22"/>
      <c r="L24" s="20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s="18" customFormat="1" ht="20.100000000000001" customHeight="1" outlineLevel="1">
      <c r="A25" s="21"/>
      <c r="B25" s="24"/>
      <c r="C25" s="23"/>
      <c r="D25" s="23"/>
      <c r="E25" s="23"/>
      <c r="F25" s="23"/>
      <c r="G25" s="23"/>
      <c r="H25" s="23"/>
      <c r="I25" s="23"/>
      <c r="J25" s="23"/>
      <c r="K25" s="22"/>
      <c r="L25" s="20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s="18" customFormat="1" ht="20.100000000000001" customHeight="1" outlineLevel="1">
      <c r="A26" s="21"/>
      <c r="B26" s="24"/>
      <c r="C26" s="23"/>
      <c r="D26" s="23"/>
      <c r="E26" s="23"/>
      <c r="F26" s="23"/>
      <c r="G26" s="23"/>
      <c r="H26" s="23"/>
      <c r="I26" s="23"/>
      <c r="J26" s="23"/>
      <c r="K26" s="22"/>
      <c r="L26" s="20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s="18" customFormat="1" ht="20.100000000000001" customHeight="1" outlineLevel="1">
      <c r="A27" s="21"/>
      <c r="B27" s="24"/>
      <c r="C27" s="23"/>
      <c r="D27" s="23"/>
      <c r="E27" s="23"/>
      <c r="F27" s="23"/>
      <c r="G27" s="23"/>
      <c r="H27" s="23"/>
      <c r="I27" s="23"/>
      <c r="J27" s="23"/>
      <c r="K27" s="22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s="18" customFormat="1" ht="20.100000000000001" customHeight="1" outlineLevel="1">
      <c r="A28" s="21"/>
      <c r="B28" s="142"/>
      <c r="C28" s="143"/>
      <c r="D28" s="143"/>
      <c r="E28" s="143"/>
      <c r="F28" s="143"/>
      <c r="G28" s="143"/>
      <c r="H28" s="143"/>
      <c r="I28" s="143"/>
      <c r="J28" s="143"/>
      <c r="K28" s="144"/>
      <c r="L28" s="20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s="18" customFormat="1" ht="20.100000000000001" customHeight="1" outlineLevel="1">
      <c r="A29" s="21"/>
      <c r="B29" s="24"/>
      <c r="C29" s="23"/>
      <c r="D29" s="23"/>
      <c r="E29" s="23"/>
      <c r="F29" s="23"/>
      <c r="G29" s="23"/>
      <c r="H29" s="23"/>
      <c r="I29" s="23"/>
      <c r="J29" s="23"/>
      <c r="K29" s="22"/>
      <c r="L29" s="20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s="18" customFormat="1" ht="20.100000000000001" customHeight="1" outlineLevel="1">
      <c r="A30" s="21"/>
      <c r="B30" s="24"/>
      <c r="C30" s="23"/>
      <c r="D30" s="23"/>
      <c r="E30" s="23"/>
      <c r="F30" s="23"/>
      <c r="G30" s="23"/>
      <c r="H30" s="23"/>
      <c r="I30" s="23"/>
      <c r="J30" s="23"/>
      <c r="K30" s="22"/>
      <c r="L30" s="20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s="18" customFormat="1" ht="20.100000000000001" customHeight="1" outlineLevel="1">
      <c r="A31" s="21"/>
      <c r="B31" s="24"/>
      <c r="C31" s="23"/>
      <c r="D31" s="23"/>
      <c r="E31" s="23"/>
      <c r="F31" s="23"/>
      <c r="G31" s="23"/>
      <c r="H31" s="23"/>
      <c r="I31" s="23"/>
      <c r="J31" s="23"/>
      <c r="K31" s="22"/>
      <c r="L31" s="20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s="18" customFormat="1" ht="20.100000000000001" customHeight="1" outlineLevel="1">
      <c r="A32" s="21"/>
      <c r="B32" s="24"/>
      <c r="C32" s="23"/>
      <c r="D32" s="23"/>
      <c r="E32" s="23"/>
      <c r="F32" s="23"/>
      <c r="G32" s="23"/>
      <c r="H32" s="23"/>
      <c r="I32" s="23"/>
      <c r="J32" s="23"/>
      <c r="K32" s="22"/>
      <c r="L32" s="20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s="18" customFormat="1" ht="20.100000000000001" customHeight="1" outlineLevel="1">
      <c r="A33" s="21"/>
      <c r="B33" s="89"/>
      <c r="C33" s="90"/>
      <c r="D33" s="90"/>
      <c r="E33" s="90"/>
      <c r="F33" s="90"/>
      <c r="G33" s="90"/>
      <c r="H33" s="90"/>
      <c r="I33" s="90"/>
      <c r="J33" s="90"/>
      <c r="K33" s="91"/>
      <c r="L33" s="20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s="18" customFormat="1" ht="20.100000000000001" customHeight="1" outlineLevel="1">
      <c r="A34" s="21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0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s="18" customFormat="1" ht="20.100000000000001" customHeight="1" outlineLevel="1">
      <c r="A35" s="95" t="str">
        <f>$A$21&amp;"."&amp;1</f>
        <v>A.1.1</v>
      </c>
      <c r="B35" s="12" t="s">
        <v>112</v>
      </c>
      <c r="C35" s="94"/>
      <c r="D35" s="94"/>
      <c r="E35" s="94"/>
      <c r="F35" s="94"/>
      <c r="G35" s="94"/>
      <c r="H35" s="94"/>
      <c r="I35" s="94"/>
      <c r="J35" s="94"/>
      <c r="K35" s="94"/>
      <c r="L35" s="20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ht="20.100000000000001" customHeight="1" outlineLevel="1">
      <c r="A36" s="9" t="s">
        <v>5</v>
      </c>
      <c r="B36" s="11" t="s">
        <v>22</v>
      </c>
      <c r="C36" s="11"/>
      <c r="D36" s="11"/>
      <c r="E36" s="11"/>
      <c r="F36" s="11"/>
      <c r="G36" s="11"/>
      <c r="H36" s="11"/>
      <c r="I36" s="10" t="s">
        <v>23</v>
      </c>
      <c r="J36" s="92">
        <v>232.5</v>
      </c>
      <c r="K36" s="93" t="s">
        <v>8</v>
      </c>
      <c r="L36" s="3"/>
    </row>
    <row r="37" spans="1:22" ht="20.100000000000001" customHeight="1" outlineLevel="1">
      <c r="A37" s="9" t="s">
        <v>4</v>
      </c>
      <c r="B37" s="8" t="s">
        <v>24</v>
      </c>
      <c r="C37" s="8"/>
      <c r="D37" s="8"/>
      <c r="E37" s="8"/>
      <c r="F37" s="8"/>
      <c r="G37" s="8"/>
      <c r="H37" s="8"/>
      <c r="I37" s="7" t="s">
        <v>25</v>
      </c>
      <c r="J37" s="62">
        <v>166.5</v>
      </c>
      <c r="K37" s="5" t="s">
        <v>8</v>
      </c>
      <c r="L37" s="3"/>
    </row>
    <row r="38" spans="1:22" ht="20.100000000000001" customHeight="1" outlineLevel="1">
      <c r="A38" s="9" t="s">
        <v>4</v>
      </c>
      <c r="B38" s="8" t="s">
        <v>26</v>
      </c>
      <c r="C38" s="8"/>
      <c r="D38" s="8"/>
      <c r="E38" s="8"/>
      <c r="F38" s="8"/>
      <c r="G38" s="8"/>
      <c r="H38" s="8"/>
      <c r="I38" s="7" t="s">
        <v>27</v>
      </c>
      <c r="J38" s="62">
        <v>72</v>
      </c>
      <c r="K38" s="5" t="s">
        <v>8</v>
      </c>
      <c r="L38" s="3"/>
    </row>
    <row r="39" spans="1:22" ht="20.100000000000001" customHeight="1" outlineLevel="1">
      <c r="A39" s="9" t="s">
        <v>3</v>
      </c>
      <c r="B39" s="8" t="s">
        <v>28</v>
      </c>
      <c r="C39" s="8"/>
      <c r="D39" s="8"/>
      <c r="E39" s="8"/>
      <c r="F39" s="8"/>
      <c r="G39" s="8"/>
      <c r="H39" s="8"/>
      <c r="I39" s="7" t="s">
        <v>29</v>
      </c>
      <c r="J39" s="62">
        <v>200</v>
      </c>
      <c r="K39" s="5" t="s">
        <v>8</v>
      </c>
      <c r="L39" s="3"/>
    </row>
    <row r="40" spans="1:22" ht="20.100000000000001" customHeight="1" outlineLevel="1">
      <c r="A40" s="9" t="s">
        <v>7</v>
      </c>
      <c r="B40" s="8" t="s">
        <v>31</v>
      </c>
      <c r="C40" s="8"/>
      <c r="D40" s="8"/>
      <c r="E40" s="8"/>
      <c r="F40" s="8"/>
      <c r="G40" s="8"/>
      <c r="H40" s="8"/>
      <c r="I40" s="7" t="s">
        <v>32</v>
      </c>
      <c r="J40" s="62">
        <v>194.4645852572082</v>
      </c>
      <c r="K40" s="5" t="s">
        <v>8</v>
      </c>
      <c r="L40" s="3"/>
    </row>
    <row r="41" spans="1:22" ht="20.100000000000001" customHeight="1" outlineLevel="1">
      <c r="A41" s="9" t="s">
        <v>6</v>
      </c>
      <c r="B41" s="8" t="s">
        <v>33</v>
      </c>
      <c r="C41" s="8"/>
      <c r="D41" s="8"/>
      <c r="E41" s="8"/>
      <c r="F41" s="8"/>
      <c r="G41" s="8"/>
      <c r="H41" s="8"/>
      <c r="I41" s="7" t="s">
        <v>34</v>
      </c>
      <c r="J41" s="62">
        <v>3714</v>
      </c>
      <c r="K41" s="5" t="s">
        <v>8</v>
      </c>
      <c r="L41" s="3"/>
    </row>
    <row r="42" spans="1:22" ht="20.100000000000001" customHeight="1" outlineLevel="1">
      <c r="A42" s="9" t="s">
        <v>35</v>
      </c>
      <c r="B42" s="17" t="s">
        <v>36</v>
      </c>
      <c r="C42" s="17"/>
      <c r="D42" s="17"/>
      <c r="E42" s="17"/>
      <c r="F42" s="17"/>
      <c r="G42" s="17"/>
      <c r="H42" s="17"/>
      <c r="I42" s="16" t="s">
        <v>37</v>
      </c>
      <c r="J42" s="64">
        <v>-123.29166666666667</v>
      </c>
      <c r="K42" s="15" t="s">
        <v>9</v>
      </c>
      <c r="L42" s="3"/>
    </row>
    <row r="43" spans="1:22" ht="20.100000000000001" customHeight="1" outlineLevel="1">
      <c r="A43" s="9" t="s">
        <v>39</v>
      </c>
      <c r="B43" s="17" t="s">
        <v>56</v>
      </c>
      <c r="C43" s="17"/>
      <c r="D43" s="17"/>
      <c r="E43" s="17"/>
      <c r="F43" s="17"/>
      <c r="G43" s="17"/>
      <c r="H43" s="17"/>
      <c r="I43" s="16" t="s">
        <v>58</v>
      </c>
      <c r="J43" s="64">
        <v>210</v>
      </c>
      <c r="K43" s="15" t="s">
        <v>60</v>
      </c>
      <c r="L43" s="3"/>
    </row>
    <row r="44" spans="1:22" ht="20.100000000000001" customHeight="1" outlineLevel="1">
      <c r="A44" s="9" t="s">
        <v>40</v>
      </c>
      <c r="B44" s="8" t="s">
        <v>57</v>
      </c>
      <c r="C44" s="8"/>
      <c r="D44" s="8"/>
      <c r="E44" s="8"/>
      <c r="F44" s="8"/>
      <c r="G44" s="8"/>
      <c r="H44" s="8"/>
      <c r="I44" s="7" t="s">
        <v>59</v>
      </c>
      <c r="J44" s="62">
        <v>80.77</v>
      </c>
      <c r="K44" s="5" t="s">
        <v>60</v>
      </c>
      <c r="L44" s="3"/>
    </row>
    <row r="45" spans="1:22" ht="20.100000000000001" customHeight="1" outlineLevel="1">
      <c r="A45" s="9"/>
      <c r="B45" s="58"/>
      <c r="C45" s="58"/>
      <c r="D45" s="58"/>
      <c r="E45" s="58"/>
      <c r="F45" s="58"/>
      <c r="G45" s="58"/>
      <c r="H45" s="58"/>
      <c r="I45" s="59"/>
      <c r="J45" s="96"/>
      <c r="K45" s="60"/>
      <c r="L45" s="3"/>
    </row>
    <row r="46" spans="1:22" ht="20.100000000000001" customHeight="1" outlineLevel="1">
      <c r="A46" s="95" t="str">
        <f>$A$21&amp;"."&amp;2</f>
        <v>A.1.2</v>
      </c>
      <c r="B46" s="12" t="s">
        <v>113</v>
      </c>
      <c r="C46" s="94"/>
      <c r="D46" s="94"/>
      <c r="E46" s="94"/>
      <c r="F46" s="94"/>
      <c r="G46" s="94"/>
      <c r="H46" s="94"/>
      <c r="I46" s="94"/>
      <c r="J46" s="94"/>
      <c r="K46" s="94"/>
      <c r="L46" s="3"/>
    </row>
    <row r="47" spans="1:22" ht="20.100000000000001" customHeight="1" outlineLevel="1">
      <c r="A47" s="9" t="s">
        <v>5</v>
      </c>
      <c r="B47" s="8" t="s">
        <v>115</v>
      </c>
      <c r="C47" s="8"/>
      <c r="D47" s="8"/>
      <c r="E47" s="8"/>
      <c r="F47" s="8"/>
      <c r="G47" s="8"/>
      <c r="H47" s="8"/>
      <c r="I47" s="7"/>
      <c r="J47" s="61" t="s">
        <v>46</v>
      </c>
      <c r="K47" s="5"/>
      <c r="L47" s="3"/>
    </row>
    <row r="48" spans="1:22" ht="20.100000000000001" customHeight="1" outlineLevel="1">
      <c r="A48" s="9" t="s">
        <v>4</v>
      </c>
      <c r="B48" s="8" t="s">
        <v>115</v>
      </c>
      <c r="C48" s="8"/>
      <c r="D48" s="8"/>
      <c r="E48" s="8"/>
      <c r="F48" s="8"/>
      <c r="G48" s="8"/>
      <c r="H48" s="8"/>
      <c r="I48" s="7" t="s">
        <v>118</v>
      </c>
      <c r="J48" s="61">
        <v>80</v>
      </c>
      <c r="K48" s="5" t="s">
        <v>8</v>
      </c>
      <c r="L48" s="3"/>
    </row>
    <row r="49" spans="1:12" ht="20.100000000000001" customHeight="1" outlineLevel="1">
      <c r="A49" s="9" t="s">
        <v>3</v>
      </c>
      <c r="B49" s="8" t="s">
        <v>116</v>
      </c>
      <c r="C49" s="8"/>
      <c r="D49" s="8"/>
      <c r="E49" s="8"/>
      <c r="F49" s="8"/>
      <c r="G49" s="8"/>
      <c r="H49" s="8"/>
      <c r="I49" s="7" t="s">
        <v>119</v>
      </c>
      <c r="J49" s="61">
        <v>76.099999999999994</v>
      </c>
      <c r="K49" s="5" t="s">
        <v>8</v>
      </c>
      <c r="L49" s="3"/>
    </row>
    <row r="50" spans="1:12" ht="20.100000000000001" customHeight="1" outlineLevel="1">
      <c r="A50" s="9" t="s">
        <v>7</v>
      </c>
      <c r="B50" s="8" t="s">
        <v>117</v>
      </c>
      <c r="C50" s="8"/>
      <c r="D50" s="8"/>
      <c r="E50" s="8"/>
      <c r="F50" s="8"/>
      <c r="G50" s="8"/>
      <c r="H50" s="8"/>
      <c r="I50" s="7" t="s">
        <v>120</v>
      </c>
      <c r="J50" s="61">
        <v>0.27</v>
      </c>
      <c r="K50" s="5" t="s">
        <v>8</v>
      </c>
      <c r="L50" s="3"/>
    </row>
    <row r="51" spans="1:12" ht="20.100000000000001" customHeight="1" outlineLevel="1">
      <c r="A51" s="9" t="s">
        <v>6</v>
      </c>
      <c r="B51" s="8" t="s">
        <v>43</v>
      </c>
      <c r="C51" s="8"/>
      <c r="D51" s="8"/>
      <c r="E51" s="8"/>
      <c r="F51" s="8"/>
      <c r="G51" s="8"/>
      <c r="H51" s="8"/>
      <c r="I51" s="7" t="s">
        <v>45</v>
      </c>
      <c r="J51" s="61">
        <v>6</v>
      </c>
      <c r="K51" s="5" t="s">
        <v>8</v>
      </c>
      <c r="L51" s="3"/>
    </row>
    <row r="52" spans="1:12" ht="20.100000000000001" customHeight="1" outlineLevel="1">
      <c r="A52" s="9" t="s">
        <v>35</v>
      </c>
      <c r="B52" s="8" t="s">
        <v>121</v>
      </c>
      <c r="C52" s="8"/>
      <c r="D52" s="8"/>
      <c r="E52" s="8"/>
      <c r="F52" s="8"/>
      <c r="G52" s="8"/>
      <c r="H52" s="8"/>
      <c r="I52" s="7" t="s">
        <v>123</v>
      </c>
      <c r="J52" s="61">
        <v>900</v>
      </c>
      <c r="K52" s="15" t="s">
        <v>102</v>
      </c>
      <c r="L52" s="3"/>
    </row>
    <row r="53" spans="1:12" ht="20.100000000000001" customHeight="1" outlineLevel="1">
      <c r="A53" s="9" t="s">
        <v>39</v>
      </c>
      <c r="B53" s="17" t="s">
        <v>122</v>
      </c>
      <c r="C53" s="17"/>
      <c r="D53" s="17"/>
      <c r="E53" s="17"/>
      <c r="F53" s="17"/>
      <c r="G53" s="17"/>
      <c r="H53" s="17"/>
      <c r="I53" s="16" t="s">
        <v>124</v>
      </c>
      <c r="J53" s="65">
        <v>1000</v>
      </c>
      <c r="K53" s="15" t="s">
        <v>102</v>
      </c>
      <c r="L53" s="3"/>
    </row>
    <row r="54" spans="1:12" ht="20.100000000000001" customHeight="1" outlineLevel="1">
      <c r="A54" s="9" t="s">
        <v>40</v>
      </c>
      <c r="B54" s="17" t="s">
        <v>125</v>
      </c>
      <c r="C54" s="17"/>
      <c r="D54" s="17"/>
      <c r="E54" s="17"/>
      <c r="F54" s="17"/>
      <c r="G54" s="17"/>
      <c r="H54" s="17"/>
      <c r="I54" s="16" t="s">
        <v>58</v>
      </c>
      <c r="J54" s="65">
        <v>210</v>
      </c>
      <c r="K54" s="15" t="s">
        <v>60</v>
      </c>
      <c r="L54" s="3"/>
    </row>
    <row r="55" spans="1:12" ht="20.100000000000001" customHeight="1" outlineLevel="1">
      <c r="A55" s="9" t="s">
        <v>41</v>
      </c>
      <c r="B55" s="17" t="s">
        <v>38</v>
      </c>
      <c r="C55" s="17"/>
      <c r="D55" s="17"/>
      <c r="E55" s="17"/>
      <c r="F55" s="17"/>
      <c r="G55" s="17"/>
      <c r="H55" s="17"/>
      <c r="I55" s="16" t="s">
        <v>42</v>
      </c>
      <c r="J55" s="65">
        <v>2876</v>
      </c>
      <c r="K55" s="15" t="s">
        <v>9</v>
      </c>
      <c r="L55" s="3"/>
    </row>
    <row r="56" spans="1:12" ht="20.100000000000001" customHeight="1" outlineLevel="1">
      <c r="A56" s="9" t="s">
        <v>44</v>
      </c>
      <c r="B56" s="8" t="s">
        <v>47</v>
      </c>
      <c r="C56" s="8"/>
      <c r="D56" s="8"/>
      <c r="E56" s="8"/>
      <c r="F56" s="8"/>
      <c r="G56" s="8"/>
      <c r="H56" s="8"/>
      <c r="I56" s="7" t="s">
        <v>53</v>
      </c>
      <c r="J56" s="62">
        <v>86</v>
      </c>
      <c r="K56" s="5" t="s">
        <v>8</v>
      </c>
      <c r="L56" s="3"/>
    </row>
    <row r="57" spans="1:12" ht="20.100000000000001" customHeight="1" outlineLevel="1">
      <c r="A57" s="9" t="s">
        <v>55</v>
      </c>
      <c r="B57" s="8" t="s">
        <v>48</v>
      </c>
      <c r="C57" s="8"/>
      <c r="D57" s="8"/>
      <c r="E57" s="8"/>
      <c r="F57" s="8"/>
      <c r="G57" s="8"/>
      <c r="H57" s="8"/>
      <c r="I57" s="7" t="s">
        <v>54</v>
      </c>
      <c r="J57" s="62">
        <v>140</v>
      </c>
      <c r="K57" s="5" t="s">
        <v>8</v>
      </c>
      <c r="L57" s="3"/>
    </row>
    <row r="58" spans="1:12" ht="20.100000000000001" customHeight="1" outlineLevel="1">
      <c r="A58" s="9"/>
      <c r="B58" s="58"/>
      <c r="C58" s="58"/>
      <c r="D58" s="58"/>
      <c r="E58" s="58"/>
      <c r="F58" s="58"/>
      <c r="G58" s="58"/>
      <c r="H58" s="58"/>
      <c r="I58" s="59"/>
      <c r="J58" s="96"/>
      <c r="K58" s="60"/>
      <c r="L58" s="3"/>
    </row>
    <row r="59" spans="1:12" ht="20.100000000000001" customHeight="1" outlineLevel="1">
      <c r="A59" s="95" t="str">
        <f>$A$21&amp;"."&amp;3</f>
        <v>A.1.3</v>
      </c>
      <c r="B59" s="12" t="s">
        <v>114</v>
      </c>
      <c r="C59" s="94"/>
      <c r="D59" s="94"/>
      <c r="E59" s="94"/>
      <c r="F59" s="94"/>
      <c r="G59" s="94"/>
      <c r="H59" s="94"/>
      <c r="I59" s="94"/>
      <c r="J59" s="94"/>
      <c r="K59" s="94"/>
      <c r="L59" s="3"/>
    </row>
    <row r="60" spans="1:12" ht="20.100000000000001" customHeight="1" outlineLevel="1">
      <c r="A60" s="9" t="s">
        <v>5</v>
      </c>
      <c r="B60" s="11" t="s">
        <v>49</v>
      </c>
      <c r="C60" s="11"/>
      <c r="D60" s="11"/>
      <c r="E60" s="11"/>
      <c r="F60" s="11"/>
      <c r="G60" s="11"/>
      <c r="H60" s="11"/>
      <c r="I60" s="10" t="s">
        <v>52</v>
      </c>
      <c r="J60" s="97">
        <v>0.87601845454410032</v>
      </c>
      <c r="K60" s="93" t="s">
        <v>8</v>
      </c>
      <c r="L60" s="3"/>
    </row>
    <row r="61" spans="1:12" ht="20.100000000000001" customHeight="1" outlineLevel="1">
      <c r="A61" s="9" t="s">
        <v>4</v>
      </c>
      <c r="B61" s="8" t="s">
        <v>50</v>
      </c>
      <c r="C61" s="8"/>
      <c r="D61" s="8"/>
      <c r="E61" s="8"/>
      <c r="F61" s="8"/>
      <c r="G61" s="8"/>
      <c r="H61" s="8"/>
      <c r="I61" s="7" t="s">
        <v>51</v>
      </c>
      <c r="J61" s="98">
        <v>1963.4954084936205</v>
      </c>
      <c r="K61" s="5" t="s">
        <v>8</v>
      </c>
      <c r="L61" s="3"/>
    </row>
    <row r="62" spans="1:12" ht="20.100000000000001" customHeight="1" outlineLevel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3"/>
    </row>
    <row r="63" spans="1:12" ht="20.1000000000000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3"/>
    </row>
    <row r="64" spans="1:12" ht="20.100000000000001" customHeight="1" thickBot="1">
      <c r="A64" s="14" t="str">
        <f>$A$11&amp;"."&amp;2</f>
        <v>A.2</v>
      </c>
      <c r="B64" s="14" t="s">
        <v>61</v>
      </c>
      <c r="C64" s="14"/>
      <c r="D64" s="14"/>
      <c r="E64" s="14"/>
      <c r="F64" s="14"/>
      <c r="G64" s="14"/>
      <c r="H64" s="14"/>
      <c r="I64" s="14"/>
      <c r="J64" s="14"/>
      <c r="K64" s="13"/>
      <c r="L64" s="3"/>
    </row>
    <row r="65" spans="1:114" ht="20.100000000000001" customHeight="1" outlineLevel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3"/>
    </row>
    <row r="66" spans="1:114" ht="20.100000000000001" customHeight="1" outlineLevel="1">
      <c r="A66" s="4"/>
      <c r="B66" s="33"/>
      <c r="C66" s="32"/>
      <c r="D66" s="32"/>
      <c r="E66" s="32"/>
      <c r="F66" s="32"/>
      <c r="G66" s="32"/>
      <c r="H66" s="32"/>
      <c r="I66" s="32"/>
      <c r="J66" s="32"/>
      <c r="K66" s="31"/>
      <c r="L66" s="3"/>
      <c r="N66" s="70" t="s">
        <v>126</v>
      </c>
      <c r="O66" s="71">
        <v>-1250.633979143932</v>
      </c>
      <c r="P66" s="71">
        <v>-1217.1002322374663</v>
      </c>
      <c r="Q66" s="71">
        <v>-1183.5664853310006</v>
      </c>
      <c r="R66" s="71">
        <v>-1150.0327384245354</v>
      </c>
      <c r="S66" s="71">
        <v>-1116.4989915180697</v>
      </c>
      <c r="T66" s="71">
        <v>-1082.9652446116042</v>
      </c>
      <c r="U66" s="71">
        <v>-1049.4314977051386</v>
      </c>
      <c r="V66" s="71">
        <v>-1015.8977507986729</v>
      </c>
      <c r="W66" s="71">
        <v>-982.36400389220728</v>
      </c>
      <c r="X66" s="71">
        <v>-948.83025698574181</v>
      </c>
      <c r="Y66" s="71">
        <v>-915.29651007927612</v>
      </c>
      <c r="Z66" s="71">
        <v>-881.76276317281065</v>
      </c>
      <c r="AA66" s="71">
        <v>-848.22901626634507</v>
      </c>
      <c r="AB66" s="71">
        <v>-814.69526935987938</v>
      </c>
      <c r="AC66" s="71">
        <v>-781.1615224534138</v>
      </c>
      <c r="AD66" s="71">
        <v>-747.62777554694821</v>
      </c>
      <c r="AE66" s="71">
        <v>-714.09402864048275</v>
      </c>
      <c r="AF66" s="71">
        <v>-680.56028173401705</v>
      </c>
      <c r="AG66" s="71">
        <v>-647.02653482755159</v>
      </c>
      <c r="AH66" s="71">
        <v>-613.49278792108601</v>
      </c>
      <c r="AI66" s="71">
        <v>-579.95904101462031</v>
      </c>
      <c r="AJ66" s="71">
        <v>-546.42529410815484</v>
      </c>
      <c r="AK66" s="71">
        <v>-512.89154720168926</v>
      </c>
      <c r="AL66" s="71">
        <v>-479.35780029522363</v>
      </c>
      <c r="AM66" s="71">
        <v>-445.8240533887581</v>
      </c>
      <c r="AN66" s="71">
        <v>-412.29030648229246</v>
      </c>
      <c r="AO66" s="71">
        <v>-378.75655957582688</v>
      </c>
      <c r="AP66" s="71">
        <v>-345.22281266936125</v>
      </c>
      <c r="AQ66" s="71">
        <v>-311.68906576289572</v>
      </c>
      <c r="AR66" s="71">
        <v>-278.15531885643014</v>
      </c>
      <c r="AS66" s="71">
        <v>-244.6215719499645</v>
      </c>
      <c r="AT66" s="71">
        <v>-211.08782504349901</v>
      </c>
      <c r="AU66" s="71">
        <v>-177.5540781370334</v>
      </c>
      <c r="AV66" s="71">
        <v>-144.02033123056776</v>
      </c>
      <c r="AW66" s="71">
        <v>-110.48658432410215</v>
      </c>
      <c r="AX66" s="71">
        <v>-76.95283741763653</v>
      </c>
      <c r="AY66" s="71">
        <v>-43.419090511171149</v>
      </c>
      <c r="AZ66" s="71">
        <v>-9.885343604705529</v>
      </c>
      <c r="BA66" s="71">
        <v>23.648403301760087</v>
      </c>
      <c r="BB66" s="71">
        <v>57.182150208225707</v>
      </c>
      <c r="BC66" s="71">
        <v>90.71589711469133</v>
      </c>
      <c r="BD66" s="71">
        <v>124.24964402115694</v>
      </c>
      <c r="BE66" s="71">
        <v>157.78339092762232</v>
      </c>
      <c r="BF66" s="71">
        <v>191.31713783408796</v>
      </c>
      <c r="BG66" s="71">
        <v>224.85088474055357</v>
      </c>
      <c r="BH66" s="71">
        <v>258.38463164701921</v>
      </c>
      <c r="BI66" s="71">
        <v>291.91837855348479</v>
      </c>
      <c r="BJ66" s="71">
        <v>325.45212545995042</v>
      </c>
      <c r="BK66" s="71">
        <v>358.98587236641578</v>
      </c>
      <c r="BL66" s="71">
        <v>392.51961927288141</v>
      </c>
      <c r="BM66" s="71">
        <v>426.05336617934705</v>
      </c>
      <c r="BN66" s="71">
        <v>459.58711308581263</v>
      </c>
      <c r="BO66" s="71">
        <v>493.12085999227827</v>
      </c>
      <c r="BP66" s="71">
        <v>526.65460689874385</v>
      </c>
      <c r="BQ66" s="71">
        <v>560.18835380520954</v>
      </c>
      <c r="BR66" s="71">
        <v>593.7221007116749</v>
      </c>
      <c r="BS66" s="71">
        <v>627.25584761814048</v>
      </c>
      <c r="BT66" s="71">
        <v>660.78959452460617</v>
      </c>
      <c r="BU66" s="71">
        <v>694.32334143107175</v>
      </c>
      <c r="BV66" s="71">
        <v>727.85708833753733</v>
      </c>
      <c r="BW66" s="71">
        <v>761.39083524400303</v>
      </c>
      <c r="BX66" s="71">
        <v>794.92458215046838</v>
      </c>
      <c r="BY66" s="71">
        <v>828.45832905693396</v>
      </c>
      <c r="BZ66" s="71">
        <v>861.99207596339988</v>
      </c>
      <c r="CA66" s="71">
        <v>895.52582286986524</v>
      </c>
      <c r="CB66" s="71">
        <v>929.05956977633059</v>
      </c>
      <c r="CC66" s="71">
        <v>962.59331668279651</v>
      </c>
      <c r="CD66" s="71">
        <v>996.12706358926187</v>
      </c>
      <c r="CE66" s="71">
        <v>1029.6608104957277</v>
      </c>
      <c r="CF66" s="71">
        <v>1063.1945574021931</v>
      </c>
      <c r="CG66" s="71">
        <v>1096.7283043086588</v>
      </c>
      <c r="CH66" s="71">
        <v>1130.2620512151243</v>
      </c>
      <c r="CI66" s="71">
        <v>1163.7957981215898</v>
      </c>
      <c r="CJ66" s="71">
        <v>1197.3295450280555</v>
      </c>
      <c r="CK66" s="71">
        <v>1230.8632919345209</v>
      </c>
      <c r="CL66" s="71">
        <v>1264.3970388409869</v>
      </c>
      <c r="CM66" s="71">
        <v>1297.9307857474521</v>
      </c>
      <c r="CN66" s="71">
        <v>1331.4645326539176</v>
      </c>
      <c r="CO66" s="71">
        <v>1364.9982795603835</v>
      </c>
      <c r="CP66" s="71">
        <v>1398.5320264668487</v>
      </c>
      <c r="CQ66" s="71">
        <v>1432.0657733733146</v>
      </c>
      <c r="CR66" s="71">
        <v>1465.5995202797801</v>
      </c>
      <c r="CS66" s="71">
        <v>1499.1332671862458</v>
      </c>
      <c r="CT66" s="71">
        <v>1532.6670140927113</v>
      </c>
      <c r="CU66" s="71">
        <v>1566.2007609991767</v>
      </c>
      <c r="CV66" s="71">
        <v>1599.7345079056424</v>
      </c>
      <c r="CW66" s="71">
        <v>1633.2682548121079</v>
      </c>
      <c r="CX66" s="71">
        <v>1666.8020017185738</v>
      </c>
      <c r="CY66" s="71">
        <v>1700.3357486250391</v>
      </c>
      <c r="CZ66" s="71">
        <v>1733.869495531505</v>
      </c>
      <c r="DA66" s="71">
        <v>1767.4032424379704</v>
      </c>
      <c r="DB66" s="71">
        <v>1800.9369893444357</v>
      </c>
      <c r="DC66" s="71">
        <v>1834.4707362509016</v>
      </c>
      <c r="DD66" s="71">
        <v>1868.0044831573671</v>
      </c>
      <c r="DE66" s="71">
        <v>1901.5382300638328</v>
      </c>
      <c r="DF66" s="71">
        <v>1935.0719769702982</v>
      </c>
      <c r="DG66" s="71">
        <v>1968.6057238767637</v>
      </c>
      <c r="DH66" s="71">
        <v>2002.1394707832294</v>
      </c>
      <c r="DI66" s="71">
        <v>2035.6732176896949</v>
      </c>
      <c r="DJ66" s="71">
        <v>2069.2069645961601</v>
      </c>
    </row>
    <row r="67" spans="1:114" ht="20.100000000000001" customHeight="1" outlineLevel="1">
      <c r="A67" s="4"/>
      <c r="B67" s="30"/>
      <c r="C67" s="4"/>
      <c r="D67" s="4"/>
      <c r="E67" s="4"/>
      <c r="F67" s="4"/>
      <c r="G67" s="4"/>
      <c r="H67" s="4"/>
      <c r="I67" s="4"/>
      <c r="J67" s="4"/>
      <c r="K67" s="29"/>
      <c r="L67" s="3"/>
      <c r="N67" s="70" t="s">
        <v>127</v>
      </c>
      <c r="O67" s="71">
        <v>2815.4929801182079</v>
      </c>
      <c r="P67" s="71">
        <v>2815.4929801182079</v>
      </c>
      <c r="Q67" s="71">
        <v>2815.4960580336242</v>
      </c>
      <c r="R67" s="71">
        <v>2815.5848431252202</v>
      </c>
      <c r="S67" s="71">
        <v>2815.796249783295</v>
      </c>
      <c r="T67" s="71">
        <v>2816.1302780078486</v>
      </c>
      <c r="U67" s="71">
        <v>2816.5869277988818</v>
      </c>
      <c r="V67" s="71">
        <v>2817.1661991563933</v>
      </c>
      <c r="W67" s="71">
        <v>2817.868092080384</v>
      </c>
      <c r="X67" s="71">
        <v>2818.692606570854</v>
      </c>
      <c r="Y67" s="71">
        <v>2819.6397426278022</v>
      </c>
      <c r="Z67" s="71">
        <v>2820.7095002512297</v>
      </c>
      <c r="AA67" s="71">
        <v>2821.9018794411363</v>
      </c>
      <c r="AB67" s="71">
        <v>2823.2168801975222</v>
      </c>
      <c r="AC67" s="71">
        <v>2824.6545025203868</v>
      </c>
      <c r="AD67" s="71">
        <v>2826.2147464097302</v>
      </c>
      <c r="AE67" s="71">
        <v>2827.8976118655528</v>
      </c>
      <c r="AF67" s="71">
        <v>2829.7030988878537</v>
      </c>
      <c r="AG67" s="71">
        <v>2831.6312074766342</v>
      </c>
      <c r="AH67" s="71">
        <v>2833.6819376318936</v>
      </c>
      <c r="AI67" s="71">
        <v>2835.8552893536321</v>
      </c>
      <c r="AJ67" s="71">
        <v>2838.1512626418489</v>
      </c>
      <c r="AK67" s="71">
        <v>2840.5698574965454</v>
      </c>
      <c r="AL67" s="71">
        <v>2843.1110739177207</v>
      </c>
      <c r="AM67" s="71">
        <v>2845.7749119053747</v>
      </c>
      <c r="AN67" s="71">
        <v>2848.5613714595079</v>
      </c>
      <c r="AO67" s="71">
        <v>2851.4704525801199</v>
      </c>
      <c r="AP67" s="71">
        <v>2854.502155267211</v>
      </c>
      <c r="AQ67" s="71">
        <v>2857.656479520781</v>
      </c>
      <c r="AR67" s="71">
        <v>2860.9334253408301</v>
      </c>
      <c r="AS67" s="71">
        <v>2864.3329927273585</v>
      </c>
      <c r="AT67" s="71">
        <v>2867.8551816803651</v>
      </c>
      <c r="AU67" s="71">
        <v>2871.499992199851</v>
      </c>
      <c r="AV67" s="71">
        <v>2875.2674242858161</v>
      </c>
      <c r="AW67" s="71">
        <v>2877.508744679923</v>
      </c>
      <c r="AX67" s="71">
        <v>2881.628225459277</v>
      </c>
      <c r="AY67" s="71">
        <v>2885.9914422371894</v>
      </c>
      <c r="AZ67" s="71">
        <v>2890.598395013661</v>
      </c>
      <c r="BA67" s="71">
        <v>2895.4490837886915</v>
      </c>
      <c r="BB67" s="71">
        <v>2900.5435085622807</v>
      </c>
      <c r="BC67" s="71">
        <v>2905.8816693344288</v>
      </c>
      <c r="BD67" s="71">
        <v>2911.4635661051357</v>
      </c>
      <c r="BE67" s="71">
        <v>2917.2891988744013</v>
      </c>
      <c r="BF67" s="71">
        <v>2923.3585676422258</v>
      </c>
      <c r="BG67" s="71">
        <v>2929.6716724086091</v>
      </c>
      <c r="BH67" s="71">
        <v>2936.2285131735512</v>
      </c>
      <c r="BI67" s="71">
        <v>2943.029089937052</v>
      </c>
      <c r="BJ67" s="71">
        <v>2950.0734026991117</v>
      </c>
      <c r="BK67" s="71">
        <v>2957.3614514597307</v>
      </c>
      <c r="BL67" s="71">
        <v>2964.8932362189084</v>
      </c>
      <c r="BM67" s="71">
        <v>2972.6687569766445</v>
      </c>
      <c r="BN67" s="71">
        <v>2980.6880137329395</v>
      </c>
      <c r="BO67" s="71">
        <v>2988.9510064877932</v>
      </c>
      <c r="BP67" s="71">
        <v>2997.4577352412061</v>
      </c>
      <c r="BQ67" s="71">
        <v>3006.2081999931779</v>
      </c>
      <c r="BR67" s="71">
        <v>3015.202400743708</v>
      </c>
      <c r="BS67" s="71">
        <v>3024.4403374927974</v>
      </c>
      <c r="BT67" s="71">
        <v>3033.9220102404452</v>
      </c>
      <c r="BU67" s="71">
        <v>3043.6474189866526</v>
      </c>
      <c r="BV67" s="71">
        <v>3053.616563731418</v>
      </c>
      <c r="BW67" s="71">
        <v>3063.8294444747426</v>
      </c>
      <c r="BX67" s="71">
        <v>3074.286061216626</v>
      </c>
      <c r="BY67" s="71">
        <v>3084.9864139570682</v>
      </c>
      <c r="BZ67" s="71">
        <v>3095.9305026960687</v>
      </c>
      <c r="CA67" s="71">
        <v>3107.118327433629</v>
      </c>
      <c r="CB67" s="71">
        <v>3118.5498881697472</v>
      </c>
      <c r="CC67" s="71">
        <v>3130.2251849044251</v>
      </c>
      <c r="CD67" s="71">
        <v>3142.1442176376613</v>
      </c>
      <c r="CE67" s="71">
        <v>3154.3069863694568</v>
      </c>
      <c r="CF67" s="71">
        <v>3166.7134910998102</v>
      </c>
      <c r="CG67" s="71">
        <v>3179.3637318287233</v>
      </c>
      <c r="CH67" s="71">
        <v>3192.2577085561948</v>
      </c>
      <c r="CI67" s="71">
        <v>3205.3954212822255</v>
      </c>
      <c r="CJ67" s="71">
        <v>3218.7768700068145</v>
      </c>
      <c r="CK67" s="71">
        <v>3232.4020547299629</v>
      </c>
      <c r="CL67" s="71">
        <v>3246.2709754516695</v>
      </c>
      <c r="CM67" s="71">
        <v>3260.3836321719355</v>
      </c>
      <c r="CN67" s="71">
        <v>3274.7400248907593</v>
      </c>
      <c r="CO67" s="71">
        <v>3289.3401536081433</v>
      </c>
      <c r="CP67" s="71">
        <v>3304.1840183240856</v>
      </c>
      <c r="CQ67" s="71">
        <v>3319.2716190385863</v>
      </c>
      <c r="CR67" s="71">
        <v>3334.6029557516463</v>
      </c>
      <c r="CS67" s="71">
        <v>3350.178028463265</v>
      </c>
      <c r="CT67" s="71">
        <v>3365.9968371734421</v>
      </c>
      <c r="CU67" s="71">
        <v>3382.0593818821785</v>
      </c>
      <c r="CV67" s="71">
        <v>3398.3656625894741</v>
      </c>
      <c r="CW67" s="71">
        <v>3414.9156792953281</v>
      </c>
      <c r="CX67" s="71">
        <v>3431.7094319997404</v>
      </c>
      <c r="CY67" s="71">
        <v>3448.7469207027125</v>
      </c>
      <c r="CZ67" s="71">
        <v>3466.0281454042429</v>
      </c>
      <c r="DA67" s="71">
        <v>3483.5531061043321</v>
      </c>
      <c r="DB67" s="71">
        <v>3501.3218028029801</v>
      </c>
      <c r="DC67" s="71">
        <v>3519.3342355001873</v>
      </c>
      <c r="DD67" s="71">
        <v>3537.5904041959525</v>
      </c>
      <c r="DE67" s="71">
        <v>3556.0903088902774</v>
      </c>
      <c r="DF67" s="71">
        <v>3574.8339495831606</v>
      </c>
      <c r="DG67" s="71">
        <v>3593.8213262746031</v>
      </c>
      <c r="DH67" s="71">
        <v>3613.0524389646043</v>
      </c>
      <c r="DI67" s="71">
        <v>3632.527287653164</v>
      </c>
      <c r="DJ67" s="71">
        <v>3652.2458723402824</v>
      </c>
    </row>
    <row r="68" spans="1:114" ht="20.100000000000001" customHeight="1" outlineLevel="1">
      <c r="A68" s="4"/>
      <c r="B68" s="30"/>
      <c r="C68" s="4"/>
      <c r="D68" s="4"/>
      <c r="E68" s="4"/>
      <c r="F68" s="4"/>
      <c r="G68" s="4"/>
      <c r="H68" s="4"/>
      <c r="I68" s="4"/>
      <c r="J68" s="4"/>
      <c r="K68" s="29"/>
      <c r="L68" s="3"/>
      <c r="N68" s="70" t="s">
        <v>62</v>
      </c>
      <c r="O68" s="71">
        <v>-419.7141618986596</v>
      </c>
      <c r="P68" s="71">
        <v>-419.7141618986596</v>
      </c>
      <c r="Q68" s="71">
        <v>-419.69331405553959</v>
      </c>
      <c r="R68" s="71">
        <v>-419.09194026494771</v>
      </c>
      <c r="S68" s="71">
        <v>-417.66000590482412</v>
      </c>
      <c r="T68" s="71">
        <v>-415.39751097516881</v>
      </c>
      <c r="U68" s="71">
        <v>-412.3044554759818</v>
      </c>
      <c r="V68" s="71">
        <v>-408.38083940726341</v>
      </c>
      <c r="W68" s="71">
        <v>-403.62666276901302</v>
      </c>
      <c r="X68" s="71">
        <v>-398.0419255612311</v>
      </c>
      <c r="Y68" s="71">
        <v>-391.6266277839174</v>
      </c>
      <c r="Z68" s="71">
        <v>-384.38076943707222</v>
      </c>
      <c r="AA68" s="71">
        <v>-376.30435052069532</v>
      </c>
      <c r="AB68" s="71">
        <v>-367.39737103478666</v>
      </c>
      <c r="AC68" s="71">
        <v>-357.65983097934628</v>
      </c>
      <c r="AD68" s="71">
        <v>-347.09173035437442</v>
      </c>
      <c r="AE68" s="71">
        <v>-335.69306915987079</v>
      </c>
      <c r="AF68" s="71">
        <v>-323.46384739583544</v>
      </c>
      <c r="AG68" s="71">
        <v>-310.4040650622685</v>
      </c>
      <c r="AH68" s="71">
        <v>-296.51372215916984</v>
      </c>
      <c r="AI68" s="71">
        <v>-281.79281868653953</v>
      </c>
      <c r="AJ68" s="71">
        <v>-266.24135464437762</v>
      </c>
      <c r="AK68" s="71">
        <v>-249.85933003268389</v>
      </c>
      <c r="AL68" s="71">
        <v>-232.64674485145855</v>
      </c>
      <c r="AM68" s="71">
        <v>-214.60359910070162</v>
      </c>
      <c r="AN68" s="71">
        <v>-195.72989278041297</v>
      </c>
      <c r="AO68" s="71">
        <v>-176.02562589059255</v>
      </c>
      <c r="AP68" s="71">
        <v>-155.49079843124053</v>
      </c>
      <c r="AQ68" s="71">
        <v>-134.12541040235692</v>
      </c>
      <c r="AR68" s="71">
        <v>-111.92946180394156</v>
      </c>
      <c r="AS68" s="71">
        <v>-88.902952635994524</v>
      </c>
      <c r="AT68" s="71">
        <v>-65.045882898515885</v>
      </c>
      <c r="AU68" s="71">
        <v>-40.358252591505504</v>
      </c>
      <c r="AV68" s="71">
        <v>-14.840061714963468</v>
      </c>
      <c r="AW68" s="71">
        <v>0.32899077804989929</v>
      </c>
      <c r="AX68" s="71">
        <v>28.083835952828608</v>
      </c>
      <c r="AY68" s="71">
        <v>57.321879738033545</v>
      </c>
      <c r="AZ68" s="71">
        <v>88.043122133665136</v>
      </c>
      <c r="BA68" s="71">
        <v>120.24756313972318</v>
      </c>
      <c r="BB68" s="71">
        <v>153.93520275620767</v>
      </c>
      <c r="BC68" s="71">
        <v>189.10604098311865</v>
      </c>
      <c r="BD68" s="71">
        <v>225.76007782045602</v>
      </c>
      <c r="BE68" s="71">
        <v>263.89731326821959</v>
      </c>
      <c r="BF68" s="71">
        <v>303.5177473264099</v>
      </c>
      <c r="BG68" s="71">
        <v>344.62137999502664</v>
      </c>
      <c r="BH68" s="71">
        <v>387.20821127406981</v>
      </c>
      <c r="BI68" s="71">
        <v>431.27824116353952</v>
      </c>
      <c r="BJ68" s="71">
        <v>476.8314696634356</v>
      </c>
      <c r="BK68" s="71">
        <v>523.86789677375782</v>
      </c>
      <c r="BL68" s="71">
        <v>572.38752249450681</v>
      </c>
      <c r="BM68" s="71">
        <v>622.39034682568217</v>
      </c>
      <c r="BN68" s="71">
        <v>673.87636976728413</v>
      </c>
      <c r="BO68" s="71">
        <v>726.84559131931246</v>
      </c>
      <c r="BP68" s="71">
        <v>781.29801148176728</v>
      </c>
      <c r="BQ68" s="71">
        <v>837.23363025464846</v>
      </c>
      <c r="BR68" s="71">
        <v>894.6524476379559</v>
      </c>
      <c r="BS68" s="71">
        <v>953.55446363168994</v>
      </c>
      <c r="BT68" s="71">
        <v>1013.9396782358505</v>
      </c>
      <c r="BU68" s="71">
        <v>1075.8080914504376</v>
      </c>
      <c r="BV68" s="71">
        <v>1139.1597032754507</v>
      </c>
      <c r="BW68" s="71">
        <v>1203.9945137108912</v>
      </c>
      <c r="BX68" s="71">
        <v>1270.3125227567571</v>
      </c>
      <c r="BY68" s="71">
        <v>1338.1137304130498</v>
      </c>
      <c r="BZ68" s="71">
        <v>1407.3981366797698</v>
      </c>
      <c r="CA68" s="71">
        <v>1478.1657415569148</v>
      </c>
      <c r="CB68" s="71">
        <v>1550.4165450444862</v>
      </c>
      <c r="CC68" s="71">
        <v>1624.1505471424857</v>
      </c>
      <c r="CD68" s="71">
        <v>1699.3677478509103</v>
      </c>
      <c r="CE68" s="71">
        <v>1776.0681471697621</v>
      </c>
      <c r="CF68" s="71">
        <v>1854.2517450990399</v>
      </c>
      <c r="CG68" s="71">
        <v>1933.9185416387445</v>
      </c>
      <c r="CH68" s="71">
        <v>2015.068536788875</v>
      </c>
      <c r="CI68" s="71">
        <v>2097.7017305494319</v>
      </c>
      <c r="CJ68" s="71">
        <v>2181.818122920416</v>
      </c>
      <c r="CK68" s="71">
        <v>2267.4177139018257</v>
      </c>
      <c r="CL68" s="71">
        <v>2354.500503493663</v>
      </c>
      <c r="CM68" s="71">
        <v>2443.0664916959258</v>
      </c>
      <c r="CN68" s="71">
        <v>2533.1156785086146</v>
      </c>
      <c r="CO68" s="71">
        <v>2624.6480639317315</v>
      </c>
      <c r="CP68" s="71">
        <v>2717.6636479652734</v>
      </c>
      <c r="CQ68" s="71">
        <v>2812.1624306092426</v>
      </c>
      <c r="CR68" s="71">
        <v>2908.1444118636377</v>
      </c>
      <c r="CS68" s="71">
        <v>3005.6095917284597</v>
      </c>
      <c r="CT68" s="71">
        <v>3104.5579702037076</v>
      </c>
      <c r="CU68" s="71">
        <v>3204.9895472893818</v>
      </c>
      <c r="CV68" s="71">
        <v>3306.9043229854833</v>
      </c>
      <c r="CW68" s="71">
        <v>3410.3022972920103</v>
      </c>
      <c r="CX68" s="71">
        <v>3515.183470208965</v>
      </c>
      <c r="CY68" s="71">
        <v>3621.5478417363447</v>
      </c>
      <c r="CZ68" s="71">
        <v>3729.3954118741531</v>
      </c>
      <c r="DA68" s="71">
        <v>3838.7261806223851</v>
      </c>
      <c r="DB68" s="71">
        <v>3949.5401479810444</v>
      </c>
      <c r="DC68" s="71">
        <v>4061.8373139501318</v>
      </c>
      <c r="DD68" s="71">
        <v>4175.6176785296439</v>
      </c>
      <c r="DE68" s="71">
        <v>4290.8812417195841</v>
      </c>
      <c r="DF68" s="71">
        <v>4407.6280035199488</v>
      </c>
      <c r="DG68" s="71">
        <v>4525.85796393074</v>
      </c>
      <c r="DH68" s="71">
        <v>4645.5711229519593</v>
      </c>
      <c r="DI68" s="71">
        <v>4766.7674805836041</v>
      </c>
      <c r="DJ68" s="71">
        <v>4889.4470368256734</v>
      </c>
    </row>
    <row r="69" spans="1:114" ht="20.100000000000001" customHeight="1" outlineLevel="1">
      <c r="A69" s="4"/>
      <c r="B69" s="30"/>
      <c r="C69" s="4"/>
      <c r="D69" s="4"/>
      <c r="E69" s="4"/>
      <c r="F69" s="4"/>
      <c r="G69" s="4"/>
      <c r="H69" s="4"/>
      <c r="I69" s="4"/>
      <c r="J69" s="4"/>
      <c r="K69" s="29"/>
      <c r="L69" s="3"/>
    </row>
    <row r="70" spans="1:114" ht="20.100000000000001" customHeight="1" outlineLevel="1">
      <c r="A70" s="4"/>
      <c r="B70" s="30"/>
      <c r="C70" s="4"/>
      <c r="D70" s="4"/>
      <c r="E70" s="4"/>
      <c r="F70" s="4"/>
      <c r="G70" s="4"/>
      <c r="H70" s="4"/>
      <c r="I70" s="4"/>
      <c r="J70" s="4"/>
      <c r="K70" s="29"/>
      <c r="L70" s="3"/>
    </row>
    <row r="71" spans="1:114" ht="20.100000000000001" customHeight="1" outlineLevel="1">
      <c r="A71" s="4"/>
      <c r="B71" s="30"/>
      <c r="C71" s="4"/>
      <c r="D71" s="4"/>
      <c r="E71" s="4"/>
      <c r="F71" s="4"/>
      <c r="G71" s="4"/>
      <c r="H71" s="4"/>
      <c r="I71" s="4"/>
      <c r="J71" s="4"/>
      <c r="K71" s="29"/>
      <c r="L71" s="3"/>
    </row>
    <row r="72" spans="1:114" ht="20.100000000000001" customHeight="1" outlineLevel="1">
      <c r="A72" s="4"/>
      <c r="B72" s="30"/>
      <c r="C72" s="4"/>
      <c r="D72" s="4"/>
      <c r="E72" s="4"/>
      <c r="F72" s="4"/>
      <c r="G72" s="4"/>
      <c r="H72" s="4"/>
      <c r="I72" s="4"/>
      <c r="J72" s="4"/>
      <c r="K72" s="29"/>
      <c r="L72" s="3"/>
    </row>
    <row r="73" spans="1:114" ht="20.100000000000001" customHeight="1" outlineLevel="1">
      <c r="A73" s="4"/>
      <c r="B73" s="30"/>
      <c r="C73" s="4"/>
      <c r="D73" s="4"/>
      <c r="E73" s="4"/>
      <c r="F73" s="4"/>
      <c r="G73" s="4"/>
      <c r="H73" s="4"/>
      <c r="I73" s="4"/>
      <c r="J73" s="4"/>
      <c r="K73" s="29"/>
      <c r="L73" s="3"/>
    </row>
    <row r="74" spans="1:114" ht="20.100000000000001" customHeight="1" outlineLevel="1">
      <c r="A74" s="4"/>
      <c r="B74" s="30"/>
      <c r="C74" s="4"/>
      <c r="D74" s="4"/>
      <c r="E74" s="4"/>
      <c r="F74" s="4"/>
      <c r="G74" s="4"/>
      <c r="H74" s="4"/>
      <c r="I74" s="4"/>
      <c r="J74" s="4"/>
      <c r="K74" s="29"/>
      <c r="L74" s="3"/>
    </row>
    <row r="75" spans="1:114" ht="20.100000000000001" customHeight="1" outlineLevel="1">
      <c r="A75" s="4"/>
      <c r="B75" s="30"/>
      <c r="C75" s="4"/>
      <c r="D75" s="4"/>
      <c r="E75" s="4"/>
      <c r="F75" s="4"/>
      <c r="G75" s="4"/>
      <c r="H75" s="4"/>
      <c r="I75" s="4"/>
      <c r="J75" s="4"/>
      <c r="K75" s="29"/>
      <c r="L75" s="3"/>
    </row>
    <row r="76" spans="1:114" ht="20.100000000000001" customHeight="1" outlineLevel="1">
      <c r="A76" s="4"/>
      <c r="B76" s="30"/>
      <c r="C76" s="4"/>
      <c r="D76" s="4"/>
      <c r="E76" s="4"/>
      <c r="F76" s="4"/>
      <c r="G76" s="4"/>
      <c r="H76" s="4"/>
      <c r="I76" s="4"/>
      <c r="J76" s="4"/>
      <c r="K76" s="29"/>
      <c r="L76" s="3"/>
    </row>
    <row r="77" spans="1:114" ht="20.100000000000001" customHeight="1" outlineLevel="1">
      <c r="A77" s="4"/>
      <c r="B77" s="30"/>
      <c r="C77" s="4"/>
      <c r="D77" s="4"/>
      <c r="E77" s="4"/>
      <c r="F77" s="4"/>
      <c r="G77" s="4"/>
      <c r="H77" s="4"/>
      <c r="I77" s="4"/>
      <c r="J77" s="4"/>
      <c r="K77" s="29"/>
      <c r="L77" s="3"/>
    </row>
    <row r="78" spans="1:114" ht="20.100000000000001" customHeight="1" outlineLevel="1">
      <c r="A78" s="4"/>
      <c r="B78" s="30"/>
      <c r="C78" s="4"/>
      <c r="D78" s="4"/>
      <c r="E78" s="4"/>
      <c r="F78" s="4"/>
      <c r="G78" s="4"/>
      <c r="H78" s="4"/>
      <c r="I78" s="4"/>
      <c r="J78" s="4"/>
      <c r="K78" s="29"/>
      <c r="L78" s="3"/>
    </row>
    <row r="79" spans="1:114" ht="20.100000000000001" customHeight="1" outlineLevel="1">
      <c r="A79" s="4"/>
      <c r="B79" s="30"/>
      <c r="C79" s="4"/>
      <c r="D79" s="4"/>
      <c r="E79" s="4"/>
      <c r="F79" s="4"/>
      <c r="G79" s="4"/>
      <c r="H79" s="4"/>
      <c r="I79" s="4"/>
      <c r="J79" s="4"/>
      <c r="K79" s="29"/>
      <c r="L79" s="3"/>
    </row>
    <row r="80" spans="1:114" ht="20.100000000000001" customHeight="1" outlineLevel="1">
      <c r="A80" s="4"/>
      <c r="B80" s="73"/>
      <c r="C80" s="72"/>
      <c r="D80" s="72"/>
      <c r="E80" s="72"/>
      <c r="F80" s="72"/>
      <c r="G80" s="72"/>
      <c r="H80" s="72"/>
      <c r="I80" s="72"/>
      <c r="J80" s="72"/>
      <c r="K80" s="74"/>
      <c r="L80" s="3"/>
    </row>
    <row r="81" spans="1:14" ht="20.100000000000001" customHeight="1" outlineLevel="1">
      <c r="A81" s="9"/>
      <c r="B81" s="17"/>
      <c r="C81" s="17"/>
      <c r="D81" s="17"/>
      <c r="E81" s="17"/>
      <c r="F81" s="17"/>
      <c r="G81" s="17"/>
      <c r="H81" s="17"/>
      <c r="I81" s="16"/>
      <c r="J81" s="68"/>
      <c r="K81" s="15"/>
      <c r="L81" s="3"/>
    </row>
    <row r="82" spans="1:14" ht="20.100000000000001" customHeight="1" outlineLevel="1">
      <c r="A82" s="75" t="str">
        <f>$A$64&amp;"."&amp;1</f>
        <v>A.2.1</v>
      </c>
      <c r="B82" s="12" t="s">
        <v>63</v>
      </c>
      <c r="C82" s="12"/>
      <c r="D82" s="12"/>
      <c r="E82" s="12"/>
      <c r="F82" s="12"/>
      <c r="G82" s="12"/>
      <c r="H82" s="12"/>
      <c r="I82" s="12"/>
      <c r="J82" s="77" t="s">
        <v>64</v>
      </c>
      <c r="K82" s="78" t="s">
        <v>65</v>
      </c>
      <c r="L82" s="3"/>
    </row>
    <row r="83" spans="1:14" ht="20.100000000000001" customHeight="1" outlineLevel="1">
      <c r="A83" s="9" t="s">
        <v>5</v>
      </c>
      <c r="B83" s="11" t="s">
        <v>66</v>
      </c>
      <c r="C83" s="11"/>
      <c r="D83" s="11"/>
      <c r="E83" s="11"/>
      <c r="F83" s="11"/>
      <c r="G83" s="11"/>
      <c r="H83" s="11"/>
      <c r="I83" s="10"/>
      <c r="J83" s="79">
        <v>-123.29166666666667</v>
      </c>
      <c r="K83" s="79">
        <v>2876</v>
      </c>
      <c r="L83" s="3"/>
    </row>
    <row r="84" spans="1:14" ht="20.100000000000001" customHeight="1" outlineLevel="1">
      <c r="A84" s="9" t="s">
        <v>4</v>
      </c>
      <c r="B84" s="8" t="s">
        <v>67</v>
      </c>
      <c r="C84" s="8"/>
      <c r="D84" s="8"/>
      <c r="E84" s="8"/>
      <c r="F84" s="8"/>
      <c r="G84" s="8"/>
      <c r="H84" s="8"/>
      <c r="I84" s="7"/>
      <c r="J84" s="79">
        <v>1970.6732996153903</v>
      </c>
      <c r="K84" s="79">
        <v>3595</v>
      </c>
      <c r="L84" s="3"/>
    </row>
    <row r="85" spans="1:14" ht="20.100000000000001" customHeight="1" outlineLevel="1">
      <c r="A85" s="9" t="s">
        <v>3</v>
      </c>
      <c r="B85" s="8" t="s">
        <v>68</v>
      </c>
      <c r="C85" s="8"/>
      <c r="D85" s="8"/>
      <c r="E85" s="8"/>
      <c r="F85" s="8"/>
      <c r="G85" s="8"/>
      <c r="H85" s="8"/>
      <c r="I85" s="7"/>
      <c r="J85" s="79">
        <v>203.69799516548534</v>
      </c>
      <c r="K85" s="79">
        <v>2925.6610210004146</v>
      </c>
      <c r="L85" s="3"/>
    </row>
    <row r="86" spans="1:14" ht="20.100000000000001" customHeight="1" outlineLevel="1">
      <c r="A86" s="9" t="s">
        <v>7</v>
      </c>
      <c r="B86" s="8" t="s">
        <v>70</v>
      </c>
      <c r="C86" s="8"/>
      <c r="D86" s="8"/>
      <c r="E86" s="8"/>
      <c r="F86" s="8"/>
      <c r="G86" s="8"/>
      <c r="H86" s="8"/>
      <c r="I86" s="7"/>
      <c r="J86" s="79">
        <v>-1191.0799801370781</v>
      </c>
      <c r="K86" s="79">
        <v>2815.4929801182079</v>
      </c>
      <c r="L86" s="3"/>
    </row>
    <row r="87" spans="1:14" ht="20.100000000000001" customHeight="1" outlineLevel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3"/>
    </row>
    <row r="88" spans="1:14" ht="20.100000000000001" customHeight="1" outlineLevel="1">
      <c r="A88" s="75" t="str">
        <f>$A$64&amp;"."&amp;2</f>
        <v>A.2.2</v>
      </c>
      <c r="B88" s="12" t="s">
        <v>69</v>
      </c>
      <c r="C88" s="12"/>
      <c r="D88" s="12"/>
      <c r="E88" s="12"/>
      <c r="F88" s="12"/>
      <c r="G88" s="12"/>
      <c r="H88" s="12"/>
      <c r="I88" s="78" t="s">
        <v>101</v>
      </c>
      <c r="J88" s="77" t="s">
        <v>74</v>
      </c>
      <c r="K88" s="78" t="s">
        <v>75</v>
      </c>
      <c r="L88" s="3"/>
    </row>
    <row r="89" spans="1:14" ht="20.100000000000001" customHeight="1" outlineLevel="1">
      <c r="A89" s="9" t="s">
        <v>5</v>
      </c>
      <c r="B89" s="11" t="s">
        <v>71</v>
      </c>
      <c r="C89" s="11"/>
      <c r="D89" s="11"/>
      <c r="E89" s="11"/>
      <c r="F89" s="11"/>
      <c r="G89" s="11"/>
      <c r="H89" s="11"/>
      <c r="I89" s="80">
        <v>2892002.9845882524</v>
      </c>
      <c r="J89" s="80">
        <v>0.14315940350906692</v>
      </c>
      <c r="K89" s="80">
        <v>1.0837410325554226E-7</v>
      </c>
      <c r="L89" s="3"/>
    </row>
    <row r="90" spans="1:14" ht="20.100000000000001" customHeight="1" outlineLevel="1">
      <c r="A90" s="9" t="s">
        <v>4</v>
      </c>
      <c r="B90" s="8" t="s">
        <v>72</v>
      </c>
      <c r="C90" s="8"/>
      <c r="D90" s="8"/>
      <c r="E90" s="8"/>
      <c r="F90" s="8"/>
      <c r="G90" s="8"/>
      <c r="H90" s="8"/>
      <c r="I90" s="80">
        <v>2892841.9527827851</v>
      </c>
      <c r="J90" s="80">
        <v>0.12988040090418618</v>
      </c>
      <c r="K90" s="80">
        <v>5.4522115672382725E-8</v>
      </c>
      <c r="L90" s="3"/>
    </row>
    <row r="91" spans="1:14" ht="20.100000000000001" customHeight="1" outlineLevel="1">
      <c r="A91" s="9" t="s">
        <v>3</v>
      </c>
      <c r="B91" s="8" t="s">
        <v>73</v>
      </c>
      <c r="C91" s="8"/>
      <c r="D91" s="8"/>
      <c r="E91" s="8"/>
      <c r="F91" s="8"/>
      <c r="G91" s="8"/>
      <c r="H91" s="8"/>
      <c r="I91" s="80">
        <v>2815492.9801182081</v>
      </c>
      <c r="J91" s="76">
        <v>0</v>
      </c>
      <c r="K91" s="76">
        <v>0</v>
      </c>
      <c r="L91" s="3"/>
    </row>
    <row r="92" spans="1:14" ht="20.100000000000001" customHeight="1" outlineLevel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3"/>
    </row>
    <row r="93" spans="1:14" ht="20.1000000000000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3"/>
    </row>
    <row r="94" spans="1:14" ht="20.100000000000001" customHeight="1" thickBot="1">
      <c r="A94" s="14" t="str">
        <f>$A$11&amp;"."&amp;3</f>
        <v>A.3</v>
      </c>
      <c r="B94" s="14" t="s">
        <v>76</v>
      </c>
      <c r="C94" s="14"/>
      <c r="D94" s="14"/>
      <c r="E94" s="14"/>
      <c r="F94" s="14"/>
      <c r="G94" s="14"/>
      <c r="H94" s="14"/>
      <c r="I94" s="14"/>
      <c r="J94" s="14"/>
      <c r="K94" s="13"/>
      <c r="L94" s="3"/>
    </row>
    <row r="95" spans="1:14" ht="20.100000000000001" customHeight="1" outlineLevel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"/>
    </row>
    <row r="96" spans="1:14" ht="20.100000000000001" customHeight="1" outlineLevel="1">
      <c r="A96" s="4"/>
      <c r="B96" s="33"/>
      <c r="C96" s="32"/>
      <c r="D96" s="32"/>
      <c r="E96" s="32"/>
      <c r="F96" s="32"/>
      <c r="G96" s="32"/>
      <c r="H96" s="32"/>
      <c r="I96" s="32"/>
      <c r="J96" s="32"/>
      <c r="K96" s="31"/>
      <c r="L96" s="3"/>
      <c r="N96" s="70"/>
    </row>
    <row r="97" spans="1:14" ht="20.100000000000001" customHeight="1" outlineLevel="1">
      <c r="A97" s="4"/>
      <c r="B97" s="30"/>
      <c r="C97" s="4"/>
      <c r="D97" s="4"/>
      <c r="E97" s="4"/>
      <c r="F97" s="4"/>
      <c r="G97" s="4"/>
      <c r="H97" s="4"/>
      <c r="I97" s="4"/>
      <c r="J97" s="4"/>
      <c r="K97" s="29"/>
      <c r="L97" s="3"/>
      <c r="N97" s="70"/>
    </row>
    <row r="98" spans="1:14" ht="20.100000000000001" customHeight="1" outlineLevel="1">
      <c r="A98" s="4"/>
      <c r="B98" s="30"/>
      <c r="C98" s="4"/>
      <c r="D98" s="4"/>
      <c r="E98" s="4"/>
      <c r="F98" s="4"/>
      <c r="G98" s="4"/>
      <c r="H98" s="4"/>
      <c r="I98" s="4"/>
      <c r="J98" s="4"/>
      <c r="K98" s="29"/>
      <c r="L98" s="3"/>
      <c r="N98" s="70"/>
    </row>
    <row r="99" spans="1:14" ht="20.100000000000001" customHeight="1" outlineLevel="1">
      <c r="A99" s="4"/>
      <c r="B99" s="30"/>
      <c r="C99" s="4"/>
      <c r="D99" s="4"/>
      <c r="E99" s="4"/>
      <c r="F99" s="4"/>
      <c r="G99" s="4"/>
      <c r="H99" s="4"/>
      <c r="I99" s="4"/>
      <c r="J99" s="4"/>
      <c r="K99" s="29"/>
      <c r="L99" s="3"/>
    </row>
    <row r="100" spans="1:14" ht="20.100000000000001" customHeight="1" outlineLevel="1">
      <c r="A100" s="4"/>
      <c r="B100" s="30"/>
      <c r="C100" s="4"/>
      <c r="D100" s="4"/>
      <c r="E100" s="4"/>
      <c r="F100" s="4"/>
      <c r="G100" s="4"/>
      <c r="H100" s="4"/>
      <c r="I100" s="4"/>
      <c r="J100" s="4"/>
      <c r="K100" s="29"/>
      <c r="L100" s="3"/>
    </row>
    <row r="101" spans="1:14" ht="20.100000000000001" customHeight="1" outlineLevel="1">
      <c r="A101" s="4"/>
      <c r="B101" s="30"/>
      <c r="C101" s="4"/>
      <c r="D101" s="4"/>
      <c r="E101" s="4"/>
      <c r="F101" s="4"/>
      <c r="G101" s="4"/>
      <c r="H101" s="4"/>
      <c r="I101" s="4"/>
      <c r="J101" s="4"/>
      <c r="K101" s="29"/>
      <c r="L101" s="3"/>
    </row>
    <row r="102" spans="1:14" ht="20.100000000000001" customHeight="1" outlineLevel="1">
      <c r="A102" s="4"/>
      <c r="B102" s="30"/>
      <c r="C102" s="4"/>
      <c r="D102" s="4"/>
      <c r="E102" s="4"/>
      <c r="F102" s="4"/>
      <c r="G102" s="4"/>
      <c r="H102" s="4"/>
      <c r="I102" s="4"/>
      <c r="J102" s="4"/>
      <c r="K102" s="29"/>
      <c r="L102" s="3"/>
    </row>
    <row r="103" spans="1:14" ht="20.100000000000001" customHeight="1" outlineLevel="1">
      <c r="A103" s="4"/>
      <c r="B103" s="30"/>
      <c r="C103" s="4"/>
      <c r="D103" s="4"/>
      <c r="E103" s="4"/>
      <c r="F103" s="4"/>
      <c r="G103" s="4"/>
      <c r="H103" s="4"/>
      <c r="I103" s="4"/>
      <c r="J103" s="4"/>
      <c r="K103" s="29"/>
      <c r="L103" s="3"/>
    </row>
    <row r="104" spans="1:14" ht="20.100000000000001" customHeight="1" outlineLevel="1">
      <c r="A104" s="4"/>
      <c r="B104" s="30"/>
      <c r="C104" s="4"/>
      <c r="D104" s="4"/>
      <c r="E104" s="4"/>
      <c r="F104" s="4"/>
      <c r="G104" s="4"/>
      <c r="H104" s="4"/>
      <c r="I104" s="4"/>
      <c r="J104" s="4"/>
      <c r="K104" s="29"/>
      <c r="L104" s="3"/>
    </row>
    <row r="105" spans="1:14" ht="20.100000000000001" customHeight="1" outlineLevel="1">
      <c r="A105" s="4"/>
      <c r="B105" s="30"/>
      <c r="C105" s="4"/>
      <c r="D105" s="4"/>
      <c r="E105" s="4"/>
      <c r="F105" s="4"/>
      <c r="G105" s="4"/>
      <c r="H105" s="4"/>
      <c r="I105" s="4"/>
      <c r="J105" s="4"/>
      <c r="K105" s="29"/>
      <c r="L105" s="3"/>
    </row>
    <row r="106" spans="1:14" ht="20.100000000000001" customHeight="1" outlineLevel="1">
      <c r="A106" s="4"/>
      <c r="B106" s="30"/>
      <c r="C106" s="4"/>
      <c r="D106" s="4"/>
      <c r="E106" s="4"/>
      <c r="F106" s="4"/>
      <c r="G106" s="4"/>
      <c r="H106" s="4"/>
      <c r="I106" s="4"/>
      <c r="J106" s="4"/>
      <c r="K106" s="29"/>
      <c r="L106" s="3"/>
    </row>
    <row r="107" spans="1:14" ht="20.100000000000001" customHeight="1" outlineLevel="1">
      <c r="A107" s="4"/>
      <c r="B107" s="30"/>
      <c r="C107" s="4"/>
      <c r="D107" s="4"/>
      <c r="E107" s="4"/>
      <c r="F107" s="4"/>
      <c r="G107" s="4"/>
      <c r="H107" s="4"/>
      <c r="I107" s="4"/>
      <c r="J107" s="4"/>
      <c r="K107" s="29"/>
      <c r="L107" s="3"/>
    </row>
    <row r="108" spans="1:14" ht="20.100000000000001" customHeight="1" outlineLevel="1">
      <c r="A108" s="4"/>
      <c r="B108" s="30"/>
      <c r="C108" s="4"/>
      <c r="D108" s="4"/>
      <c r="E108" s="4"/>
      <c r="F108" s="4"/>
      <c r="G108" s="4"/>
      <c r="H108" s="4"/>
      <c r="I108" s="4"/>
      <c r="J108" s="4"/>
      <c r="K108" s="29"/>
      <c r="L108" s="3"/>
    </row>
    <row r="109" spans="1:14" ht="20.100000000000001" customHeight="1" outlineLevel="1">
      <c r="A109" s="4"/>
      <c r="B109" s="30"/>
      <c r="C109" s="4"/>
      <c r="D109" s="4"/>
      <c r="E109" s="4"/>
      <c r="F109" s="4"/>
      <c r="G109" s="4"/>
      <c r="H109" s="4"/>
      <c r="I109" s="4"/>
      <c r="J109" s="4"/>
      <c r="K109" s="29"/>
      <c r="L109" s="3"/>
    </row>
    <row r="110" spans="1:14" ht="20.100000000000001" customHeight="1" outlineLevel="1">
      <c r="A110" s="4"/>
      <c r="B110" s="73"/>
      <c r="C110" s="72"/>
      <c r="D110" s="72"/>
      <c r="E110" s="72"/>
      <c r="F110" s="72"/>
      <c r="G110" s="72"/>
      <c r="H110" s="72"/>
      <c r="I110" s="72"/>
      <c r="J110" s="72"/>
      <c r="K110" s="74"/>
      <c r="L110" s="3"/>
    </row>
    <row r="111" spans="1:14" ht="20.100000000000001" customHeight="1" outlineLevel="1">
      <c r="A111" s="9"/>
      <c r="B111" s="17"/>
      <c r="C111" s="17"/>
      <c r="D111" s="17"/>
      <c r="E111" s="17"/>
      <c r="F111" s="17"/>
      <c r="G111" s="17"/>
      <c r="H111" s="17"/>
      <c r="I111" s="16"/>
      <c r="J111" s="68"/>
      <c r="K111" s="15"/>
      <c r="L111" s="3"/>
    </row>
    <row r="112" spans="1:14" ht="20.100000000000001" customHeight="1" outlineLevel="1">
      <c r="A112" s="75" t="str">
        <f>$A$94&amp;"."&amp;1</f>
        <v>A.3.1</v>
      </c>
      <c r="B112" s="12" t="s">
        <v>63</v>
      </c>
      <c r="C112" s="12"/>
      <c r="D112" s="12"/>
      <c r="E112" s="12"/>
      <c r="F112" s="12"/>
      <c r="G112" s="12"/>
      <c r="H112" s="12"/>
      <c r="I112" s="12"/>
      <c r="J112" s="77" t="s">
        <v>64</v>
      </c>
      <c r="K112" s="78" t="s">
        <v>77</v>
      </c>
      <c r="L112" s="3"/>
    </row>
    <row r="113" spans="1:21" ht="20.100000000000001" customHeight="1" outlineLevel="1">
      <c r="A113" s="9" t="s">
        <v>5</v>
      </c>
      <c r="B113" s="11" t="s">
        <v>66</v>
      </c>
      <c r="C113" s="11"/>
      <c r="D113" s="11"/>
      <c r="E113" s="11"/>
      <c r="F113" s="11"/>
      <c r="G113" s="11"/>
      <c r="H113" s="11"/>
      <c r="I113" s="10"/>
      <c r="J113" s="79">
        <f>point1.Z</f>
        <v>-123.29166666666667</v>
      </c>
      <c r="K113" s="79">
        <v>-9.8780593538031152</v>
      </c>
      <c r="L113" s="3"/>
    </row>
    <row r="114" spans="1:21" ht="20.100000000000001" customHeight="1" outlineLevel="1">
      <c r="A114" s="9" t="s">
        <v>4</v>
      </c>
      <c r="B114" s="8" t="s">
        <v>67</v>
      </c>
      <c r="C114" s="8"/>
      <c r="D114" s="8"/>
      <c r="E114" s="8"/>
      <c r="F114" s="8"/>
      <c r="G114" s="8"/>
      <c r="H114" s="8"/>
      <c r="I114" s="7"/>
      <c r="J114" s="79">
        <f>point2.Z</f>
        <v>1970.6732996153903</v>
      </c>
      <c r="K114" s="79">
        <v>4533.1961611784882</v>
      </c>
      <c r="L114" s="3"/>
    </row>
    <row r="115" spans="1:21" ht="20.100000000000001" customHeight="1" outlineLevel="1">
      <c r="A115" s="9" t="s">
        <v>3</v>
      </c>
      <c r="B115" s="8" t="s">
        <v>68</v>
      </c>
      <c r="C115" s="8"/>
      <c r="D115" s="8"/>
      <c r="E115" s="8"/>
      <c r="F115" s="8"/>
      <c r="G115" s="8"/>
      <c r="H115" s="8"/>
      <c r="I115" s="7"/>
      <c r="J115" s="79">
        <f>point3.Z</f>
        <v>203.69799516548534</v>
      </c>
      <c r="K115" s="79">
        <v>318.52073795553258</v>
      </c>
      <c r="L115" s="3"/>
    </row>
    <row r="116" spans="1:21" ht="20.100000000000001" customHeight="1" outlineLevel="1">
      <c r="A116" s="9" t="s">
        <v>7</v>
      </c>
      <c r="B116" s="8" t="s">
        <v>70</v>
      </c>
      <c r="C116" s="8"/>
      <c r="D116" s="8"/>
      <c r="E116" s="8"/>
      <c r="F116" s="8"/>
      <c r="G116" s="8"/>
      <c r="H116" s="8"/>
      <c r="I116" s="7"/>
      <c r="J116" s="79">
        <f>point4.Z</f>
        <v>-1191.0799801370781</v>
      </c>
      <c r="K116" s="79">
        <v>-419.7141618986596</v>
      </c>
      <c r="L116" s="3"/>
    </row>
    <row r="117" spans="1:21" ht="20.100000000000001" customHeight="1" outlineLevel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3"/>
    </row>
    <row r="118" spans="1:21" ht="20.100000000000001" customHeight="1" outlineLevel="1">
      <c r="A118" s="75" t="str">
        <f>$A$94&amp;"."&amp;2</f>
        <v>A.3.2</v>
      </c>
      <c r="B118" s="12" t="s">
        <v>69</v>
      </c>
      <c r="C118" s="12"/>
      <c r="D118" s="12"/>
      <c r="E118" s="12"/>
      <c r="F118" s="12"/>
      <c r="G118" s="12"/>
      <c r="H118" s="12"/>
      <c r="I118" s="78" t="s">
        <v>101</v>
      </c>
      <c r="J118" s="77" t="s">
        <v>74</v>
      </c>
      <c r="K118" s="78" t="s">
        <v>75</v>
      </c>
      <c r="L118" s="3"/>
    </row>
    <row r="119" spans="1:21" ht="20.100000000000001" customHeight="1" outlineLevel="1">
      <c r="A119" s="9" t="s">
        <v>5</v>
      </c>
      <c r="B119" s="11" t="s">
        <v>71</v>
      </c>
      <c r="C119" s="11"/>
      <c r="D119" s="11"/>
      <c r="E119" s="11"/>
      <c r="F119" s="11"/>
      <c r="G119" s="11"/>
      <c r="H119" s="11"/>
      <c r="I119" s="80">
        <v>97.382432813852461</v>
      </c>
      <c r="J119" s="80">
        <v>9.5128262367316153E-4</v>
      </c>
      <c r="K119" s="80">
        <v>6.594853460517372E-10</v>
      </c>
      <c r="L119" s="3"/>
    </row>
    <row r="120" spans="1:21" ht="20.100000000000001" customHeight="1" outlineLevel="1">
      <c r="A120" s="9" t="s">
        <v>4</v>
      </c>
      <c r="B120" s="8" t="s">
        <v>72</v>
      </c>
      <c r="C120" s="8"/>
      <c r="D120" s="8"/>
      <c r="E120" s="8"/>
      <c r="F120" s="8"/>
      <c r="G120" s="8"/>
      <c r="H120" s="8"/>
      <c r="I120" s="80">
        <v>104.19862631384177</v>
      </c>
      <c r="J120" s="80">
        <v>8.797273011879619E-4</v>
      </c>
      <c r="K120" s="80">
        <v>3.6929816463152904E-10</v>
      </c>
      <c r="L120" s="3"/>
    </row>
    <row r="121" spans="1:21" ht="20.100000000000001" customHeight="1" outlineLevel="1">
      <c r="A121" s="9" t="s">
        <v>3</v>
      </c>
      <c r="B121" s="8" t="s">
        <v>73</v>
      </c>
      <c r="C121" s="8"/>
      <c r="D121" s="8"/>
      <c r="E121" s="8"/>
      <c r="F121" s="8"/>
      <c r="G121" s="8"/>
      <c r="H121" s="8"/>
      <c r="I121" s="80">
        <v>-419.7141618986596</v>
      </c>
      <c r="J121" s="76">
        <v>0</v>
      </c>
      <c r="K121" s="76">
        <v>0</v>
      </c>
      <c r="L121" s="3"/>
    </row>
    <row r="122" spans="1:21" ht="20.100000000000001" customHeight="1" outlineLevel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3"/>
    </row>
    <row r="123" spans="1:21" ht="20.1000000000000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3"/>
    </row>
    <row r="124" spans="1:21" ht="20.100000000000001" customHeight="1" thickBot="1">
      <c r="A124" s="14" t="str">
        <f>$A$11&amp;"."&amp;4</f>
        <v>A.4</v>
      </c>
      <c r="B124" s="14" t="s">
        <v>264</v>
      </c>
      <c r="C124" s="14"/>
      <c r="D124" s="14"/>
      <c r="E124" s="14"/>
      <c r="F124" s="14"/>
      <c r="G124" s="14"/>
      <c r="H124" s="14"/>
      <c r="I124" s="14"/>
      <c r="J124" s="14"/>
      <c r="K124" s="13"/>
      <c r="L124" s="3"/>
      <c r="U124" s="99"/>
    </row>
    <row r="125" spans="1:21" ht="20.1000000000000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3"/>
      <c r="U125" s="99"/>
    </row>
    <row r="126" spans="1:21" ht="20.100000000000001" customHeight="1">
      <c r="A126" s="75" t="str">
        <f>$A$124&amp;"."&amp;1</f>
        <v>A.4.1</v>
      </c>
      <c r="B126" s="12" t="s">
        <v>267</v>
      </c>
      <c r="C126" s="12"/>
      <c r="D126" s="12"/>
      <c r="E126" s="12"/>
      <c r="F126" s="12"/>
      <c r="G126" s="12"/>
      <c r="H126" s="12"/>
      <c r="I126" s="12"/>
      <c r="J126" s="126"/>
      <c r="K126" s="12"/>
      <c r="L126" s="3"/>
      <c r="U126" s="99"/>
    </row>
    <row r="127" spans="1:21" ht="20.100000000000001" customHeight="1">
      <c r="A127" s="9" t="s">
        <v>5</v>
      </c>
      <c r="B127" s="11" t="s">
        <v>272</v>
      </c>
      <c r="C127" s="11"/>
      <c r="D127" s="11"/>
      <c r="E127" s="11"/>
      <c r="F127" s="11"/>
      <c r="G127" s="11"/>
      <c r="H127" s="11"/>
      <c r="I127" s="10" t="s">
        <v>273</v>
      </c>
      <c r="J127" s="130">
        <v>1.4</v>
      </c>
      <c r="K127" s="93" t="s">
        <v>274</v>
      </c>
      <c r="L127" s="3"/>
      <c r="U127" s="99"/>
    </row>
    <row r="128" spans="1:21" ht="20.100000000000001" customHeight="1">
      <c r="A128" s="9" t="s">
        <v>4</v>
      </c>
      <c r="B128" s="11" t="s">
        <v>268</v>
      </c>
      <c r="C128" s="11"/>
      <c r="D128" s="11"/>
      <c r="E128" s="11"/>
      <c r="F128" s="11"/>
      <c r="G128" s="11"/>
      <c r="H128" s="11"/>
      <c r="I128" s="10" t="s">
        <v>269</v>
      </c>
      <c r="J128" s="130">
        <v>0.28799999999999998</v>
      </c>
      <c r="K128" s="93" t="s">
        <v>8</v>
      </c>
      <c r="L128" s="3"/>
      <c r="U128" s="99"/>
    </row>
    <row r="129" spans="1:21" ht="20.100000000000001" customHeight="1">
      <c r="A129" s="9" t="s">
        <v>3</v>
      </c>
      <c r="B129" s="8" t="s">
        <v>270</v>
      </c>
      <c r="C129" s="8"/>
      <c r="D129" s="8"/>
      <c r="E129" s="8"/>
      <c r="F129" s="8"/>
      <c r="G129" s="8"/>
      <c r="H129" s="8"/>
      <c r="I129" s="7" t="s">
        <v>271</v>
      </c>
      <c r="J129" s="131">
        <f>1216/1000</f>
        <v>1.216</v>
      </c>
      <c r="K129" s="5" t="s">
        <v>93</v>
      </c>
      <c r="L129" s="3"/>
      <c r="U129" s="99"/>
    </row>
    <row r="130" spans="1:21" ht="20.1000000000000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3"/>
      <c r="U130" s="99"/>
    </row>
    <row r="131" spans="1:21" ht="20.100000000000001" customHeight="1">
      <c r="A131" s="75" t="str">
        <f>$A$124&amp;"."&amp;1</f>
        <v>A.4.1</v>
      </c>
      <c r="B131" s="12" t="s">
        <v>251</v>
      </c>
      <c r="C131" s="12"/>
      <c r="D131" s="12"/>
      <c r="E131" s="12"/>
      <c r="F131" s="12"/>
      <c r="G131" s="12"/>
      <c r="H131" s="12"/>
      <c r="I131" s="12"/>
      <c r="J131" s="126"/>
      <c r="K131" s="12"/>
      <c r="L131" s="3"/>
      <c r="U131" s="99"/>
    </row>
    <row r="132" spans="1:21" ht="20.100000000000001" customHeight="1">
      <c r="A132" s="9" t="s">
        <v>5</v>
      </c>
      <c r="B132" s="8" t="s">
        <v>252</v>
      </c>
      <c r="C132" s="8"/>
      <c r="D132" s="8"/>
      <c r="E132" s="8"/>
      <c r="F132" s="8"/>
      <c r="G132" s="8"/>
      <c r="H132" s="8"/>
      <c r="I132" s="7" t="s">
        <v>253</v>
      </c>
      <c r="J132" s="127">
        <v>1.8</v>
      </c>
      <c r="K132" s="5" t="s">
        <v>93</v>
      </c>
      <c r="L132" s="3"/>
      <c r="U132" s="99"/>
    </row>
    <row r="133" spans="1:21" ht="20.100000000000001" customHeight="1">
      <c r="A133" s="9" t="s">
        <v>4</v>
      </c>
      <c r="B133" s="8" t="s">
        <v>254</v>
      </c>
      <c r="C133" s="8"/>
      <c r="D133" s="8"/>
      <c r="E133" s="8"/>
      <c r="F133" s="8"/>
      <c r="G133" s="8"/>
      <c r="H133" s="8"/>
      <c r="I133" s="7" t="s">
        <v>255</v>
      </c>
      <c r="J133" s="129">
        <v>4278.08</v>
      </c>
      <c r="K133" s="5" t="s">
        <v>88</v>
      </c>
      <c r="L133" s="3"/>
      <c r="U133" s="99"/>
    </row>
    <row r="134" spans="1:21" ht="20.100000000000001" customHeight="1">
      <c r="A134" s="9" t="s">
        <v>3</v>
      </c>
      <c r="B134" s="8" t="s">
        <v>256</v>
      </c>
      <c r="C134" s="8"/>
      <c r="D134" s="8"/>
      <c r="E134" s="8"/>
      <c r="F134" s="8"/>
      <c r="G134" s="8"/>
      <c r="H134" s="8"/>
      <c r="I134" s="7" t="s">
        <v>257</v>
      </c>
      <c r="J134" s="128">
        <v>1420.13</v>
      </c>
      <c r="K134" s="5" t="s">
        <v>88</v>
      </c>
      <c r="L134" s="3"/>
      <c r="U134" s="99"/>
    </row>
    <row r="135" spans="1:21" ht="20.100000000000001" customHeight="1">
      <c r="A135" s="9" t="s">
        <v>7</v>
      </c>
      <c r="B135" s="8" t="s">
        <v>86</v>
      </c>
      <c r="C135" s="8"/>
      <c r="D135" s="8"/>
      <c r="E135" s="8"/>
      <c r="F135" s="8"/>
      <c r="G135" s="8"/>
      <c r="H135" s="8"/>
      <c r="I135" s="7" t="s">
        <v>87</v>
      </c>
      <c r="J135" s="62">
        <v>12536.069235466008</v>
      </c>
      <c r="K135" s="5" t="s">
        <v>88</v>
      </c>
      <c r="L135" s="3"/>
      <c r="N135" s="119"/>
      <c r="O135" s="119"/>
      <c r="P135" s="119"/>
      <c r="Q135" s="119"/>
      <c r="R135" s="119"/>
      <c r="S135" s="119"/>
    </row>
    <row r="136" spans="1:21" ht="20.1000000000000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3"/>
      <c r="U136" s="99"/>
    </row>
    <row r="137" spans="1:21" ht="20.100000000000001" customHeight="1">
      <c r="A137" s="75" t="str">
        <f>$A$124&amp;"."&amp;2</f>
        <v>A.4.2</v>
      </c>
      <c r="B137" s="126" t="s">
        <v>260</v>
      </c>
      <c r="C137" s="126"/>
      <c r="D137" s="126"/>
      <c r="E137" s="126"/>
      <c r="F137" s="126"/>
      <c r="G137" s="126"/>
      <c r="H137" s="126"/>
      <c r="I137" s="126"/>
      <c r="J137" s="126"/>
      <c r="K137" s="126"/>
      <c r="L137" s="3"/>
      <c r="U137" s="99"/>
    </row>
    <row r="138" spans="1:21" ht="20.100000000000001" customHeight="1">
      <c r="A138" s="9" t="s">
        <v>5</v>
      </c>
      <c r="B138" s="8" t="s">
        <v>261</v>
      </c>
      <c r="C138" s="8"/>
      <c r="D138" s="8"/>
      <c r="E138" s="8"/>
      <c r="F138" s="8"/>
      <c r="G138" s="8"/>
      <c r="H138" s="8"/>
      <c r="I138" s="7" t="s">
        <v>262</v>
      </c>
      <c r="J138" s="130">
        <v>0.39800000000000002</v>
      </c>
      <c r="K138" s="5" t="s">
        <v>8</v>
      </c>
      <c r="L138" s="3"/>
      <c r="U138" s="99"/>
    </row>
    <row r="139" spans="1:21" ht="20.100000000000001" customHeight="1">
      <c r="A139" s="9" t="s">
        <v>4</v>
      </c>
      <c r="B139" s="8" t="s">
        <v>258</v>
      </c>
      <c r="C139" s="8"/>
      <c r="D139" s="8"/>
      <c r="E139" s="8"/>
      <c r="F139" s="8"/>
      <c r="G139" s="8"/>
      <c r="H139" s="8"/>
      <c r="I139" s="7" t="s">
        <v>259</v>
      </c>
      <c r="J139" s="132">
        <v>12926.98</v>
      </c>
      <c r="K139" s="5" t="s">
        <v>88</v>
      </c>
      <c r="L139" s="3"/>
      <c r="U139" s="99"/>
    </row>
    <row r="140" spans="1:21" ht="20.100000000000001" customHeight="1">
      <c r="A140" s="9" t="s">
        <v>3</v>
      </c>
      <c r="B140" s="8" t="s">
        <v>91</v>
      </c>
      <c r="C140" s="8"/>
      <c r="D140" s="8"/>
      <c r="E140" s="8"/>
      <c r="F140" s="8"/>
      <c r="G140" s="8"/>
      <c r="H140" s="8"/>
      <c r="I140" s="82" t="s">
        <v>92</v>
      </c>
      <c r="J140" s="6">
        <v>1.9697599019963414</v>
      </c>
      <c r="K140" s="5" t="s">
        <v>93</v>
      </c>
      <c r="L140" s="3"/>
    </row>
    <row r="141" spans="1:21" ht="20.1000000000000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3"/>
      <c r="U141" s="99"/>
    </row>
    <row r="142" spans="1:21" ht="20.100000000000001" customHeight="1">
      <c r="A142" s="75" t="str">
        <f>$A$124&amp;"."&amp;3</f>
        <v>A.4.3</v>
      </c>
      <c r="B142" s="12" t="s">
        <v>263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3"/>
      <c r="U142" s="99"/>
    </row>
    <row r="143" spans="1:21" ht="20.100000000000001" customHeight="1">
      <c r="A143" s="9" t="s">
        <v>5</v>
      </c>
      <c r="B143" s="8" t="s">
        <v>80</v>
      </c>
      <c r="C143" s="8"/>
      <c r="D143" s="8"/>
      <c r="E143" s="8"/>
      <c r="F143" s="8"/>
      <c r="G143" s="8"/>
      <c r="H143" s="8"/>
      <c r="I143" s="7" t="s">
        <v>81</v>
      </c>
      <c r="J143" s="62">
        <v>2068.2520235998149</v>
      </c>
      <c r="K143" s="5" t="s">
        <v>9</v>
      </c>
      <c r="L143" s="3"/>
      <c r="U143" s="101"/>
    </row>
    <row r="144" spans="1:21" ht="20.100000000000001" customHeight="1">
      <c r="A144" s="9" t="s">
        <v>4</v>
      </c>
      <c r="B144" s="8" t="s">
        <v>82</v>
      </c>
      <c r="C144" s="8"/>
      <c r="D144" s="8"/>
      <c r="E144" s="8"/>
      <c r="F144" s="8"/>
      <c r="G144" s="8"/>
      <c r="H144" s="8"/>
      <c r="I144" s="7" t="s">
        <v>83</v>
      </c>
      <c r="J144" s="62">
        <v>1000.4637101294037</v>
      </c>
      <c r="K144" s="5" t="s">
        <v>9</v>
      </c>
      <c r="L144" s="3"/>
      <c r="U144" s="101"/>
    </row>
    <row r="145" spans="1:21" ht="20.100000000000001" customHeight="1">
      <c r="A145" s="9" t="s">
        <v>3</v>
      </c>
      <c r="B145" s="8" t="s">
        <v>89</v>
      </c>
      <c r="C145" s="8"/>
      <c r="D145" s="8"/>
      <c r="E145" s="8"/>
      <c r="F145" s="8"/>
      <c r="G145" s="8"/>
      <c r="H145" s="8"/>
      <c r="I145" s="81" t="s">
        <v>90</v>
      </c>
      <c r="J145" s="62">
        <v>1067.7883134704114</v>
      </c>
      <c r="K145" s="5" t="s">
        <v>9</v>
      </c>
      <c r="L145" s="3"/>
    </row>
    <row r="146" spans="1:21" ht="20.1000000000000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3"/>
      <c r="U146" s="99"/>
    </row>
    <row r="147" spans="1:21" ht="20.100000000000001" customHeight="1">
      <c r="A147" s="75" t="str">
        <f>$A$124&amp;"."&amp;4</f>
        <v>A.4.4</v>
      </c>
      <c r="B147" s="12" t="s">
        <v>265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3"/>
      <c r="U147" s="99"/>
    </row>
    <row r="148" spans="1:21" ht="20.100000000000001" customHeight="1">
      <c r="A148" s="9" t="s">
        <v>5</v>
      </c>
      <c r="B148" s="8" t="s">
        <v>94</v>
      </c>
      <c r="C148" s="8"/>
      <c r="D148" s="8"/>
      <c r="E148" s="8"/>
      <c r="F148" s="8"/>
      <c r="G148" s="8"/>
      <c r="H148" s="8"/>
      <c r="I148" s="81" t="s">
        <v>95</v>
      </c>
      <c r="J148" s="67">
        <v>0.15187336725619807</v>
      </c>
      <c r="K148" s="5" t="s">
        <v>93</v>
      </c>
      <c r="L148" s="3"/>
    </row>
    <row r="149" spans="1:21" ht="20.1000000000000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3"/>
      <c r="U149" s="99"/>
    </row>
    <row r="150" spans="1:21" ht="20.100000000000001" customHeight="1">
      <c r="A150" s="75" t="str">
        <f>$A$124&amp;"."&amp;5</f>
        <v>A.4.5</v>
      </c>
      <c r="B150" s="12" t="s">
        <v>266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3"/>
      <c r="M150" s="70" t="s">
        <v>244</v>
      </c>
      <c r="N150" s="78" t="s">
        <v>237</v>
      </c>
      <c r="O150" s="78">
        <v>1</v>
      </c>
      <c r="P150" s="78" t="s">
        <v>238</v>
      </c>
      <c r="Q150" s="78" t="s">
        <v>239</v>
      </c>
      <c r="R150" s="78" t="s">
        <v>240</v>
      </c>
      <c r="S150" s="78" t="s">
        <v>241</v>
      </c>
      <c r="U150" s="99"/>
    </row>
    <row r="151" spans="1:21" ht="20.100000000000001" customHeight="1">
      <c r="A151" s="9" t="s">
        <v>5</v>
      </c>
      <c r="B151" s="8" t="s">
        <v>232</v>
      </c>
      <c r="C151" s="8"/>
      <c r="D151" s="8"/>
      <c r="E151" s="8"/>
      <c r="F151" s="8"/>
      <c r="G151" s="8"/>
      <c r="H151" s="8"/>
      <c r="I151" s="7" t="s">
        <v>245</v>
      </c>
      <c r="J151" s="62">
        <v>1846.203610406895</v>
      </c>
      <c r="K151" s="5" t="s">
        <v>233</v>
      </c>
      <c r="L151" s="3"/>
      <c r="M151" s="70" t="s">
        <v>243</v>
      </c>
      <c r="N151" s="102"/>
      <c r="O151" s="102"/>
      <c r="P151" s="102"/>
      <c r="Q151" s="102"/>
      <c r="R151" s="102"/>
      <c r="S151" s="122">
        <f>1/bolt.axial_stiffness</f>
        <v>5.4165206609015591E-4</v>
      </c>
      <c r="T151" s="1" t="s">
        <v>235</v>
      </c>
      <c r="U151" s="99"/>
    </row>
    <row r="152" spans="1:21" ht="20.100000000000001" customHeight="1">
      <c r="A152" s="9" t="s">
        <v>4</v>
      </c>
      <c r="B152" s="8" t="s">
        <v>84</v>
      </c>
      <c r="C152" s="8"/>
      <c r="D152" s="8"/>
      <c r="E152" s="8"/>
      <c r="F152" s="8"/>
      <c r="G152" s="8"/>
      <c r="H152" s="8"/>
      <c r="I152" s="7" t="s">
        <v>247</v>
      </c>
      <c r="J152" s="62">
        <v>659.44412559627926</v>
      </c>
      <c r="K152" s="5" t="s">
        <v>85</v>
      </c>
      <c r="L152" s="3"/>
      <c r="M152" s="70" t="s">
        <v>242</v>
      </c>
      <c r="N152" s="120">
        <v>94.734999999999999</v>
      </c>
      <c r="O152" s="120">
        <v>780.97299999999996</v>
      </c>
      <c r="P152" s="120">
        <v>432.00700000000001</v>
      </c>
      <c r="Q152" s="120">
        <v>132.92500000000001</v>
      </c>
      <c r="R152" s="120">
        <v>75.787999999999997</v>
      </c>
      <c r="S152" s="121">
        <f>1/(bolt.bending_stiffness/1000000)</f>
        <v>1516.4287028803008</v>
      </c>
      <c r="T152" s="1" t="s">
        <v>234</v>
      </c>
      <c r="U152" s="99"/>
    </row>
    <row r="153" spans="1:21" ht="20.100000000000001" customHeight="1">
      <c r="A153" s="9" t="s">
        <v>3</v>
      </c>
      <c r="B153" s="8" t="s">
        <v>294</v>
      </c>
      <c r="C153" s="8"/>
      <c r="D153" s="8"/>
      <c r="E153" s="8"/>
      <c r="F153" s="8"/>
      <c r="G153" s="8"/>
      <c r="H153" s="8"/>
      <c r="I153" s="7" t="s">
        <v>230</v>
      </c>
      <c r="J153" s="62">
        <v>4345.4702980651637</v>
      </c>
      <c r="K153" s="5" t="s">
        <v>229</v>
      </c>
      <c r="L153" s="3"/>
      <c r="U153" s="99"/>
    </row>
    <row r="154" spans="1:21" ht="20.1000000000000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3"/>
      <c r="U154" s="99"/>
    </row>
    <row r="155" spans="1:21" ht="20.100000000000001" customHeight="1">
      <c r="A155" s="75" t="str">
        <f>$A$124&amp;"."&amp;6</f>
        <v>A.4.6</v>
      </c>
      <c r="B155" s="12" t="s">
        <v>250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3"/>
      <c r="U155" s="99"/>
    </row>
    <row r="156" spans="1:21" ht="20.100000000000001" customHeight="1">
      <c r="A156" s="9" t="s">
        <v>5</v>
      </c>
      <c r="B156" s="11" t="s">
        <v>248</v>
      </c>
      <c r="C156" s="11"/>
      <c r="D156" s="11"/>
      <c r="E156" s="11"/>
      <c r="F156" s="11"/>
      <c r="G156" s="11"/>
      <c r="H156" s="11"/>
      <c r="I156" s="10" t="s">
        <v>249</v>
      </c>
      <c r="J156" s="92">
        <v>29.999999999999996</v>
      </c>
      <c r="K156" s="93" t="s">
        <v>226</v>
      </c>
      <c r="L156" s="3"/>
      <c r="U156" s="99"/>
    </row>
    <row r="157" spans="1:21" ht="20.100000000000001" customHeight="1">
      <c r="A157" s="9" t="s">
        <v>4</v>
      </c>
      <c r="B157" s="8" t="s">
        <v>78</v>
      </c>
      <c r="C157" s="8"/>
      <c r="D157" s="8"/>
      <c r="E157" s="8"/>
      <c r="F157" s="8"/>
      <c r="G157" s="8"/>
      <c r="H157" s="8"/>
      <c r="I157" s="7" t="s">
        <v>79</v>
      </c>
      <c r="J157" s="62">
        <v>225.55390100553569</v>
      </c>
      <c r="K157" s="5" t="s">
        <v>8</v>
      </c>
      <c r="L157" s="3"/>
      <c r="U157" s="100"/>
    </row>
    <row r="158" spans="1:21" ht="20.100000000000001" customHeight="1">
      <c r="A158" s="9" t="s">
        <v>3</v>
      </c>
      <c r="B158" s="8" t="s">
        <v>236</v>
      </c>
      <c r="C158" s="8"/>
      <c r="D158" s="8"/>
      <c r="E158" s="8"/>
      <c r="F158" s="8"/>
      <c r="G158" s="8"/>
      <c r="H158" s="8"/>
      <c r="I158" s="7" t="s">
        <v>246</v>
      </c>
      <c r="J158" s="62">
        <v>10310.000230734646</v>
      </c>
      <c r="K158" s="5" t="s">
        <v>233</v>
      </c>
      <c r="L158" s="3"/>
      <c r="N158" s="123"/>
      <c r="O158" s="123"/>
      <c r="P158" s="123"/>
      <c r="Q158" s="123"/>
      <c r="R158" s="123"/>
      <c r="S158" s="124"/>
    </row>
    <row r="159" spans="1:21" ht="20.100000000000001" customHeight="1">
      <c r="A159" s="9" t="s">
        <v>7</v>
      </c>
      <c r="B159" s="17" t="s">
        <v>96</v>
      </c>
      <c r="C159" s="17"/>
      <c r="D159" s="17"/>
      <c r="E159" s="17"/>
      <c r="F159" s="17"/>
      <c r="G159" s="17"/>
      <c r="H159" s="17"/>
      <c r="I159" s="83" t="s">
        <v>97</v>
      </c>
      <c r="J159" s="84">
        <v>0.11643615588130446</v>
      </c>
      <c r="K159" s="15" t="s">
        <v>93</v>
      </c>
      <c r="L159" s="3"/>
    </row>
    <row r="160" spans="1:21" ht="20.100000000000001" customHeight="1">
      <c r="A160" s="9" t="s">
        <v>6</v>
      </c>
      <c r="B160" s="8" t="s">
        <v>98</v>
      </c>
      <c r="C160" s="8"/>
      <c r="D160" s="8"/>
      <c r="E160" s="8"/>
      <c r="F160" s="8"/>
      <c r="G160" s="8"/>
      <c r="H160" s="8"/>
      <c r="I160" s="7" t="s">
        <v>99</v>
      </c>
      <c r="J160" s="66">
        <v>7.8866452875923736E-4</v>
      </c>
      <c r="K160" s="5" t="s">
        <v>93</v>
      </c>
      <c r="L160" s="3"/>
    </row>
    <row r="161" spans="1:12" ht="20.100000000000001" customHeight="1">
      <c r="A161" s="9"/>
      <c r="B161" s="58"/>
      <c r="C161" s="58"/>
      <c r="D161" s="58"/>
      <c r="E161" s="58"/>
      <c r="F161" s="58"/>
      <c r="G161" s="58"/>
      <c r="H161" s="58"/>
      <c r="I161" s="59"/>
      <c r="J161" s="125"/>
      <c r="K161" s="60"/>
      <c r="L161" s="3"/>
    </row>
    <row r="162" spans="1:12" ht="20.100000000000001" customHeight="1">
      <c r="A162" s="9"/>
      <c r="B162" s="58"/>
      <c r="C162" s="58"/>
      <c r="D162" s="58"/>
      <c r="E162" s="58"/>
      <c r="F162" s="58"/>
      <c r="G162" s="58"/>
      <c r="H162" s="58"/>
      <c r="I162" s="59"/>
      <c r="J162" s="125"/>
      <c r="K162" s="60"/>
      <c r="L162" s="3"/>
    </row>
    <row r="163" spans="1:12" ht="20.100000000000001" customHeight="1">
      <c r="A163" s="9"/>
      <c r="B163" s="58"/>
      <c r="C163" s="58"/>
      <c r="D163" s="58"/>
      <c r="E163" s="58"/>
      <c r="F163" s="58"/>
      <c r="G163" s="58"/>
      <c r="H163" s="58"/>
      <c r="I163" s="59"/>
      <c r="J163" s="125"/>
      <c r="K163" s="60"/>
      <c r="L163" s="3"/>
    </row>
    <row r="164" spans="1:12" ht="20.100000000000001" customHeight="1">
      <c r="A164" s="9"/>
      <c r="B164" s="58"/>
      <c r="C164" s="58"/>
      <c r="D164" s="58"/>
      <c r="E164" s="58"/>
      <c r="F164" s="58"/>
      <c r="G164" s="58"/>
      <c r="H164" s="58"/>
      <c r="I164" s="59"/>
      <c r="J164" s="125"/>
      <c r="K164" s="60"/>
      <c r="L164" s="3"/>
    </row>
    <row r="165" spans="1:12" ht="20.100000000000001" customHeight="1">
      <c r="A165" s="9"/>
      <c r="B165" s="58"/>
      <c r="C165" s="58"/>
      <c r="D165" s="58"/>
      <c r="E165" s="58"/>
      <c r="F165" s="58"/>
      <c r="G165" s="58"/>
      <c r="H165" s="58"/>
      <c r="I165" s="59"/>
      <c r="J165" s="125"/>
      <c r="K165" s="60"/>
      <c r="L165" s="3"/>
    </row>
    <row r="166" spans="1:12" ht="20.100000000000001" customHeight="1">
      <c r="A166" s="9"/>
      <c r="B166" s="58"/>
      <c r="C166" s="58"/>
      <c r="D166" s="58"/>
      <c r="E166" s="58"/>
      <c r="F166" s="58"/>
      <c r="G166" s="58"/>
      <c r="H166" s="58"/>
      <c r="I166" s="59"/>
      <c r="J166" s="125"/>
      <c r="K166" s="60"/>
      <c r="L166" s="3"/>
    </row>
    <row r="167" spans="1:12" ht="20.100000000000001" customHeight="1">
      <c r="A167" s="9"/>
      <c r="B167" s="58"/>
      <c r="C167" s="58"/>
      <c r="D167" s="58"/>
      <c r="E167" s="58"/>
      <c r="F167" s="58"/>
      <c r="G167" s="58"/>
      <c r="H167" s="58"/>
      <c r="I167" s="59"/>
      <c r="J167" s="125"/>
      <c r="K167" s="60"/>
      <c r="L167" s="3"/>
    </row>
    <row r="168" spans="1:12" ht="20.100000000000001" customHeight="1">
      <c r="A168" s="9"/>
      <c r="B168" s="58"/>
      <c r="C168" s="58"/>
      <c r="D168" s="58"/>
      <c r="E168" s="58"/>
      <c r="F168" s="58"/>
      <c r="G168" s="58"/>
      <c r="H168" s="58"/>
      <c r="I168" s="59"/>
      <c r="J168" s="63"/>
      <c r="K168" s="60"/>
      <c r="L168" s="3"/>
    </row>
    <row r="169" spans="1:12" ht="20.1000000000000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3"/>
    </row>
    <row r="170" spans="1:12" ht="20.1000000000000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3"/>
    </row>
    <row r="174" spans="1:12" ht="12.75">
      <c r="B174" s="69"/>
      <c r="C174" s="69"/>
      <c r="D174" s="69"/>
    </row>
  </sheetData>
  <mergeCells count="20">
    <mergeCell ref="B28:K28"/>
    <mergeCell ref="A3:K3"/>
    <mergeCell ref="B4:G4"/>
    <mergeCell ref="B5:G5"/>
    <mergeCell ref="B6:G6"/>
    <mergeCell ref="B7:G7"/>
    <mergeCell ref="B8:G8"/>
    <mergeCell ref="B9:G9"/>
    <mergeCell ref="B18:C18"/>
    <mergeCell ref="D18:K18"/>
    <mergeCell ref="D13:K13"/>
    <mergeCell ref="B14:C14"/>
    <mergeCell ref="D14:K14"/>
    <mergeCell ref="B16:C16"/>
    <mergeCell ref="D16:K16"/>
    <mergeCell ref="B17:C17"/>
    <mergeCell ref="D17:K17"/>
    <mergeCell ref="B15:C15"/>
    <mergeCell ref="D15:K15"/>
    <mergeCell ref="B13:C13"/>
  </mergeCells>
  <conditionalFormatting sqref="K64">
    <cfRule type="cellIs" dxfId="16" priority="5" stopIfTrue="1" operator="between">
      <formula>0</formula>
      <formula>1</formula>
    </cfRule>
  </conditionalFormatting>
  <conditionalFormatting sqref="K94">
    <cfRule type="cellIs" dxfId="15" priority="2" stopIfTrue="1" operator="between">
      <formula>0</formula>
      <formula>1</formula>
    </cfRule>
  </conditionalFormatting>
  <conditionalFormatting sqref="K124">
    <cfRule type="cellIs" dxfId="14" priority="1" stopIfTrue="1" operator="between">
      <formula>0</formula>
      <formula>1</formula>
    </cfRule>
  </conditionalFormatting>
  <printOptions horizontalCentered="1"/>
  <pageMargins left="0.75" right="0.75" top="0.75" bottom="0.5" header="0.3" footer="0.3"/>
  <pageSetup paperSize="9" scale="80" fitToHeight="0" orientation="portrait" r:id="rId1"/>
  <headerFooter>
    <oddHeader>&amp;L&amp;G&amp;C&amp;"Consolas,Bold"&amp;10&amp;K00-047TITLE&amp;R&amp;"Consolas,Bold"&amp;10&amp;K00-048Rev. X</oddHeader>
    <oddFooter>&amp;R&amp;"Consolas,Bold"&amp;10&amp;K00-048Page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106B-D6AD-4F84-9466-7FC5961EFD60}">
  <dimension ref="B2:Q106"/>
  <sheetViews>
    <sheetView showGridLines="0" tabSelected="1" zoomScale="115" zoomScaleNormal="115" workbookViewId="0">
      <pane ySplit="26" topLeftCell="A27" activePane="bottomLeft" state="frozen"/>
      <selection pane="bottomLeft" activeCell="F52" sqref="F52"/>
    </sheetView>
  </sheetViews>
  <sheetFormatPr defaultColWidth="11.42578125" defaultRowHeight="12.75"/>
  <cols>
    <col min="1" max="1" width="2.7109375" customWidth="1"/>
    <col min="3" max="3" width="14.85546875" customWidth="1"/>
    <col min="4" max="7" width="16.85546875" customWidth="1"/>
    <col min="8" max="8" width="68.140625" bestFit="1" customWidth="1"/>
  </cols>
  <sheetData>
    <row r="2" spans="2:14">
      <c r="B2" s="117" t="s">
        <v>225</v>
      </c>
      <c r="N2" s="117" t="s">
        <v>293</v>
      </c>
    </row>
    <row r="4" spans="2:14">
      <c r="B4" s="117" t="s">
        <v>292</v>
      </c>
    </row>
    <row r="5" spans="2:14">
      <c r="B5" s="106"/>
      <c r="C5" s="103"/>
    </row>
    <row r="6" spans="2:14">
      <c r="B6" s="106"/>
      <c r="C6" s="105"/>
      <c r="D6" s="152"/>
      <c r="E6" s="103"/>
      <c r="F6" s="103"/>
      <c r="G6" s="103"/>
    </row>
    <row r="7" spans="2:14">
      <c r="B7" s="106"/>
      <c r="C7" s="105"/>
      <c r="D7" s="152"/>
      <c r="E7" s="103"/>
      <c r="F7" s="103"/>
      <c r="G7" s="103"/>
    </row>
    <row r="8" spans="2:14">
      <c r="B8" s="106"/>
      <c r="C8" s="105"/>
      <c r="D8" s="152"/>
      <c r="E8" s="103"/>
      <c r="F8" s="103"/>
      <c r="G8" s="103"/>
    </row>
    <row r="9" spans="2:14">
      <c r="B9" s="106"/>
      <c r="C9" s="103"/>
      <c r="D9" s="152"/>
      <c r="E9" s="103"/>
      <c r="F9" s="103"/>
      <c r="G9" s="103"/>
    </row>
    <row r="10" spans="2:14">
      <c r="B10" s="106"/>
      <c r="C10" s="103"/>
      <c r="D10" s="152"/>
      <c r="E10" s="103"/>
      <c r="F10" s="103"/>
      <c r="G10" s="103"/>
    </row>
    <row r="11" spans="2:14">
      <c r="B11" s="106"/>
      <c r="C11" s="103"/>
      <c r="D11" s="154"/>
      <c r="E11" s="103"/>
      <c r="F11" s="103"/>
      <c r="G11" s="103"/>
    </row>
    <row r="12" spans="2:14">
      <c r="B12" s="106"/>
      <c r="C12" s="103"/>
      <c r="D12" s="152"/>
      <c r="E12" s="103"/>
      <c r="F12" s="103"/>
      <c r="G12" s="103"/>
    </row>
    <row r="13" spans="2:14">
      <c r="B13" s="148"/>
      <c r="C13" s="147"/>
      <c r="D13" s="156"/>
      <c r="E13" s="147"/>
      <c r="F13" s="147"/>
      <c r="G13" s="147"/>
      <c r="H13" s="149"/>
    </row>
    <row r="14" spans="2:14">
      <c r="B14" s="106"/>
      <c r="C14" s="105"/>
      <c r="D14" s="155"/>
      <c r="E14" s="103"/>
      <c r="F14" s="103"/>
      <c r="G14" s="103"/>
    </row>
    <row r="15" spans="2:14">
      <c r="B15" s="106"/>
      <c r="C15" s="105"/>
      <c r="D15" s="155"/>
      <c r="E15" s="103"/>
      <c r="F15" s="103"/>
      <c r="G15" s="103"/>
    </row>
    <row r="16" spans="2:14">
      <c r="B16" s="106"/>
      <c r="C16" s="105"/>
      <c r="D16" s="154"/>
      <c r="E16" s="103"/>
      <c r="F16" s="103"/>
      <c r="G16" s="103"/>
    </row>
    <row r="17" spans="2:17">
      <c r="B17" s="106"/>
      <c r="C17" s="105"/>
      <c r="D17" s="153"/>
      <c r="E17" s="103"/>
      <c r="F17" s="103"/>
      <c r="G17" s="103"/>
    </row>
    <row r="18" spans="2:17">
      <c r="B18" s="106"/>
      <c r="C18" s="105"/>
      <c r="D18" s="152"/>
      <c r="E18" s="103"/>
      <c r="F18" s="103"/>
      <c r="G18" s="103"/>
    </row>
    <row r="19" spans="2:17">
      <c r="B19" s="106"/>
      <c r="C19" s="103"/>
      <c r="D19" s="152"/>
      <c r="E19" s="103"/>
      <c r="F19" s="103"/>
      <c r="G19" s="103"/>
    </row>
    <row r="20" spans="2:17">
      <c r="B20" s="106"/>
      <c r="C20" s="103"/>
      <c r="D20" s="151"/>
      <c r="E20" s="103"/>
      <c r="F20" s="103"/>
      <c r="G20" s="103"/>
    </row>
    <row r="21" spans="2:17">
      <c r="B21" s="106"/>
      <c r="C21" s="103"/>
      <c r="D21" s="152"/>
      <c r="E21" s="103"/>
      <c r="F21" s="103"/>
      <c r="G21" s="103"/>
    </row>
    <row r="22" spans="2:17">
      <c r="B22" s="106"/>
      <c r="C22" s="103"/>
      <c r="D22" s="152"/>
      <c r="E22" s="103"/>
      <c r="F22" s="103"/>
      <c r="G22" s="103"/>
    </row>
    <row r="23" spans="2:17">
      <c r="B23" s="106"/>
      <c r="C23" s="103"/>
      <c r="D23" s="152"/>
      <c r="E23" s="103"/>
      <c r="F23" s="103"/>
      <c r="G23" s="103"/>
    </row>
    <row r="24" spans="2:17">
      <c r="B24" s="106"/>
      <c r="C24" s="103"/>
      <c r="D24" s="151"/>
      <c r="E24" s="103"/>
      <c r="F24" s="103"/>
      <c r="G24" s="103"/>
    </row>
    <row r="25" spans="2:17">
      <c r="B25" s="106"/>
      <c r="C25" s="103"/>
      <c r="E25" s="103"/>
      <c r="F25" s="103"/>
      <c r="G25" s="103"/>
    </row>
    <row r="26" spans="2:17">
      <c r="B26" s="116" t="s">
        <v>224</v>
      </c>
      <c r="C26" s="116" t="s">
        <v>223</v>
      </c>
      <c r="D26" s="116" t="s">
        <v>222</v>
      </c>
      <c r="E26" s="116" t="s">
        <v>227</v>
      </c>
      <c r="F26" s="116" t="s">
        <v>228</v>
      </c>
      <c r="G26" s="116" t="s">
        <v>231</v>
      </c>
      <c r="H26" s="116" t="s">
        <v>221</v>
      </c>
      <c r="I26" s="115"/>
      <c r="J26" s="115"/>
      <c r="K26" s="116" t="s">
        <v>224</v>
      </c>
      <c r="L26" s="116" t="s">
        <v>223</v>
      </c>
      <c r="M26" s="116" t="s">
        <v>222</v>
      </c>
      <c r="N26" s="116" t="s">
        <v>291</v>
      </c>
      <c r="O26" s="150" t="s">
        <v>290</v>
      </c>
      <c r="P26" s="150" t="s">
        <v>289</v>
      </c>
      <c r="Q26" s="150" t="s">
        <v>288</v>
      </c>
    </row>
    <row r="27" spans="2:17" ht="15.75">
      <c r="B27" s="106">
        <v>1</v>
      </c>
      <c r="C27" s="103" t="s">
        <v>208</v>
      </c>
      <c r="E27" s="104"/>
      <c r="F27" s="107" t="s">
        <v>93</v>
      </c>
      <c r="G27" s="104"/>
      <c r="H27" t="s">
        <v>220</v>
      </c>
      <c r="K27" s="106">
        <v>1</v>
      </c>
      <c r="L27" s="103" t="s">
        <v>208</v>
      </c>
      <c r="N27" s="104"/>
      <c r="O27" s="104"/>
      <c r="P27" s="104"/>
      <c r="Q27" s="104"/>
    </row>
    <row r="28" spans="2:17" ht="15.75">
      <c r="B28" s="106">
        <v>2</v>
      </c>
      <c r="C28" s="105" t="s">
        <v>219</v>
      </c>
      <c r="D28" s="103" t="s">
        <v>137</v>
      </c>
      <c r="E28" s="107">
        <v>153.74071147146736</v>
      </c>
      <c r="F28" s="107" t="s">
        <v>93</v>
      </c>
      <c r="G28" s="107"/>
      <c r="H28" t="s">
        <v>218</v>
      </c>
      <c r="K28" s="106">
        <v>2</v>
      </c>
      <c r="L28" s="105" t="s">
        <v>219</v>
      </c>
      <c r="M28" s="103" t="s">
        <v>137</v>
      </c>
      <c r="N28" s="107">
        <v>153.74071147146736</v>
      </c>
      <c r="O28" s="107">
        <v>153.74071147146736</v>
      </c>
      <c r="P28" s="107">
        <v>153.74071147146736</v>
      </c>
      <c r="Q28" s="107">
        <v>153.74071147146736</v>
      </c>
    </row>
    <row r="29" spans="2:17" ht="15.75">
      <c r="B29" s="106"/>
      <c r="C29" s="105" t="s">
        <v>217</v>
      </c>
      <c r="D29" s="103" t="s">
        <v>216</v>
      </c>
      <c r="E29" s="107">
        <v>900</v>
      </c>
      <c r="F29" s="107">
        <f>Gap30deg!bolt.fy</f>
        <v>900</v>
      </c>
      <c r="G29" s="118">
        <f>(F29-E29)/E29</f>
        <v>0</v>
      </c>
      <c r="H29" t="s">
        <v>215</v>
      </c>
      <c r="K29" s="106"/>
      <c r="L29" s="105" t="s">
        <v>217</v>
      </c>
      <c r="M29" s="103" t="s">
        <v>216</v>
      </c>
      <c r="N29" s="107">
        <v>900</v>
      </c>
      <c r="O29" s="107">
        <v>900</v>
      </c>
      <c r="P29" s="107">
        <v>900</v>
      </c>
      <c r="Q29" s="107">
        <v>900</v>
      </c>
    </row>
    <row r="30" spans="2:17" ht="15.75">
      <c r="B30" s="106"/>
      <c r="C30" s="105" t="s">
        <v>214</v>
      </c>
      <c r="D30" s="103" t="s">
        <v>153</v>
      </c>
      <c r="E30" s="107">
        <v>4344.0716042398344</v>
      </c>
      <c r="F30" s="107">
        <f>Gap30deg!bolt.As</f>
        <v>4345.4702980651637</v>
      </c>
      <c r="G30" s="118">
        <f>(F30-E30)/E30</f>
        <v>3.219776174877308E-4</v>
      </c>
      <c r="K30" s="106"/>
      <c r="L30" s="105" t="s">
        <v>214</v>
      </c>
      <c r="M30" s="103" t="s">
        <v>153</v>
      </c>
      <c r="N30" s="107">
        <v>4344.0716042398344</v>
      </c>
      <c r="O30" s="107">
        <v>4344.0716042398344</v>
      </c>
      <c r="P30" s="107">
        <v>4344.0716042398344</v>
      </c>
      <c r="Q30" s="107">
        <v>4344.0716042398344</v>
      </c>
    </row>
    <row r="31" spans="2:17" ht="15.75">
      <c r="B31" s="106">
        <v>3</v>
      </c>
      <c r="C31" s="103" t="s">
        <v>208</v>
      </c>
      <c r="D31" s="103" t="s">
        <v>137</v>
      </c>
      <c r="E31" s="107">
        <v>2876</v>
      </c>
      <c r="F31" s="107">
        <f>Gap30deg!bolt.pretension</f>
        <v>2876</v>
      </c>
      <c r="G31" s="118">
        <f>(F31-E31)/E31</f>
        <v>0</v>
      </c>
      <c r="H31" t="s">
        <v>213</v>
      </c>
      <c r="K31" s="106">
        <v>3</v>
      </c>
      <c r="L31" s="103" t="s">
        <v>208</v>
      </c>
      <c r="M31" s="103" t="s">
        <v>137</v>
      </c>
      <c r="N31" s="107">
        <v>2876</v>
      </c>
      <c r="O31" s="107">
        <v>2876</v>
      </c>
      <c r="P31" s="107">
        <v>2876</v>
      </c>
      <c r="Q31" s="107">
        <v>2876</v>
      </c>
    </row>
    <row r="32" spans="2:17" ht="15.75">
      <c r="B32" s="106"/>
      <c r="C32" s="103" t="s">
        <v>212</v>
      </c>
      <c r="D32" s="103" t="s">
        <v>137</v>
      </c>
      <c r="E32" s="107">
        <v>3144.2390271487925</v>
      </c>
      <c r="F32" s="107" t="s">
        <v>93</v>
      </c>
      <c r="G32" s="107"/>
      <c r="K32" s="106"/>
      <c r="L32" s="103" t="s">
        <v>212</v>
      </c>
      <c r="M32" s="103" t="s">
        <v>137</v>
      </c>
      <c r="N32" s="107">
        <v>3144.2390271487925</v>
      </c>
      <c r="O32" s="107">
        <v>3144.2390271487925</v>
      </c>
      <c r="P32" s="107">
        <v>3144.2390271487925</v>
      </c>
      <c r="Q32" s="107">
        <v>3144.2390271487925</v>
      </c>
    </row>
    <row r="33" spans="2:17" ht="15.75">
      <c r="B33" s="106"/>
      <c r="C33" s="103" t="s">
        <v>211</v>
      </c>
      <c r="D33" s="103" t="s">
        <v>130</v>
      </c>
      <c r="E33" s="109">
        <v>0.03</v>
      </c>
      <c r="F33" s="109" t="s">
        <v>93</v>
      </c>
      <c r="G33" s="109"/>
      <c r="K33" s="106"/>
      <c r="L33" s="103" t="s">
        <v>211</v>
      </c>
      <c r="M33" s="103" t="s">
        <v>130</v>
      </c>
      <c r="N33" s="109">
        <v>0.03</v>
      </c>
      <c r="O33" s="109">
        <v>0.03</v>
      </c>
      <c r="P33" s="109">
        <v>0.03</v>
      </c>
      <c r="Q33" s="109">
        <v>0.03</v>
      </c>
    </row>
    <row r="34" spans="2:17" ht="15.75">
      <c r="B34" s="106"/>
      <c r="C34" s="103" t="s">
        <v>210</v>
      </c>
      <c r="D34" s="103" t="s">
        <v>137</v>
      </c>
      <c r="E34" s="107">
        <v>3074.8142294293471</v>
      </c>
      <c r="F34" s="107" t="s">
        <v>93</v>
      </c>
      <c r="G34" s="107"/>
      <c r="H34" t="s">
        <v>209</v>
      </c>
      <c r="K34" s="106"/>
      <c r="L34" s="103" t="s">
        <v>210</v>
      </c>
      <c r="M34" s="103" t="s">
        <v>137</v>
      </c>
      <c r="N34" s="107">
        <v>3074.8142294293471</v>
      </c>
      <c r="O34" s="107">
        <v>3074.8142294293471</v>
      </c>
      <c r="P34" s="107">
        <v>3074.8142294293471</v>
      </c>
      <c r="Q34" s="107">
        <v>3074.8142294293471</v>
      </c>
    </row>
    <row r="35" spans="2:17" ht="15.75">
      <c r="B35" s="148">
        <v>4</v>
      </c>
      <c r="C35" s="147" t="s">
        <v>287</v>
      </c>
      <c r="D35" s="147" t="s">
        <v>137</v>
      </c>
      <c r="E35" s="146">
        <v>2466</v>
      </c>
      <c r="F35" s="146" t="s">
        <v>93</v>
      </c>
      <c r="G35" s="146"/>
      <c r="H35" s="149" t="s">
        <v>207</v>
      </c>
      <c r="I35" s="149"/>
      <c r="J35" s="149"/>
      <c r="K35" s="148">
        <v>4</v>
      </c>
      <c r="L35" s="147" t="s">
        <v>287</v>
      </c>
      <c r="M35" s="147" t="s">
        <v>137</v>
      </c>
      <c r="N35" s="146">
        <v>2466</v>
      </c>
      <c r="O35" s="146">
        <v>2466</v>
      </c>
      <c r="P35" s="146">
        <v>2466</v>
      </c>
      <c r="Q35" s="146">
        <v>2466</v>
      </c>
    </row>
    <row r="36" spans="2:17" ht="15.75">
      <c r="B36" s="106"/>
      <c r="C36" s="105" t="s">
        <v>206</v>
      </c>
      <c r="D36" s="103" t="s">
        <v>286</v>
      </c>
      <c r="E36" s="114">
        <v>5.8458922294713925E-10</v>
      </c>
      <c r="F36" s="114">
        <f>1/(Gap30deg!bolt.axial_stiffness*1000000)</f>
        <v>5.4165206609015599E-10</v>
      </c>
      <c r="G36" s="118">
        <f>(F36-E36)/E36</f>
        <v>-7.3448423562310169E-2</v>
      </c>
      <c r="K36" s="106"/>
      <c r="L36" s="105" t="s">
        <v>206</v>
      </c>
      <c r="M36" s="103" t="s">
        <v>286</v>
      </c>
      <c r="N36" s="114">
        <v>5.8458922294713925E-10</v>
      </c>
      <c r="O36" s="114">
        <v>5.8458922294713925E-10</v>
      </c>
      <c r="P36" s="114">
        <v>5.8458922294713925E-10</v>
      </c>
      <c r="Q36" s="114">
        <v>5.8458922294713925E-10</v>
      </c>
    </row>
    <row r="37" spans="2:17" ht="15.75">
      <c r="B37" s="106"/>
      <c r="C37" s="105" t="s">
        <v>205</v>
      </c>
      <c r="D37" s="103" t="s">
        <v>286</v>
      </c>
      <c r="E37" s="114">
        <v>9.6993208304588435E-11</v>
      </c>
      <c r="F37" s="114">
        <f>1/(Gap30deg!clamped_parts_stiffness*1000000)</f>
        <v>9.6993208304588397E-11</v>
      </c>
      <c r="G37" s="118">
        <f>(F37-E37)/E37</f>
        <v>-3.9976088935691896E-16</v>
      </c>
      <c r="K37" s="106"/>
      <c r="L37" s="105" t="s">
        <v>205</v>
      </c>
      <c r="M37" s="103" t="s">
        <v>286</v>
      </c>
      <c r="N37" s="114">
        <v>9.6993208304588435E-11</v>
      </c>
      <c r="O37" s="114">
        <v>9.6993208304588435E-11</v>
      </c>
      <c r="P37" s="114">
        <v>9.6993208304588435E-11</v>
      </c>
      <c r="Q37" s="114">
        <v>9.6993208304588435E-11</v>
      </c>
    </row>
    <row r="38" spans="2:17">
      <c r="B38" s="106"/>
      <c r="C38" s="105" t="s">
        <v>204</v>
      </c>
      <c r="D38" s="103" t="s">
        <v>130</v>
      </c>
      <c r="E38" s="109">
        <v>0.1423059102718657</v>
      </c>
      <c r="F38" s="109">
        <f>Gap30deg!bolt.axial_stiffness/(Gap30deg!bolt.axial_stiffness+Gap30deg!clamped_parts_stiffness)</f>
        <v>0.15187336725619807</v>
      </c>
      <c r="G38" s="118">
        <f>(F38-E38)/E38</f>
        <v>6.7231620711004872E-2</v>
      </c>
      <c r="K38" s="106"/>
      <c r="L38" s="105" t="s">
        <v>204</v>
      </c>
      <c r="M38" s="103" t="s">
        <v>130</v>
      </c>
      <c r="N38" s="109">
        <v>0.1423059102718657</v>
      </c>
      <c r="O38" s="109">
        <v>0.1423059102718657</v>
      </c>
      <c r="P38" s="109">
        <v>0.1423059102718657</v>
      </c>
      <c r="Q38" s="109">
        <v>0.1423059102718657</v>
      </c>
    </row>
    <row r="39" spans="2:17" ht="15.75">
      <c r="B39" s="106">
        <v>5</v>
      </c>
      <c r="C39" s="105" t="s">
        <v>203</v>
      </c>
      <c r="D39" s="103" t="s">
        <v>137</v>
      </c>
      <c r="E39" s="108">
        <v>48.860015706266829</v>
      </c>
      <c r="F39" s="108" t="s">
        <v>93</v>
      </c>
      <c r="G39" s="108"/>
      <c r="K39" s="106">
        <v>5</v>
      </c>
      <c r="L39" s="105" t="s">
        <v>203</v>
      </c>
      <c r="M39" s="103" t="s">
        <v>137</v>
      </c>
      <c r="N39" s="108">
        <v>48.860015706266829</v>
      </c>
      <c r="O39" s="108">
        <v>48.860015706266829</v>
      </c>
      <c r="P39" s="108">
        <v>48.860015706266829</v>
      </c>
      <c r="Q39" s="108">
        <v>48.860015706266829</v>
      </c>
    </row>
    <row r="40" spans="2:17" ht="15.75">
      <c r="B40" s="106"/>
      <c r="C40" s="105" t="s">
        <v>202</v>
      </c>
      <c r="D40" s="103" t="s">
        <v>285</v>
      </c>
      <c r="E40" s="107">
        <v>200</v>
      </c>
      <c r="F40" s="107" t="s">
        <v>93</v>
      </c>
      <c r="G40" s="107"/>
      <c r="K40" s="106"/>
      <c r="L40" s="105" t="s">
        <v>202</v>
      </c>
      <c r="M40" s="103" t="s">
        <v>285</v>
      </c>
      <c r="N40" s="107">
        <v>200</v>
      </c>
      <c r="O40" s="107">
        <v>200</v>
      </c>
      <c r="P40" s="107">
        <v>200</v>
      </c>
      <c r="Q40" s="107">
        <v>200</v>
      </c>
    </row>
    <row r="41" spans="2:17" ht="15.75">
      <c r="B41" s="106">
        <v>6</v>
      </c>
      <c r="C41" s="103" t="s">
        <v>201</v>
      </c>
      <c r="D41" s="103" t="s">
        <v>285</v>
      </c>
      <c r="E41" s="107">
        <v>33.30212829607494</v>
      </c>
      <c r="F41" s="107" t="s">
        <v>93</v>
      </c>
      <c r="G41" s="107"/>
      <c r="H41" t="s">
        <v>200</v>
      </c>
      <c r="K41" s="106">
        <v>6</v>
      </c>
      <c r="L41" s="103" t="s">
        <v>201</v>
      </c>
      <c r="M41" s="103" t="s">
        <v>285</v>
      </c>
      <c r="N41" s="107">
        <v>33.30212829607494</v>
      </c>
      <c r="O41" s="107">
        <v>33.30212829607494</v>
      </c>
      <c r="P41" s="107">
        <v>33.30212829607494</v>
      </c>
      <c r="Q41" s="107">
        <v>33.30212829607494</v>
      </c>
    </row>
    <row r="42" spans="2:17" ht="15.75">
      <c r="B42" s="106">
        <v>7</v>
      </c>
      <c r="C42" s="103" t="s">
        <v>199</v>
      </c>
      <c r="D42" s="103" t="s">
        <v>137</v>
      </c>
      <c r="E42" s="111">
        <v>3323.2147772434732</v>
      </c>
      <c r="F42" s="111" t="s">
        <v>93</v>
      </c>
      <c r="G42" s="111"/>
      <c r="K42" s="106">
        <v>7</v>
      </c>
      <c r="L42" s="103" t="s">
        <v>199</v>
      </c>
      <c r="M42" s="103" t="s">
        <v>137</v>
      </c>
      <c r="N42" s="111">
        <v>3323.2147772434732</v>
      </c>
      <c r="O42" s="111">
        <v>3323.2147772434732</v>
      </c>
      <c r="P42" s="111">
        <v>3323.2147772434732</v>
      </c>
      <c r="Q42" s="111">
        <v>3323.2147772434732</v>
      </c>
    </row>
    <row r="43" spans="2:17" ht="15.75">
      <c r="B43" s="106">
        <v>8</v>
      </c>
      <c r="C43" s="103" t="s">
        <v>198</v>
      </c>
      <c r="D43" s="103" t="s">
        <v>194</v>
      </c>
      <c r="E43" s="107">
        <v>311.24494949999996</v>
      </c>
      <c r="F43" s="107" t="s">
        <v>93</v>
      </c>
      <c r="G43" s="107"/>
      <c r="H43" t="s">
        <v>197</v>
      </c>
      <c r="K43" s="106">
        <v>8</v>
      </c>
      <c r="L43" s="103" t="s">
        <v>198</v>
      </c>
      <c r="M43" s="103" t="s">
        <v>194</v>
      </c>
      <c r="N43" s="107">
        <v>311.24494949999996</v>
      </c>
      <c r="O43" s="107">
        <v>311.24494949999996</v>
      </c>
      <c r="P43" s="107">
        <v>311.24494949999996</v>
      </c>
      <c r="Q43" s="107">
        <v>311.24494949999996</v>
      </c>
    </row>
    <row r="44" spans="2:17" ht="15.75">
      <c r="B44" s="106">
        <v>9</v>
      </c>
      <c r="C44" s="103" t="s">
        <v>196</v>
      </c>
      <c r="D44" s="103" t="s">
        <v>194</v>
      </c>
      <c r="E44" s="107">
        <v>311.24494949999996</v>
      </c>
      <c r="F44" s="107" t="s">
        <v>93</v>
      </c>
      <c r="G44" s="107"/>
      <c r="K44" s="106">
        <v>9</v>
      </c>
      <c r="L44" s="103" t="s">
        <v>196</v>
      </c>
      <c r="M44" s="103" t="s">
        <v>194</v>
      </c>
      <c r="N44" s="107">
        <v>311.24494949999996</v>
      </c>
      <c r="O44" s="107">
        <v>311.24494949999996</v>
      </c>
      <c r="P44" s="107">
        <v>311.24494949999996</v>
      </c>
      <c r="Q44" s="107">
        <v>311.24494949999996</v>
      </c>
    </row>
    <row r="45" spans="2:17" ht="15.75">
      <c r="B45" s="106">
        <v>10</v>
      </c>
      <c r="C45" s="103" t="s">
        <v>195</v>
      </c>
      <c r="D45" s="103" t="s">
        <v>194</v>
      </c>
      <c r="E45" s="107">
        <v>-303.88543800000002</v>
      </c>
      <c r="F45" s="107" t="s">
        <v>93</v>
      </c>
      <c r="G45" s="107"/>
      <c r="K45" s="106">
        <v>10</v>
      </c>
      <c r="L45" s="103" t="s">
        <v>195</v>
      </c>
      <c r="M45" s="103" t="s">
        <v>194</v>
      </c>
      <c r="N45" s="107">
        <v>-303.88543800000002</v>
      </c>
      <c r="O45" s="107">
        <v>-303.88543800000002</v>
      </c>
      <c r="P45" s="107">
        <v>-303.88543800000002</v>
      </c>
      <c r="Q45" s="107">
        <v>-303.88543800000002</v>
      </c>
    </row>
    <row r="46" spans="2:17" ht="15.75">
      <c r="B46" s="106"/>
      <c r="C46" s="103" t="s">
        <v>193</v>
      </c>
      <c r="D46" s="103" t="s">
        <v>137</v>
      </c>
      <c r="E46" s="111">
        <v>3234.6123381272455</v>
      </c>
      <c r="F46" s="111" t="s">
        <v>93</v>
      </c>
      <c r="G46" s="111"/>
      <c r="K46" s="106"/>
      <c r="L46" s="103" t="s">
        <v>193</v>
      </c>
      <c r="M46" s="103" t="s">
        <v>137</v>
      </c>
      <c r="N46" s="111">
        <v>3234.6123381272455</v>
      </c>
      <c r="O46" s="111">
        <v>3319.9038778144968</v>
      </c>
      <c r="P46" s="111">
        <v>3348.0793556097997</v>
      </c>
      <c r="Q46" s="111">
        <v>3335.374243094655</v>
      </c>
    </row>
    <row r="47" spans="2:17" ht="15.75">
      <c r="B47" s="106">
        <v>11</v>
      </c>
      <c r="C47" s="103" t="s">
        <v>192</v>
      </c>
      <c r="D47" s="103" t="s">
        <v>130</v>
      </c>
      <c r="E47" s="104"/>
      <c r="F47" s="110" t="s">
        <v>93</v>
      </c>
      <c r="G47" s="104"/>
      <c r="K47" s="106">
        <v>11</v>
      </c>
      <c r="L47" s="103" t="s">
        <v>192</v>
      </c>
      <c r="M47" s="103" t="s">
        <v>130</v>
      </c>
      <c r="N47" s="104"/>
      <c r="O47" s="104"/>
      <c r="P47" s="104"/>
      <c r="Q47" s="104"/>
    </row>
    <row r="48" spans="2:17" ht="15.75">
      <c r="B48" s="106"/>
      <c r="C48" s="105" t="s">
        <v>191</v>
      </c>
      <c r="D48" s="103" t="s">
        <v>190</v>
      </c>
      <c r="E48" s="110">
        <v>30</v>
      </c>
      <c r="F48" s="110">
        <f>Gap30deg!gap.angle</f>
        <v>29.999999999999996</v>
      </c>
      <c r="G48" s="118">
        <f>(F48-E48)/E48</f>
        <v>-1.1842378929335003E-16</v>
      </c>
      <c r="K48" s="106"/>
      <c r="L48" s="105" t="s">
        <v>191</v>
      </c>
      <c r="M48" s="103" t="s">
        <v>190</v>
      </c>
      <c r="N48" s="110">
        <v>30</v>
      </c>
      <c r="O48" s="110">
        <v>60</v>
      </c>
      <c r="P48" s="110">
        <v>90</v>
      </c>
      <c r="Q48" s="110">
        <v>120</v>
      </c>
    </row>
    <row r="49" spans="2:17" ht="15.75">
      <c r="B49" s="106"/>
      <c r="C49" s="103" t="s">
        <v>189</v>
      </c>
      <c r="D49" s="103" t="s">
        <v>183</v>
      </c>
      <c r="E49" s="109">
        <v>1.9634954084936207</v>
      </c>
      <c r="F49" s="109">
        <f>Gap30deg!gap.L/1000</f>
        <v>1.9634954084936205</v>
      </c>
      <c r="G49" s="118">
        <f>(F49-E49)/E49</f>
        <v>-1.1308638867425837E-16</v>
      </c>
      <c r="K49" s="106"/>
      <c r="L49" s="103" t="s">
        <v>189</v>
      </c>
      <c r="M49" s="103" t="s">
        <v>183</v>
      </c>
      <c r="N49" s="109">
        <v>1.9634954084936207</v>
      </c>
      <c r="O49" s="109">
        <v>3.9269908169872414</v>
      </c>
      <c r="P49" s="109">
        <v>5.8904862254808625</v>
      </c>
      <c r="Q49" s="109">
        <v>7.8539816339744828</v>
      </c>
    </row>
    <row r="50" spans="2:17">
      <c r="B50" s="106"/>
      <c r="C50" s="103" t="s">
        <v>100</v>
      </c>
      <c r="D50" s="103" t="s">
        <v>183</v>
      </c>
      <c r="E50" s="109">
        <v>7.5</v>
      </c>
      <c r="F50" s="109">
        <f>(2*Gap30deg!Radius+Gap30deg!s)/1000</f>
        <v>7.5</v>
      </c>
      <c r="G50" s="118">
        <f>(F50-E50)/E50</f>
        <v>0</v>
      </c>
      <c r="K50" s="106"/>
      <c r="L50" s="103" t="s">
        <v>100</v>
      </c>
      <c r="M50" s="103" t="s">
        <v>183</v>
      </c>
      <c r="N50" s="109">
        <v>7.5</v>
      </c>
      <c r="O50" s="109">
        <v>7.5</v>
      </c>
      <c r="P50" s="109">
        <v>7.5</v>
      </c>
      <c r="Q50" s="109">
        <v>7.5</v>
      </c>
    </row>
    <row r="51" spans="2:17" ht="15.75">
      <c r="B51" s="106"/>
      <c r="C51" s="103" t="s">
        <v>188</v>
      </c>
      <c r="D51" s="103" t="s">
        <v>187</v>
      </c>
      <c r="E51" s="108">
        <v>1.4</v>
      </c>
      <c r="F51" s="108">
        <f>Gap30deg!u_tol</f>
        <v>1.4</v>
      </c>
      <c r="G51" s="118">
        <f>(F51-E51)/E51</f>
        <v>0</v>
      </c>
      <c r="K51" s="106"/>
      <c r="L51" s="103" t="s">
        <v>188</v>
      </c>
      <c r="M51" s="103" t="s">
        <v>187</v>
      </c>
      <c r="N51" s="108">
        <v>1.4</v>
      </c>
      <c r="O51" s="108">
        <v>1.4</v>
      </c>
      <c r="P51" s="108">
        <v>1.4</v>
      </c>
      <c r="Q51" s="108">
        <v>1.4</v>
      </c>
    </row>
    <row r="52" spans="2:17" ht="15.75">
      <c r="B52" s="106">
        <v>12</v>
      </c>
      <c r="C52" s="103" t="s">
        <v>186</v>
      </c>
      <c r="D52" s="103" t="s">
        <v>134</v>
      </c>
      <c r="E52" s="109">
        <v>0.28773533056547307</v>
      </c>
      <c r="F52" s="109">
        <f>Gap30deg!gap.k_mean</f>
        <v>0.28799999999999998</v>
      </c>
      <c r="G52" s="118">
        <f>(F52-E52)/E52</f>
        <v>9.1983641357759886E-4</v>
      </c>
      <c r="K52" s="106">
        <v>12</v>
      </c>
      <c r="L52" s="103" t="s">
        <v>186</v>
      </c>
      <c r="M52" s="103" t="s">
        <v>134</v>
      </c>
      <c r="N52" s="109">
        <v>0.28773533056547307</v>
      </c>
      <c r="O52" s="109">
        <v>0.74253427729521915</v>
      </c>
      <c r="P52" s="109">
        <v>1.3643968401892383</v>
      </c>
      <c r="Q52" s="109">
        <v>2.1533230192475301</v>
      </c>
    </row>
    <row r="53" spans="2:17" ht="15.75">
      <c r="B53" s="106">
        <v>13</v>
      </c>
      <c r="C53" s="103" t="s">
        <v>185</v>
      </c>
      <c r="D53" s="103" t="s">
        <v>130</v>
      </c>
      <c r="E53" s="109">
        <v>1.2162355202035975</v>
      </c>
      <c r="F53" s="109">
        <f>Gap30deg!gap.COV</f>
        <v>1.216</v>
      </c>
      <c r="G53" s="118">
        <f>(F53-E53)/E53</f>
        <v>-1.9364687158461775E-4</v>
      </c>
      <c r="K53" s="106">
        <v>13</v>
      </c>
      <c r="L53" s="103" t="s">
        <v>185</v>
      </c>
      <c r="M53" s="103" t="s">
        <v>130</v>
      </c>
      <c r="N53" s="109">
        <v>1.2162355202035975</v>
      </c>
      <c r="O53" s="109">
        <v>0.63575115537527993</v>
      </c>
      <c r="P53" s="109">
        <v>0.4993626397773579</v>
      </c>
      <c r="Q53" s="109">
        <v>0.44426272750754409</v>
      </c>
    </row>
    <row r="54" spans="2:17" ht="15.75">
      <c r="B54" s="106"/>
      <c r="C54" s="103" t="s">
        <v>184</v>
      </c>
      <c r="D54" s="103" t="s">
        <v>183</v>
      </c>
      <c r="E54" s="109">
        <v>1.9634954084936207</v>
      </c>
      <c r="F54" s="109" t="s">
        <v>93</v>
      </c>
      <c r="G54" s="109"/>
      <c r="K54" s="106"/>
      <c r="L54" s="103" t="s">
        <v>184</v>
      </c>
      <c r="M54" s="103" t="s">
        <v>183</v>
      </c>
      <c r="N54" s="109">
        <v>1.9634954084936207</v>
      </c>
      <c r="O54" s="109"/>
      <c r="P54" s="109"/>
      <c r="Q54" s="109"/>
    </row>
    <row r="55" spans="2:17" ht="15.75">
      <c r="B55" s="106">
        <v>14</v>
      </c>
      <c r="C55" s="103" t="s">
        <v>182</v>
      </c>
      <c r="D55" s="103" t="s">
        <v>134</v>
      </c>
      <c r="E55" s="109">
        <v>1.961746925739275</v>
      </c>
      <c r="F55" s="109" t="s">
        <v>93</v>
      </c>
      <c r="G55" s="109"/>
      <c r="K55" s="106">
        <v>14</v>
      </c>
      <c r="L55" s="103" t="s">
        <v>182</v>
      </c>
      <c r="M55" s="103" t="s">
        <v>134</v>
      </c>
      <c r="N55" s="109">
        <v>1.961746925739275</v>
      </c>
      <c r="O55" s="109"/>
      <c r="P55" s="109"/>
      <c r="Q55" s="109"/>
    </row>
    <row r="56" spans="2:17" ht="15.75">
      <c r="B56" s="106">
        <v>15</v>
      </c>
      <c r="C56" s="103" t="s">
        <v>181</v>
      </c>
      <c r="D56" s="103" t="s">
        <v>134</v>
      </c>
      <c r="E56" s="109">
        <v>2.9426203886089124</v>
      </c>
      <c r="F56" s="109" t="s">
        <v>93</v>
      </c>
      <c r="G56" s="109"/>
      <c r="K56" s="106">
        <v>15</v>
      </c>
      <c r="L56" s="103" t="s">
        <v>181</v>
      </c>
      <c r="M56" s="103" t="s">
        <v>134</v>
      </c>
      <c r="N56" s="109">
        <v>2.9426203886089124</v>
      </c>
      <c r="O56" s="109"/>
      <c r="P56" s="109"/>
      <c r="Q56" s="109"/>
    </row>
    <row r="57" spans="2:17" ht="15.75">
      <c r="B57" s="106">
        <v>16</v>
      </c>
      <c r="C57" s="105" t="s">
        <v>180</v>
      </c>
      <c r="D57" s="103"/>
      <c r="E57" s="109">
        <v>0.95286282352314688</v>
      </c>
      <c r="F57" s="109" t="s">
        <v>93</v>
      </c>
      <c r="G57" s="109"/>
      <c r="K57" s="106">
        <v>16</v>
      </c>
      <c r="L57" s="105" t="s">
        <v>180</v>
      </c>
      <c r="M57" s="103"/>
      <c r="N57" s="109">
        <v>0.95286282352314688</v>
      </c>
      <c r="O57" s="109">
        <v>0.58262609700472079</v>
      </c>
      <c r="P57" s="109">
        <v>0.47184092472685457</v>
      </c>
      <c r="Q57" s="109">
        <v>0.42441366570439232</v>
      </c>
    </row>
    <row r="58" spans="2:17" ht="15.75">
      <c r="B58" s="106">
        <v>17</v>
      </c>
      <c r="C58" s="105" t="s">
        <v>179</v>
      </c>
      <c r="D58" s="103"/>
      <c r="E58" s="109">
        <v>-1.6996879926957522</v>
      </c>
      <c r="F58" s="109" t="s">
        <v>93</v>
      </c>
      <c r="G58" s="109"/>
      <c r="K58" s="106">
        <v>17</v>
      </c>
      <c r="L58" s="105" t="s">
        <v>179</v>
      </c>
      <c r="M58" s="103"/>
      <c r="N58" s="109">
        <v>-1.6996879926957522</v>
      </c>
      <c r="O58" s="109">
        <v>-0.46741282911895099</v>
      </c>
      <c r="P58" s="109">
        <v>0.19939552653846943</v>
      </c>
      <c r="Q58" s="109">
        <v>0.67694875947348121</v>
      </c>
    </row>
    <row r="59" spans="2:17" ht="15.75">
      <c r="B59" s="106">
        <v>18</v>
      </c>
      <c r="C59" s="103" t="s">
        <v>178</v>
      </c>
      <c r="D59" s="103"/>
      <c r="E59" s="109">
        <v>-0.13232393428252798</v>
      </c>
      <c r="F59" s="113" t="s">
        <v>93</v>
      </c>
      <c r="G59" s="109"/>
      <c r="K59" s="106">
        <v>18</v>
      </c>
      <c r="L59" s="103" t="s">
        <v>178</v>
      </c>
      <c r="M59" s="103"/>
      <c r="N59" s="109">
        <v>-0.13232393428252798</v>
      </c>
      <c r="O59" s="109">
        <v>0.49094883784411425</v>
      </c>
      <c r="P59" s="109">
        <v>0.97552666362167262</v>
      </c>
      <c r="Q59" s="109">
        <v>1.3750667981906362</v>
      </c>
    </row>
    <row r="60" spans="2:17" ht="15.75">
      <c r="B60" s="106">
        <v>19</v>
      </c>
      <c r="C60" s="103" t="s">
        <v>177</v>
      </c>
      <c r="D60" s="103" t="s">
        <v>134</v>
      </c>
      <c r="E60" s="109">
        <v>0.87601845454409977</v>
      </c>
      <c r="F60" s="109"/>
      <c r="G60" s="109"/>
      <c r="K60" s="106">
        <v>19</v>
      </c>
      <c r="L60" s="103" t="s">
        <v>177</v>
      </c>
      <c r="M60" s="103" t="s">
        <v>134</v>
      </c>
      <c r="N60" s="109">
        <v>0.87601845454409977</v>
      </c>
      <c r="O60" s="109">
        <v>1.6338216149415525</v>
      </c>
      <c r="P60" s="109">
        <v>2.6525058127308667</v>
      </c>
      <c r="Q60" s="109">
        <v>3.9552630780086151</v>
      </c>
    </row>
    <row r="61" spans="2:17" ht="15.75">
      <c r="B61" s="106"/>
      <c r="C61" s="103" t="s">
        <v>176</v>
      </c>
      <c r="D61" s="103" t="s">
        <v>134</v>
      </c>
      <c r="E61" s="109">
        <v>0.87601845454409977</v>
      </c>
      <c r="F61" s="109"/>
      <c r="G61" s="109"/>
      <c r="H61" t="s">
        <v>175</v>
      </c>
      <c r="K61" s="106"/>
      <c r="L61" s="103" t="s">
        <v>176</v>
      </c>
      <c r="M61" s="103" t="s">
        <v>134</v>
      </c>
      <c r="N61" s="109">
        <v>0.87601845454409977</v>
      </c>
      <c r="O61" s="109">
        <v>1.6338216149415525</v>
      </c>
      <c r="P61" s="109">
        <v>2.6525058127308667</v>
      </c>
      <c r="Q61" s="109">
        <v>3.9552630780086151</v>
      </c>
    </row>
    <row r="62" spans="2:17">
      <c r="B62" s="106">
        <v>20</v>
      </c>
      <c r="C62" s="103" t="s">
        <v>174</v>
      </c>
      <c r="D62" s="103"/>
      <c r="E62" s="145"/>
      <c r="F62" s="145"/>
      <c r="G62" s="145"/>
      <c r="H62" t="s">
        <v>173</v>
      </c>
      <c r="K62" s="106">
        <v>20</v>
      </c>
      <c r="L62" s="103" t="s">
        <v>174</v>
      </c>
      <c r="M62" s="103"/>
      <c r="N62" s="145"/>
      <c r="O62" s="145"/>
      <c r="P62" s="145"/>
      <c r="Q62" s="145"/>
    </row>
    <row r="63" spans="2:17">
      <c r="B63" s="106">
        <v>21</v>
      </c>
      <c r="C63" s="112" t="s">
        <v>172</v>
      </c>
      <c r="D63" s="103"/>
      <c r="E63" s="145"/>
      <c r="F63" s="145"/>
      <c r="G63" s="145"/>
      <c r="H63" t="s">
        <v>171</v>
      </c>
      <c r="K63" s="106">
        <v>21</v>
      </c>
      <c r="L63" s="112" t="s">
        <v>172</v>
      </c>
      <c r="M63" s="103"/>
      <c r="N63" s="145"/>
      <c r="O63" s="145"/>
      <c r="P63" s="145"/>
      <c r="Q63" s="145"/>
    </row>
    <row r="64" spans="2:17" ht="15.75">
      <c r="B64" s="106">
        <v>22</v>
      </c>
      <c r="C64" s="103" t="s">
        <v>170</v>
      </c>
      <c r="D64" s="103"/>
      <c r="E64" s="104"/>
      <c r="F64" s="104"/>
      <c r="G64" s="104"/>
      <c r="K64" s="106">
        <v>22</v>
      </c>
      <c r="L64" s="103" t="s">
        <v>170</v>
      </c>
      <c r="M64" s="103"/>
      <c r="N64" s="104"/>
      <c r="O64" s="104"/>
      <c r="P64" s="104"/>
      <c r="Q64" s="104"/>
    </row>
    <row r="65" spans="2:17" ht="15.75">
      <c r="B65" s="106">
        <v>23</v>
      </c>
      <c r="C65" s="103" t="s">
        <v>169</v>
      </c>
      <c r="D65" s="103"/>
      <c r="E65" s="104"/>
      <c r="F65" s="104"/>
      <c r="G65" s="104"/>
      <c r="K65" s="106">
        <v>23</v>
      </c>
      <c r="L65" s="103" t="s">
        <v>169</v>
      </c>
      <c r="M65" s="103"/>
      <c r="N65" s="104"/>
      <c r="O65" s="104"/>
      <c r="P65" s="104"/>
      <c r="Q65" s="104"/>
    </row>
    <row r="66" spans="2:17" ht="15.75">
      <c r="B66" s="106">
        <v>24</v>
      </c>
      <c r="C66" s="103" t="s">
        <v>168</v>
      </c>
      <c r="D66" s="103"/>
      <c r="E66" s="145"/>
      <c r="F66" s="145"/>
      <c r="G66" s="145"/>
      <c r="H66" t="s">
        <v>167</v>
      </c>
      <c r="K66" s="106">
        <v>24</v>
      </c>
      <c r="L66" s="103" t="s">
        <v>168</v>
      </c>
      <c r="M66" s="103"/>
      <c r="N66" s="145"/>
      <c r="O66" s="145"/>
      <c r="P66" s="145"/>
      <c r="Q66" s="145"/>
    </row>
    <row r="67" spans="2:17" ht="15.75">
      <c r="B67" s="106">
        <v>25</v>
      </c>
      <c r="C67" s="105" t="s">
        <v>166</v>
      </c>
      <c r="D67" s="103" t="s">
        <v>137</v>
      </c>
      <c r="E67" s="107">
        <v>1180.0009585720952</v>
      </c>
      <c r="F67" s="107">
        <f>Gap30deg!DZ_gap</f>
        <v>1067.7883134704114</v>
      </c>
      <c r="G67" s="118">
        <f>(F67-E67)/E67</f>
        <v>-9.5095384699916685E-2</v>
      </c>
      <c r="K67" s="106">
        <v>25</v>
      </c>
      <c r="L67" s="105" t="s">
        <v>166</v>
      </c>
      <c r="M67" s="103" t="s">
        <v>137</v>
      </c>
      <c r="N67" s="107">
        <v>1180.0009585720952</v>
      </c>
      <c r="O67" s="107">
        <v>742.76305929630814</v>
      </c>
      <c r="P67" s="107">
        <v>620.09128934753357</v>
      </c>
      <c r="Q67" s="107">
        <v>519.80933205112058</v>
      </c>
    </row>
    <row r="68" spans="2:17" ht="15.75">
      <c r="B68" s="106"/>
      <c r="C68" s="103" t="s">
        <v>154</v>
      </c>
      <c r="D68" s="103" t="s">
        <v>153</v>
      </c>
      <c r="E68" s="111">
        <v>37149.333128699305</v>
      </c>
      <c r="F68" s="111" t="s">
        <v>93</v>
      </c>
      <c r="G68" s="111"/>
      <c r="K68" s="106"/>
      <c r="L68" s="103" t="s">
        <v>154</v>
      </c>
      <c r="M68" s="103" t="s">
        <v>153</v>
      </c>
      <c r="N68" s="111">
        <v>37149.333128699305</v>
      </c>
      <c r="O68" s="111">
        <v>37149.333128699305</v>
      </c>
      <c r="P68" s="111">
        <v>37149.333128699305</v>
      </c>
      <c r="Q68" s="111">
        <v>37149.333128699305</v>
      </c>
    </row>
    <row r="69" spans="2:17" ht="15.75">
      <c r="B69" s="106"/>
      <c r="C69" s="103" t="s">
        <v>152</v>
      </c>
      <c r="D69" s="103" t="s">
        <v>284</v>
      </c>
      <c r="E69" s="114">
        <v>123831110.42899768</v>
      </c>
      <c r="F69" s="114" t="s">
        <v>93</v>
      </c>
      <c r="G69" s="114"/>
      <c r="K69" s="106"/>
      <c r="L69" s="103" t="s">
        <v>152</v>
      </c>
      <c r="M69" s="103" t="s">
        <v>284</v>
      </c>
      <c r="N69" s="114">
        <v>123831110.42899768</v>
      </c>
      <c r="O69" s="114">
        <v>123831110.42899768</v>
      </c>
      <c r="P69" s="114">
        <v>123831110.42899768</v>
      </c>
      <c r="Q69" s="114">
        <v>123831110.42899768</v>
      </c>
    </row>
    <row r="70" spans="2:17" ht="15.75">
      <c r="B70" s="106"/>
      <c r="C70" s="103" t="s">
        <v>159</v>
      </c>
      <c r="D70" s="103" t="s">
        <v>153</v>
      </c>
      <c r="E70" s="111">
        <v>87000</v>
      </c>
      <c r="F70" s="111" t="s">
        <v>93</v>
      </c>
      <c r="G70" s="111"/>
      <c r="K70" s="106"/>
      <c r="L70" s="103" t="s">
        <v>159</v>
      </c>
      <c r="M70" s="103" t="s">
        <v>153</v>
      </c>
      <c r="N70" s="111">
        <v>87000</v>
      </c>
      <c r="O70" s="111">
        <v>87000</v>
      </c>
      <c r="P70" s="111">
        <v>87000</v>
      </c>
      <c r="Q70" s="111">
        <v>87000</v>
      </c>
    </row>
    <row r="71" spans="2:17" ht="15.75">
      <c r="B71" s="106"/>
      <c r="C71" s="103" t="s">
        <v>158</v>
      </c>
      <c r="D71" s="103" t="s">
        <v>284</v>
      </c>
      <c r="E71" s="114">
        <v>290000000</v>
      </c>
      <c r="F71" s="114" t="s">
        <v>93</v>
      </c>
      <c r="G71" s="114"/>
      <c r="K71" s="106"/>
      <c r="L71" s="103" t="s">
        <v>158</v>
      </c>
      <c r="M71" s="103" t="s">
        <v>284</v>
      </c>
      <c r="N71" s="114">
        <v>290000000</v>
      </c>
      <c r="O71" s="114">
        <v>290000000</v>
      </c>
      <c r="P71" s="114">
        <v>290000000</v>
      </c>
      <c r="Q71" s="114">
        <v>290000000</v>
      </c>
    </row>
    <row r="72" spans="2:17" ht="15.75">
      <c r="B72" s="106">
        <v>26</v>
      </c>
      <c r="C72" s="103" t="s">
        <v>165</v>
      </c>
      <c r="D72" s="103" t="s">
        <v>144</v>
      </c>
      <c r="E72" s="111">
        <v>13853.470325498141</v>
      </c>
      <c r="F72" s="111">
        <f>Gap30deg!gap.stiffness</f>
        <v>12536.069235466008</v>
      </c>
      <c r="G72" s="118">
        <f>(F72-E72)/E72</f>
        <v>-9.5095384699917254E-2</v>
      </c>
      <c r="K72" s="106">
        <v>26</v>
      </c>
      <c r="L72" s="103" t="s">
        <v>165</v>
      </c>
      <c r="M72" s="103" t="s">
        <v>144</v>
      </c>
      <c r="N72" s="111">
        <v>13853.470325498141</v>
      </c>
      <c r="O72" s="111">
        <v>4675.5761316778808</v>
      </c>
      <c r="P72" s="111">
        <v>2404.3005753091643</v>
      </c>
      <c r="Q72" s="111">
        <v>1351.6310838194131</v>
      </c>
    </row>
    <row r="73" spans="2:17" ht="15.75">
      <c r="B73" s="106">
        <v>27</v>
      </c>
      <c r="C73" s="103" t="s">
        <v>162</v>
      </c>
      <c r="D73" s="103" t="s">
        <v>144</v>
      </c>
      <c r="E73" s="111">
        <v>4816.526574278726</v>
      </c>
      <c r="F73" s="111" t="s">
        <v>93</v>
      </c>
      <c r="G73" s="111"/>
      <c r="H73" t="s">
        <v>164</v>
      </c>
      <c r="K73" s="106">
        <v>27</v>
      </c>
      <c r="L73" s="103" t="s">
        <v>162</v>
      </c>
      <c r="M73" s="103" t="s">
        <v>144</v>
      </c>
      <c r="N73" s="111">
        <v>4816.526574278726</v>
      </c>
      <c r="O73" s="111">
        <v>2025.1106669211372</v>
      </c>
      <c r="P73" s="111">
        <v>1072.774594870084</v>
      </c>
      <c r="Q73" s="111">
        <v>607.98674563820066</v>
      </c>
    </row>
    <row r="74" spans="2:17" ht="15.75">
      <c r="B74" s="106"/>
      <c r="C74" s="103" t="s">
        <v>162</v>
      </c>
      <c r="D74" s="103" t="s">
        <v>144</v>
      </c>
      <c r="E74" s="111">
        <v>5169.2082946490964</v>
      </c>
      <c r="F74" s="111">
        <f>Gap30deg!gap.k_shell</f>
        <v>4278.08</v>
      </c>
      <c r="G74" s="118">
        <f>(F74-E74)/E74</f>
        <v>-0.17239163985160891</v>
      </c>
      <c r="H74" t="s">
        <v>163</v>
      </c>
      <c r="K74" s="106"/>
      <c r="L74" s="103" t="s">
        <v>162</v>
      </c>
      <c r="M74" s="103" t="s">
        <v>144</v>
      </c>
      <c r="N74" s="111">
        <v>5169.2082946490964</v>
      </c>
      <c r="O74" s="111">
        <v>2212.1093218994611</v>
      </c>
      <c r="P74" s="111">
        <v>1238.3066227426382</v>
      </c>
      <c r="Q74" s="111">
        <v>800.4072256196913</v>
      </c>
    </row>
    <row r="75" spans="2:17" ht="15.75">
      <c r="B75" s="106"/>
      <c r="C75" s="103" t="s">
        <v>162</v>
      </c>
      <c r="D75" s="103" t="s">
        <v>144</v>
      </c>
      <c r="E75" s="111">
        <v>4816.526574278726</v>
      </c>
      <c r="F75" s="111">
        <f>Gap30deg!gap.k_shell</f>
        <v>4278.08</v>
      </c>
      <c r="G75" s="118">
        <f>(F75-E75)/E75</f>
        <v>-0.11179146755966116</v>
      </c>
      <c r="H75" t="s">
        <v>161</v>
      </c>
      <c r="K75" s="106"/>
      <c r="L75" s="103" t="s">
        <v>162</v>
      </c>
      <c r="M75" s="103" t="s">
        <v>144</v>
      </c>
      <c r="N75" s="111">
        <v>4816.526574278726</v>
      </c>
      <c r="O75" s="111">
        <v>2025.1106669211372</v>
      </c>
      <c r="P75" s="111">
        <v>1072.774594870084</v>
      </c>
      <c r="Q75" s="111">
        <v>607.98674563820066</v>
      </c>
    </row>
    <row r="76" spans="2:17" ht="15.75">
      <c r="B76" s="106">
        <v>28</v>
      </c>
      <c r="C76" s="103" t="s">
        <v>160</v>
      </c>
      <c r="D76" s="103" t="s">
        <v>130</v>
      </c>
      <c r="E76" s="109">
        <v>1.8</v>
      </c>
      <c r="F76" s="109">
        <f>Gap30deg!gap.k_fac</f>
        <v>1.8</v>
      </c>
      <c r="G76" s="118">
        <f>(F76-E76)/E76</f>
        <v>0</v>
      </c>
      <c r="K76" s="106">
        <v>28</v>
      </c>
      <c r="L76" s="103" t="s">
        <v>160</v>
      </c>
      <c r="M76" s="103" t="s">
        <v>130</v>
      </c>
      <c r="N76" s="109">
        <v>1.8</v>
      </c>
      <c r="O76" s="109">
        <v>2.1031001583544837</v>
      </c>
      <c r="P76" s="109">
        <v>2.5046502375317257</v>
      </c>
      <c r="Q76" s="109">
        <v>2.9062003167089676</v>
      </c>
    </row>
    <row r="77" spans="2:17" ht="15.75">
      <c r="B77" s="106">
        <v>29</v>
      </c>
      <c r="C77" s="103" t="s">
        <v>157</v>
      </c>
      <c r="D77" s="103" t="s">
        <v>144</v>
      </c>
      <c r="E77" s="107">
        <v>1480.5053918567919</v>
      </c>
      <c r="F77" s="107">
        <f>Gap30deg!gap.k_fl</f>
        <v>1420.13</v>
      </c>
      <c r="G77" s="118">
        <f>(F77-E77)/E77</f>
        <v>-4.0780258004377373E-2</v>
      </c>
      <c r="K77" s="106">
        <v>29</v>
      </c>
      <c r="L77" s="103" t="s">
        <v>157</v>
      </c>
      <c r="M77" s="103" t="s">
        <v>144</v>
      </c>
      <c r="N77" s="107">
        <v>1480.5053918567919</v>
      </c>
      <c r="O77" s="107">
        <v>100.15121111426278</v>
      </c>
      <c r="P77" s="107">
        <v>20.08930299771783</v>
      </c>
      <c r="Q77" s="107">
        <v>6.3910197342597774</v>
      </c>
    </row>
    <row r="78" spans="2:17" ht="15.75">
      <c r="B78" s="106">
        <v>30</v>
      </c>
      <c r="C78" s="105" t="s">
        <v>156</v>
      </c>
      <c r="D78" s="103" t="s">
        <v>137</v>
      </c>
      <c r="E78" s="104"/>
      <c r="F78" s="110" t="s">
        <v>93</v>
      </c>
      <c r="G78" s="104"/>
      <c r="H78" t="s">
        <v>155</v>
      </c>
      <c r="K78" s="106">
        <v>30</v>
      </c>
      <c r="L78" s="105" t="s">
        <v>156</v>
      </c>
      <c r="M78" s="103" t="s">
        <v>137</v>
      </c>
      <c r="N78" s="104"/>
      <c r="O78" s="104"/>
      <c r="P78" s="104"/>
      <c r="Q78" s="104"/>
    </row>
    <row r="79" spans="2:17" ht="15.75">
      <c r="B79" s="106">
        <v>31</v>
      </c>
      <c r="C79" s="103" t="s">
        <v>151</v>
      </c>
      <c r="D79" s="103" t="s">
        <v>137</v>
      </c>
      <c r="E79" s="104"/>
      <c r="F79" s="110" t="s">
        <v>93</v>
      </c>
      <c r="G79" s="104"/>
      <c r="H79" t="s">
        <v>155</v>
      </c>
      <c r="K79" s="106">
        <v>31</v>
      </c>
      <c r="L79" s="103" t="s">
        <v>151</v>
      </c>
      <c r="M79" s="103" t="s">
        <v>137</v>
      </c>
      <c r="N79" s="104"/>
      <c r="O79" s="104"/>
      <c r="P79" s="104"/>
      <c r="Q79" s="104"/>
    </row>
    <row r="80" spans="2:17" ht="15.75">
      <c r="B80" s="106"/>
      <c r="C80" s="105" t="s">
        <v>150</v>
      </c>
      <c r="D80" s="103" t="s">
        <v>137</v>
      </c>
      <c r="E80" s="104"/>
      <c r="F80" s="110" t="s">
        <v>93</v>
      </c>
      <c r="G80" s="104"/>
      <c r="H80" t="s">
        <v>155</v>
      </c>
      <c r="K80" s="106"/>
      <c r="L80" s="105" t="s">
        <v>150</v>
      </c>
      <c r="M80" s="103" t="s">
        <v>137</v>
      </c>
      <c r="N80" s="104"/>
      <c r="O80" s="104"/>
      <c r="P80" s="104"/>
      <c r="Q80" s="104"/>
    </row>
    <row r="81" spans="2:17" ht="15.75">
      <c r="B81" s="106">
        <v>32</v>
      </c>
      <c r="C81" s="105" t="s">
        <v>149</v>
      </c>
      <c r="D81" s="103" t="s">
        <v>137</v>
      </c>
      <c r="E81" s="107">
        <v>1180.0009585720952</v>
      </c>
      <c r="F81" s="107" t="s">
        <v>93</v>
      </c>
      <c r="G81" s="107"/>
      <c r="K81" s="106">
        <v>32</v>
      </c>
      <c r="L81" s="105" t="s">
        <v>149</v>
      </c>
      <c r="M81" s="103" t="s">
        <v>137</v>
      </c>
      <c r="N81" s="107">
        <v>1180.0009585720952</v>
      </c>
      <c r="O81" s="107">
        <v>742.76305929630814</v>
      </c>
      <c r="P81" s="107">
        <v>620.09128934753357</v>
      </c>
      <c r="Q81" s="107">
        <v>519.80933205112058</v>
      </c>
    </row>
    <row r="82" spans="2:17" ht="15.75">
      <c r="B82" s="106">
        <v>33</v>
      </c>
      <c r="C82" s="103" t="s">
        <v>148</v>
      </c>
      <c r="D82" s="103" t="s">
        <v>137</v>
      </c>
      <c r="E82" s="107">
        <v>3595</v>
      </c>
      <c r="F82" s="107">
        <f>Gap30deg!point2.Fs</f>
        <v>3595</v>
      </c>
      <c r="G82" s="118">
        <f>(F82-E82)/E82</f>
        <v>0</v>
      </c>
      <c r="K82" s="106">
        <v>33</v>
      </c>
      <c r="L82" s="103" t="s">
        <v>148</v>
      </c>
      <c r="M82" s="103" t="s">
        <v>137</v>
      </c>
      <c r="N82" s="107">
        <v>3595</v>
      </c>
      <c r="O82" s="107">
        <v>3595</v>
      </c>
      <c r="P82" s="107">
        <v>3595</v>
      </c>
      <c r="Q82" s="107">
        <v>3595</v>
      </c>
    </row>
    <row r="83" spans="2:17" ht="15.75">
      <c r="B83" s="106">
        <v>34</v>
      </c>
      <c r="C83" s="103" t="s">
        <v>147</v>
      </c>
      <c r="D83" s="103" t="s">
        <v>137</v>
      </c>
      <c r="E83" s="107">
        <v>2068.2520235998149</v>
      </c>
      <c r="F83" s="107">
        <f>Gap30deg!Z0</f>
        <v>2068.2520235998149</v>
      </c>
      <c r="G83" s="118">
        <f>(F83-E83)/E83</f>
        <v>0</v>
      </c>
      <c r="H83" t="s">
        <v>135</v>
      </c>
      <c r="K83" s="106">
        <v>34</v>
      </c>
      <c r="L83" s="103" t="s">
        <v>147</v>
      </c>
      <c r="M83" s="103" t="s">
        <v>137</v>
      </c>
      <c r="N83" s="107">
        <v>2068.2520235998149</v>
      </c>
      <c r="O83" s="107">
        <v>2068.2520235998149</v>
      </c>
      <c r="P83" s="107">
        <v>2068.2520235998149</v>
      </c>
      <c r="Q83" s="107">
        <v>2068.2520235998149</v>
      </c>
    </row>
    <row r="84" spans="2:17" ht="15.75">
      <c r="B84" s="106">
        <v>35</v>
      </c>
      <c r="C84" s="103" t="s">
        <v>147</v>
      </c>
      <c r="D84" s="103" t="s">
        <v>137</v>
      </c>
      <c r="E84" s="104"/>
      <c r="F84" s="110" t="s">
        <v>93</v>
      </c>
      <c r="G84" s="104"/>
      <c r="H84" t="s">
        <v>132</v>
      </c>
      <c r="K84" s="106">
        <v>35</v>
      </c>
      <c r="L84" s="103" t="s">
        <v>147</v>
      </c>
      <c r="M84" s="103" t="s">
        <v>137</v>
      </c>
      <c r="N84" s="104"/>
      <c r="O84" s="104"/>
      <c r="P84" s="104"/>
      <c r="Q84" s="104"/>
    </row>
    <row r="85" spans="2:17" ht="15.75">
      <c r="B85" s="106">
        <v>36</v>
      </c>
      <c r="C85" s="105" t="s">
        <v>146</v>
      </c>
      <c r="D85" s="103" t="s">
        <v>130</v>
      </c>
      <c r="E85" s="109">
        <v>2.2681838174192679</v>
      </c>
      <c r="F85" s="109">
        <f>Gap30deg!stiffness_correction_factor</f>
        <v>1.9697599019963414</v>
      </c>
      <c r="G85" s="118">
        <f>(F85-E85)/E85</f>
        <v>-0.13156954614131416</v>
      </c>
      <c r="K85" s="106">
        <v>36</v>
      </c>
      <c r="L85" s="105" t="s">
        <v>146</v>
      </c>
      <c r="M85" s="103" t="s">
        <v>130</v>
      </c>
      <c r="N85" s="109">
        <v>2.2681838174192679</v>
      </c>
      <c r="O85" s="109">
        <v>1.3046683018817811</v>
      </c>
      <c r="P85" s="109">
        <v>1.145753155498016</v>
      </c>
      <c r="Q85" s="109">
        <v>1.0776444528789559</v>
      </c>
    </row>
    <row r="86" spans="2:17">
      <c r="B86" s="106"/>
      <c r="C86" s="105" t="s">
        <v>283</v>
      </c>
      <c r="D86" s="103" t="s">
        <v>134</v>
      </c>
      <c r="E86" s="107">
        <v>194.46458525720817</v>
      </c>
      <c r="F86" s="107">
        <f>Gap30deg!shell_arc_length</f>
        <v>194.4645852572082</v>
      </c>
      <c r="G86" s="118">
        <f>(F86-E86)/E86</f>
        <v>1.4615365256770066E-16</v>
      </c>
      <c r="K86" s="106"/>
      <c r="L86" s="105" t="s">
        <v>283</v>
      </c>
      <c r="M86" s="103" t="s">
        <v>134</v>
      </c>
      <c r="N86" s="107">
        <v>194.46458525720817</v>
      </c>
      <c r="O86" s="107">
        <v>194.46458525720817</v>
      </c>
      <c r="P86" s="107">
        <v>194.46458525720817</v>
      </c>
      <c r="Q86" s="107">
        <v>194.46458525720817</v>
      </c>
    </row>
    <row r="87" spans="2:17" ht="15.75">
      <c r="B87" s="106">
        <v>37</v>
      </c>
      <c r="C87" s="103" t="s">
        <v>145</v>
      </c>
      <c r="D87" s="103" t="s">
        <v>144</v>
      </c>
      <c r="E87" s="107">
        <v>10923.866189752931</v>
      </c>
      <c r="F87" s="107">
        <f>Gap30deg!k_seg</f>
        <v>12926.98</v>
      </c>
      <c r="G87" s="118">
        <f>(F87-E87)/E87</f>
        <v>0.18337040892409301</v>
      </c>
      <c r="K87" s="106">
        <v>37</v>
      </c>
      <c r="L87" s="103" t="s">
        <v>145</v>
      </c>
      <c r="M87" s="103" t="s">
        <v>144</v>
      </c>
      <c r="N87" s="107">
        <v>10923.866189752931</v>
      </c>
      <c r="O87" s="107">
        <v>15346.447604818837</v>
      </c>
      <c r="P87" s="107">
        <v>16495.701702608363</v>
      </c>
      <c r="Q87" s="107">
        <v>17407.954254330849</v>
      </c>
    </row>
    <row r="88" spans="2:17" ht="15.75">
      <c r="B88" s="106">
        <v>38</v>
      </c>
      <c r="C88" s="103" t="s">
        <v>143</v>
      </c>
      <c r="D88" s="103" t="s">
        <v>137</v>
      </c>
      <c r="E88" s="111">
        <v>888.25106502771973</v>
      </c>
      <c r="F88" s="111">
        <f>Gap30deg!Z2_tilde</f>
        <v>1000.4637101294037</v>
      </c>
      <c r="G88" s="118">
        <f>(F88-E88)/E88</f>
        <v>0.12632987397339301</v>
      </c>
      <c r="K88" s="106">
        <v>38</v>
      </c>
      <c r="L88" s="103" t="s">
        <v>143</v>
      </c>
      <c r="M88" s="103" t="s">
        <v>137</v>
      </c>
      <c r="N88" s="111">
        <v>888.25106502771973</v>
      </c>
      <c r="O88" s="111">
        <v>1325.4889643035067</v>
      </c>
      <c r="P88" s="111">
        <v>1448.1607342522814</v>
      </c>
      <c r="Q88" s="111">
        <v>1548.4426915486943</v>
      </c>
    </row>
    <row r="89" spans="2:17">
      <c r="B89" s="106">
        <v>39</v>
      </c>
      <c r="C89" s="103" t="s">
        <v>1</v>
      </c>
      <c r="D89" s="103" t="s">
        <v>134</v>
      </c>
      <c r="E89" s="109">
        <v>0.41813723541146963</v>
      </c>
      <c r="F89" s="109">
        <f>Gap30deg!u</f>
        <v>0.39800000000000002</v>
      </c>
      <c r="G89" s="118">
        <f>(F89-E89)/E89</f>
        <v>-4.8159392912361619E-2</v>
      </c>
      <c r="H89" t="s">
        <v>135</v>
      </c>
      <c r="K89" s="106">
        <v>39</v>
      </c>
      <c r="L89" s="103" t="s">
        <v>1</v>
      </c>
      <c r="M89" s="103" t="s">
        <v>134</v>
      </c>
      <c r="N89" s="109">
        <v>0.41813723541146963</v>
      </c>
      <c r="O89" s="109">
        <v>0.4441480232621059</v>
      </c>
      <c r="P89" s="109">
        <v>0.45144562804129973</v>
      </c>
      <c r="Q89" s="109">
        <v>0.45741128820205879</v>
      </c>
    </row>
    <row r="90" spans="2:17">
      <c r="B90" s="106">
        <v>40</v>
      </c>
      <c r="C90" s="103" t="s">
        <v>1</v>
      </c>
      <c r="D90" s="103" t="s">
        <v>134</v>
      </c>
      <c r="E90" s="104"/>
      <c r="F90" s="104"/>
      <c r="G90" s="104"/>
      <c r="H90" t="s">
        <v>132</v>
      </c>
      <c r="K90" s="106">
        <v>40</v>
      </c>
      <c r="L90" s="103" t="s">
        <v>1</v>
      </c>
      <c r="M90" s="103" t="s">
        <v>134</v>
      </c>
      <c r="N90" s="104"/>
      <c r="O90" s="104"/>
      <c r="P90" s="104"/>
      <c r="Q90" s="104"/>
    </row>
    <row r="91" spans="2:17" ht="15.75">
      <c r="B91" s="106"/>
      <c r="C91" s="103" t="s">
        <v>142</v>
      </c>
      <c r="D91" s="103" t="s">
        <v>137</v>
      </c>
      <c r="E91" s="110">
        <v>14795</v>
      </c>
      <c r="F91" s="110" t="s">
        <v>93</v>
      </c>
      <c r="G91" s="110"/>
      <c r="K91" s="106"/>
      <c r="L91" s="103" t="s">
        <v>142</v>
      </c>
      <c r="M91" s="103" t="s">
        <v>137</v>
      </c>
      <c r="N91" s="110">
        <v>14795</v>
      </c>
      <c r="O91" s="110">
        <v>14795</v>
      </c>
      <c r="P91" s="110">
        <v>14795</v>
      </c>
      <c r="Q91" s="110">
        <v>14795</v>
      </c>
    </row>
    <row r="92" spans="2:17" ht="15.75">
      <c r="B92" s="106">
        <v>41</v>
      </c>
      <c r="C92" s="105" t="s">
        <v>141</v>
      </c>
      <c r="D92" s="103" t="s">
        <v>137</v>
      </c>
      <c r="E92" s="107">
        <v>-123.29166666666667</v>
      </c>
      <c r="F92" s="107">
        <f>Gap30deg!Z_dw</f>
        <v>-123.29166666666667</v>
      </c>
      <c r="G92" s="118">
        <f>(F92-E92)/E92</f>
        <v>0</v>
      </c>
      <c r="K92" s="106">
        <v>41</v>
      </c>
      <c r="L92" s="105" t="s">
        <v>141</v>
      </c>
      <c r="M92" s="103" t="s">
        <v>137</v>
      </c>
      <c r="N92" s="107">
        <v>-123.29166666666667</v>
      </c>
      <c r="O92" s="107">
        <v>-123.29166666666667</v>
      </c>
      <c r="P92" s="107">
        <v>-123.29166666666667</v>
      </c>
      <c r="Q92" s="107">
        <v>-123.29166666666667</v>
      </c>
    </row>
    <row r="93" spans="2:17">
      <c r="B93" s="106">
        <v>42</v>
      </c>
      <c r="D93" s="103"/>
      <c r="E93" s="104"/>
      <c r="F93" s="104"/>
      <c r="G93" s="104"/>
      <c r="K93" s="106">
        <v>42</v>
      </c>
      <c r="M93" s="103"/>
      <c r="N93" s="104"/>
      <c r="O93" s="104"/>
      <c r="P93" s="104"/>
      <c r="Q93" s="104"/>
    </row>
    <row r="94" spans="2:17" ht="15.75">
      <c r="B94" s="106">
        <v>43</v>
      </c>
      <c r="C94" s="103" t="s">
        <v>140</v>
      </c>
      <c r="D94" s="103" t="s">
        <v>137</v>
      </c>
      <c r="E94" s="107">
        <v>-1303.292625238762</v>
      </c>
      <c r="F94" s="107">
        <f>Gap30deg!point4.Z</f>
        <v>-1191.0799801370781</v>
      </c>
      <c r="G94" s="118">
        <f>(F94-E94)/E94</f>
        <v>-8.609934785837263E-2</v>
      </c>
      <c r="K94" s="106">
        <v>43</v>
      </c>
      <c r="L94" s="103" t="s">
        <v>140</v>
      </c>
      <c r="M94" s="103" t="s">
        <v>137</v>
      </c>
      <c r="N94" s="107">
        <v>-1303.292625238762</v>
      </c>
      <c r="O94" s="107">
        <v>-866.05472596297477</v>
      </c>
      <c r="P94" s="107">
        <v>-743.3829560142002</v>
      </c>
      <c r="Q94" s="107">
        <v>-643.10099871778721</v>
      </c>
    </row>
    <row r="95" spans="2:17" ht="15.75">
      <c r="B95" s="106">
        <v>44</v>
      </c>
      <c r="C95" s="105" t="s">
        <v>139</v>
      </c>
      <c r="D95" s="103" t="s">
        <v>130</v>
      </c>
      <c r="E95" s="109">
        <v>0.1069913750179694</v>
      </c>
      <c r="F95" s="109">
        <f>Gap30deg!true_force_initial_slope</f>
        <v>0.11643615588130446</v>
      </c>
      <c r="G95" s="118">
        <f>(F95-E95)/E95</f>
        <v>8.8276095729667811E-2</v>
      </c>
      <c r="K95" s="106">
        <v>44</v>
      </c>
      <c r="L95" s="105" t="s">
        <v>139</v>
      </c>
      <c r="M95" s="103" t="s">
        <v>130</v>
      </c>
      <c r="N95" s="109">
        <v>0.1069913750179694</v>
      </c>
      <c r="O95" s="109">
        <v>0.1026541682745119</v>
      </c>
      <c r="P95" s="109">
        <v>0.10151028482641777</v>
      </c>
      <c r="Q95" s="109">
        <v>7.3437920323158323E-2</v>
      </c>
    </row>
    <row r="96" spans="2:17" ht="15.75">
      <c r="B96" s="106">
        <v>45</v>
      </c>
      <c r="C96" s="103" t="s">
        <v>138</v>
      </c>
      <c r="D96" s="103" t="s">
        <v>137</v>
      </c>
      <c r="E96" s="108">
        <v>2812.8750374599244</v>
      </c>
      <c r="F96" s="108">
        <f>Gap30deg!point4.Fs</f>
        <v>2815.4929801182079</v>
      </c>
      <c r="G96" s="118">
        <f>(F96-E96)/E96</f>
        <v>9.3069995055575965E-4</v>
      </c>
      <c r="K96" s="106">
        <v>45</v>
      </c>
      <c r="L96" s="103" t="s">
        <v>138</v>
      </c>
      <c r="M96" s="103" t="s">
        <v>137</v>
      </c>
      <c r="N96" s="108">
        <v>2812.8750374599244</v>
      </c>
      <c r="O96" s="108">
        <v>2837.8761379614525</v>
      </c>
      <c r="P96" s="108">
        <v>2844.5271782999753</v>
      </c>
      <c r="Q96" s="108">
        <v>2856.9131418447978</v>
      </c>
    </row>
    <row r="97" spans="2:17" ht="15.75">
      <c r="B97" s="106">
        <v>46</v>
      </c>
      <c r="C97" s="105" t="s">
        <v>136</v>
      </c>
      <c r="D97" s="103" t="s">
        <v>130</v>
      </c>
      <c r="E97" s="104"/>
      <c r="F97" s="104"/>
      <c r="G97" s="104"/>
      <c r="H97" t="s">
        <v>135</v>
      </c>
      <c r="K97" s="106">
        <v>46</v>
      </c>
      <c r="L97" s="105" t="s">
        <v>136</v>
      </c>
      <c r="M97" s="103" t="s">
        <v>130</v>
      </c>
      <c r="N97" s="104"/>
      <c r="O97" s="104"/>
      <c r="P97" s="104"/>
      <c r="Q97" s="104"/>
    </row>
    <row r="98" spans="2:17" ht="15.75">
      <c r="B98" s="106">
        <v>47</v>
      </c>
      <c r="C98" s="105" t="s">
        <v>136</v>
      </c>
      <c r="D98" s="103" t="s">
        <v>130</v>
      </c>
      <c r="E98" s="104"/>
      <c r="F98" s="104"/>
      <c r="G98" s="104"/>
      <c r="H98" t="s">
        <v>132</v>
      </c>
      <c r="K98" s="106">
        <v>47</v>
      </c>
      <c r="L98" s="105" t="s">
        <v>136</v>
      </c>
      <c r="M98" s="103" t="s">
        <v>130</v>
      </c>
      <c r="N98" s="104"/>
      <c r="O98" s="104"/>
      <c r="P98" s="104"/>
      <c r="Q98" s="104"/>
    </row>
    <row r="99" spans="2:17" ht="15.75">
      <c r="B99" s="106">
        <v>48</v>
      </c>
      <c r="C99" s="105" t="s">
        <v>133</v>
      </c>
      <c r="D99" s="103" t="s">
        <v>128</v>
      </c>
      <c r="E99" s="145"/>
      <c r="F99" s="145"/>
      <c r="G99" s="145"/>
      <c r="H99" t="s">
        <v>282</v>
      </c>
      <c r="K99" s="106">
        <v>48</v>
      </c>
      <c r="L99" s="105" t="s">
        <v>133</v>
      </c>
      <c r="M99" s="103" t="s">
        <v>128</v>
      </c>
      <c r="N99" s="145"/>
      <c r="O99" s="145"/>
      <c r="P99" s="145"/>
      <c r="Q99" s="145"/>
    </row>
    <row r="100" spans="2:17">
      <c r="B100" s="106">
        <v>49</v>
      </c>
      <c r="C100" s="105" t="s">
        <v>2</v>
      </c>
      <c r="D100" s="103" t="s">
        <v>134</v>
      </c>
      <c r="E100" s="107">
        <v>112.77695050276786</v>
      </c>
      <c r="F100" s="107"/>
      <c r="G100" s="107"/>
      <c r="K100" s="106">
        <v>49</v>
      </c>
      <c r="L100" s="105" t="s">
        <v>2</v>
      </c>
      <c r="M100" s="103" t="s">
        <v>134</v>
      </c>
      <c r="N100" s="107">
        <v>112.77695050276786</v>
      </c>
      <c r="O100" s="107">
        <v>112.77695050276786</v>
      </c>
      <c r="P100" s="107">
        <v>112.77695050276786</v>
      </c>
      <c r="Q100" s="107">
        <v>112.77695050276786</v>
      </c>
    </row>
    <row r="101" spans="2:17" ht="15.75">
      <c r="B101" s="106"/>
      <c r="C101" s="105" t="s">
        <v>280</v>
      </c>
      <c r="D101" s="103" t="s">
        <v>279</v>
      </c>
      <c r="E101" s="114">
        <v>1.6641565715404047E-9</v>
      </c>
      <c r="F101" s="114">
        <f>1/(Gap30deg!bolt.bending_stiffness*1000000)</f>
        <v>1.5164287028803009E-9</v>
      </c>
      <c r="G101" s="118">
        <f>(F101-E101)/E101</f>
        <v>-8.877041450694835E-2</v>
      </c>
      <c r="H101" t="s">
        <v>281</v>
      </c>
      <c r="K101" s="106"/>
      <c r="L101" s="105" t="s">
        <v>280</v>
      </c>
      <c r="M101" s="103" t="s">
        <v>279</v>
      </c>
      <c r="N101" s="114">
        <v>1.6641565715404047E-9</v>
      </c>
      <c r="O101" s="114">
        <v>1.6641565715404047E-9</v>
      </c>
      <c r="P101" s="114">
        <v>1.6641565715404047E-9</v>
      </c>
      <c r="Q101" s="114">
        <v>1.6641565715404047E-9</v>
      </c>
    </row>
    <row r="102" spans="2:17" ht="15.75">
      <c r="B102" s="106">
        <v>50</v>
      </c>
      <c r="C102" s="105" t="s">
        <v>133</v>
      </c>
      <c r="D102" s="103" t="s">
        <v>128</v>
      </c>
      <c r="E102" s="145"/>
      <c r="F102" s="145"/>
      <c r="G102" s="145"/>
      <c r="H102" t="s">
        <v>278</v>
      </c>
      <c r="K102" s="106">
        <v>50</v>
      </c>
      <c r="L102" s="105" t="s">
        <v>133</v>
      </c>
      <c r="M102" s="103" t="s">
        <v>128</v>
      </c>
      <c r="N102" s="145"/>
      <c r="O102" s="145"/>
      <c r="P102" s="145"/>
      <c r="Q102" s="145"/>
    </row>
    <row r="103" spans="2:17" ht="15.75">
      <c r="B103" s="106">
        <v>51</v>
      </c>
      <c r="C103" s="105" t="s">
        <v>277</v>
      </c>
      <c r="D103" s="103" t="s">
        <v>130</v>
      </c>
      <c r="E103" s="145"/>
      <c r="F103" s="145"/>
      <c r="G103" s="145"/>
      <c r="H103" t="s">
        <v>276</v>
      </c>
      <c r="K103" s="106">
        <v>51</v>
      </c>
      <c r="L103" s="105" t="s">
        <v>277</v>
      </c>
      <c r="M103" s="103" t="s">
        <v>130</v>
      </c>
      <c r="N103" s="145"/>
      <c r="O103" s="145"/>
      <c r="P103" s="145"/>
      <c r="Q103" s="145"/>
    </row>
    <row r="104" spans="2:17" ht="15.75">
      <c r="B104" s="106">
        <v>52</v>
      </c>
      <c r="C104" s="105" t="s">
        <v>275</v>
      </c>
      <c r="D104" s="103" t="s">
        <v>130</v>
      </c>
      <c r="E104" s="145"/>
      <c r="F104" s="145"/>
      <c r="G104" s="145"/>
      <c r="H104" t="s">
        <v>276</v>
      </c>
      <c r="K104" s="106">
        <v>52</v>
      </c>
      <c r="L104" s="105" t="s">
        <v>275</v>
      </c>
      <c r="M104" s="103" t="s">
        <v>130</v>
      </c>
      <c r="N104" s="145"/>
      <c r="O104" s="145"/>
      <c r="P104" s="145"/>
      <c r="Q104" s="145"/>
    </row>
    <row r="105" spans="2:17" ht="15.75">
      <c r="B105" s="106">
        <v>53</v>
      </c>
      <c r="C105" s="105" t="s">
        <v>131</v>
      </c>
      <c r="D105" s="103" t="s">
        <v>130</v>
      </c>
      <c r="E105" s="109">
        <v>0.46079420295305518</v>
      </c>
      <c r="F105" s="109">
        <f>Gap30deg!true_moment_initial_slope</f>
        <v>7.8866452875923736E-4</v>
      </c>
      <c r="G105" s="118">
        <f>(F105-E105)/E105</f>
        <v>-0.99828846690408646</v>
      </c>
      <c r="K105" s="106">
        <v>53</v>
      </c>
      <c r="L105" s="105" t="s">
        <v>131</v>
      </c>
      <c r="M105" s="103" t="s">
        <v>130</v>
      </c>
      <c r="N105" s="109">
        <v>0.46079420295305518</v>
      </c>
      <c r="O105" s="109">
        <v>0.5414691975882846</v>
      </c>
      <c r="P105" s="109">
        <v>0.56865823828707818</v>
      </c>
      <c r="Q105" s="109">
        <v>0.49717365222727494</v>
      </c>
    </row>
    <row r="106" spans="2:17" ht="15.75">
      <c r="B106" s="106">
        <v>54</v>
      </c>
      <c r="C106" s="105" t="s">
        <v>129</v>
      </c>
      <c r="D106" s="103" t="s">
        <v>128</v>
      </c>
      <c r="E106" s="108">
        <v>-313.31135676681174</v>
      </c>
      <c r="F106" s="108">
        <f>Gap30deg!point4.Ms</f>
        <v>-419.7141618986596</v>
      </c>
      <c r="G106" s="118">
        <f>(F106-E106)/E106</f>
        <v>0.33960723999877307</v>
      </c>
      <c r="K106" s="106">
        <v>54</v>
      </c>
      <c r="L106" s="105" t="s">
        <v>129</v>
      </c>
      <c r="M106" s="103" t="s">
        <v>128</v>
      </c>
      <c r="N106" s="108">
        <v>-313.31135676681174</v>
      </c>
      <c r="O106" s="108">
        <v>-257.05501413811078</v>
      </c>
      <c r="P106" s="108">
        <v>-236.67879797009712</v>
      </c>
      <c r="Q106" s="108">
        <v>-187.08533376571552</v>
      </c>
    </row>
  </sheetData>
  <conditionalFormatting sqref="G29:G31">
    <cfRule type="cellIs" dxfId="13" priority="14" operator="notBetween">
      <formula>-0.001</formula>
      <formula>0.001</formula>
    </cfRule>
  </conditionalFormatting>
  <conditionalFormatting sqref="G36:G38">
    <cfRule type="cellIs" dxfId="12" priority="13" operator="notBetween">
      <formula>-0.001</formula>
      <formula>0.001</formula>
    </cfRule>
  </conditionalFormatting>
  <conditionalFormatting sqref="G48">
    <cfRule type="cellIs" dxfId="11" priority="12" operator="notBetween">
      <formula>-0.001</formula>
      <formula>0.001</formula>
    </cfRule>
  </conditionalFormatting>
  <conditionalFormatting sqref="G49:G53">
    <cfRule type="cellIs" dxfId="10" priority="11" operator="notBetween">
      <formula>-0.001</formula>
      <formula>0.001</formula>
    </cfRule>
  </conditionalFormatting>
  <conditionalFormatting sqref="G67">
    <cfRule type="cellIs" dxfId="9" priority="10" operator="notBetween">
      <formula>-0.001</formula>
      <formula>0.001</formula>
    </cfRule>
  </conditionalFormatting>
  <conditionalFormatting sqref="G72">
    <cfRule type="cellIs" dxfId="8" priority="9" operator="notBetween">
      <formula>-0.001</formula>
      <formula>0.001</formula>
    </cfRule>
  </conditionalFormatting>
  <conditionalFormatting sqref="G74">
    <cfRule type="cellIs" dxfId="7" priority="8" operator="notBetween">
      <formula>-0.001</formula>
      <formula>0.001</formula>
    </cfRule>
  </conditionalFormatting>
  <conditionalFormatting sqref="G75:G77">
    <cfRule type="cellIs" dxfId="6" priority="7" operator="notBetween">
      <formula>-0.001</formula>
      <formula>0.001</formula>
    </cfRule>
  </conditionalFormatting>
  <conditionalFormatting sqref="G82:G83">
    <cfRule type="cellIs" dxfId="5" priority="6" operator="notBetween">
      <formula>-0.001</formula>
      <formula>0.001</formula>
    </cfRule>
  </conditionalFormatting>
  <conditionalFormatting sqref="G85:G89">
    <cfRule type="cellIs" dxfId="4" priority="5" operator="notBetween">
      <formula>-0.001</formula>
      <formula>0.001</formula>
    </cfRule>
  </conditionalFormatting>
  <conditionalFormatting sqref="G92">
    <cfRule type="cellIs" dxfId="3" priority="4" operator="notBetween">
      <formula>-0.001</formula>
      <formula>0.001</formula>
    </cfRule>
  </conditionalFormatting>
  <conditionalFormatting sqref="G94:G96">
    <cfRule type="cellIs" dxfId="2" priority="3" operator="notBetween">
      <formula>-0.001</formula>
      <formula>0.001</formula>
    </cfRule>
  </conditionalFormatting>
  <conditionalFormatting sqref="G101">
    <cfRule type="cellIs" dxfId="1" priority="2" operator="notBetween">
      <formula>-0.001</formula>
      <formula>0.001</formula>
    </cfRule>
  </conditionalFormatting>
  <conditionalFormatting sqref="G105:G106">
    <cfRule type="cellIs" dxfId="0" priority="1" operator="notBetween">
      <formula>-0.001</formula>
      <formula>0.001</formula>
    </cfRule>
  </conditionalFormatting>
  <pageMargins left="0.7" right="0.7" top="0.78740157499999996" bottom="0.78740157499999996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78e7f3-5df8-4100-b836-5320443b754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5A98ECA1EC044BB77E0D7F6ADEF7BC" ma:contentTypeVersion="18" ma:contentTypeDescription="Crear nuevo documento." ma:contentTypeScope="" ma:versionID="5e88349ac6f5efd4674595e2a92e1fa9">
  <xsd:schema xmlns:xsd="http://www.w3.org/2001/XMLSchema" xmlns:xs="http://www.w3.org/2001/XMLSchema" xmlns:p="http://schemas.microsoft.com/office/2006/metadata/properties" xmlns:ns3="2278e7f3-5df8-4100-b836-5320443b7544" xmlns:ns4="3fb9cbd1-4a98-4945-a235-2d8a3d5ec2be" targetNamespace="http://schemas.microsoft.com/office/2006/metadata/properties" ma:root="true" ma:fieldsID="bde21b231255bb48ab8a6ec7dd561648" ns3:_="" ns4:_="">
    <xsd:import namespace="2278e7f3-5df8-4100-b836-5320443b7544"/>
    <xsd:import namespace="3fb9cbd1-4a98-4945-a235-2d8a3d5ec2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78e7f3-5df8-4100-b836-5320443b75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9cbd1-4a98-4945-a235-2d8a3d5ec2b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E10DE4-EB42-4EC5-8AEE-EE77FE7979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3A318F-BD98-4749-9B6A-DFC991AC8E75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3fb9cbd1-4a98-4945-a235-2d8a3d5ec2be"/>
    <ds:schemaRef ds:uri="2278e7f3-5df8-4100-b836-5320443b7544"/>
  </ds:schemaRefs>
</ds:datastoreItem>
</file>

<file path=customXml/itemProps3.xml><?xml version="1.0" encoding="utf-8"?>
<ds:datastoreItem xmlns:ds="http://schemas.openxmlformats.org/officeDocument/2006/customXml" ds:itemID="{6A7863D2-B6F1-4C67-B9E9-1F3A9276C4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78e7f3-5df8-4100-b836-5320443b7544"/>
    <ds:schemaRef ds:uri="3fb9cbd1-4a98-4945-a235-2d8a3d5ec2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69</vt:i4>
      </vt:variant>
    </vt:vector>
  </HeadingPairs>
  <TitlesOfParts>
    <vt:vector size="71" baseType="lpstr">
      <vt:lpstr>Gap30deg</vt:lpstr>
      <vt:lpstr>AMD1</vt:lpstr>
      <vt:lpstr>Gap30deg!a</vt:lpstr>
      <vt:lpstr>Gap30deg!a_prime</vt:lpstr>
      <vt:lpstr>Gap30deg!b</vt:lpstr>
      <vt:lpstr>Gap30deg!bolt.As</vt:lpstr>
      <vt:lpstr>Gap30deg!bolt.axial_stiffness</vt:lpstr>
      <vt:lpstr>Gap30deg!bolt.bending_stiffness</vt:lpstr>
      <vt:lpstr>Gap30deg!bolt.Dn</vt:lpstr>
      <vt:lpstr>Gap30deg!bolt.Dsh</vt:lpstr>
      <vt:lpstr>Gap30deg!bolt.E</vt:lpstr>
      <vt:lpstr>Gap30deg!bolt.fu</vt:lpstr>
      <vt:lpstr>Gap30deg!bolt.fy</vt:lpstr>
      <vt:lpstr>Gap30deg!bolt.Lsh</vt:lpstr>
      <vt:lpstr>Gap30deg!bolt.pitch</vt:lpstr>
      <vt:lpstr>Gap30deg!bolt.pretension</vt:lpstr>
      <vt:lpstr>Gap30deg!bolt.size</vt:lpstr>
      <vt:lpstr>Gap30deg!clamped_parts_stiffness</vt:lpstr>
      <vt:lpstr>Gap30deg!dataseries.Fs</vt:lpstr>
      <vt:lpstr>Gap30deg!dataseries.Ms</vt:lpstr>
      <vt:lpstr>Gap30deg!dataseries.Z</vt:lpstr>
      <vt:lpstr>Gap30deg!Do</vt:lpstr>
      <vt:lpstr>Gap30deg!Dw</vt:lpstr>
      <vt:lpstr>Gap30deg!DZ_gap</vt:lpstr>
      <vt:lpstr>Gap30deg!E_mod</vt:lpstr>
      <vt:lpstr>Gap30deg!Fs_coeff.comp</vt:lpstr>
      <vt:lpstr>Gap30deg!Fs_coeff.const</vt:lpstr>
      <vt:lpstr>Gap30deg!Fs_coeff.tens</vt:lpstr>
      <vt:lpstr>Gap30deg!G_mod</vt:lpstr>
      <vt:lpstr>Gap30deg!gap.angle</vt:lpstr>
      <vt:lpstr>Gap30deg!gap.COV</vt:lpstr>
      <vt:lpstr>Gap30deg!gap.h</vt:lpstr>
      <vt:lpstr>Gap30deg!gap.k_fac</vt:lpstr>
      <vt:lpstr>Gap30deg!gap.k_fl</vt:lpstr>
      <vt:lpstr>Gap30deg!gap.k_mean</vt:lpstr>
      <vt:lpstr>Gap30deg!gap.k_shell</vt:lpstr>
      <vt:lpstr>Gap30deg!gap.L</vt:lpstr>
      <vt:lpstr>Gap30deg!gap.stiffness</vt:lpstr>
      <vt:lpstr>Gap30deg!k_seg</vt:lpstr>
      <vt:lpstr>Gap30deg!Ms_coeff.comp</vt:lpstr>
      <vt:lpstr>Gap30deg!Ms_coeff.const</vt:lpstr>
      <vt:lpstr>Gap30deg!Ms_coeff.tens</vt:lpstr>
      <vt:lpstr>Gap30deg!point1.Fs</vt:lpstr>
      <vt:lpstr>Gap30deg!point1.Ms</vt:lpstr>
      <vt:lpstr>Gap30deg!point1.Z</vt:lpstr>
      <vt:lpstr>Gap30deg!point2.Fs</vt:lpstr>
      <vt:lpstr>Gap30deg!point2.Ms</vt:lpstr>
      <vt:lpstr>Gap30deg!point2.Z</vt:lpstr>
      <vt:lpstr>Gap30deg!point3.Fs</vt:lpstr>
      <vt:lpstr>Gap30deg!point3.Ms</vt:lpstr>
      <vt:lpstr>Gap30deg!point3.Z</vt:lpstr>
      <vt:lpstr>Gap30deg!point4.Fs</vt:lpstr>
      <vt:lpstr>Gap30deg!point4.Ms</vt:lpstr>
      <vt:lpstr>Gap30deg!point4.Z</vt:lpstr>
      <vt:lpstr>Gap30deg!polynomial_initial_slope</vt:lpstr>
      <vt:lpstr>Gap30deg!Print_Area</vt:lpstr>
      <vt:lpstr>Gap30deg!Radius</vt:lpstr>
      <vt:lpstr>Gap30deg!s</vt:lpstr>
      <vt:lpstr>Gap30deg!shell_arc_length</vt:lpstr>
      <vt:lpstr>Gap30deg!stiffness_correction_factor</vt:lpstr>
      <vt:lpstr>Gap30deg!t</vt:lpstr>
      <vt:lpstr>Gap30deg!TemplateTitle</vt:lpstr>
      <vt:lpstr>Gap30deg!TemplateVersion</vt:lpstr>
      <vt:lpstr>Gap30deg!Title</vt:lpstr>
      <vt:lpstr>Gap30deg!true_force_initial_slope</vt:lpstr>
      <vt:lpstr>Gap30deg!true_moment_initial_slope</vt:lpstr>
      <vt:lpstr>Gap30deg!u</vt:lpstr>
      <vt:lpstr>Gap30deg!u_tol</vt:lpstr>
      <vt:lpstr>Gap30deg!Z_dw</vt:lpstr>
      <vt:lpstr>Gap30deg!Z0</vt:lpstr>
      <vt:lpstr>Gap30deg!Z2_tilde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Seidel, Marc (SGRE OF S&amp;PR EN SUS)</dc:creator>
  <cp:lastModifiedBy>Del Buono, Marcello</cp:lastModifiedBy>
  <dcterms:created xsi:type="dcterms:W3CDTF">2024-03-07T08:42:31Z</dcterms:created>
  <dcterms:modified xsi:type="dcterms:W3CDTF">2024-03-13T14:30:39Z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13f521-439d-4e48-8e98-41ab6c596aa7_Enabled">
    <vt:lpwstr>true</vt:lpwstr>
  </property>
  <property fmtid="{D5CDD505-2E9C-101B-9397-08002B2CF9AE}" pid="3" name="MSIP_Label_6013f521-439d-4e48-8e98-41ab6c596aa7_SetDate">
    <vt:lpwstr>2024-03-07T08:43:42Z</vt:lpwstr>
  </property>
  <property fmtid="{D5CDD505-2E9C-101B-9397-08002B2CF9AE}" pid="4" name="MSIP_Label_6013f521-439d-4e48-8e98-41ab6c596aa7_Method">
    <vt:lpwstr>Standard</vt:lpwstr>
  </property>
  <property fmtid="{D5CDD505-2E9C-101B-9397-08002B2CF9AE}" pid="5" name="MSIP_Label_6013f521-439d-4e48-8e98-41ab6c596aa7_Name">
    <vt:lpwstr>6013f521-439d-4e48-8e98-41ab6c596aa7</vt:lpwstr>
  </property>
  <property fmtid="{D5CDD505-2E9C-101B-9397-08002B2CF9AE}" pid="6" name="MSIP_Label_6013f521-439d-4e48-8e98-41ab6c596aa7_SiteId">
    <vt:lpwstr>12f921d8-f30d-4596-a652-7045b338485a</vt:lpwstr>
  </property>
  <property fmtid="{D5CDD505-2E9C-101B-9397-08002B2CF9AE}" pid="7" name="MSIP_Label_6013f521-439d-4e48-8e98-41ab6c596aa7_ActionId">
    <vt:lpwstr>7234a3fb-e318-4358-a981-1b72456cf40e</vt:lpwstr>
  </property>
  <property fmtid="{D5CDD505-2E9C-101B-9397-08002B2CF9AE}" pid="8" name="MSIP_Label_6013f521-439d-4e48-8e98-41ab6c596aa7_ContentBits">
    <vt:lpwstr>0</vt:lpwstr>
  </property>
  <property fmtid="{D5CDD505-2E9C-101B-9397-08002B2CF9AE}" pid="9" name="ContentTypeId">
    <vt:lpwstr>0x0101004E5A98ECA1EC044BB77E0D7F6ADEF7BC</vt:lpwstr>
  </property>
</Properties>
</file>